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S:\URO\EPSCoR\Next RII 2022\Budget\"/>
    </mc:Choice>
  </mc:AlternateContent>
  <xr:revisionPtr revIDLastSave="0" documentId="8_{91D47B53-B7CC-49E3-BB4A-5BF17F46F42C}" xr6:coauthVersionLast="47" xr6:coauthVersionMax="47" xr10:uidLastSave="{00000000-0000-0000-0000-000000000000}"/>
  <bookViews>
    <workbookView xWindow="29415" yWindow="825" windowWidth="28665" windowHeight="15345" tabRatio="951" firstSheet="2" activeTab="10" xr2:uid="{00000000-000D-0000-FFFF-FFFF00000000}"/>
  </bookViews>
  <sheets>
    <sheet name="Research Area" sheetId="28" r:id="rId1"/>
    <sheet name="Education Workforce Development" sheetId="31" r:id="rId2"/>
    <sheet name="Research Cyberinfrastructure" sheetId="32" r:id="rId3"/>
    <sheet name="EA &amp; Seed Funding" sheetId="38" r:id="rId4"/>
    <sheet name="Broadening Participation Divers" sheetId="29" r:id="rId5"/>
    <sheet name="Communications &amp; Disseminations" sheetId="39" r:id="rId6"/>
    <sheet name="Partnerships &amp; Collaborations" sheetId="30" r:id="rId7"/>
    <sheet name="Sustainability Plan" sheetId="24" r:id="rId8"/>
    <sheet name="Management " sheetId="9" r:id="rId9"/>
    <sheet name="Evaluation and Assessment " sheetId="23" r:id="rId10"/>
    <sheet name="Grand Total" sheetId="33" r:id="rId11"/>
    <sheet name="Budget Table A" sheetId="34" r:id="rId12"/>
    <sheet name="Budget Table B" sheetId="41" r:id="rId13"/>
    <sheet name="IDC Projection" sheetId="42" r:id="rId14"/>
  </sheets>
  <definedNames>
    <definedName name="_xlnm.Print_Area" localSheetId="8">'Management '!$A$1:$Y$340</definedName>
    <definedName name="_xlnm.Print_Titles" localSheetId="8">'Management 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2" i="33" l="1"/>
  <c r="C6" i="39" l="1"/>
  <c r="T34" i="29"/>
  <c r="G189" i="30"/>
  <c r="S181" i="31"/>
  <c r="C181" i="31"/>
  <c r="C184" i="28" l="1"/>
  <c r="C180" i="28"/>
  <c r="C181" i="9"/>
  <c r="W122" i="31"/>
  <c r="W122" i="28"/>
  <c r="W124" i="31"/>
  <c r="W121" i="31"/>
  <c r="W120" i="31"/>
  <c r="W118" i="31"/>
  <c r="W117" i="31"/>
  <c r="W116" i="31"/>
  <c r="W124" i="9"/>
  <c r="C92" i="9"/>
  <c r="T33" i="29"/>
  <c r="C124" i="33"/>
  <c r="K124" i="33"/>
  <c r="G124" i="33"/>
  <c r="T33" i="9"/>
  <c r="T32" i="9"/>
  <c r="S33" i="9"/>
  <c r="S32" i="9"/>
  <c r="P33" i="9"/>
  <c r="P32" i="9"/>
  <c r="O33" i="9"/>
  <c r="O32" i="9"/>
  <c r="L33" i="9"/>
  <c r="L32" i="9"/>
  <c r="K33" i="9"/>
  <c r="K32" i="9"/>
  <c r="H33" i="9"/>
  <c r="G33" i="9"/>
  <c r="D33" i="9"/>
  <c r="C33" i="9"/>
  <c r="G32" i="9"/>
  <c r="H32" i="9"/>
  <c r="D32" i="9"/>
  <c r="C32" i="9"/>
  <c r="D19" i="9"/>
  <c r="C19" i="9"/>
  <c r="D10" i="9"/>
  <c r="C10" i="9"/>
  <c r="T32" i="29"/>
  <c r="S32" i="29"/>
  <c r="P32" i="29"/>
  <c r="O32" i="29"/>
  <c r="L32" i="29"/>
  <c r="L31" i="29"/>
  <c r="K32" i="29"/>
  <c r="H32" i="29"/>
  <c r="G32" i="29"/>
  <c r="D32" i="29"/>
  <c r="C32" i="29"/>
  <c r="K32" i="39"/>
  <c r="G32" i="39"/>
  <c r="C32" i="39"/>
  <c r="C27" i="29"/>
  <c r="T33" i="39"/>
  <c r="S33" i="39"/>
  <c r="U33" i="39" s="1"/>
  <c r="Q33" i="39"/>
  <c r="P33" i="39"/>
  <c r="O33" i="39"/>
  <c r="L33" i="39"/>
  <c r="K33" i="39"/>
  <c r="M33" i="39" s="1"/>
  <c r="H33" i="39"/>
  <c r="I33" i="39" s="1"/>
  <c r="G33" i="39"/>
  <c r="D33" i="39"/>
  <c r="C33" i="39"/>
  <c r="E33" i="39" s="1"/>
  <c r="S29" i="39"/>
  <c r="O29" i="39"/>
  <c r="K29" i="39"/>
  <c r="G29" i="39"/>
  <c r="D18" i="39"/>
  <c r="C18" i="39"/>
  <c r="H6" i="39"/>
  <c r="L6" i="39" s="1"/>
  <c r="P6" i="39" s="1"/>
  <c r="T6" i="39" s="1"/>
  <c r="G6" i="39"/>
  <c r="K6" i="39" s="1"/>
  <c r="E6" i="39"/>
  <c r="D6" i="39"/>
  <c r="X6" i="39" s="1"/>
  <c r="S33" i="29"/>
  <c r="P33" i="29"/>
  <c r="O33" i="29"/>
  <c r="L33" i="29"/>
  <c r="K33" i="29"/>
  <c r="S29" i="29"/>
  <c r="O29" i="29"/>
  <c r="K29" i="29"/>
  <c r="G29" i="29"/>
  <c r="H33" i="29"/>
  <c r="G33" i="29"/>
  <c r="D33" i="29"/>
  <c r="C33" i="29"/>
  <c r="D17" i="29"/>
  <c r="C17" i="29"/>
  <c r="D6" i="29"/>
  <c r="C6" i="29"/>
  <c r="S117" i="9"/>
  <c r="O117" i="9"/>
  <c r="Q117" i="9" s="1"/>
  <c r="K117" i="9"/>
  <c r="M117" i="9" s="1"/>
  <c r="I117" i="9"/>
  <c r="G117" i="9"/>
  <c r="C117" i="9"/>
  <c r="K161" i="28"/>
  <c r="T118" i="9"/>
  <c r="S118" i="9"/>
  <c r="S116" i="9"/>
  <c r="P118" i="9"/>
  <c r="O118" i="9"/>
  <c r="Q118" i="9" s="1"/>
  <c r="O116" i="9"/>
  <c r="W116" i="9" s="1"/>
  <c r="L118" i="9"/>
  <c r="K118" i="9"/>
  <c r="M118" i="9" s="1"/>
  <c r="K116" i="9"/>
  <c r="H118" i="9"/>
  <c r="I118" i="9" s="1"/>
  <c r="G118" i="9"/>
  <c r="G116" i="9"/>
  <c r="D118" i="9"/>
  <c r="C118" i="9"/>
  <c r="C116" i="9"/>
  <c r="X121" i="9"/>
  <c r="W121" i="9"/>
  <c r="U121" i="9"/>
  <c r="Y121" i="9" s="1"/>
  <c r="Q121" i="9"/>
  <c r="M121" i="9"/>
  <c r="I121" i="9"/>
  <c r="E121" i="9"/>
  <c r="X120" i="9"/>
  <c r="W120" i="9"/>
  <c r="U120" i="9"/>
  <c r="Y120" i="9" s="1"/>
  <c r="Q120" i="9"/>
  <c r="M120" i="9"/>
  <c r="I120" i="9"/>
  <c r="E120" i="9"/>
  <c r="X119" i="9"/>
  <c r="W119" i="9"/>
  <c r="U119" i="9"/>
  <c r="Y119" i="9" s="1"/>
  <c r="Q119" i="9"/>
  <c r="M119" i="9"/>
  <c r="I119" i="9"/>
  <c r="E119" i="9"/>
  <c r="U118" i="9"/>
  <c r="E118" i="9"/>
  <c r="X117" i="9"/>
  <c r="W117" i="9"/>
  <c r="U117" i="9"/>
  <c r="E117" i="9"/>
  <c r="X116" i="9"/>
  <c r="U116" i="9"/>
  <c r="Q116" i="9"/>
  <c r="M116" i="9"/>
  <c r="I116" i="9"/>
  <c r="D102" i="9"/>
  <c r="H102" i="9" s="1"/>
  <c r="C102" i="9"/>
  <c r="H101" i="9"/>
  <c r="G101" i="9"/>
  <c r="E101" i="9"/>
  <c r="H92" i="9"/>
  <c r="L92" i="9" s="1"/>
  <c r="P92" i="9" s="1"/>
  <c r="T92" i="9" s="1"/>
  <c r="G92" i="9"/>
  <c r="K92" i="9" s="1"/>
  <c r="E92" i="9"/>
  <c r="D92" i="9"/>
  <c r="X92" i="9" s="1"/>
  <c r="C144" i="30"/>
  <c r="K152" i="39"/>
  <c r="O152" i="39" s="1"/>
  <c r="G152" i="39"/>
  <c r="S118" i="39"/>
  <c r="O118" i="39"/>
  <c r="K118" i="39"/>
  <c r="G118" i="39"/>
  <c r="S116" i="39"/>
  <c r="O116" i="39"/>
  <c r="K116" i="39"/>
  <c r="G116" i="39"/>
  <c r="I118" i="39"/>
  <c r="C118" i="39"/>
  <c r="E118" i="39" s="1"/>
  <c r="H121" i="39"/>
  <c r="G121" i="39"/>
  <c r="K121" i="39" s="1"/>
  <c r="E121" i="39"/>
  <c r="C121" i="39"/>
  <c r="H120" i="39"/>
  <c r="L120" i="39" s="1"/>
  <c r="P120" i="39" s="1"/>
  <c r="T120" i="39" s="1"/>
  <c r="G120" i="39"/>
  <c r="I120" i="39" s="1"/>
  <c r="E120" i="39"/>
  <c r="C120" i="39"/>
  <c r="S119" i="39"/>
  <c r="O119" i="39"/>
  <c r="K119" i="39"/>
  <c r="H119" i="39"/>
  <c r="G119" i="39"/>
  <c r="E119" i="39"/>
  <c r="C119" i="39"/>
  <c r="W119" i="39" s="1"/>
  <c r="U118" i="39"/>
  <c r="L118" i="39"/>
  <c r="P118" i="39" s="1"/>
  <c r="T118" i="39" s="1"/>
  <c r="M118" i="39"/>
  <c r="H118" i="39"/>
  <c r="D118" i="39"/>
  <c r="X118" i="39" s="1"/>
  <c r="O117" i="39"/>
  <c r="L117" i="39"/>
  <c r="K117" i="39"/>
  <c r="I117" i="39"/>
  <c r="H117" i="39"/>
  <c r="G117" i="39"/>
  <c r="E117" i="39"/>
  <c r="L116" i="39"/>
  <c r="I116" i="39"/>
  <c r="H116" i="39"/>
  <c r="E116" i="39"/>
  <c r="C116" i="39"/>
  <c r="H104" i="39"/>
  <c r="L104" i="39" s="1"/>
  <c r="P104" i="39" s="1"/>
  <c r="C104" i="39"/>
  <c r="G104" i="39" s="1"/>
  <c r="H102" i="39"/>
  <c r="L102" i="39" s="1"/>
  <c r="P102" i="39" s="1"/>
  <c r="G102" i="39"/>
  <c r="K102" i="39" s="1"/>
  <c r="O96" i="29"/>
  <c r="I96" i="29"/>
  <c r="G96" i="29"/>
  <c r="K96" i="29" s="1"/>
  <c r="H95" i="29"/>
  <c r="L95" i="29" s="1"/>
  <c r="G95" i="29"/>
  <c r="K95" i="29" s="1"/>
  <c r="L94" i="29"/>
  <c r="K94" i="29"/>
  <c r="O94" i="29" s="1"/>
  <c r="O116" i="29" s="1"/>
  <c r="Q116" i="29" s="1"/>
  <c r="H94" i="29"/>
  <c r="G94" i="29"/>
  <c r="I94" i="29" s="1"/>
  <c r="O118" i="29"/>
  <c r="Q118" i="29" s="1"/>
  <c r="G118" i="29"/>
  <c r="I118" i="29" s="1"/>
  <c r="G116" i="29"/>
  <c r="I116" i="29" s="1"/>
  <c r="C118" i="29"/>
  <c r="E118" i="29" s="1"/>
  <c r="C116" i="29"/>
  <c r="E116" i="29" s="1"/>
  <c r="X121" i="29"/>
  <c r="W121" i="29"/>
  <c r="U121" i="29"/>
  <c r="Q121" i="29"/>
  <c r="M121" i="29"/>
  <c r="I121" i="29"/>
  <c r="E121" i="29"/>
  <c r="Y121" i="29" s="1"/>
  <c r="X120" i="29"/>
  <c r="W120" i="29"/>
  <c r="U120" i="29"/>
  <c r="Q120" i="29"/>
  <c r="M120" i="29"/>
  <c r="I120" i="29"/>
  <c r="E120" i="29"/>
  <c r="Y120" i="29" s="1"/>
  <c r="X119" i="29"/>
  <c r="W119" i="29"/>
  <c r="U119" i="29"/>
  <c r="Q119" i="29"/>
  <c r="M119" i="29"/>
  <c r="I119" i="29"/>
  <c r="E119" i="29"/>
  <c r="Y119" i="29" s="1"/>
  <c r="X118" i="29"/>
  <c r="S118" i="29"/>
  <c r="U118" i="29" s="1"/>
  <c r="X117" i="29"/>
  <c r="W117" i="29"/>
  <c r="U117" i="29"/>
  <c r="Q117" i="29"/>
  <c r="M117" i="29"/>
  <c r="I117" i="29"/>
  <c r="E117" i="29"/>
  <c r="X116" i="29"/>
  <c r="S117" i="32"/>
  <c r="S116" i="32"/>
  <c r="O117" i="32"/>
  <c r="W117" i="32" s="1"/>
  <c r="O116" i="32"/>
  <c r="K117" i="32"/>
  <c r="K116" i="32"/>
  <c r="G117" i="32"/>
  <c r="G116" i="32"/>
  <c r="C117" i="32"/>
  <c r="C116" i="32"/>
  <c r="E116" i="32" s="1"/>
  <c r="O115" i="32"/>
  <c r="K115" i="32"/>
  <c r="G115" i="32"/>
  <c r="X117" i="32"/>
  <c r="U117" i="32"/>
  <c r="Q117" i="32"/>
  <c r="M117" i="32"/>
  <c r="I117" i="32"/>
  <c r="E117" i="32"/>
  <c r="X116" i="32"/>
  <c r="U116" i="32"/>
  <c r="Q116" i="32"/>
  <c r="M116" i="32"/>
  <c r="I116" i="32"/>
  <c r="G128" i="32"/>
  <c r="X121" i="32"/>
  <c r="W121" i="32"/>
  <c r="U121" i="32"/>
  <c r="Q121" i="32"/>
  <c r="M121" i="32"/>
  <c r="I121" i="32"/>
  <c r="E121" i="32"/>
  <c r="Y121" i="32" s="1"/>
  <c r="X120" i="32"/>
  <c r="W120" i="32"/>
  <c r="U120" i="32"/>
  <c r="Q120" i="32"/>
  <c r="M120" i="32"/>
  <c r="I120" i="32"/>
  <c r="E120" i="32"/>
  <c r="Y120" i="32" s="1"/>
  <c r="X119" i="32"/>
  <c r="W119" i="32"/>
  <c r="U119" i="32"/>
  <c r="Q119" i="32"/>
  <c r="M119" i="32"/>
  <c r="I119" i="32"/>
  <c r="E119" i="32"/>
  <c r="Y119" i="32" s="1"/>
  <c r="X118" i="32"/>
  <c r="W118" i="32"/>
  <c r="U118" i="32"/>
  <c r="Q118" i="32"/>
  <c r="M118" i="32"/>
  <c r="I118" i="32"/>
  <c r="E118" i="32"/>
  <c r="Y118" i="32" s="1"/>
  <c r="H92" i="32"/>
  <c r="G92" i="32"/>
  <c r="K92" i="32" s="1"/>
  <c r="E92" i="32"/>
  <c r="E6" i="32"/>
  <c r="G6" i="32"/>
  <c r="I6" i="32" s="1"/>
  <c r="H6" i="32"/>
  <c r="L6" i="32"/>
  <c r="M6" i="32"/>
  <c r="P6" i="32"/>
  <c r="Q6" i="32"/>
  <c r="S6" i="32"/>
  <c r="T6" i="32"/>
  <c r="U6" i="32" s="1"/>
  <c r="W6" i="32"/>
  <c r="X6" i="32"/>
  <c r="I152" i="31"/>
  <c r="K152" i="31" s="1"/>
  <c r="G152" i="31"/>
  <c r="G122" i="31"/>
  <c r="I122" i="31" s="1"/>
  <c r="K122" i="31" s="1"/>
  <c r="M122" i="31" s="1"/>
  <c r="X121" i="31"/>
  <c r="K121" i="31"/>
  <c r="M121" i="31" s="1"/>
  <c r="G121" i="31"/>
  <c r="X120" i="31"/>
  <c r="S120" i="31"/>
  <c r="U120" i="31" s="1"/>
  <c r="O120" i="31"/>
  <c r="Q120" i="31" s="1"/>
  <c r="I120" i="31"/>
  <c r="K120" i="31" s="1"/>
  <c r="G120" i="31"/>
  <c r="C120" i="31"/>
  <c r="E120" i="31" s="1"/>
  <c r="W119" i="31"/>
  <c r="M119" i="31"/>
  <c r="H119" i="31"/>
  <c r="I119" i="31" s="1"/>
  <c r="D119" i="31"/>
  <c r="X119" i="31" s="1"/>
  <c r="X118" i="31"/>
  <c r="S118" i="31"/>
  <c r="U118" i="31" s="1"/>
  <c r="O118" i="31"/>
  <c r="Q118" i="31" s="1"/>
  <c r="K118" i="31"/>
  <c r="M118" i="31" s="1"/>
  <c r="G118" i="31"/>
  <c r="I118" i="31" s="1"/>
  <c r="E118" i="31"/>
  <c r="C118" i="31"/>
  <c r="X117" i="31"/>
  <c r="S117" i="31"/>
  <c r="U117" i="31" s="1"/>
  <c r="O117" i="31"/>
  <c r="Q117" i="31" s="1"/>
  <c r="M117" i="31"/>
  <c r="K117" i="31"/>
  <c r="G117" i="31"/>
  <c r="I117" i="31" s="1"/>
  <c r="C117" i="31"/>
  <c r="E117" i="31" s="1"/>
  <c r="Y117" i="31" s="1"/>
  <c r="X116" i="31"/>
  <c r="S116" i="31"/>
  <c r="Q116" i="31"/>
  <c r="O116" i="31"/>
  <c r="M116" i="31"/>
  <c r="K116" i="31"/>
  <c r="G116" i="31"/>
  <c r="I116" i="31" s="1"/>
  <c r="E116" i="31"/>
  <c r="C116" i="31"/>
  <c r="K104" i="31"/>
  <c r="C102" i="31"/>
  <c r="C93" i="31"/>
  <c r="C94" i="31" s="1"/>
  <c r="C92" i="31"/>
  <c r="X161" i="28"/>
  <c r="I161" i="28"/>
  <c r="E161" i="28"/>
  <c r="X154" i="28"/>
  <c r="G154" i="28"/>
  <c r="I154" i="28" s="1"/>
  <c r="K154" i="28" s="1"/>
  <c r="M154" i="28" s="1"/>
  <c r="O154" i="28" s="1"/>
  <c r="Q154" i="28" s="1"/>
  <c r="S154" i="28" s="1"/>
  <c r="U154" i="28" s="1"/>
  <c r="C154" i="28"/>
  <c r="O143" i="28"/>
  <c r="S143" i="28" s="1"/>
  <c r="L143" i="28"/>
  <c r="P143" i="28" s="1"/>
  <c r="T143" i="28" s="1"/>
  <c r="I143" i="28"/>
  <c r="E143" i="28"/>
  <c r="I122" i="28"/>
  <c r="K122" i="28" s="1"/>
  <c r="M122" i="28" s="1"/>
  <c r="O122" i="28" s="1"/>
  <c r="Q122" i="28" s="1"/>
  <c r="S122" i="28" s="1"/>
  <c r="U122" i="28" s="1"/>
  <c r="Y122" i="28" s="1"/>
  <c r="D121" i="28"/>
  <c r="H121" i="28" s="1"/>
  <c r="L121" i="28" s="1"/>
  <c r="D120" i="28"/>
  <c r="K119" i="28"/>
  <c r="D118" i="28"/>
  <c r="H118" i="28" s="1"/>
  <c r="H117" i="28"/>
  <c r="L117" i="28" s="1"/>
  <c r="H116" i="28"/>
  <c r="E10" i="9" l="1"/>
  <c r="G10" i="9"/>
  <c r="H10" i="9"/>
  <c r="L10" i="9" s="1"/>
  <c r="P10" i="9" s="1"/>
  <c r="T10" i="9" s="1"/>
  <c r="O6" i="39"/>
  <c r="M6" i="39"/>
  <c r="I6" i="39"/>
  <c r="E6" i="29"/>
  <c r="G6" i="29"/>
  <c r="H6" i="29"/>
  <c r="L6" i="29" s="1"/>
  <c r="P6" i="29" s="1"/>
  <c r="T6" i="29" s="1"/>
  <c r="Y117" i="9"/>
  <c r="Y118" i="9"/>
  <c r="X118" i="9"/>
  <c r="E116" i="9"/>
  <c r="Y116" i="9" s="1"/>
  <c r="W118" i="9"/>
  <c r="L102" i="9"/>
  <c r="P102" i="9" s="1"/>
  <c r="T102" i="9" s="1"/>
  <c r="E102" i="9"/>
  <c r="I101" i="9"/>
  <c r="G102" i="9"/>
  <c r="L101" i="9"/>
  <c r="P101" i="9" s="1"/>
  <c r="T101" i="9" s="1"/>
  <c r="K101" i="9"/>
  <c r="M92" i="9"/>
  <c r="O92" i="9"/>
  <c r="I92" i="9"/>
  <c r="S152" i="39"/>
  <c r="Q152" i="39"/>
  <c r="M152" i="39"/>
  <c r="M116" i="39"/>
  <c r="U116" i="39"/>
  <c r="O121" i="39"/>
  <c r="M121" i="39"/>
  <c r="X117" i="39"/>
  <c r="Q118" i="39"/>
  <c r="Y118" i="39" s="1"/>
  <c r="I121" i="39"/>
  <c r="S117" i="39"/>
  <c r="L121" i="39"/>
  <c r="P121" i="39" s="1"/>
  <c r="T121" i="39" s="1"/>
  <c r="I119" i="39"/>
  <c r="K120" i="39"/>
  <c r="M117" i="39"/>
  <c r="P117" i="39"/>
  <c r="T117" i="39" s="1"/>
  <c r="W116" i="39"/>
  <c r="W117" i="39"/>
  <c r="X116" i="39"/>
  <c r="W118" i="39"/>
  <c r="L119" i="39"/>
  <c r="P119" i="39" s="1"/>
  <c r="T119" i="39" s="1"/>
  <c r="U119" i="39" s="1"/>
  <c r="P116" i="39"/>
  <c r="T116" i="39" s="1"/>
  <c r="X120" i="39"/>
  <c r="K104" i="39"/>
  <c r="I104" i="39"/>
  <c r="E104" i="39"/>
  <c r="O102" i="39"/>
  <c r="M102" i="39"/>
  <c r="I102" i="39"/>
  <c r="O95" i="29"/>
  <c r="M95" i="29"/>
  <c r="M96" i="29"/>
  <c r="K118" i="29"/>
  <c r="M118" i="29" s="1"/>
  <c r="I95" i="29"/>
  <c r="K116" i="29"/>
  <c r="M116" i="29" s="1"/>
  <c r="M94" i="29"/>
  <c r="Y117" i="29"/>
  <c r="Y118" i="29"/>
  <c r="W118" i="29"/>
  <c r="Y117" i="32"/>
  <c r="W116" i="32"/>
  <c r="Y116" i="32"/>
  <c r="O92" i="32"/>
  <c r="L92" i="32"/>
  <c r="P92" i="32" s="1"/>
  <c r="T92" i="32" s="1"/>
  <c r="I92" i="32"/>
  <c r="Y6" i="32"/>
  <c r="M120" i="31"/>
  <c r="Y120" i="31" s="1"/>
  <c r="Y118" i="31"/>
  <c r="E119" i="31"/>
  <c r="Y119" i="31" s="1"/>
  <c r="I121" i="31"/>
  <c r="Y121" i="31" s="1"/>
  <c r="U116" i="31"/>
  <c r="Y116" i="31" s="1"/>
  <c r="M161" i="28"/>
  <c r="O161" i="28"/>
  <c r="W154" i="28"/>
  <c r="E154" i="28"/>
  <c r="Y154" i="28" s="1"/>
  <c r="U143" i="28"/>
  <c r="Q143" i="28"/>
  <c r="W143" i="28"/>
  <c r="X143" i="28"/>
  <c r="M143" i="28"/>
  <c r="Y143" i="28" s="1"/>
  <c r="P121" i="28"/>
  <c r="P117" i="28"/>
  <c r="T117" i="28" s="1"/>
  <c r="X117" i="28" s="1"/>
  <c r="L118" i="28"/>
  <c r="P118" i="28" s="1"/>
  <c r="T118" i="28" s="1"/>
  <c r="L116" i="28"/>
  <c r="P116" i="28" s="1"/>
  <c r="T116" i="28" s="1"/>
  <c r="E121" i="28"/>
  <c r="K10" i="9" l="1"/>
  <c r="I10" i="9"/>
  <c r="X10" i="9"/>
  <c r="S6" i="39"/>
  <c r="U6" i="39" s="1"/>
  <c r="Q6" i="39"/>
  <c r="Y6" i="39" s="1"/>
  <c r="K6" i="29"/>
  <c r="I6" i="29"/>
  <c r="X6" i="29"/>
  <c r="K102" i="9"/>
  <c r="I102" i="9"/>
  <c r="X102" i="9"/>
  <c r="O101" i="9"/>
  <c r="M101" i="9"/>
  <c r="X101" i="9"/>
  <c r="S92" i="9"/>
  <c r="U92" i="9" s="1"/>
  <c r="Q92" i="9"/>
  <c r="Y92" i="9" s="1"/>
  <c r="W92" i="9"/>
  <c r="S121" i="39"/>
  <c r="U121" i="39" s="1"/>
  <c r="Q121" i="39"/>
  <c r="Y121" i="39" s="1"/>
  <c r="O120" i="39"/>
  <c r="M120" i="39"/>
  <c r="Q117" i="39"/>
  <c r="Y117" i="39" s="1"/>
  <c r="Q119" i="39"/>
  <c r="M119" i="39"/>
  <c r="Y119" i="39" s="1"/>
  <c r="W121" i="39"/>
  <c r="X121" i="39"/>
  <c r="X119" i="39"/>
  <c r="U117" i="39"/>
  <c r="Q116" i="39"/>
  <c r="Y116" i="39" s="1"/>
  <c r="O104" i="39"/>
  <c r="M104" i="39"/>
  <c r="S102" i="39"/>
  <c r="Q102" i="39"/>
  <c r="X92" i="32"/>
  <c r="S92" i="32"/>
  <c r="Q92" i="32"/>
  <c r="M92" i="32"/>
  <c r="S161" i="28"/>
  <c r="U161" i="28" s="1"/>
  <c r="Q161" i="28"/>
  <c r="X116" i="28"/>
  <c r="X118" i="28"/>
  <c r="T121" i="28"/>
  <c r="W161" i="28" l="1"/>
  <c r="Y161" i="28"/>
  <c r="O10" i="9"/>
  <c r="M10" i="9"/>
  <c r="W6" i="39"/>
  <c r="O6" i="29"/>
  <c r="M6" i="29"/>
  <c r="Q101" i="9"/>
  <c r="Y101" i="9" s="1"/>
  <c r="S101" i="9"/>
  <c r="U101" i="9" s="1"/>
  <c r="O102" i="9"/>
  <c r="M102" i="9"/>
  <c r="S120" i="39"/>
  <c r="U120" i="39" s="1"/>
  <c r="Q120" i="39"/>
  <c r="Y120" i="39" s="1"/>
  <c r="W120" i="39"/>
  <c r="S104" i="39"/>
  <c r="Q104" i="39"/>
  <c r="Y92" i="32"/>
  <c r="U92" i="32"/>
  <c r="W92" i="32"/>
  <c r="X121" i="28"/>
  <c r="S10" i="9" l="1"/>
  <c r="U10" i="9" s="1"/>
  <c r="Q10" i="9"/>
  <c r="W10" i="9"/>
  <c r="S6" i="29"/>
  <c r="U6" i="29" s="1"/>
  <c r="Q6" i="29"/>
  <c r="Y6" i="29" s="1"/>
  <c r="W6" i="29"/>
  <c r="W101" i="9"/>
  <c r="S102" i="9"/>
  <c r="Q102" i="9"/>
  <c r="Y10" i="9" l="1"/>
  <c r="U102" i="9"/>
  <c r="Y102" i="9" s="1"/>
  <c r="W102" i="9"/>
  <c r="H102" i="28" l="1"/>
  <c r="G102" i="28"/>
  <c r="G121" i="28" s="1"/>
  <c r="I121" i="28" s="1"/>
  <c r="C102" i="28"/>
  <c r="E102" i="28" s="1"/>
  <c r="D97" i="28"/>
  <c r="C97" i="28"/>
  <c r="C118" i="28" s="1"/>
  <c r="D96" i="28"/>
  <c r="H96" i="28" s="1"/>
  <c r="L96" i="28" s="1"/>
  <c r="P96" i="28" s="1"/>
  <c r="T96" i="28" s="1"/>
  <c r="C96" i="28"/>
  <c r="S95" i="28"/>
  <c r="W95" i="28" s="1"/>
  <c r="H95" i="28"/>
  <c r="L95" i="28" s="1"/>
  <c r="E95" i="28"/>
  <c r="S94" i="28"/>
  <c r="W94" i="28" s="1"/>
  <c r="H94" i="28"/>
  <c r="L94" i="28" s="1"/>
  <c r="E94" i="28"/>
  <c r="S93" i="28"/>
  <c r="D93" i="28"/>
  <c r="H93" i="28" s="1"/>
  <c r="C93" i="28"/>
  <c r="W93" i="28" s="1"/>
  <c r="D92" i="28"/>
  <c r="H92" i="28" s="1"/>
  <c r="C92" i="28"/>
  <c r="E118" i="28" l="1"/>
  <c r="G118" i="28" s="1"/>
  <c r="I118" i="28" s="1"/>
  <c r="K118" i="28" s="1"/>
  <c r="M118" i="28" s="1"/>
  <c r="O118" i="28" s="1"/>
  <c r="Q118" i="28" s="1"/>
  <c r="S118" i="28" s="1"/>
  <c r="U118" i="28" s="1"/>
  <c r="Y118" i="28" s="1"/>
  <c r="G97" i="28"/>
  <c r="K97" i="28" s="1"/>
  <c r="H97" i="28"/>
  <c r="L97" i="28" s="1"/>
  <c r="P97" i="28" s="1"/>
  <c r="T97" i="28" s="1"/>
  <c r="E97" i="28"/>
  <c r="G96" i="28"/>
  <c r="C117" i="28"/>
  <c r="E92" i="28"/>
  <c r="C116" i="28"/>
  <c r="I102" i="28"/>
  <c r="K102" i="28" s="1"/>
  <c r="K121" i="28" s="1"/>
  <c r="M121" i="28" s="1"/>
  <c r="L102" i="28"/>
  <c r="P102" i="28" s="1"/>
  <c r="T102" i="28" s="1"/>
  <c r="I96" i="28"/>
  <c r="K96" i="28"/>
  <c r="M94" i="28"/>
  <c r="P94" i="28"/>
  <c r="M95" i="28"/>
  <c r="P95" i="28"/>
  <c r="L92" i="28"/>
  <c r="P92" i="28" s="1"/>
  <c r="T92" i="28" s="1"/>
  <c r="L93" i="28"/>
  <c r="I93" i="28"/>
  <c r="X96" i="28"/>
  <c r="O97" i="28"/>
  <c r="M97" i="28"/>
  <c r="E93" i="28"/>
  <c r="I97" i="28"/>
  <c r="I95" i="28"/>
  <c r="G92" i="28"/>
  <c r="G116" i="28" s="1"/>
  <c r="I116" i="28" s="1"/>
  <c r="I94" i="28"/>
  <c r="E96" i="28"/>
  <c r="E116" i="28" l="1"/>
  <c r="X92" i="28"/>
  <c r="X97" i="28"/>
  <c r="W118" i="28"/>
  <c r="G117" i="28"/>
  <c r="I117" i="28" s="1"/>
  <c r="K117" i="28" s="1"/>
  <c r="M117" i="28" s="1"/>
  <c r="O117" i="28" s="1"/>
  <c r="Q117" i="28" s="1"/>
  <c r="S117" i="28" s="1"/>
  <c r="U117" i="28" s="1"/>
  <c r="E117" i="28"/>
  <c r="X102" i="28"/>
  <c r="M102" i="28"/>
  <c r="O102" i="28" s="1"/>
  <c r="M93" i="28"/>
  <c r="P93" i="28"/>
  <c r="Q95" i="28"/>
  <c r="T95" i="28"/>
  <c r="S97" i="28"/>
  <c r="Q97" i="28"/>
  <c r="M96" i="28"/>
  <c r="O96" i="28"/>
  <c r="I92" i="28"/>
  <c r="K92" i="28"/>
  <c r="K116" i="28" s="1"/>
  <c r="M116" i="28" s="1"/>
  <c r="T94" i="28"/>
  <c r="Q94" i="28"/>
  <c r="Y117" i="28" l="1"/>
  <c r="Q102" i="28"/>
  <c r="S102" i="28" s="1"/>
  <c r="O121" i="28"/>
  <c r="W117" i="28"/>
  <c r="W102" i="28"/>
  <c r="Y102" i="28" s="1"/>
  <c r="U95" i="28"/>
  <c r="Y95" i="28" s="1"/>
  <c r="X95" i="28"/>
  <c r="U94" i="28"/>
  <c r="Y94" i="28" s="1"/>
  <c r="X94" i="28"/>
  <c r="S96" i="28"/>
  <c r="U96" i="28" s="1"/>
  <c r="Q96" i="28"/>
  <c r="W96" i="28"/>
  <c r="Y96" i="28" s="1"/>
  <c r="U97" i="28"/>
  <c r="W97" i="28"/>
  <c r="Y97" i="28" s="1"/>
  <c r="T93" i="28"/>
  <c r="U93" i="28" s="1"/>
  <c r="Q93" i="28"/>
  <c r="M92" i="28"/>
  <c r="O92" i="28"/>
  <c r="O116" i="28" s="1"/>
  <c r="Q116" i="28" s="1"/>
  <c r="Q121" i="28" l="1"/>
  <c r="U102" i="28"/>
  <c r="S121" i="28"/>
  <c r="U121" i="28" s="1"/>
  <c r="Y121" i="28" s="1"/>
  <c r="S92" i="28"/>
  <c r="Q92" i="28"/>
  <c r="W92" i="28"/>
  <c r="X93" i="28"/>
  <c r="Y93" i="28" s="1"/>
  <c r="U92" i="28" l="1"/>
  <c r="Y92" i="28" s="1"/>
  <c r="S116" i="28"/>
  <c r="W121" i="28"/>
  <c r="G66" i="38"/>
  <c r="O66" i="38"/>
  <c r="O67" i="38"/>
  <c r="K159" i="28"/>
  <c r="K158" i="28"/>
  <c r="K157" i="28"/>
  <c r="U116" i="28" l="1"/>
  <c r="Y116" i="28" s="1"/>
  <c r="W116" i="28"/>
  <c r="C17" i="42"/>
  <c r="W24" i="42" l="1"/>
  <c r="S24" i="42"/>
  <c r="O24" i="42"/>
  <c r="K24" i="42"/>
  <c r="G24" i="42"/>
  <c r="C24" i="42"/>
  <c r="S16" i="42"/>
  <c r="O16" i="42"/>
  <c r="K16" i="42"/>
  <c r="G16" i="42"/>
  <c r="C16" i="42"/>
  <c r="W13" i="42"/>
  <c r="Y15" i="42"/>
  <c r="X15" i="42"/>
  <c r="W15" i="42"/>
  <c r="U15" i="42"/>
  <c r="T15" i="42"/>
  <c r="S15" i="42"/>
  <c r="Q15" i="42"/>
  <c r="P15" i="42"/>
  <c r="O15" i="42"/>
  <c r="M15" i="42"/>
  <c r="L15" i="42"/>
  <c r="K15" i="42"/>
  <c r="I15" i="42"/>
  <c r="H15" i="42"/>
  <c r="G15" i="42"/>
  <c r="D15" i="42"/>
  <c r="E15" i="42"/>
  <c r="C15" i="42"/>
  <c r="V13" i="42"/>
  <c r="R13" i="42"/>
  <c r="N13" i="42"/>
  <c r="J13" i="42"/>
  <c r="F13" i="42"/>
  <c r="C13" i="42"/>
  <c r="G13" i="42"/>
  <c r="C14" i="42"/>
  <c r="D14" i="42" s="1"/>
  <c r="D13" i="42"/>
  <c r="K13" i="42" l="1"/>
  <c r="H14" i="42"/>
  <c r="L14" i="42" s="1"/>
  <c r="P14" i="42" s="1"/>
  <c r="T14" i="42" s="1"/>
  <c r="E13" i="42"/>
  <c r="H13" i="42"/>
  <c r="L13" i="42" s="1"/>
  <c r="P13" i="42" s="1"/>
  <c r="T13" i="42" s="1"/>
  <c r="E14" i="42"/>
  <c r="G14" i="42"/>
  <c r="K14" i="42" l="1"/>
  <c r="I14" i="42"/>
  <c r="X14" i="42"/>
  <c r="I13" i="42"/>
  <c r="X13" i="42"/>
  <c r="O13" i="42"/>
  <c r="M13" i="42"/>
  <c r="S13" i="42" l="1"/>
  <c r="U13" i="42" s="1"/>
  <c r="Q13" i="42"/>
  <c r="Y13" i="42" s="1"/>
  <c r="O14" i="42"/>
  <c r="M14" i="42"/>
  <c r="S14" i="42" l="1"/>
  <c r="Q14" i="42"/>
  <c r="U14" i="42" l="1"/>
  <c r="Y14" i="42" s="1"/>
  <c r="W14" i="42"/>
  <c r="C189" i="30" l="1"/>
  <c r="G201" i="30"/>
  <c r="K201" i="30" s="1"/>
  <c r="G199" i="30"/>
  <c r="J8" i="41" l="1"/>
  <c r="J10" i="41"/>
  <c r="J14" i="41"/>
  <c r="J12" i="41"/>
  <c r="H75" i="23" l="1"/>
  <c r="X71" i="24"/>
  <c r="W71" i="24"/>
  <c r="U71" i="24"/>
  <c r="Q71" i="24"/>
  <c r="M71" i="24"/>
  <c r="I71" i="24"/>
  <c r="G71" i="24"/>
  <c r="E71" i="24"/>
  <c r="Y71" i="24" s="1"/>
  <c r="X220" i="24" l="1"/>
  <c r="C220" i="24"/>
  <c r="X144" i="24"/>
  <c r="G144" i="24"/>
  <c r="C144" i="24"/>
  <c r="E144" i="24" s="1"/>
  <c r="O55" i="24"/>
  <c r="G55" i="24"/>
  <c r="C55" i="24"/>
  <c r="K234" i="29"/>
  <c r="G59" i="31"/>
  <c r="K233" i="28"/>
  <c r="G234" i="28"/>
  <c r="K234" i="28" s="1"/>
  <c r="G233" i="28"/>
  <c r="K67" i="28"/>
  <c r="K68" i="28"/>
  <c r="K66" i="28"/>
  <c r="G67" i="28"/>
  <c r="G68" i="28"/>
  <c r="G66" i="28"/>
  <c r="E220" i="24" l="1"/>
  <c r="G220" i="24"/>
  <c r="I144" i="24"/>
  <c r="K144" i="24"/>
  <c r="K220" i="24" l="1"/>
  <c r="I220" i="24"/>
  <c r="O144" i="24"/>
  <c r="M144" i="24"/>
  <c r="O220" i="24" l="1"/>
  <c r="M220" i="24"/>
  <c r="S144" i="24"/>
  <c r="Q144" i="24"/>
  <c r="S220" i="24" l="1"/>
  <c r="U220" i="24" s="1"/>
  <c r="Q220" i="24"/>
  <c r="Y220" i="24" s="1"/>
  <c r="W220" i="24"/>
  <c r="U144" i="24"/>
  <c r="Y144" i="24" s="1"/>
  <c r="W144" i="24"/>
  <c r="C201" i="30" l="1"/>
  <c r="C66" i="38"/>
  <c r="K233" i="29"/>
  <c r="K238" i="31"/>
  <c r="L233" i="29"/>
  <c r="P233" i="29" s="1"/>
  <c r="H238" i="31"/>
  <c r="L238" i="31" s="1"/>
  <c r="P238" i="31" s="1"/>
  <c r="T238" i="31" s="1"/>
  <c r="G238" i="31"/>
  <c r="I238" i="31" s="1"/>
  <c r="E238" i="31"/>
  <c r="D238" i="31"/>
  <c r="X238" i="31" s="1"/>
  <c r="C238" i="31"/>
  <c r="D160" i="31"/>
  <c r="C160" i="31"/>
  <c r="S77" i="31"/>
  <c r="D77" i="31"/>
  <c r="H77" i="31" s="1"/>
  <c r="C77" i="31"/>
  <c r="T52" i="9"/>
  <c r="H52" i="9"/>
  <c r="L199" i="31"/>
  <c r="H199" i="31"/>
  <c r="D199" i="31"/>
  <c r="H183" i="31"/>
  <c r="G183" i="31"/>
  <c r="C183" i="31"/>
  <c r="E183" i="31" s="1"/>
  <c r="H95" i="31"/>
  <c r="X95" i="31" s="1"/>
  <c r="C95" i="31"/>
  <c r="G95" i="31" s="1"/>
  <c r="H32" i="31"/>
  <c r="D32" i="31"/>
  <c r="C9" i="31"/>
  <c r="H9" i="31"/>
  <c r="X9" i="31" s="1"/>
  <c r="K9" i="31"/>
  <c r="K183" i="31"/>
  <c r="O237" i="31"/>
  <c r="S159" i="31"/>
  <c r="G159" i="31"/>
  <c r="K69" i="31"/>
  <c r="C199" i="30"/>
  <c r="I189" i="30"/>
  <c r="H189" i="30"/>
  <c r="K189" i="30"/>
  <c r="E189" i="30"/>
  <c r="G7" i="30"/>
  <c r="O233" i="29"/>
  <c r="O220" i="29"/>
  <c r="C220" i="29"/>
  <c r="O199" i="29"/>
  <c r="K199" i="29"/>
  <c r="G199" i="29"/>
  <c r="K198" i="29"/>
  <c r="G198" i="29"/>
  <c r="K180" i="29"/>
  <c r="O180" i="29"/>
  <c r="S180" i="29"/>
  <c r="C180" i="29"/>
  <c r="G180" i="29"/>
  <c r="C185" i="28"/>
  <c r="H160" i="31" l="1"/>
  <c r="L160" i="31" s="1"/>
  <c r="P160" i="31" s="1"/>
  <c r="T160" i="31" s="1"/>
  <c r="E160" i="31"/>
  <c r="G160" i="31"/>
  <c r="E77" i="31"/>
  <c r="L77" i="31"/>
  <c r="P77" i="31" s="1"/>
  <c r="T77" i="31" s="1"/>
  <c r="U77" i="31" s="1"/>
  <c r="G77" i="31"/>
  <c r="E95" i="31"/>
  <c r="S9" i="31"/>
  <c r="U9" i="31" s="1"/>
  <c r="M9" i="31"/>
  <c r="O9" i="31"/>
  <c r="Q9" i="31" s="1"/>
  <c r="G9" i="31"/>
  <c r="I9" i="31" s="1"/>
  <c r="E9" i="31"/>
  <c r="I95" i="31"/>
  <c r="K95" i="31"/>
  <c r="O189" i="30"/>
  <c r="L189" i="30"/>
  <c r="P189" i="30" s="1"/>
  <c r="T189" i="30" s="1"/>
  <c r="D67" i="39"/>
  <c r="C66" i="24"/>
  <c r="D66" i="24"/>
  <c r="C17" i="32"/>
  <c r="S17" i="32" s="1"/>
  <c r="D17" i="32"/>
  <c r="T17" i="32"/>
  <c r="H17" i="32"/>
  <c r="H66" i="39"/>
  <c r="L66" i="39" s="1"/>
  <c r="O238" i="31" l="1"/>
  <c r="M238" i="31"/>
  <c r="K160" i="31"/>
  <c r="I160" i="31"/>
  <c r="X160" i="31"/>
  <c r="K77" i="31"/>
  <c r="I77" i="31"/>
  <c r="X77" i="31"/>
  <c r="Y9" i="31"/>
  <c r="W9" i="31"/>
  <c r="S95" i="31"/>
  <c r="U95" i="31" s="1"/>
  <c r="O95" i="31"/>
  <c r="Q95" i="31" s="1"/>
  <c r="M95" i="31"/>
  <c r="Y95" i="31" s="1"/>
  <c r="X189" i="30"/>
  <c r="M189" i="30"/>
  <c r="S189" i="30"/>
  <c r="Q189" i="30"/>
  <c r="G74" i="31"/>
  <c r="X74" i="29"/>
  <c r="G74" i="29"/>
  <c r="I74" i="29" s="1"/>
  <c r="E74" i="29"/>
  <c r="G60" i="31"/>
  <c r="X60" i="29"/>
  <c r="G60" i="29"/>
  <c r="I60" i="29" s="1"/>
  <c r="C60" i="29"/>
  <c r="E60" i="29" s="1"/>
  <c r="S238" i="31" l="1"/>
  <c r="U238" i="31" s="1"/>
  <c r="Q238" i="31"/>
  <c r="Y238" i="31" s="1"/>
  <c r="W238" i="31"/>
  <c r="M160" i="31"/>
  <c r="O160" i="31"/>
  <c r="O77" i="31"/>
  <c r="M77" i="31"/>
  <c r="W95" i="31"/>
  <c r="U189" i="30"/>
  <c r="W189" i="30"/>
  <c r="Y189" i="30"/>
  <c r="O74" i="29"/>
  <c r="K74" i="29"/>
  <c r="M74" i="29" s="1"/>
  <c r="K60" i="29"/>
  <c r="S160" i="31" l="1"/>
  <c r="U160" i="31" s="1"/>
  <c r="Q160" i="31"/>
  <c r="Y160" i="31" s="1"/>
  <c r="W160" i="31"/>
  <c r="Q77" i="31"/>
  <c r="Y77" i="31" s="1"/>
  <c r="W77" i="31"/>
  <c r="S74" i="29"/>
  <c r="Q74" i="29"/>
  <c r="O60" i="29"/>
  <c r="M60" i="29"/>
  <c r="U74" i="29" l="1"/>
  <c r="Y74" i="29" s="1"/>
  <c r="W74" i="29"/>
  <c r="S60" i="29"/>
  <c r="U60" i="29" s="1"/>
  <c r="Q60" i="29"/>
  <c r="Y60" i="29" s="1"/>
  <c r="W60" i="29"/>
  <c r="S198" i="31" l="1"/>
  <c r="G198" i="31"/>
  <c r="C198" i="31"/>
  <c r="C180" i="31"/>
  <c r="H180" i="31"/>
  <c r="G180" i="31"/>
  <c r="C182" i="31"/>
  <c r="G182" i="31" s="1"/>
  <c r="K182" i="31" s="1"/>
  <c r="H182" i="31"/>
  <c r="I180" i="31" l="1"/>
  <c r="K180" i="31"/>
  <c r="L180" i="31"/>
  <c r="P180" i="31" s="1"/>
  <c r="T180" i="31" s="1"/>
  <c r="E180" i="31"/>
  <c r="E182" i="31"/>
  <c r="O182" i="31"/>
  <c r="L182" i="31"/>
  <c r="P182" i="31" s="1"/>
  <c r="T182" i="31" s="1"/>
  <c r="I182" i="31"/>
  <c r="X180" i="31" l="1"/>
  <c r="M180" i="31"/>
  <c r="O180" i="31"/>
  <c r="X182" i="31"/>
  <c r="M182" i="31"/>
  <c r="Y182" i="31" s="1"/>
  <c r="S182" i="31"/>
  <c r="U182" i="31" s="1"/>
  <c r="Q182" i="31"/>
  <c r="W182" i="31"/>
  <c r="S180" i="31" l="1"/>
  <c r="U180" i="31" s="1"/>
  <c r="Q180" i="31"/>
  <c r="Y180" i="31" s="1"/>
  <c r="W180" i="31"/>
  <c r="C7" i="30" l="1"/>
  <c r="K7" i="30"/>
  <c r="O7" i="30" s="1"/>
  <c r="S7" i="30" s="1"/>
  <c r="G17" i="32" l="1"/>
  <c r="O69" i="39"/>
  <c r="K69" i="39"/>
  <c r="C54" i="24"/>
  <c r="G75" i="23"/>
  <c r="P53" i="24"/>
  <c r="O53" i="24"/>
  <c r="H53" i="24"/>
  <c r="G53" i="24"/>
  <c r="S182" i="29"/>
  <c r="S94" i="29"/>
  <c r="S116" i="29" s="1"/>
  <c r="S8" i="29"/>
  <c r="U116" i="29" l="1"/>
  <c r="Y116" i="29" s="1"/>
  <c r="W116" i="29"/>
  <c r="D8" i="29"/>
  <c r="C8" i="29"/>
  <c r="D94" i="29"/>
  <c r="C94" i="29"/>
  <c r="D182" i="29"/>
  <c r="C182" i="29"/>
  <c r="C68" i="32"/>
  <c r="T68" i="32"/>
  <c r="P68" i="32"/>
  <c r="L68" i="32"/>
  <c r="H68" i="32"/>
  <c r="O235" i="29" l="1"/>
  <c r="G235" i="29"/>
  <c r="C235" i="29"/>
  <c r="X183" i="29"/>
  <c r="U183" i="29"/>
  <c r="O183" i="29"/>
  <c r="Q183" i="29" s="1"/>
  <c r="G183" i="29"/>
  <c r="I183" i="29" s="1"/>
  <c r="E183" i="29"/>
  <c r="C183" i="29"/>
  <c r="O159" i="29"/>
  <c r="G159" i="29"/>
  <c r="C159" i="29"/>
  <c r="X96" i="29"/>
  <c r="U96" i="29"/>
  <c r="Q96" i="29"/>
  <c r="C96" i="29"/>
  <c r="W96" i="29" s="1"/>
  <c r="O66" i="29"/>
  <c r="G66" i="29"/>
  <c r="C66" i="29"/>
  <c r="X10" i="29"/>
  <c r="U10" i="29"/>
  <c r="Q10" i="29"/>
  <c r="O10" i="29"/>
  <c r="I10" i="29"/>
  <c r="G10" i="29"/>
  <c r="K10" i="29" s="1"/>
  <c r="M10" i="29" s="1"/>
  <c r="C10" i="29"/>
  <c r="K183" i="29" l="1"/>
  <c r="M183" i="29" s="1"/>
  <c r="Y183" i="29" s="1"/>
  <c r="E96" i="29"/>
  <c r="W10" i="29"/>
  <c r="E10" i="29"/>
  <c r="Y10" i="29" s="1"/>
  <c r="S234" i="31"/>
  <c r="K234" i="31"/>
  <c r="C234" i="31"/>
  <c r="X233" i="29"/>
  <c r="U233" i="29"/>
  <c r="I233" i="29"/>
  <c r="E233" i="29"/>
  <c r="K227" i="31"/>
  <c r="X228" i="29"/>
  <c r="K228" i="29"/>
  <c r="O228" i="29" s="1"/>
  <c r="C228" i="29"/>
  <c r="S222" i="31"/>
  <c r="K222" i="31"/>
  <c r="C222" i="31"/>
  <c r="X220" i="29"/>
  <c r="W220" i="29"/>
  <c r="U220" i="29"/>
  <c r="Q220" i="29"/>
  <c r="M220" i="29"/>
  <c r="I220" i="29"/>
  <c r="E220" i="29"/>
  <c r="S198" i="29"/>
  <c r="U198" i="29" s="1"/>
  <c r="O198" i="29"/>
  <c r="C198" i="29"/>
  <c r="X198" i="29"/>
  <c r="Q198" i="29"/>
  <c r="M198" i="29"/>
  <c r="I198" i="29"/>
  <c r="H201" i="29"/>
  <c r="G201" i="29"/>
  <c r="I201" i="29" s="1"/>
  <c r="E201" i="29"/>
  <c r="C201" i="29"/>
  <c r="K189" i="31"/>
  <c r="K189" i="29"/>
  <c r="O189" i="29" s="1"/>
  <c r="H189" i="29"/>
  <c r="G189" i="29"/>
  <c r="E189" i="29"/>
  <c r="X180" i="29"/>
  <c r="E180" i="29"/>
  <c r="G75" i="31"/>
  <c r="X73" i="29"/>
  <c r="G73" i="29"/>
  <c r="E73" i="29"/>
  <c r="G70" i="31"/>
  <c r="X71" i="29"/>
  <c r="U71" i="29"/>
  <c r="K71" i="29"/>
  <c r="I71" i="29"/>
  <c r="E71" i="29"/>
  <c r="C68" i="31"/>
  <c r="C67" i="31"/>
  <c r="G69" i="29"/>
  <c r="E69" i="29"/>
  <c r="U68" i="29"/>
  <c r="C68" i="29"/>
  <c r="G68" i="29" s="1"/>
  <c r="G61" i="31"/>
  <c r="X59" i="29"/>
  <c r="S59" i="29"/>
  <c r="U59" i="29" s="1"/>
  <c r="Q59" i="29"/>
  <c r="O59" i="29"/>
  <c r="M59" i="29"/>
  <c r="K59" i="29"/>
  <c r="I59" i="29"/>
  <c r="G59" i="29"/>
  <c r="E59" i="29"/>
  <c r="Y59" i="29" s="1"/>
  <c r="C59" i="29"/>
  <c r="W59" i="29" s="1"/>
  <c r="Y220" i="29" l="1"/>
  <c r="W183" i="29"/>
  <c r="Y96" i="29"/>
  <c r="M233" i="29"/>
  <c r="Q233" i="29"/>
  <c r="S228" i="29"/>
  <c r="U228" i="29" s="1"/>
  <c r="Q228" i="29"/>
  <c r="E228" i="29"/>
  <c r="G228" i="29"/>
  <c r="I228" i="29" s="1"/>
  <c r="M228" i="29"/>
  <c r="W198" i="29"/>
  <c r="E198" i="29"/>
  <c r="Y198" i="29" s="1"/>
  <c r="L201" i="29"/>
  <c r="P201" i="29" s="1"/>
  <c r="T201" i="29" s="1"/>
  <c r="K201" i="29"/>
  <c r="S189" i="29"/>
  <c r="W189" i="29" s="1"/>
  <c r="L189" i="29"/>
  <c r="P189" i="29" s="1"/>
  <c r="T189" i="29" s="1"/>
  <c r="I189" i="29"/>
  <c r="I180" i="29"/>
  <c r="I73" i="29"/>
  <c r="K73" i="29"/>
  <c r="M73" i="29" s="1"/>
  <c r="O73" i="29"/>
  <c r="M71" i="29"/>
  <c r="Y71" i="29" s="1"/>
  <c r="O71" i="29"/>
  <c r="Q71" i="29" s="1"/>
  <c r="K68" i="29"/>
  <c r="I68" i="29"/>
  <c r="I69" i="29"/>
  <c r="E68" i="29"/>
  <c r="K69" i="29"/>
  <c r="Y233" i="29" l="1"/>
  <c r="W233" i="29"/>
  <c r="Y228" i="29"/>
  <c r="W228" i="29"/>
  <c r="O201" i="29"/>
  <c r="M201" i="29"/>
  <c r="X201" i="29"/>
  <c r="Q189" i="29"/>
  <c r="M189" i="29"/>
  <c r="Y189" i="29" s="1"/>
  <c r="U189" i="29"/>
  <c r="X189" i="29"/>
  <c r="U180" i="29"/>
  <c r="Q180" i="29"/>
  <c r="M180" i="29"/>
  <c r="W180" i="29"/>
  <c r="S73" i="29"/>
  <c r="U73" i="29" s="1"/>
  <c r="Q73" i="29"/>
  <c r="Y73" i="29" s="1"/>
  <c r="W73" i="29"/>
  <c r="W71" i="29"/>
  <c r="M69" i="29"/>
  <c r="O69" i="29"/>
  <c r="M68" i="29"/>
  <c r="O68" i="29"/>
  <c r="Y180" i="29" l="1"/>
  <c r="S201" i="29"/>
  <c r="Q201" i="29"/>
  <c r="Q68" i="29"/>
  <c r="Y68" i="29" s="1"/>
  <c r="W68" i="29"/>
  <c r="S69" i="29"/>
  <c r="Q69" i="29"/>
  <c r="U201" i="29" l="1"/>
  <c r="Y201" i="29" s="1"/>
  <c r="W201" i="29"/>
  <c r="U69" i="29"/>
  <c r="Y69" i="29" s="1"/>
  <c r="W69" i="29"/>
  <c r="G162" i="28" l="1"/>
  <c r="K162" i="28" s="1"/>
  <c r="O162" i="28" s="1"/>
  <c r="S162" i="28" s="1"/>
  <c r="C190" i="39"/>
  <c r="C202" i="39" s="1"/>
  <c r="C74" i="23"/>
  <c r="C159" i="23"/>
  <c r="S164" i="31"/>
  <c r="O164" i="31"/>
  <c r="K164" i="31"/>
  <c r="C199" i="39" l="1"/>
  <c r="G190" i="39"/>
  <c r="K190" i="39" s="1"/>
  <c r="O190" i="39" s="1"/>
  <c r="S190" i="39" s="1"/>
  <c r="S199" i="39" s="1"/>
  <c r="O199" i="39" l="1"/>
  <c r="K199" i="39"/>
  <c r="G199" i="39"/>
  <c r="G62" i="28" l="1"/>
  <c r="O158" i="39"/>
  <c r="S144" i="39"/>
  <c r="O144" i="39"/>
  <c r="K144" i="39"/>
  <c r="G144" i="39"/>
  <c r="C102" i="39" l="1"/>
  <c r="X152" i="39"/>
  <c r="E152" i="39"/>
  <c r="C152" i="39"/>
  <c r="C72" i="23"/>
  <c r="D72" i="23"/>
  <c r="C66" i="23"/>
  <c r="D20" i="9"/>
  <c r="D18" i="9"/>
  <c r="D17" i="23"/>
  <c r="D6" i="9"/>
  <c r="G230" i="28"/>
  <c r="C62" i="28"/>
  <c r="C185" i="31"/>
  <c r="C8" i="31"/>
  <c r="G182" i="29"/>
  <c r="K182" i="29" s="1"/>
  <c r="H182" i="29"/>
  <c r="L182" i="29" s="1"/>
  <c r="P182" i="29" s="1"/>
  <c r="T182" i="29" s="1"/>
  <c r="H161" i="29"/>
  <c r="P94" i="29"/>
  <c r="T94" i="29" s="1"/>
  <c r="E94" i="29"/>
  <c r="G8" i="29"/>
  <c r="H8" i="29"/>
  <c r="L8" i="29" s="1"/>
  <c r="P8" i="29" s="1"/>
  <c r="T8" i="29" s="1"/>
  <c r="E102" i="39" l="1"/>
  <c r="T102" i="39"/>
  <c r="I152" i="39"/>
  <c r="O182" i="29"/>
  <c r="M182" i="29"/>
  <c r="E182" i="29"/>
  <c r="I182" i="29"/>
  <c r="X182" i="29"/>
  <c r="E8" i="29"/>
  <c r="I8" i="29"/>
  <c r="K8" i="29"/>
  <c r="X102" i="39" l="1"/>
  <c r="U102" i="39"/>
  <c r="W102" i="39"/>
  <c r="Y102" i="39" s="1"/>
  <c r="U152" i="39"/>
  <c r="Y152" i="39" s="1"/>
  <c r="W152" i="39"/>
  <c r="Q182" i="29"/>
  <c r="X94" i="29"/>
  <c r="O8" i="29"/>
  <c r="M8" i="29"/>
  <c r="X8" i="29"/>
  <c r="U182" i="29" l="1"/>
  <c r="Y182" i="29" s="1"/>
  <c r="W182" i="29"/>
  <c r="Q94" i="29"/>
  <c r="Q8" i="29"/>
  <c r="U94" i="29" l="1"/>
  <c r="Y94" i="29" s="1"/>
  <c r="W94" i="29"/>
  <c r="U8" i="29"/>
  <c r="Y8" i="29" s="1"/>
  <c r="W8" i="29"/>
  <c r="G101" i="28" l="1"/>
  <c r="G120" i="28" s="1"/>
  <c r="C101" i="28"/>
  <c r="C120" i="28" s="1"/>
  <c r="C188" i="28"/>
  <c r="X66" i="29"/>
  <c r="U66" i="29"/>
  <c r="Q66" i="29"/>
  <c r="I66" i="29"/>
  <c r="K66" i="29"/>
  <c r="M66" i="29" s="1"/>
  <c r="X159" i="29"/>
  <c r="U159" i="29"/>
  <c r="Q159" i="29"/>
  <c r="K159" i="29"/>
  <c r="M159" i="29" s="1"/>
  <c r="E235" i="29"/>
  <c r="X237" i="29"/>
  <c r="I237" i="29"/>
  <c r="G237" i="29"/>
  <c r="E237" i="29"/>
  <c r="X161" i="29"/>
  <c r="G161" i="29"/>
  <c r="E161" i="29"/>
  <c r="G71" i="28"/>
  <c r="K71" i="28" s="1"/>
  <c r="O71" i="28" s="1"/>
  <c r="S71" i="28" s="1"/>
  <c r="G21" i="28"/>
  <c r="K21" i="28"/>
  <c r="O21" i="28" s="1"/>
  <c r="S21" i="28" s="1"/>
  <c r="K62" i="28"/>
  <c r="G23" i="28"/>
  <c r="C21" i="28"/>
  <c r="E21" i="28" s="1"/>
  <c r="C23" i="28"/>
  <c r="H21" i="28"/>
  <c r="L21" i="28" s="1"/>
  <c r="G72" i="23"/>
  <c r="K72" i="23" s="1"/>
  <c r="O72" i="23" s="1"/>
  <c r="S72" i="23" s="1"/>
  <c r="T72" i="23"/>
  <c r="P72" i="23"/>
  <c r="L72" i="23"/>
  <c r="X74" i="31"/>
  <c r="E74" i="31"/>
  <c r="X60" i="31"/>
  <c r="K60" i="31"/>
  <c r="C60" i="31"/>
  <c r="H59" i="31"/>
  <c r="I59" i="31"/>
  <c r="E59" i="31"/>
  <c r="C59" i="31"/>
  <c r="G69" i="23"/>
  <c r="C69" i="23"/>
  <c r="L69" i="23"/>
  <c r="H69" i="23"/>
  <c r="G237" i="31"/>
  <c r="O159" i="31"/>
  <c r="C159" i="31"/>
  <c r="X78" i="31"/>
  <c r="U78" i="31"/>
  <c r="O78" i="31"/>
  <c r="Q78" i="31" s="1"/>
  <c r="I78" i="31"/>
  <c r="G78" i="31"/>
  <c r="K78" i="31" s="1"/>
  <c r="M78" i="31" s="1"/>
  <c r="C78" i="31"/>
  <c r="W78" i="31" s="1"/>
  <c r="X235" i="29"/>
  <c r="U235" i="29"/>
  <c r="Q235" i="29"/>
  <c r="O227" i="31"/>
  <c r="S227" i="31" s="1"/>
  <c r="O189" i="31"/>
  <c r="S189" i="31" s="1"/>
  <c r="G30" i="28" l="1"/>
  <c r="E120" i="28"/>
  <c r="K101" i="28"/>
  <c r="K120" i="28" s="1"/>
  <c r="I21" i="28"/>
  <c r="W66" i="29"/>
  <c r="E66" i="29"/>
  <c r="Y66" i="29" s="1"/>
  <c r="W159" i="29"/>
  <c r="E159" i="29"/>
  <c r="I159" i="29"/>
  <c r="K237" i="29"/>
  <c r="I161" i="29"/>
  <c r="K161" i="29"/>
  <c r="P21" i="28"/>
  <c r="T21" i="28" s="1"/>
  <c r="X21" i="28" s="1"/>
  <c r="I74" i="31"/>
  <c r="K74" i="31"/>
  <c r="M74" i="31" s="1"/>
  <c r="O74" i="31"/>
  <c r="O60" i="31"/>
  <c r="M60" i="31"/>
  <c r="I60" i="31"/>
  <c r="E60" i="31"/>
  <c r="L59" i="31"/>
  <c r="P59" i="31" s="1"/>
  <c r="T59" i="31" s="1"/>
  <c r="K59" i="31"/>
  <c r="E78" i="31"/>
  <c r="Y78" i="31" s="1"/>
  <c r="I235" i="29"/>
  <c r="Y235" i="29" s="1"/>
  <c r="K235" i="29"/>
  <c r="M235" i="29" s="1"/>
  <c r="Y159" i="29" l="1"/>
  <c r="O237" i="29"/>
  <c r="M237" i="29"/>
  <c r="O161" i="29"/>
  <c r="M161" i="29"/>
  <c r="M21" i="28"/>
  <c r="S74" i="31"/>
  <c r="U74" i="31" s="1"/>
  <c r="Q74" i="31"/>
  <c r="Y74" i="31" s="1"/>
  <c r="S60" i="31"/>
  <c r="Q60" i="31"/>
  <c r="O59" i="31"/>
  <c r="M59" i="31"/>
  <c r="X59" i="31"/>
  <c r="W235" i="29"/>
  <c r="S237" i="29" l="1"/>
  <c r="U237" i="29" s="1"/>
  <c r="Q237" i="29"/>
  <c r="Y237" i="29" s="1"/>
  <c r="W237" i="29"/>
  <c r="S161" i="29"/>
  <c r="Q161" i="29"/>
  <c r="Q21" i="28"/>
  <c r="U21" i="28"/>
  <c r="W74" i="31"/>
  <c r="U60" i="31"/>
  <c r="Y60" i="31" s="1"/>
  <c r="W60" i="31"/>
  <c r="Q59" i="31"/>
  <c r="S59" i="31"/>
  <c r="U161" i="29" l="1"/>
  <c r="Y161" i="29" s="1"/>
  <c r="W161" i="29"/>
  <c r="W21" i="28"/>
  <c r="Y21" i="28" s="1"/>
  <c r="U59" i="31"/>
  <c r="Y59" i="31" s="1"/>
  <c r="W59" i="31"/>
  <c r="O66" i="32" l="1"/>
  <c r="G66" i="32"/>
  <c r="O160" i="32"/>
  <c r="S160" i="32" s="1"/>
  <c r="U160" i="32" s="1"/>
  <c r="G235" i="32"/>
  <c r="I235" i="32" s="1"/>
  <c r="O235" i="32"/>
  <c r="S235" i="32" s="1"/>
  <c r="U235" i="32" s="1"/>
  <c r="X235" i="32"/>
  <c r="Q235" i="32"/>
  <c r="E235" i="32"/>
  <c r="X160" i="32"/>
  <c r="K160" i="32"/>
  <c r="I160" i="32"/>
  <c r="E160" i="32"/>
  <c r="E161" i="32"/>
  <c r="I161" i="32"/>
  <c r="M161" i="32"/>
  <c r="Q161" i="32"/>
  <c r="U161" i="32"/>
  <c r="W161" i="32"/>
  <c r="X161" i="32"/>
  <c r="Y161" i="32"/>
  <c r="G70" i="32"/>
  <c r="X158" i="32"/>
  <c r="W158" i="32"/>
  <c r="U158" i="32"/>
  <c r="Q158" i="32"/>
  <c r="M158" i="32"/>
  <c r="I158" i="32"/>
  <c r="E158" i="32"/>
  <c r="Y158" i="32" s="1"/>
  <c r="C276" i="30"/>
  <c r="C320" i="30"/>
  <c r="X320" i="30"/>
  <c r="E320" i="30"/>
  <c r="X276" i="30"/>
  <c r="X220" i="30"/>
  <c r="C220" i="30"/>
  <c r="E220" i="30" s="1"/>
  <c r="X144" i="30"/>
  <c r="C52" i="30"/>
  <c r="X52" i="30"/>
  <c r="G52" i="30"/>
  <c r="I52" i="30" s="1"/>
  <c r="G18" i="30"/>
  <c r="C18" i="30"/>
  <c r="G61" i="30"/>
  <c r="Q160" i="32" l="1"/>
  <c r="W160" i="32"/>
  <c r="K235" i="32"/>
  <c r="W235" i="32" s="1"/>
  <c r="M160" i="32"/>
  <c r="Y160" i="32" s="1"/>
  <c r="G320" i="30"/>
  <c r="G276" i="30"/>
  <c r="E276" i="30"/>
  <c r="G220" i="30"/>
  <c r="E144" i="30"/>
  <c r="G144" i="30"/>
  <c r="K52" i="30"/>
  <c r="E52" i="30"/>
  <c r="M235" i="32" l="1"/>
  <c r="Y235" i="32" s="1"/>
  <c r="K320" i="30"/>
  <c r="I320" i="30"/>
  <c r="I276" i="30"/>
  <c r="K276" i="30"/>
  <c r="K220" i="30"/>
  <c r="I220" i="30"/>
  <c r="K144" i="30"/>
  <c r="I144" i="30"/>
  <c r="O52" i="30"/>
  <c r="M52" i="30"/>
  <c r="O320" i="30" l="1"/>
  <c r="M320" i="30"/>
  <c r="O276" i="30"/>
  <c r="M276" i="30"/>
  <c r="O220" i="30"/>
  <c r="M220" i="30"/>
  <c r="M144" i="30"/>
  <c r="O144" i="30"/>
  <c r="S52" i="30"/>
  <c r="U52" i="30" s="1"/>
  <c r="Q52" i="30"/>
  <c r="Y52" i="30" s="1"/>
  <c r="S320" i="30" l="1"/>
  <c r="U320" i="30" s="1"/>
  <c r="Q320" i="30"/>
  <c r="Y320" i="30" s="1"/>
  <c r="W320" i="30"/>
  <c r="S276" i="30"/>
  <c r="U276" i="30" s="1"/>
  <c r="Q276" i="30"/>
  <c r="Y276" i="30" s="1"/>
  <c r="W276" i="30"/>
  <c r="S220" i="30"/>
  <c r="Q220" i="30"/>
  <c r="S144" i="30"/>
  <c r="U144" i="30" s="1"/>
  <c r="Q144" i="30"/>
  <c r="W144" i="30"/>
  <c r="Y144" i="30"/>
  <c r="W52" i="30"/>
  <c r="U220" i="30" l="1"/>
  <c r="Y220" i="30" s="1"/>
  <c r="W220" i="30"/>
  <c r="S71" i="31" l="1"/>
  <c r="K71" i="31"/>
  <c r="K70" i="31"/>
  <c r="O70" i="31" s="1"/>
  <c r="X69" i="31"/>
  <c r="W69" i="31"/>
  <c r="U69" i="31"/>
  <c r="Q69" i="31"/>
  <c r="M69" i="31"/>
  <c r="I69" i="31"/>
  <c r="E69" i="31"/>
  <c r="X321" i="30"/>
  <c r="G321" i="30"/>
  <c r="E321" i="30"/>
  <c r="X277" i="30"/>
  <c r="G277" i="30"/>
  <c r="E277" i="30"/>
  <c r="X53" i="30"/>
  <c r="G53" i="30"/>
  <c r="E53" i="30"/>
  <c r="X159" i="31"/>
  <c r="W159" i="31"/>
  <c r="U159" i="31"/>
  <c r="Q159" i="31"/>
  <c r="M159" i="31"/>
  <c r="I159" i="31"/>
  <c r="E159" i="31"/>
  <c r="X237" i="31"/>
  <c r="W237" i="31"/>
  <c r="U237" i="31"/>
  <c r="Q237" i="31"/>
  <c r="M237" i="31"/>
  <c r="I237" i="31"/>
  <c r="E237" i="31"/>
  <c r="D102" i="31"/>
  <c r="Y69" i="31" l="1"/>
  <c r="I321" i="30"/>
  <c r="K321" i="30"/>
  <c r="I277" i="30"/>
  <c r="K277" i="30"/>
  <c r="I53" i="30"/>
  <c r="K53" i="30"/>
  <c r="Y159" i="31"/>
  <c r="Y237" i="31"/>
  <c r="O321" i="30" l="1"/>
  <c r="M321" i="30"/>
  <c r="O277" i="30"/>
  <c r="M277" i="30"/>
  <c r="O53" i="30"/>
  <c r="M53" i="30"/>
  <c r="X234" i="39"/>
  <c r="K234" i="39"/>
  <c r="O234" i="39" s="1"/>
  <c r="I234" i="39"/>
  <c r="C234" i="39"/>
  <c r="X159" i="39"/>
  <c r="M159" i="39"/>
  <c r="K159" i="39"/>
  <c r="O159" i="39" s="1"/>
  <c r="I159" i="39"/>
  <c r="C159" i="39"/>
  <c r="C69" i="39"/>
  <c r="S70" i="39"/>
  <c r="O70" i="39"/>
  <c r="K70" i="39"/>
  <c r="G52" i="24"/>
  <c r="C52" i="24"/>
  <c r="X221" i="24"/>
  <c r="W221" i="24"/>
  <c r="U221" i="24"/>
  <c r="Q221" i="24"/>
  <c r="M221" i="24"/>
  <c r="I221" i="24"/>
  <c r="E221" i="24"/>
  <c r="X145" i="24"/>
  <c r="W145" i="24"/>
  <c r="U145" i="24"/>
  <c r="Q145" i="24"/>
  <c r="M145" i="24"/>
  <c r="I145" i="24"/>
  <c r="E145" i="24"/>
  <c r="P67" i="24"/>
  <c r="L67" i="24"/>
  <c r="S31" i="31"/>
  <c r="S51" i="31"/>
  <c r="C18" i="31"/>
  <c r="S18" i="31"/>
  <c r="Y221" i="24" l="1"/>
  <c r="Y145" i="24"/>
  <c r="S321" i="30"/>
  <c r="Q321" i="30"/>
  <c r="S277" i="30"/>
  <c r="Q277" i="30"/>
  <c r="S53" i="30"/>
  <c r="U53" i="30" s="1"/>
  <c r="Q53" i="30"/>
  <c r="Y53" i="30" s="1"/>
  <c r="S234" i="39"/>
  <c r="U234" i="39" s="1"/>
  <c r="Q234" i="39"/>
  <c r="E234" i="39"/>
  <c r="M234" i="39"/>
  <c r="S159" i="39"/>
  <c r="U159" i="39" s="1"/>
  <c r="Q159" i="39"/>
  <c r="E159" i="39"/>
  <c r="Y159" i="39" s="1"/>
  <c r="P69" i="23"/>
  <c r="T69" i="23" s="1"/>
  <c r="K69" i="23"/>
  <c r="C71" i="23"/>
  <c r="T71" i="23"/>
  <c r="P71" i="23"/>
  <c r="L71" i="23"/>
  <c r="H71" i="23"/>
  <c r="D71" i="23"/>
  <c r="K66" i="39"/>
  <c r="H67" i="39"/>
  <c r="L67" i="39" s="1"/>
  <c r="P67" i="39" s="1"/>
  <c r="T67" i="39" s="1"/>
  <c r="C67" i="39"/>
  <c r="T69" i="24"/>
  <c r="S69" i="24"/>
  <c r="D69" i="24"/>
  <c r="H67" i="24"/>
  <c r="O67" i="24"/>
  <c r="K67" i="24"/>
  <c r="G67" i="24"/>
  <c r="D67" i="24"/>
  <c r="T66" i="9"/>
  <c r="G66" i="9"/>
  <c r="H66" i="9"/>
  <c r="C66" i="9"/>
  <c r="D66" i="9"/>
  <c r="S52" i="9"/>
  <c r="D52" i="9"/>
  <c r="G52" i="9"/>
  <c r="C52" i="9"/>
  <c r="C17" i="23"/>
  <c r="U321" i="30" l="1"/>
  <c r="Y321" i="30" s="1"/>
  <c r="W321" i="30"/>
  <c r="U277" i="30"/>
  <c r="Y277" i="30" s="1"/>
  <c r="W277" i="30"/>
  <c r="W53" i="30"/>
  <c r="Y234" i="39"/>
  <c r="W234" i="39"/>
  <c r="W159" i="39"/>
  <c r="P66" i="39"/>
  <c r="T66" i="39" s="1"/>
  <c r="C18" i="9" l="1"/>
  <c r="C329" i="30" l="1"/>
  <c r="C296" i="30"/>
  <c r="X329" i="28"/>
  <c r="G329" i="28"/>
  <c r="E329" i="28"/>
  <c r="G320" i="28"/>
  <c r="D320" i="28"/>
  <c r="H296" i="28"/>
  <c r="C296" i="28"/>
  <c r="G296" i="28" s="1"/>
  <c r="C285" i="30"/>
  <c r="C252" i="30"/>
  <c r="X285" i="28"/>
  <c r="G285" i="28"/>
  <c r="E285" i="28"/>
  <c r="H276" i="28"/>
  <c r="L276" i="28" s="1"/>
  <c r="P276" i="28" s="1"/>
  <c r="T276" i="28" s="1"/>
  <c r="G276" i="28"/>
  <c r="D276" i="28"/>
  <c r="E276" i="28" s="1"/>
  <c r="H252" i="28"/>
  <c r="C252" i="28"/>
  <c r="G252" i="28" s="1"/>
  <c r="K252" i="28" s="1"/>
  <c r="C69" i="30"/>
  <c r="O330" i="33"/>
  <c r="K330" i="33"/>
  <c r="G335" i="31"/>
  <c r="V335" i="31"/>
  <c r="U335" i="31"/>
  <c r="S335" i="31"/>
  <c r="R335" i="31"/>
  <c r="O335" i="31"/>
  <c r="Q335" i="31" s="1"/>
  <c r="N335" i="31"/>
  <c r="J335" i="31"/>
  <c r="I335" i="31"/>
  <c r="F335" i="31"/>
  <c r="E335" i="31"/>
  <c r="C335" i="31"/>
  <c r="X330" i="31"/>
  <c r="O330" i="31"/>
  <c r="M330" i="31"/>
  <c r="I330" i="31"/>
  <c r="E330" i="31"/>
  <c r="X286" i="31"/>
  <c r="S286" i="31"/>
  <c r="W286" i="31" s="1"/>
  <c r="O286" i="31"/>
  <c r="Q286" i="31" s="1"/>
  <c r="M286" i="31"/>
  <c r="I286" i="31"/>
  <c r="E286" i="31"/>
  <c r="X240" i="31"/>
  <c r="O240" i="31"/>
  <c r="M240" i="31"/>
  <c r="I240" i="31"/>
  <c r="E240" i="31"/>
  <c r="X162" i="31"/>
  <c r="S162" i="31"/>
  <c r="W162" i="31" s="1"/>
  <c r="Q162" i="31"/>
  <c r="O162" i="31"/>
  <c r="M162" i="31"/>
  <c r="I162" i="31"/>
  <c r="E162" i="31"/>
  <c r="S73" i="31"/>
  <c r="O73" i="31"/>
  <c r="O71" i="31"/>
  <c r="G71" i="31"/>
  <c r="D52" i="28"/>
  <c r="C52" i="28"/>
  <c r="C20" i="9"/>
  <c r="H66" i="23"/>
  <c r="L66" i="23" s="1"/>
  <c r="P66" i="23" s="1"/>
  <c r="T66" i="23" s="1"/>
  <c r="L66" i="9"/>
  <c r="K66" i="9"/>
  <c r="S51" i="32"/>
  <c r="T51" i="32"/>
  <c r="P51" i="32"/>
  <c r="L51" i="32"/>
  <c r="H51" i="32"/>
  <c r="C40" i="32"/>
  <c r="O30" i="31"/>
  <c r="S33" i="31"/>
  <c r="S29" i="31"/>
  <c r="O29" i="31"/>
  <c r="K29" i="31"/>
  <c r="G29" i="31"/>
  <c r="D6" i="31"/>
  <c r="S6" i="31"/>
  <c r="O6" i="31"/>
  <c r="K6" i="31"/>
  <c r="G6" i="31"/>
  <c r="C6" i="31"/>
  <c r="D92" i="31"/>
  <c r="G92" i="31"/>
  <c r="K92" i="31" s="1"/>
  <c r="O92" i="31" s="1"/>
  <c r="S92" i="31" s="1"/>
  <c r="D181" i="9"/>
  <c r="D8" i="9"/>
  <c r="C8" i="9"/>
  <c r="C200" i="28"/>
  <c r="D185" i="28"/>
  <c r="D184" i="28"/>
  <c r="D180" i="28"/>
  <c r="G200" i="28"/>
  <c r="G180" i="28"/>
  <c r="C99" i="28"/>
  <c r="I296" i="28" l="1"/>
  <c r="K296" i="28"/>
  <c r="O296" i="28" s="1"/>
  <c r="E296" i="28"/>
  <c r="E252" i="28"/>
  <c r="E320" i="28"/>
  <c r="H320" i="28"/>
  <c r="L320" i="28" s="1"/>
  <c r="P320" i="28" s="1"/>
  <c r="T320" i="28" s="1"/>
  <c r="X276" i="28"/>
  <c r="K180" i="28"/>
  <c r="O180" i="28" s="1"/>
  <c r="S180" i="28" s="1"/>
  <c r="I329" i="28"/>
  <c r="K329" i="28"/>
  <c r="I320" i="28"/>
  <c r="K320" i="28"/>
  <c r="S296" i="28"/>
  <c r="L296" i="28"/>
  <c r="P296" i="28" s="1"/>
  <c r="T296" i="28" s="1"/>
  <c r="I285" i="28"/>
  <c r="K285" i="28"/>
  <c r="I276" i="28"/>
  <c r="K276" i="28"/>
  <c r="O252" i="28"/>
  <c r="I252" i="28"/>
  <c r="L252" i="28"/>
  <c r="P252" i="28" s="1"/>
  <c r="T252" i="28" s="1"/>
  <c r="Q330" i="31"/>
  <c r="Y330" i="31" s="1"/>
  <c r="S330" i="31"/>
  <c r="U330" i="31" s="1"/>
  <c r="U286" i="31"/>
  <c r="Y286" i="31" s="1"/>
  <c r="Q240" i="31"/>
  <c r="Y240" i="31" s="1"/>
  <c r="S240" i="31"/>
  <c r="U240" i="31" s="1"/>
  <c r="U162" i="31"/>
  <c r="Y162" i="31" s="1"/>
  <c r="D12" i="28"/>
  <c r="D11" i="28"/>
  <c r="D7" i="28"/>
  <c r="C12" i="28"/>
  <c r="C11" i="28"/>
  <c r="C9" i="28"/>
  <c r="C8" i="28"/>
  <c r="C7" i="28"/>
  <c r="X320" i="28" l="1"/>
  <c r="O329" i="28"/>
  <c r="M329" i="28"/>
  <c r="O320" i="28"/>
  <c r="M320" i="28"/>
  <c r="M296" i="28"/>
  <c r="Q296" i="28"/>
  <c r="U296" i="28"/>
  <c r="X296" i="28"/>
  <c r="W296" i="28"/>
  <c r="O285" i="28"/>
  <c r="M285" i="28"/>
  <c r="O276" i="28"/>
  <c r="M276" i="28"/>
  <c r="X252" i="28"/>
  <c r="M252" i="28"/>
  <c r="Y252" i="28" s="1"/>
  <c r="S252" i="28"/>
  <c r="U252" i="28" s="1"/>
  <c r="Q252" i="28"/>
  <c r="W252" i="28"/>
  <c r="W330" i="31"/>
  <c r="W240" i="31"/>
  <c r="S329" i="28" l="1"/>
  <c r="Q329" i="28"/>
  <c r="S320" i="28"/>
  <c r="Q320" i="28"/>
  <c r="Y296" i="28"/>
  <c r="S285" i="28"/>
  <c r="Q285" i="28"/>
  <c r="S276" i="28"/>
  <c r="Q276" i="28"/>
  <c r="U329" i="28" l="1"/>
  <c r="Y329" i="28" s="1"/>
  <c r="W329" i="28"/>
  <c r="U320" i="28"/>
  <c r="Y320" i="28" s="1"/>
  <c r="W320" i="28"/>
  <c r="U285" i="28"/>
  <c r="Y285" i="28" s="1"/>
  <c r="W285" i="28"/>
  <c r="U276" i="28"/>
  <c r="Y276" i="28" s="1"/>
  <c r="W276" i="28"/>
  <c r="C70" i="39" l="1"/>
  <c r="X158" i="39"/>
  <c r="G158" i="39"/>
  <c r="K158" i="39" s="1"/>
  <c r="E158" i="39"/>
  <c r="S201" i="9"/>
  <c r="D144" i="28"/>
  <c r="C144" i="28"/>
  <c r="D188" i="9"/>
  <c r="C188" i="9"/>
  <c r="C230" i="28"/>
  <c r="C189" i="28"/>
  <c r="G201" i="28"/>
  <c r="G190" i="28"/>
  <c r="G202" i="28" s="1"/>
  <c r="G189" i="28"/>
  <c r="G198" i="28" s="1"/>
  <c r="K235" i="28"/>
  <c r="G235" i="28"/>
  <c r="G188" i="28"/>
  <c r="K188" i="28" s="1"/>
  <c r="K201" i="28" s="1"/>
  <c r="O188" i="28"/>
  <c r="S188" i="28" s="1"/>
  <c r="G183" i="28"/>
  <c r="M158" i="39" l="1"/>
  <c r="I158" i="39"/>
  <c r="S158" i="39" l="1"/>
  <c r="Q158" i="39"/>
  <c r="U158" i="39" l="1"/>
  <c r="Y158" i="39" s="1"/>
  <c r="W158" i="39"/>
  <c r="S30" i="31" l="1"/>
  <c r="O31" i="31"/>
  <c r="K30" i="31"/>
  <c r="K31" i="31"/>
  <c r="G30" i="31"/>
  <c r="C30" i="31"/>
  <c r="G31" i="31"/>
  <c r="C31" i="31"/>
  <c r="G18" i="31"/>
  <c r="E18" i="31"/>
  <c r="L18" i="31"/>
  <c r="P18" i="31" s="1"/>
  <c r="T18" i="31" s="1"/>
  <c r="K18" i="31"/>
  <c r="O18" i="31" s="1"/>
  <c r="I18" i="31"/>
  <c r="H18" i="31"/>
  <c r="X18" i="31" s="1"/>
  <c r="C85" i="31"/>
  <c r="G234" i="29"/>
  <c r="G229" i="29"/>
  <c r="G160" i="29"/>
  <c r="G153" i="29"/>
  <c r="G61" i="29"/>
  <c r="C220" i="31"/>
  <c r="G55" i="31"/>
  <c r="K55" i="31" s="1"/>
  <c r="O55" i="31" s="1"/>
  <c r="S55" i="31" s="1"/>
  <c r="S53" i="31"/>
  <c r="O53" i="31"/>
  <c r="K53" i="31"/>
  <c r="S52" i="31"/>
  <c r="O52" i="31"/>
  <c r="K52" i="31"/>
  <c r="G52" i="31"/>
  <c r="C52" i="31"/>
  <c r="S72" i="31"/>
  <c r="O72" i="31"/>
  <c r="K72" i="31"/>
  <c r="C71" i="31"/>
  <c r="L8" i="31"/>
  <c r="P8" i="31" s="1"/>
  <c r="T8" i="31" s="1"/>
  <c r="H8" i="31"/>
  <c r="G8" i="31"/>
  <c r="E8" i="31"/>
  <c r="H94" i="31"/>
  <c r="G94" i="31"/>
  <c r="E94" i="31"/>
  <c r="G185" i="31"/>
  <c r="K185" i="31" s="1"/>
  <c r="O185" i="31" s="1"/>
  <c r="S185" i="31" s="1"/>
  <c r="X228" i="31"/>
  <c r="G228" i="31"/>
  <c r="E228" i="31"/>
  <c r="X153" i="31"/>
  <c r="G153" i="31"/>
  <c r="E153" i="31"/>
  <c r="G62" i="31"/>
  <c r="X76" i="31"/>
  <c r="G76" i="31"/>
  <c r="E76" i="31"/>
  <c r="X75" i="31"/>
  <c r="E75" i="31"/>
  <c r="X158" i="31"/>
  <c r="G158" i="31"/>
  <c r="E158" i="31"/>
  <c r="S236" i="31"/>
  <c r="K236" i="31"/>
  <c r="G236" i="31"/>
  <c r="O234" i="31"/>
  <c r="S183" i="31"/>
  <c r="H181" i="31"/>
  <c r="S7" i="31"/>
  <c r="O7" i="31"/>
  <c r="K7" i="31"/>
  <c r="G7" i="31"/>
  <c r="C7" i="31"/>
  <c r="H92" i="31"/>
  <c r="L92" i="31" s="1"/>
  <c r="P92" i="31" s="1"/>
  <c r="T92" i="31" s="1"/>
  <c r="G93" i="31"/>
  <c r="K93" i="31" s="1"/>
  <c r="O93" i="31" s="1"/>
  <c r="S93" i="31" s="1"/>
  <c r="G68" i="31"/>
  <c r="G67" i="31"/>
  <c r="K67" i="31" s="1"/>
  <c r="O67" i="31" s="1"/>
  <c r="K143" i="31"/>
  <c r="C152" i="31"/>
  <c r="X152" i="31"/>
  <c r="G104" i="31"/>
  <c r="O104" i="31" s="1"/>
  <c r="H102" i="31"/>
  <c r="E102" i="31"/>
  <c r="O183" i="31" l="1"/>
  <c r="W18" i="31"/>
  <c r="Y18" i="31" s="1"/>
  <c r="U18" i="31"/>
  <c r="M18" i="31"/>
  <c r="Q18" i="31"/>
  <c r="X8" i="31"/>
  <c r="I8" i="31"/>
  <c r="K8" i="31"/>
  <c r="I94" i="31"/>
  <c r="K94" i="31"/>
  <c r="L94" i="31"/>
  <c r="P94" i="31" s="1"/>
  <c r="T94" i="31" s="1"/>
  <c r="I228" i="31"/>
  <c r="K228" i="31"/>
  <c r="I153" i="31"/>
  <c r="K153" i="31"/>
  <c r="I76" i="31"/>
  <c r="K76" i="31"/>
  <c r="M76" i="31" s="1"/>
  <c r="O76" i="31"/>
  <c r="I75" i="31"/>
  <c r="K75" i="31"/>
  <c r="M75" i="31" s="1"/>
  <c r="O75" i="31"/>
  <c r="I158" i="31"/>
  <c r="K158" i="31"/>
  <c r="M158" i="31" s="1"/>
  <c r="O158" i="31"/>
  <c r="G181" i="31"/>
  <c r="L181" i="31"/>
  <c r="P181" i="31" s="1"/>
  <c r="T181" i="31" s="1"/>
  <c r="E181" i="31"/>
  <c r="E152" i="31"/>
  <c r="O152" i="31"/>
  <c r="G102" i="31"/>
  <c r="L102" i="31"/>
  <c r="P102" i="31" s="1"/>
  <c r="T102" i="31" s="1"/>
  <c r="O8" i="31" l="1"/>
  <c r="M8" i="31"/>
  <c r="O94" i="31"/>
  <c r="M94" i="31"/>
  <c r="X94" i="31"/>
  <c r="O228" i="31"/>
  <c r="M228" i="31"/>
  <c r="O153" i="31"/>
  <c r="M153" i="31"/>
  <c r="S76" i="31"/>
  <c r="U76" i="31" s="1"/>
  <c r="Q76" i="31"/>
  <c r="Y76" i="31" s="1"/>
  <c r="W76" i="31"/>
  <c r="S75" i="31"/>
  <c r="U75" i="31" s="1"/>
  <c r="Q75" i="31"/>
  <c r="Q158" i="31"/>
  <c r="Y158" i="31" s="1"/>
  <c r="S158" i="31"/>
  <c r="U158" i="31" s="1"/>
  <c r="W158" i="31"/>
  <c r="K181" i="31"/>
  <c r="I181" i="31"/>
  <c r="X181" i="31"/>
  <c r="M152" i="31"/>
  <c r="K102" i="31"/>
  <c r="I102" i="31"/>
  <c r="X102" i="31"/>
  <c r="W75" i="31" l="1"/>
  <c r="S8" i="31"/>
  <c r="Q8" i="31"/>
  <c r="S94" i="31"/>
  <c r="Q94" i="31"/>
  <c r="W228" i="31"/>
  <c r="S228" i="31"/>
  <c r="U228" i="31" s="1"/>
  <c r="Q228" i="31"/>
  <c r="Y228" i="31" s="1"/>
  <c r="S153" i="31"/>
  <c r="Q153" i="31"/>
  <c r="Y75" i="31"/>
  <c r="O181" i="31"/>
  <c r="M181" i="31"/>
  <c r="S152" i="31"/>
  <c r="Q152" i="31"/>
  <c r="M102" i="31"/>
  <c r="O102" i="31"/>
  <c r="U8" i="31" l="1"/>
  <c r="Y8" i="31" s="1"/>
  <c r="W8" i="31"/>
  <c r="U94" i="31"/>
  <c r="Y94" i="31" s="1"/>
  <c r="W94" i="31"/>
  <c r="U153" i="31"/>
  <c r="Y153" i="31" s="1"/>
  <c r="W153" i="31"/>
  <c r="U181" i="31"/>
  <c r="Q181" i="31"/>
  <c r="Y181" i="31" s="1"/>
  <c r="W181" i="31"/>
  <c r="U152" i="31"/>
  <c r="Y152" i="31" s="1"/>
  <c r="W152" i="31"/>
  <c r="S102" i="31"/>
  <c r="Q102" i="31"/>
  <c r="U102" i="31" l="1"/>
  <c r="Y102" i="31" s="1"/>
  <c r="W102" i="31"/>
  <c r="G69" i="30" l="1"/>
  <c r="K69" i="30" s="1"/>
  <c r="O69" i="30" s="1"/>
  <c r="S69" i="30" s="1"/>
  <c r="O33" i="31" l="1"/>
  <c r="G33" i="31"/>
  <c r="C33" i="31"/>
  <c r="K33" i="31"/>
  <c r="C220" i="28"/>
  <c r="C61" i="30"/>
  <c r="D220" i="28"/>
  <c r="P66" i="9"/>
  <c r="O66" i="9"/>
  <c r="C189" i="32"/>
  <c r="C102" i="32"/>
  <c r="C19" i="32"/>
  <c r="X208" i="32" l="1"/>
  <c r="K208" i="32"/>
  <c r="I208" i="32"/>
  <c r="E208" i="32"/>
  <c r="X128" i="32"/>
  <c r="K128" i="32"/>
  <c r="M128" i="32" s="1"/>
  <c r="I128" i="32"/>
  <c r="E128" i="32"/>
  <c r="O208" i="32" l="1"/>
  <c r="M208" i="32"/>
  <c r="O128" i="32"/>
  <c r="S208" i="32" l="1"/>
  <c r="U208" i="32" s="1"/>
  <c r="Q208" i="32"/>
  <c r="Y208" i="32" s="1"/>
  <c r="W208" i="32"/>
  <c r="S128" i="32"/>
  <c r="U128" i="32" s="1"/>
  <c r="Q128" i="32"/>
  <c r="W128" i="32"/>
  <c r="C202" i="32"/>
  <c r="Y128" i="32" l="1"/>
  <c r="S66" i="32" l="1"/>
  <c r="K66" i="32"/>
  <c r="H189" i="32"/>
  <c r="G189" i="32"/>
  <c r="I189" i="32" s="1"/>
  <c r="E189" i="32"/>
  <c r="H102" i="32"/>
  <c r="G102" i="32"/>
  <c r="K102" i="32" s="1"/>
  <c r="E102" i="32"/>
  <c r="X220" i="32"/>
  <c r="G220" i="32"/>
  <c r="E220" i="32"/>
  <c r="X144" i="32"/>
  <c r="G144" i="32"/>
  <c r="I144" i="32" s="1"/>
  <c r="E144" i="32"/>
  <c r="S53" i="32"/>
  <c r="O53" i="32"/>
  <c r="K53" i="32"/>
  <c r="G53" i="32"/>
  <c r="G19" i="32"/>
  <c r="L189" i="32" l="1"/>
  <c r="P189" i="32" s="1"/>
  <c r="T189" i="32" s="1"/>
  <c r="K189" i="32"/>
  <c r="O102" i="32"/>
  <c r="I102" i="32"/>
  <c r="L102" i="32"/>
  <c r="P102" i="32" s="1"/>
  <c r="T102" i="32" s="1"/>
  <c r="I220" i="32"/>
  <c r="K220" i="32"/>
  <c r="K144" i="32"/>
  <c r="O189" i="32" l="1"/>
  <c r="M189" i="32"/>
  <c r="X189" i="32"/>
  <c r="Z189" i="32" s="1"/>
  <c r="X102" i="32"/>
  <c r="Z102" i="32" s="1"/>
  <c r="S102" i="32"/>
  <c r="Q102" i="32"/>
  <c r="M102" i="32"/>
  <c r="O220" i="32"/>
  <c r="M220" i="32"/>
  <c r="O144" i="32"/>
  <c r="M144" i="32"/>
  <c r="S189" i="32" l="1"/>
  <c r="U189" i="32" s="1"/>
  <c r="Q189" i="32"/>
  <c r="W189" i="32"/>
  <c r="U102" i="32"/>
  <c r="Y102" i="32" s="1"/>
  <c r="W102" i="32"/>
  <c r="S220" i="32"/>
  <c r="Q220" i="32"/>
  <c r="S144" i="32"/>
  <c r="Q144" i="32"/>
  <c r="T332" i="33"/>
  <c r="S332" i="33"/>
  <c r="T331" i="33"/>
  <c r="S331" i="33"/>
  <c r="T330" i="33"/>
  <c r="S330" i="33"/>
  <c r="U330" i="33" s="1"/>
  <c r="T329" i="33"/>
  <c r="T326" i="33"/>
  <c r="T325" i="33"/>
  <c r="S325" i="33"/>
  <c r="T322" i="33"/>
  <c r="S322" i="33"/>
  <c r="T320" i="33"/>
  <c r="T317" i="33"/>
  <c r="T316" i="33"/>
  <c r="T315" i="33"/>
  <c r="T318" i="33" s="1"/>
  <c r="S315" i="33"/>
  <c r="T296" i="33"/>
  <c r="P326" i="33"/>
  <c r="P325" i="33"/>
  <c r="O325" i="33"/>
  <c r="Q325" i="33" s="1"/>
  <c r="P322" i="33"/>
  <c r="O322" i="33"/>
  <c r="P320" i="33"/>
  <c r="P317" i="33"/>
  <c r="O317" i="33"/>
  <c r="P316" i="33"/>
  <c r="P315" i="33"/>
  <c r="Q315" i="33" s="1"/>
  <c r="O315" i="33"/>
  <c r="P296" i="33"/>
  <c r="L332" i="33"/>
  <c r="M332" i="33" s="1"/>
  <c r="K332" i="33"/>
  <c r="L331" i="33"/>
  <c r="K331" i="33"/>
  <c r="L330" i="33"/>
  <c r="L329" i="33"/>
  <c r="L326" i="33"/>
  <c r="L325" i="33"/>
  <c r="K325" i="33"/>
  <c r="L322" i="33"/>
  <c r="K322" i="33"/>
  <c r="L320" i="33"/>
  <c r="L317" i="33"/>
  <c r="L316" i="33"/>
  <c r="K316" i="33"/>
  <c r="L315" i="33"/>
  <c r="K315" i="33"/>
  <c r="L296" i="33"/>
  <c r="H332" i="33"/>
  <c r="G332" i="33"/>
  <c r="H331" i="33"/>
  <c r="G331" i="33"/>
  <c r="H330" i="33"/>
  <c r="G330" i="33"/>
  <c r="H329" i="33"/>
  <c r="H326" i="33"/>
  <c r="H325" i="33"/>
  <c r="H327" i="33" s="1"/>
  <c r="G325" i="33"/>
  <c r="H322" i="33"/>
  <c r="G322" i="33"/>
  <c r="H320" i="33"/>
  <c r="H317" i="33"/>
  <c r="I317" i="33" s="1"/>
  <c r="G317" i="33"/>
  <c r="H316" i="33"/>
  <c r="G316" i="33"/>
  <c r="H315" i="33"/>
  <c r="G315" i="33"/>
  <c r="H296" i="33"/>
  <c r="D332" i="33"/>
  <c r="C332" i="33"/>
  <c r="D331" i="33"/>
  <c r="C331" i="33"/>
  <c r="D330" i="33"/>
  <c r="C330" i="33"/>
  <c r="E330" i="33" s="1"/>
  <c r="D329" i="33"/>
  <c r="C329" i="33"/>
  <c r="D326" i="33"/>
  <c r="D325" i="33"/>
  <c r="D327" i="33" s="1"/>
  <c r="C325" i="33"/>
  <c r="E325" i="33" s="1"/>
  <c r="D322" i="33"/>
  <c r="C322" i="33"/>
  <c r="D320" i="33"/>
  <c r="C320" i="33"/>
  <c r="D317" i="33"/>
  <c r="C317" i="33"/>
  <c r="D316" i="33"/>
  <c r="C316" i="33"/>
  <c r="D315" i="33"/>
  <c r="C315" i="33"/>
  <c r="D311" i="33"/>
  <c r="D305" i="33"/>
  <c r="E305" i="33" s="1"/>
  <c r="C305" i="33"/>
  <c r="D304" i="33"/>
  <c r="C304" i="33"/>
  <c r="D303" i="33"/>
  <c r="E303" i="33" s="1"/>
  <c r="C303" i="33"/>
  <c r="D302" i="33"/>
  <c r="C302" i="33"/>
  <c r="D299" i="33"/>
  <c r="E299" i="33" s="1"/>
  <c r="C299" i="33"/>
  <c r="D298" i="33"/>
  <c r="C298" i="33"/>
  <c r="D297" i="33"/>
  <c r="C297" i="33"/>
  <c r="D296" i="33"/>
  <c r="C296" i="33"/>
  <c r="T288" i="33"/>
  <c r="S288" i="33"/>
  <c r="T287" i="33"/>
  <c r="S287" i="33"/>
  <c r="T286" i="33"/>
  <c r="U286" i="33" s="1"/>
  <c r="S286" i="33"/>
  <c r="T282" i="33"/>
  <c r="T278" i="33"/>
  <c r="S278" i="33"/>
  <c r="T273" i="33"/>
  <c r="T272" i="33"/>
  <c r="P288" i="33"/>
  <c r="O288" i="33"/>
  <c r="P287" i="33"/>
  <c r="O287" i="33"/>
  <c r="P286" i="33"/>
  <c r="O286" i="33"/>
  <c r="P282" i="33"/>
  <c r="P278" i="33"/>
  <c r="O278" i="33"/>
  <c r="P273" i="33"/>
  <c r="O273" i="33"/>
  <c r="P272" i="33"/>
  <c r="L288" i="33"/>
  <c r="K288" i="33"/>
  <c r="L287" i="33"/>
  <c r="K287" i="33"/>
  <c r="L286" i="33"/>
  <c r="K286" i="33"/>
  <c r="M286" i="33" s="1"/>
  <c r="L282" i="33"/>
  <c r="L278" i="33"/>
  <c r="K278" i="33"/>
  <c r="L273" i="33"/>
  <c r="L272" i="33"/>
  <c r="K272" i="33"/>
  <c r="H288" i="33"/>
  <c r="G288" i="33"/>
  <c r="H287" i="33"/>
  <c r="G287" i="33"/>
  <c r="H286" i="33"/>
  <c r="G286" i="33"/>
  <c r="H282" i="33"/>
  <c r="H278" i="33"/>
  <c r="G278" i="33"/>
  <c r="H273" i="33"/>
  <c r="G273" i="33"/>
  <c r="I273" i="33" s="1"/>
  <c r="H272" i="33"/>
  <c r="G272" i="33"/>
  <c r="I272" i="33" s="1"/>
  <c r="D288" i="33"/>
  <c r="C288" i="33"/>
  <c r="D287" i="33"/>
  <c r="C287" i="33"/>
  <c r="D286" i="33"/>
  <c r="C286" i="33"/>
  <c r="D282" i="33"/>
  <c r="D278" i="33"/>
  <c r="C278" i="33"/>
  <c r="D273" i="33"/>
  <c r="C273" i="33"/>
  <c r="D272" i="33"/>
  <c r="C272" i="33"/>
  <c r="D267" i="33"/>
  <c r="D261" i="33"/>
  <c r="C261" i="33"/>
  <c r="D260" i="33"/>
  <c r="C260" i="33"/>
  <c r="D259" i="33"/>
  <c r="C259" i="33"/>
  <c r="E259" i="33" s="1"/>
  <c r="T285" i="33"/>
  <c r="T281" i="33"/>
  <c r="S281" i="33"/>
  <c r="T276" i="33"/>
  <c r="S276" i="33"/>
  <c r="T271" i="33"/>
  <c r="S271" i="33"/>
  <c r="U271" i="33" s="1"/>
  <c r="P285" i="33"/>
  <c r="P281" i="33"/>
  <c r="O281" i="33"/>
  <c r="P276" i="33"/>
  <c r="O276" i="33"/>
  <c r="P271" i="33"/>
  <c r="O271" i="33"/>
  <c r="L285" i="33"/>
  <c r="L281" i="33"/>
  <c r="K281" i="33"/>
  <c r="L276" i="33"/>
  <c r="K276" i="33"/>
  <c r="L271" i="33"/>
  <c r="L274" i="33" s="1"/>
  <c r="K271" i="33"/>
  <c r="H285" i="33"/>
  <c r="H281" i="33"/>
  <c r="G281" i="33"/>
  <c r="I281" i="33" s="1"/>
  <c r="H276" i="33"/>
  <c r="G276" i="33"/>
  <c r="H271" i="33"/>
  <c r="G271" i="33"/>
  <c r="H252" i="33"/>
  <c r="D285" i="33"/>
  <c r="D289" i="33" s="1"/>
  <c r="C285" i="33"/>
  <c r="D281" i="33"/>
  <c r="C281" i="33"/>
  <c r="D276" i="33"/>
  <c r="C276" i="33"/>
  <c r="E276" i="33" s="1"/>
  <c r="D271" i="33"/>
  <c r="C271" i="33"/>
  <c r="E271" i="33" s="1"/>
  <c r="D258" i="33"/>
  <c r="C258" i="33"/>
  <c r="X252" i="33"/>
  <c r="T252" i="33"/>
  <c r="P252" i="33"/>
  <c r="L252" i="33"/>
  <c r="C253" i="33"/>
  <c r="D253" i="33"/>
  <c r="C254" i="33"/>
  <c r="D254" i="33"/>
  <c r="E254" i="33" s="1"/>
  <c r="C255" i="33"/>
  <c r="D255" i="33"/>
  <c r="D252" i="33"/>
  <c r="C252" i="33"/>
  <c r="E252" i="33" s="1"/>
  <c r="P333" i="33"/>
  <c r="L333" i="33"/>
  <c r="H333" i="33"/>
  <c r="W332" i="33"/>
  <c r="U332" i="33"/>
  <c r="Q332" i="33"/>
  <c r="I332" i="33"/>
  <c r="X331" i="33"/>
  <c r="W331" i="33"/>
  <c r="U331" i="33"/>
  <c r="Q331" i="33"/>
  <c r="M331" i="33"/>
  <c r="I331" i="33"/>
  <c r="E331" i="33"/>
  <c r="Q330" i="33"/>
  <c r="M330" i="33"/>
  <c r="I330" i="33"/>
  <c r="T327" i="33"/>
  <c r="X326" i="33"/>
  <c r="U325" i="33"/>
  <c r="M325" i="33"/>
  <c r="U322" i="33"/>
  <c r="I322" i="33"/>
  <c r="E322" i="33"/>
  <c r="P318" i="33"/>
  <c r="G318" i="33"/>
  <c r="D318" i="33"/>
  <c r="Q317" i="33"/>
  <c r="E317" i="33"/>
  <c r="M316" i="33"/>
  <c r="I316" i="33"/>
  <c r="E316" i="33"/>
  <c r="X315" i="33"/>
  <c r="W315" i="33"/>
  <c r="U315" i="33"/>
  <c r="M315" i="33"/>
  <c r="I315" i="33"/>
  <c r="V307" i="33"/>
  <c r="V335" i="33" s="1"/>
  <c r="R307" i="33"/>
  <c r="R335" i="33" s="1"/>
  <c r="N307" i="33"/>
  <c r="N335" i="33" s="1"/>
  <c r="J307" i="33"/>
  <c r="J335" i="33" s="1"/>
  <c r="F307" i="33"/>
  <c r="C306" i="33"/>
  <c r="E302" i="33"/>
  <c r="E298" i="33"/>
  <c r="E297" i="33"/>
  <c r="L289" i="33"/>
  <c r="X288" i="33"/>
  <c r="W288" i="33"/>
  <c r="U288" i="33"/>
  <c r="Q288" i="33"/>
  <c r="M288" i="33"/>
  <c r="I288" i="33"/>
  <c r="E288" i="33"/>
  <c r="X287" i="33"/>
  <c r="Q287" i="33"/>
  <c r="M287" i="33"/>
  <c r="I287" i="33"/>
  <c r="E287" i="33"/>
  <c r="Q286" i="33"/>
  <c r="I286" i="33"/>
  <c r="E286" i="33"/>
  <c r="T283" i="33"/>
  <c r="P283" i="33"/>
  <c r="D283" i="33"/>
  <c r="U281" i="33"/>
  <c r="Q281" i="33"/>
  <c r="M281" i="33"/>
  <c r="X278" i="33"/>
  <c r="U278" i="33"/>
  <c r="Q278" i="33"/>
  <c r="M278" i="33"/>
  <c r="E278" i="33"/>
  <c r="T274" i="33"/>
  <c r="P274" i="33"/>
  <c r="H274" i="33"/>
  <c r="D274" i="33"/>
  <c r="C274" i="33"/>
  <c r="X273" i="33"/>
  <c r="E273" i="33"/>
  <c r="M272" i="33"/>
  <c r="Q271" i="33"/>
  <c r="M271" i="33"/>
  <c r="I271" i="33"/>
  <c r="V263" i="33"/>
  <c r="V291" i="33" s="1"/>
  <c r="R263" i="33"/>
  <c r="R291" i="33" s="1"/>
  <c r="N263" i="33"/>
  <c r="N291" i="33" s="1"/>
  <c r="J263" i="33"/>
  <c r="J291" i="33" s="1"/>
  <c r="F263" i="33"/>
  <c r="F269" i="33" s="1"/>
  <c r="F290" i="33" s="1"/>
  <c r="D262" i="33"/>
  <c r="E260" i="33"/>
  <c r="E255" i="33"/>
  <c r="E253" i="33"/>
  <c r="T333" i="23"/>
  <c r="P333" i="23"/>
  <c r="L333" i="23"/>
  <c r="H333" i="23"/>
  <c r="X333" i="23" s="1"/>
  <c r="D333" i="23"/>
  <c r="C333" i="23"/>
  <c r="X332" i="23"/>
  <c r="W332" i="23"/>
  <c r="U332" i="23"/>
  <c r="Q332" i="23"/>
  <c r="M332" i="23"/>
  <c r="I332" i="23"/>
  <c r="E332" i="23"/>
  <c r="Y332" i="23" s="1"/>
  <c r="X331" i="23"/>
  <c r="W331" i="23"/>
  <c r="U331" i="23"/>
  <c r="Q331" i="23"/>
  <c r="M331" i="23"/>
  <c r="I331" i="23"/>
  <c r="E331" i="23"/>
  <c r="Y331" i="23" s="1"/>
  <c r="X330" i="23"/>
  <c r="W330" i="23"/>
  <c r="U330" i="23"/>
  <c r="Q330" i="23"/>
  <c r="M330" i="23"/>
  <c r="I330" i="23"/>
  <c r="E330" i="23"/>
  <c r="Y330" i="23" s="1"/>
  <c r="X329" i="23"/>
  <c r="I329" i="23"/>
  <c r="I333" i="23" s="1"/>
  <c r="G329" i="23"/>
  <c r="E329" i="23"/>
  <c r="T327" i="23"/>
  <c r="P327" i="23"/>
  <c r="L327" i="23"/>
  <c r="H327" i="23"/>
  <c r="X327" i="23" s="1"/>
  <c r="D327" i="23"/>
  <c r="C327" i="23"/>
  <c r="X326" i="23"/>
  <c r="I326" i="23"/>
  <c r="G326" i="23"/>
  <c r="K326" i="23" s="1"/>
  <c r="E326" i="23"/>
  <c r="E327" i="23" s="1"/>
  <c r="C326" i="23"/>
  <c r="X325" i="23"/>
  <c r="W325" i="23"/>
  <c r="U325" i="23"/>
  <c r="Q325" i="23"/>
  <c r="M325" i="23"/>
  <c r="I325" i="23"/>
  <c r="I327" i="23" s="1"/>
  <c r="E325" i="23"/>
  <c r="X322" i="23"/>
  <c r="W322" i="23"/>
  <c r="U322" i="23"/>
  <c r="Q322" i="23"/>
  <c r="M322" i="23"/>
  <c r="I322" i="23"/>
  <c r="E322" i="23"/>
  <c r="Y322" i="23" s="1"/>
  <c r="D321" i="23"/>
  <c r="H321" i="23" s="1"/>
  <c r="L321" i="23" s="1"/>
  <c r="P321" i="23" s="1"/>
  <c r="T321" i="23" s="1"/>
  <c r="C321" i="23"/>
  <c r="G321" i="23" s="1"/>
  <c r="G320" i="23"/>
  <c r="G323" i="23" s="1"/>
  <c r="D320" i="23"/>
  <c r="C320" i="23"/>
  <c r="C323" i="23" s="1"/>
  <c r="T318" i="23"/>
  <c r="P318" i="23"/>
  <c r="O318" i="23"/>
  <c r="L318" i="23"/>
  <c r="K318" i="23"/>
  <c r="H318" i="23"/>
  <c r="G318" i="23"/>
  <c r="D318" i="23"/>
  <c r="X318" i="23" s="1"/>
  <c r="C318" i="23"/>
  <c r="X317" i="23"/>
  <c r="S317" i="23"/>
  <c r="U317" i="23" s="1"/>
  <c r="Q317" i="23"/>
  <c r="M317" i="23"/>
  <c r="Y317" i="23" s="1"/>
  <c r="K317" i="23"/>
  <c r="W317" i="23" s="1"/>
  <c r="I317" i="23"/>
  <c r="E317" i="23"/>
  <c r="X316" i="23"/>
  <c r="O316" i="23"/>
  <c r="S316" i="23" s="1"/>
  <c r="M316" i="23"/>
  <c r="I316" i="23"/>
  <c r="E316" i="23"/>
  <c r="X315" i="23"/>
  <c r="W315" i="23"/>
  <c r="U315" i="23"/>
  <c r="Q315" i="23"/>
  <c r="M315" i="23"/>
  <c r="M318" i="23" s="1"/>
  <c r="I315" i="23"/>
  <c r="Y315" i="23" s="1"/>
  <c r="E315" i="23"/>
  <c r="E318" i="23" s="1"/>
  <c r="J313" i="23"/>
  <c r="J334" i="23" s="1"/>
  <c r="J336" i="23" s="1"/>
  <c r="H311" i="23"/>
  <c r="E311" i="23"/>
  <c r="C311" i="23"/>
  <c r="G311" i="23" s="1"/>
  <c r="I311" i="23" s="1"/>
  <c r="D310" i="23"/>
  <c r="G309" i="23"/>
  <c r="D309" i="23"/>
  <c r="D312" i="23" s="1"/>
  <c r="C309" i="23"/>
  <c r="E309" i="23" s="1"/>
  <c r="V307" i="23"/>
  <c r="V335" i="23" s="1"/>
  <c r="R307" i="23"/>
  <c r="R335" i="23" s="1"/>
  <c r="N307" i="23"/>
  <c r="N335" i="23" s="1"/>
  <c r="J307" i="23"/>
  <c r="J335" i="23" s="1"/>
  <c r="F307" i="23"/>
  <c r="F313" i="23" s="1"/>
  <c r="F334" i="23" s="1"/>
  <c r="K306" i="23"/>
  <c r="E306" i="23"/>
  <c r="E307" i="23" s="1"/>
  <c r="D306" i="23"/>
  <c r="D307" i="23" s="1"/>
  <c r="C306" i="23"/>
  <c r="O305" i="23"/>
  <c r="S305" i="23" s="1"/>
  <c r="K305" i="23"/>
  <c r="H305" i="23"/>
  <c r="L305" i="23" s="1"/>
  <c r="G305" i="23"/>
  <c r="I305" i="23" s="1"/>
  <c r="E305" i="23"/>
  <c r="O304" i="23"/>
  <c r="O310" i="23" s="1"/>
  <c r="K304" i="23"/>
  <c r="K310" i="23" s="1"/>
  <c r="H304" i="23"/>
  <c r="L304" i="23" s="1"/>
  <c r="G304" i="23"/>
  <c r="I304" i="23" s="1"/>
  <c r="E304" i="23"/>
  <c r="O303" i="23"/>
  <c r="S303" i="23" s="1"/>
  <c r="K303" i="23"/>
  <c r="H303" i="23"/>
  <c r="L303" i="23" s="1"/>
  <c r="G303" i="23"/>
  <c r="I303" i="23" s="1"/>
  <c r="E303" i="23"/>
  <c r="O302" i="23"/>
  <c r="O309" i="23" s="1"/>
  <c r="K302" i="23"/>
  <c r="K309" i="23" s="1"/>
  <c r="H302" i="23"/>
  <c r="L302" i="23" s="1"/>
  <c r="G302" i="23"/>
  <c r="G306" i="23" s="1"/>
  <c r="E302" i="23"/>
  <c r="H300" i="23"/>
  <c r="H310" i="23" s="1"/>
  <c r="D300" i="23"/>
  <c r="C300" i="23"/>
  <c r="C307" i="23" s="1"/>
  <c r="C335" i="23" s="1"/>
  <c r="E335" i="23" s="1"/>
  <c r="K299" i="23"/>
  <c r="O299" i="23" s="1"/>
  <c r="H299" i="23"/>
  <c r="L299" i="23" s="1"/>
  <c r="G299" i="23"/>
  <c r="I299" i="23" s="1"/>
  <c r="E299" i="23"/>
  <c r="K298" i="23"/>
  <c r="O298" i="23" s="1"/>
  <c r="H298" i="23"/>
  <c r="L298" i="23" s="1"/>
  <c r="G298" i="23"/>
  <c r="I298" i="23" s="1"/>
  <c r="E298" i="23"/>
  <c r="K297" i="23"/>
  <c r="O297" i="23" s="1"/>
  <c r="H297" i="23"/>
  <c r="L297" i="23" s="1"/>
  <c r="G297" i="23"/>
  <c r="I297" i="23" s="1"/>
  <c r="E297" i="23"/>
  <c r="K296" i="23"/>
  <c r="O296" i="23" s="1"/>
  <c r="H296" i="23"/>
  <c r="L296" i="23" s="1"/>
  <c r="G296" i="23"/>
  <c r="G300" i="23" s="1"/>
  <c r="G310" i="23" s="1"/>
  <c r="I310" i="23" s="1"/>
  <c r="E296" i="23"/>
  <c r="E300" i="23" s="1"/>
  <c r="T289" i="23"/>
  <c r="P289" i="23"/>
  <c r="L289" i="23"/>
  <c r="H289" i="23"/>
  <c r="D289" i="23"/>
  <c r="X289" i="23" s="1"/>
  <c r="C289" i="23"/>
  <c r="X288" i="23"/>
  <c r="W288" i="23"/>
  <c r="U288" i="23"/>
  <c r="Q288" i="23"/>
  <c r="M288" i="23"/>
  <c r="I288" i="23"/>
  <c r="Y288" i="23" s="1"/>
  <c r="E288" i="23"/>
  <c r="X287" i="23"/>
  <c r="W287" i="23"/>
  <c r="U287" i="23"/>
  <c r="Q287" i="23"/>
  <c r="M287" i="23"/>
  <c r="I287" i="23"/>
  <c r="E287" i="23"/>
  <c r="Y287" i="23" s="1"/>
  <c r="X286" i="23"/>
  <c r="W286" i="23"/>
  <c r="U286" i="23"/>
  <c r="Q286" i="23"/>
  <c r="M286" i="23"/>
  <c r="I286" i="23"/>
  <c r="Y286" i="23" s="1"/>
  <c r="E286" i="23"/>
  <c r="X285" i="23"/>
  <c r="K285" i="23"/>
  <c r="K289" i="23" s="1"/>
  <c r="G285" i="23"/>
  <c r="G289" i="23" s="1"/>
  <c r="E285" i="23"/>
  <c r="T283" i="23"/>
  <c r="P283" i="23"/>
  <c r="L283" i="23"/>
  <c r="H283" i="23"/>
  <c r="D283" i="23"/>
  <c r="X283" i="23" s="1"/>
  <c r="C283" i="23"/>
  <c r="X282" i="23"/>
  <c r="G282" i="23"/>
  <c r="K282" i="23" s="1"/>
  <c r="C282" i="23"/>
  <c r="X281" i="23"/>
  <c r="W281" i="23"/>
  <c r="U281" i="23"/>
  <c r="Q281" i="23"/>
  <c r="M281" i="23"/>
  <c r="I281" i="23"/>
  <c r="E281" i="23"/>
  <c r="X278" i="23"/>
  <c r="W278" i="23"/>
  <c r="U278" i="23"/>
  <c r="Q278" i="23"/>
  <c r="M278" i="23"/>
  <c r="I278" i="23"/>
  <c r="E278" i="23"/>
  <c r="Y278" i="23" s="1"/>
  <c r="D277" i="23"/>
  <c r="H277" i="23" s="1"/>
  <c r="C277" i="23"/>
  <c r="H276" i="23"/>
  <c r="H279" i="23" s="1"/>
  <c r="E276" i="23"/>
  <c r="D276" i="23"/>
  <c r="C276" i="23"/>
  <c r="T274" i="23"/>
  <c r="P274" i="23"/>
  <c r="L274" i="23"/>
  <c r="K274" i="23"/>
  <c r="H274" i="23"/>
  <c r="X274" i="23" s="1"/>
  <c r="G274" i="23"/>
  <c r="D274" i="23"/>
  <c r="C274" i="23"/>
  <c r="X273" i="23"/>
  <c r="U273" i="23"/>
  <c r="S273" i="23"/>
  <c r="Q273" i="23"/>
  <c r="M273" i="23"/>
  <c r="K273" i="23"/>
  <c r="W273" i="23" s="1"/>
  <c r="I273" i="23"/>
  <c r="E273" i="23"/>
  <c r="Y273" i="23" s="1"/>
  <c r="X272" i="23"/>
  <c r="S272" i="23"/>
  <c r="W272" i="23" s="1"/>
  <c r="Q272" i="23"/>
  <c r="O272" i="23"/>
  <c r="O274" i="23" s="1"/>
  <c r="M272" i="23"/>
  <c r="I272" i="23"/>
  <c r="E272" i="23"/>
  <c r="X271" i="23"/>
  <c r="W271" i="23"/>
  <c r="U271" i="23"/>
  <c r="Q271" i="23"/>
  <c r="Q274" i="23" s="1"/>
  <c r="M271" i="23"/>
  <c r="M274" i="23" s="1"/>
  <c r="I271" i="23"/>
  <c r="I274" i="23" s="1"/>
  <c r="E271" i="23"/>
  <c r="E274" i="23" s="1"/>
  <c r="J269" i="23"/>
  <c r="J290" i="23" s="1"/>
  <c r="J292" i="23" s="1"/>
  <c r="J339" i="23" s="1"/>
  <c r="H267" i="23"/>
  <c r="C267" i="23"/>
  <c r="G267" i="23" s="1"/>
  <c r="I267" i="23" s="1"/>
  <c r="D265" i="23"/>
  <c r="C265" i="23"/>
  <c r="V263" i="23"/>
  <c r="V291" i="23" s="1"/>
  <c r="R263" i="23"/>
  <c r="R291" i="23" s="1"/>
  <c r="N263" i="23"/>
  <c r="N291" i="23" s="1"/>
  <c r="J263" i="23"/>
  <c r="J291" i="23" s="1"/>
  <c r="F263" i="23"/>
  <c r="F269" i="23" s="1"/>
  <c r="F290" i="23" s="1"/>
  <c r="L262" i="23"/>
  <c r="D262" i="23"/>
  <c r="D263" i="23" s="1"/>
  <c r="C262" i="23"/>
  <c r="C263" i="23" s="1"/>
  <c r="C291" i="23" s="1"/>
  <c r="E291" i="23" s="1"/>
  <c r="L261" i="23"/>
  <c r="H261" i="23"/>
  <c r="G261" i="23"/>
  <c r="K261" i="23" s="1"/>
  <c r="E261" i="23"/>
  <c r="L260" i="23"/>
  <c r="L266" i="23" s="1"/>
  <c r="H260" i="23"/>
  <c r="G260" i="23"/>
  <c r="K260" i="23" s="1"/>
  <c r="E260" i="23"/>
  <c r="L259" i="23"/>
  <c r="I259" i="23"/>
  <c r="H259" i="23"/>
  <c r="G259" i="23"/>
  <c r="K259" i="23" s="1"/>
  <c r="E259" i="23"/>
  <c r="L258" i="23"/>
  <c r="L265" i="23" s="1"/>
  <c r="H258" i="23"/>
  <c r="H262" i="23" s="1"/>
  <c r="G258" i="23"/>
  <c r="K258" i="23" s="1"/>
  <c r="E258" i="23"/>
  <c r="E262" i="23" s="1"/>
  <c r="D256" i="23"/>
  <c r="C256" i="23"/>
  <c r="H255" i="23"/>
  <c r="L255" i="23" s="1"/>
  <c r="P255" i="23" s="1"/>
  <c r="T255" i="23" s="1"/>
  <c r="G255" i="23"/>
  <c r="K255" i="23" s="1"/>
  <c r="E255" i="23"/>
  <c r="H254" i="23"/>
  <c r="L254" i="23" s="1"/>
  <c r="P254" i="23" s="1"/>
  <c r="T254" i="23" s="1"/>
  <c r="G254" i="23"/>
  <c r="K254" i="23" s="1"/>
  <c r="E254" i="23"/>
  <c r="H253" i="23"/>
  <c r="L253" i="23" s="1"/>
  <c r="P253" i="23" s="1"/>
  <c r="T253" i="23" s="1"/>
  <c r="G253" i="23"/>
  <c r="K253" i="23" s="1"/>
  <c r="E253" i="23"/>
  <c r="H252" i="23"/>
  <c r="L252" i="23" s="1"/>
  <c r="G252" i="23"/>
  <c r="K252" i="23" s="1"/>
  <c r="E252" i="23"/>
  <c r="E256" i="23" s="1"/>
  <c r="J335" i="9"/>
  <c r="T333" i="9"/>
  <c r="P333" i="9"/>
  <c r="L333" i="9"/>
  <c r="H333" i="9"/>
  <c r="D333" i="9"/>
  <c r="X333" i="9" s="1"/>
  <c r="C333" i="9"/>
  <c r="X332" i="9"/>
  <c r="W332" i="9"/>
  <c r="U332" i="9"/>
  <c r="Q332" i="9"/>
  <c r="M332" i="9"/>
  <c r="I332" i="9"/>
  <c r="E332" i="9"/>
  <c r="Y332" i="9" s="1"/>
  <c r="X331" i="9"/>
  <c r="W331" i="9"/>
  <c r="U331" i="9"/>
  <c r="Q331" i="9"/>
  <c r="M331" i="9"/>
  <c r="I331" i="9"/>
  <c r="E331" i="9"/>
  <c r="Y331" i="9" s="1"/>
  <c r="X330" i="9"/>
  <c r="W330" i="9"/>
  <c r="U330" i="9"/>
  <c r="Q330" i="9"/>
  <c r="M330" i="9"/>
  <c r="I330" i="9"/>
  <c r="E330" i="9"/>
  <c r="X329" i="9"/>
  <c r="G329" i="9"/>
  <c r="I329" i="9" s="1"/>
  <c r="E329" i="9"/>
  <c r="T327" i="9"/>
  <c r="P327" i="9"/>
  <c r="L327" i="9"/>
  <c r="H327" i="9"/>
  <c r="X327" i="9" s="1"/>
  <c r="G327" i="9"/>
  <c r="D327" i="9"/>
  <c r="X326" i="9"/>
  <c r="G326" i="9"/>
  <c r="K326" i="9" s="1"/>
  <c r="C326" i="9"/>
  <c r="C327" i="9" s="1"/>
  <c r="X325" i="9"/>
  <c r="W325" i="9"/>
  <c r="U325" i="9"/>
  <c r="Q325" i="9"/>
  <c r="M325" i="9"/>
  <c r="I325" i="9"/>
  <c r="E325" i="9"/>
  <c r="X322" i="9"/>
  <c r="W322" i="9"/>
  <c r="U322" i="9"/>
  <c r="Q322" i="9"/>
  <c r="M322" i="9"/>
  <c r="I322" i="9"/>
  <c r="E322" i="9"/>
  <c r="D321" i="9"/>
  <c r="H321" i="9" s="1"/>
  <c r="L321" i="9" s="1"/>
  <c r="C321" i="9"/>
  <c r="G321" i="9" s="1"/>
  <c r="D320" i="9"/>
  <c r="C320" i="9"/>
  <c r="T318" i="9"/>
  <c r="P318" i="9"/>
  <c r="L318" i="9"/>
  <c r="H318" i="9"/>
  <c r="G318" i="9"/>
  <c r="D318" i="9"/>
  <c r="X318" i="9" s="1"/>
  <c r="C318" i="9"/>
  <c r="X317" i="9"/>
  <c r="S317" i="9"/>
  <c r="U317" i="9" s="1"/>
  <c r="Q317" i="9"/>
  <c r="K317" i="9"/>
  <c r="W317" i="9" s="1"/>
  <c r="I317" i="9"/>
  <c r="E317" i="9"/>
  <c r="E318" i="9" s="1"/>
  <c r="X316" i="9"/>
  <c r="O316" i="9"/>
  <c r="S316" i="9" s="1"/>
  <c r="M316" i="9"/>
  <c r="I316" i="9"/>
  <c r="E316" i="9"/>
  <c r="X315" i="9"/>
  <c r="W315" i="9"/>
  <c r="U315" i="9"/>
  <c r="Q315" i="9"/>
  <c r="M315" i="9"/>
  <c r="I315" i="9"/>
  <c r="E315" i="9"/>
  <c r="N313" i="9"/>
  <c r="N334" i="9" s="1"/>
  <c r="J313" i="9"/>
  <c r="J334" i="9" s="1"/>
  <c r="J336" i="9" s="1"/>
  <c r="H311" i="9"/>
  <c r="C311" i="9"/>
  <c r="G311" i="9" s="1"/>
  <c r="D309" i="9"/>
  <c r="C309" i="9"/>
  <c r="V307" i="9"/>
  <c r="V335" i="9" s="1"/>
  <c r="R307" i="9"/>
  <c r="R313" i="9" s="1"/>
  <c r="R334" i="9" s="1"/>
  <c r="N307" i="9"/>
  <c r="N335" i="9" s="1"/>
  <c r="J307" i="9"/>
  <c r="F307" i="9"/>
  <c r="F313" i="9" s="1"/>
  <c r="F334" i="9" s="1"/>
  <c r="D306" i="9"/>
  <c r="D307" i="9" s="1"/>
  <c r="C306" i="9"/>
  <c r="C307" i="9" s="1"/>
  <c r="C335" i="9" s="1"/>
  <c r="E335" i="9" s="1"/>
  <c r="L305" i="9"/>
  <c r="P305" i="9" s="1"/>
  <c r="T305" i="9" s="1"/>
  <c r="H305" i="9"/>
  <c r="G305" i="9"/>
  <c r="K305" i="9" s="1"/>
  <c r="E305" i="9"/>
  <c r="H304" i="9"/>
  <c r="L304" i="9" s="1"/>
  <c r="L310" i="9" s="1"/>
  <c r="G304" i="9"/>
  <c r="K304" i="9" s="1"/>
  <c r="E304" i="9"/>
  <c r="L303" i="9"/>
  <c r="P303" i="9" s="1"/>
  <c r="T303" i="9" s="1"/>
  <c r="H303" i="9"/>
  <c r="G303" i="9"/>
  <c r="K303" i="9" s="1"/>
  <c r="E303" i="9"/>
  <c r="H302" i="9"/>
  <c r="H306" i="9" s="1"/>
  <c r="G302" i="9"/>
  <c r="K302" i="9" s="1"/>
  <c r="E302" i="9"/>
  <c r="E306" i="9" s="1"/>
  <c r="H300" i="9"/>
  <c r="H310" i="9" s="1"/>
  <c r="D300" i="9"/>
  <c r="D310" i="9" s="1"/>
  <c r="C300" i="9"/>
  <c r="C310" i="9" s="1"/>
  <c r="H299" i="9"/>
  <c r="L299" i="9" s="1"/>
  <c r="G299" i="9"/>
  <c r="K299" i="9" s="1"/>
  <c r="E299" i="9"/>
  <c r="H298" i="9"/>
  <c r="L298" i="9" s="1"/>
  <c r="G298" i="9"/>
  <c r="K298" i="9" s="1"/>
  <c r="O298" i="9" s="1"/>
  <c r="S298" i="9" s="1"/>
  <c r="E298" i="9"/>
  <c r="K297" i="9"/>
  <c r="M297" i="9" s="1"/>
  <c r="H297" i="9"/>
  <c r="L297" i="9" s="1"/>
  <c r="G297" i="9"/>
  <c r="I297" i="9" s="1"/>
  <c r="E297" i="9"/>
  <c r="H296" i="9"/>
  <c r="L296" i="9" s="1"/>
  <c r="G296" i="9"/>
  <c r="E296" i="9"/>
  <c r="J291" i="9"/>
  <c r="T289" i="9"/>
  <c r="P289" i="9"/>
  <c r="L289" i="9"/>
  <c r="H289" i="9"/>
  <c r="D289" i="9"/>
  <c r="C289" i="9"/>
  <c r="X288" i="9"/>
  <c r="W288" i="9"/>
  <c r="U288" i="9"/>
  <c r="Q288" i="9"/>
  <c r="M288" i="9"/>
  <c r="I288" i="9"/>
  <c r="E288" i="9"/>
  <c r="Y288" i="9" s="1"/>
  <c r="X287" i="9"/>
  <c r="W287" i="9"/>
  <c r="U287" i="9"/>
  <c r="Q287" i="9"/>
  <c r="M287" i="9"/>
  <c r="I287" i="9"/>
  <c r="E287" i="9"/>
  <c r="X286" i="9"/>
  <c r="W286" i="9"/>
  <c r="U286" i="9"/>
  <c r="Q286" i="9"/>
  <c r="M286" i="9"/>
  <c r="I286" i="9"/>
  <c r="E286" i="9"/>
  <c r="X285" i="9"/>
  <c r="K285" i="9"/>
  <c r="K289" i="9" s="1"/>
  <c r="I285" i="9"/>
  <c r="G285" i="9"/>
  <c r="G289" i="9" s="1"/>
  <c r="E285" i="9"/>
  <c r="T283" i="9"/>
  <c r="P283" i="9"/>
  <c r="L283" i="9"/>
  <c r="H283" i="9"/>
  <c r="X283" i="9" s="1"/>
  <c r="D283" i="9"/>
  <c r="C283" i="9"/>
  <c r="X282" i="9"/>
  <c r="G282" i="9"/>
  <c r="K282" i="9" s="1"/>
  <c r="C282" i="9"/>
  <c r="E282" i="9" s="1"/>
  <c r="X281" i="9"/>
  <c r="W281" i="9"/>
  <c r="U281" i="9"/>
  <c r="Q281" i="9"/>
  <c r="M281" i="9"/>
  <c r="I281" i="9"/>
  <c r="E281" i="9"/>
  <c r="X278" i="9"/>
  <c r="W278" i="9"/>
  <c r="U278" i="9"/>
  <c r="Q278" i="9"/>
  <c r="M278" i="9"/>
  <c r="I278" i="9"/>
  <c r="E278" i="9"/>
  <c r="D277" i="9"/>
  <c r="H277" i="9" s="1"/>
  <c r="C277" i="9"/>
  <c r="G276" i="9"/>
  <c r="E276" i="9"/>
  <c r="D276" i="9"/>
  <c r="C276" i="9"/>
  <c r="C279" i="9" s="1"/>
  <c r="T274" i="9"/>
  <c r="P274" i="9"/>
  <c r="O274" i="9"/>
  <c r="L274" i="9"/>
  <c r="H274" i="9"/>
  <c r="G274" i="9"/>
  <c r="D274" i="9"/>
  <c r="C274" i="9"/>
  <c r="X273" i="9"/>
  <c r="S273" i="9"/>
  <c r="U273" i="9" s="1"/>
  <c r="Q273" i="9"/>
  <c r="K273" i="9"/>
  <c r="W273" i="9" s="1"/>
  <c r="I273" i="9"/>
  <c r="E273" i="9"/>
  <c r="X272" i="9"/>
  <c r="Q272" i="9"/>
  <c r="O272" i="9"/>
  <c r="S272" i="9" s="1"/>
  <c r="M272" i="9"/>
  <c r="I272" i="9"/>
  <c r="E272" i="9"/>
  <c r="X271" i="9"/>
  <c r="W271" i="9"/>
  <c r="U271" i="9"/>
  <c r="Q271" i="9"/>
  <c r="M271" i="9"/>
  <c r="I271" i="9"/>
  <c r="E271" i="9"/>
  <c r="V269" i="9"/>
  <c r="V290" i="9" s="1"/>
  <c r="J269" i="9"/>
  <c r="J290" i="9" s="1"/>
  <c r="J292" i="9" s="1"/>
  <c r="H267" i="9"/>
  <c r="C267" i="9"/>
  <c r="G267" i="9" s="1"/>
  <c r="I267" i="9" s="1"/>
  <c r="D265" i="9"/>
  <c r="C265" i="9"/>
  <c r="V263" i="9"/>
  <c r="V291" i="9" s="1"/>
  <c r="R263" i="9"/>
  <c r="R291" i="9" s="1"/>
  <c r="N263" i="9"/>
  <c r="N291" i="9" s="1"/>
  <c r="J263" i="9"/>
  <c r="F263" i="9"/>
  <c r="F291" i="9" s="1"/>
  <c r="D262" i="9"/>
  <c r="D263" i="9" s="1"/>
  <c r="C262" i="9"/>
  <c r="H261" i="9"/>
  <c r="L261" i="9" s="1"/>
  <c r="P261" i="9" s="1"/>
  <c r="T261" i="9" s="1"/>
  <c r="G261" i="9"/>
  <c r="K261" i="9" s="1"/>
  <c r="E261" i="9"/>
  <c r="H260" i="9"/>
  <c r="L260" i="9" s="1"/>
  <c r="G260" i="9"/>
  <c r="K260" i="9" s="1"/>
  <c r="E260" i="9"/>
  <c r="I259" i="9"/>
  <c r="H259" i="9"/>
  <c r="L259" i="9" s="1"/>
  <c r="P259" i="9" s="1"/>
  <c r="T259" i="9" s="1"/>
  <c r="G259" i="9"/>
  <c r="K259" i="9" s="1"/>
  <c r="E259" i="9"/>
  <c r="H258" i="9"/>
  <c r="L258" i="9" s="1"/>
  <c r="G258" i="9"/>
  <c r="K258" i="9" s="1"/>
  <c r="E258" i="9"/>
  <c r="D256" i="9"/>
  <c r="D266" i="9" s="1"/>
  <c r="C256" i="9"/>
  <c r="C263" i="9" s="1"/>
  <c r="C291" i="9" s="1"/>
  <c r="E291" i="9" s="1"/>
  <c r="K255" i="9"/>
  <c r="O255" i="9" s="1"/>
  <c r="H255" i="9"/>
  <c r="L255" i="9" s="1"/>
  <c r="P255" i="9" s="1"/>
  <c r="T255" i="9" s="1"/>
  <c r="G255" i="9"/>
  <c r="I255" i="9" s="1"/>
  <c r="E255" i="9"/>
  <c r="K254" i="9"/>
  <c r="O254" i="9" s="1"/>
  <c r="I254" i="9"/>
  <c r="H254" i="9"/>
  <c r="L254" i="9" s="1"/>
  <c r="G254" i="9"/>
  <c r="E254" i="9"/>
  <c r="K253" i="9"/>
  <c r="O253" i="9" s="1"/>
  <c r="H253" i="9"/>
  <c r="L253" i="9" s="1"/>
  <c r="P253" i="9" s="1"/>
  <c r="T253" i="9" s="1"/>
  <c r="G253" i="9"/>
  <c r="E253" i="9"/>
  <c r="H252" i="9"/>
  <c r="L252" i="9" s="1"/>
  <c r="G252" i="9"/>
  <c r="G256" i="9" s="1"/>
  <c r="E252" i="9"/>
  <c r="J334" i="24"/>
  <c r="T333" i="24"/>
  <c r="P333" i="24"/>
  <c r="L333" i="24"/>
  <c r="H333" i="24"/>
  <c r="D333" i="24"/>
  <c r="X333" i="24" s="1"/>
  <c r="C333" i="24"/>
  <c r="X332" i="24"/>
  <c r="W332" i="24"/>
  <c r="U332" i="24"/>
  <c r="Q332" i="24"/>
  <c r="M332" i="24"/>
  <c r="I332" i="24"/>
  <c r="E332" i="24"/>
  <c r="Y332" i="24" s="1"/>
  <c r="X331" i="24"/>
  <c r="W331" i="24"/>
  <c r="U331" i="24"/>
  <c r="Q331" i="24"/>
  <c r="M331" i="24"/>
  <c r="I331" i="24"/>
  <c r="E331" i="24"/>
  <c r="Y331" i="24" s="1"/>
  <c r="X330" i="24"/>
  <c r="W330" i="24"/>
  <c r="U330" i="24"/>
  <c r="Q330" i="24"/>
  <c r="M330" i="24"/>
  <c r="I330" i="24"/>
  <c r="E330" i="24"/>
  <c r="Y330" i="24" s="1"/>
  <c r="X329" i="24"/>
  <c r="I329" i="24"/>
  <c r="I333" i="24" s="1"/>
  <c r="G329" i="24"/>
  <c r="E329" i="24"/>
  <c r="X327" i="24"/>
  <c r="T327" i="24"/>
  <c r="P327" i="24"/>
  <c r="L327" i="24"/>
  <c r="H327" i="24"/>
  <c r="G327" i="24"/>
  <c r="D327" i="24"/>
  <c r="C327" i="24"/>
  <c r="X326" i="24"/>
  <c r="G326" i="24"/>
  <c r="K326" i="24" s="1"/>
  <c r="E326" i="24"/>
  <c r="E327" i="24" s="1"/>
  <c r="C326" i="24"/>
  <c r="X325" i="24"/>
  <c r="W325" i="24"/>
  <c r="U325" i="24"/>
  <c r="Q325" i="24"/>
  <c r="M325" i="24"/>
  <c r="I325" i="24"/>
  <c r="E325" i="24"/>
  <c r="X322" i="24"/>
  <c r="W322" i="24"/>
  <c r="U322" i="24"/>
  <c r="Q322" i="24"/>
  <c r="M322" i="24"/>
  <c r="I322" i="24"/>
  <c r="E322" i="24"/>
  <c r="Y322" i="24" s="1"/>
  <c r="D321" i="24"/>
  <c r="H321" i="24" s="1"/>
  <c r="C321" i="24"/>
  <c r="G321" i="24" s="1"/>
  <c r="G320" i="24"/>
  <c r="G323" i="24" s="1"/>
  <c r="D320" i="24"/>
  <c r="C320" i="24"/>
  <c r="T318" i="24"/>
  <c r="P318" i="24"/>
  <c r="O318" i="24"/>
  <c r="L318" i="24"/>
  <c r="K318" i="24"/>
  <c r="H318" i="24"/>
  <c r="G318" i="24"/>
  <c r="D318" i="24"/>
  <c r="X318" i="24" s="1"/>
  <c r="C318" i="24"/>
  <c r="X317" i="24"/>
  <c r="U317" i="24"/>
  <c r="S317" i="24"/>
  <c r="Q317" i="24"/>
  <c r="M317" i="24"/>
  <c r="K317" i="24"/>
  <c r="W317" i="24" s="1"/>
  <c r="I317" i="24"/>
  <c r="E317" i="24"/>
  <c r="Y317" i="24" s="1"/>
  <c r="X316" i="24"/>
  <c r="W316" i="24"/>
  <c r="S316" i="24"/>
  <c r="U316" i="24" s="1"/>
  <c r="Y316" i="24" s="1"/>
  <c r="Q316" i="24"/>
  <c r="O316" i="24"/>
  <c r="M316" i="24"/>
  <c r="I316" i="24"/>
  <c r="E316" i="24"/>
  <c r="X315" i="24"/>
  <c r="W315" i="24"/>
  <c r="U315" i="24"/>
  <c r="Q315" i="24"/>
  <c r="Q318" i="24" s="1"/>
  <c r="M315" i="24"/>
  <c r="M318" i="24" s="1"/>
  <c r="I315" i="24"/>
  <c r="I318" i="24" s="1"/>
  <c r="E315" i="24"/>
  <c r="E318" i="24" s="1"/>
  <c r="J313" i="24"/>
  <c r="H311" i="24"/>
  <c r="C311" i="24"/>
  <c r="G311" i="24" s="1"/>
  <c r="I311" i="24" s="1"/>
  <c r="G309" i="24"/>
  <c r="D309" i="24"/>
  <c r="C309" i="24"/>
  <c r="V307" i="24"/>
  <c r="V335" i="24" s="1"/>
  <c r="R307" i="24"/>
  <c r="R335" i="24" s="1"/>
  <c r="N307" i="24"/>
  <c r="N335" i="24" s="1"/>
  <c r="J307" i="24"/>
  <c r="J335" i="24" s="1"/>
  <c r="F307" i="24"/>
  <c r="F313" i="24" s="1"/>
  <c r="F334" i="24" s="1"/>
  <c r="D306" i="24"/>
  <c r="D307" i="24" s="1"/>
  <c r="C306" i="24"/>
  <c r="C307" i="24" s="1"/>
  <c r="C335" i="24" s="1"/>
  <c r="E335" i="24" s="1"/>
  <c r="H305" i="24"/>
  <c r="L305" i="24" s="1"/>
  <c r="P305" i="24" s="1"/>
  <c r="T305" i="24" s="1"/>
  <c r="G305" i="24"/>
  <c r="K305" i="24" s="1"/>
  <c r="E305" i="24"/>
  <c r="H304" i="24"/>
  <c r="L304" i="24" s="1"/>
  <c r="G304" i="24"/>
  <c r="K304" i="24" s="1"/>
  <c r="E304" i="24"/>
  <c r="H303" i="24"/>
  <c r="L303" i="24" s="1"/>
  <c r="P303" i="24" s="1"/>
  <c r="T303" i="24" s="1"/>
  <c r="G303" i="24"/>
  <c r="K303" i="24" s="1"/>
  <c r="E303" i="24"/>
  <c r="H302" i="24"/>
  <c r="L302" i="24" s="1"/>
  <c r="G302" i="24"/>
  <c r="K302" i="24" s="1"/>
  <c r="E302" i="24"/>
  <c r="E306" i="24" s="1"/>
  <c r="D300" i="24"/>
  <c r="C300" i="24"/>
  <c r="C310" i="24" s="1"/>
  <c r="H299" i="24"/>
  <c r="L299" i="24" s="1"/>
  <c r="G299" i="24"/>
  <c r="K299" i="24" s="1"/>
  <c r="E299" i="24"/>
  <c r="H298" i="24"/>
  <c r="L298" i="24" s="1"/>
  <c r="G298" i="24"/>
  <c r="K298" i="24" s="1"/>
  <c r="E298" i="24"/>
  <c r="H297" i="24"/>
  <c r="L297" i="24" s="1"/>
  <c r="G297" i="24"/>
  <c r="K297" i="24" s="1"/>
  <c r="E297" i="24"/>
  <c r="H296" i="24"/>
  <c r="L296" i="24" s="1"/>
  <c r="G296" i="24"/>
  <c r="K296" i="24" s="1"/>
  <c r="E296" i="24"/>
  <c r="E300" i="24" s="1"/>
  <c r="C291" i="24"/>
  <c r="E291" i="24" s="1"/>
  <c r="T289" i="24"/>
  <c r="P289" i="24"/>
  <c r="L289" i="24"/>
  <c r="H289" i="24"/>
  <c r="E289" i="24"/>
  <c r="D289" i="24"/>
  <c r="X289" i="24" s="1"/>
  <c r="C289" i="24"/>
  <c r="X288" i="24"/>
  <c r="W288" i="24"/>
  <c r="U288" i="24"/>
  <c r="Q288" i="24"/>
  <c r="M288" i="24"/>
  <c r="I288" i="24"/>
  <c r="Y288" i="24" s="1"/>
  <c r="E288" i="24"/>
  <c r="X287" i="24"/>
  <c r="W287" i="24"/>
  <c r="U287" i="24"/>
  <c r="Q287" i="24"/>
  <c r="M287" i="24"/>
  <c r="I287" i="24"/>
  <c r="E287" i="24"/>
  <c r="Y287" i="24" s="1"/>
  <c r="X286" i="24"/>
  <c r="W286" i="24"/>
  <c r="U286" i="24"/>
  <c r="Q286" i="24"/>
  <c r="M286" i="24"/>
  <c r="I286" i="24"/>
  <c r="Y286" i="24" s="1"/>
  <c r="E286" i="24"/>
  <c r="X285" i="24"/>
  <c r="K285" i="24"/>
  <c r="K289" i="24" s="1"/>
  <c r="G285" i="24"/>
  <c r="G289" i="24" s="1"/>
  <c r="E285" i="24"/>
  <c r="X283" i="24"/>
  <c r="T283" i="24"/>
  <c r="P283" i="24"/>
  <c r="L283" i="24"/>
  <c r="H283" i="24"/>
  <c r="D283" i="24"/>
  <c r="C283" i="24"/>
  <c r="X282" i="24"/>
  <c r="G282" i="24"/>
  <c r="K282" i="24" s="1"/>
  <c r="C282" i="24"/>
  <c r="X281" i="24"/>
  <c r="W281" i="24"/>
  <c r="U281" i="24"/>
  <c r="Q281" i="24"/>
  <c r="M281" i="24"/>
  <c r="I281" i="24"/>
  <c r="E281" i="24"/>
  <c r="Y278" i="24"/>
  <c r="X278" i="24"/>
  <c r="W278" i="24"/>
  <c r="U278" i="24"/>
  <c r="Q278" i="24"/>
  <c r="M278" i="24"/>
  <c r="I278" i="24"/>
  <c r="E278" i="24"/>
  <c r="D277" i="24"/>
  <c r="H277" i="24" s="1"/>
  <c r="C277" i="24"/>
  <c r="H276" i="24"/>
  <c r="H279" i="24" s="1"/>
  <c r="G276" i="24"/>
  <c r="E276" i="24"/>
  <c r="D276" i="24"/>
  <c r="D279" i="24" s="1"/>
  <c r="C276" i="24"/>
  <c r="T274" i="24"/>
  <c r="P274" i="24"/>
  <c r="L274" i="24"/>
  <c r="K274" i="24"/>
  <c r="H274" i="24"/>
  <c r="X274" i="24" s="1"/>
  <c r="G274" i="24"/>
  <c r="D274" i="24"/>
  <c r="C274" i="24"/>
  <c r="X273" i="24"/>
  <c r="W273" i="24"/>
  <c r="U273" i="24"/>
  <c r="S273" i="24"/>
  <c r="Q273" i="24"/>
  <c r="M273" i="24"/>
  <c r="K273" i="24"/>
  <c r="I273" i="24"/>
  <c r="E273" i="24"/>
  <c r="Y273" i="24" s="1"/>
  <c r="X272" i="24"/>
  <c r="O272" i="24"/>
  <c r="M272" i="24"/>
  <c r="I272" i="24"/>
  <c r="E272" i="24"/>
  <c r="X271" i="24"/>
  <c r="W271" i="24"/>
  <c r="U271" i="24"/>
  <c r="Q271" i="24"/>
  <c r="M271" i="24"/>
  <c r="M274" i="24" s="1"/>
  <c r="I271" i="24"/>
  <c r="I274" i="24" s="1"/>
  <c r="E271" i="24"/>
  <c r="E274" i="24" s="1"/>
  <c r="J269" i="24"/>
  <c r="J290" i="24" s="1"/>
  <c r="H267" i="24"/>
  <c r="C267" i="24"/>
  <c r="G267" i="24" s="1"/>
  <c r="I267" i="24" s="1"/>
  <c r="D265" i="24"/>
  <c r="C265" i="24"/>
  <c r="C268" i="24" s="1"/>
  <c r="V263" i="24"/>
  <c r="V291" i="24" s="1"/>
  <c r="R263" i="24"/>
  <c r="R291" i="24" s="1"/>
  <c r="N263" i="24"/>
  <c r="N291" i="24" s="1"/>
  <c r="J263" i="24"/>
  <c r="J291" i="24" s="1"/>
  <c r="F263" i="24"/>
  <c r="F269" i="24" s="1"/>
  <c r="F290" i="24" s="1"/>
  <c r="C263" i="24"/>
  <c r="E262" i="24"/>
  <c r="E263" i="24" s="1"/>
  <c r="D262" i="24"/>
  <c r="D263" i="24" s="1"/>
  <c r="C262" i="24"/>
  <c r="H261" i="24"/>
  <c r="L261" i="24" s="1"/>
  <c r="P261" i="24" s="1"/>
  <c r="T261" i="24" s="1"/>
  <c r="G261" i="24"/>
  <c r="K261" i="24" s="1"/>
  <c r="E261" i="24"/>
  <c r="H260" i="24"/>
  <c r="L260" i="24" s="1"/>
  <c r="G260" i="24"/>
  <c r="K260" i="24" s="1"/>
  <c r="E260" i="24"/>
  <c r="H259" i="24"/>
  <c r="L259" i="24" s="1"/>
  <c r="P259" i="24" s="1"/>
  <c r="T259" i="24" s="1"/>
  <c r="G259" i="24"/>
  <c r="K259" i="24" s="1"/>
  <c r="E259" i="24"/>
  <c r="H258" i="24"/>
  <c r="L258" i="24" s="1"/>
  <c r="G258" i="24"/>
  <c r="K258" i="24" s="1"/>
  <c r="E258" i="24"/>
  <c r="H256" i="24"/>
  <c r="H266" i="24" s="1"/>
  <c r="E256" i="24"/>
  <c r="D256" i="24"/>
  <c r="C256" i="24"/>
  <c r="C266" i="24" s="1"/>
  <c r="K255" i="24"/>
  <c r="O255" i="24" s="1"/>
  <c r="H255" i="24"/>
  <c r="L255" i="24" s="1"/>
  <c r="P255" i="24" s="1"/>
  <c r="T255" i="24" s="1"/>
  <c r="G255" i="24"/>
  <c r="I255" i="24" s="1"/>
  <c r="E255" i="24"/>
  <c r="K254" i="24"/>
  <c r="O254" i="24" s="1"/>
  <c r="H254" i="24"/>
  <c r="L254" i="24" s="1"/>
  <c r="P254" i="24" s="1"/>
  <c r="T254" i="24" s="1"/>
  <c r="G254" i="24"/>
  <c r="I254" i="24" s="1"/>
  <c r="E254" i="24"/>
  <c r="K253" i="24"/>
  <c r="O253" i="24" s="1"/>
  <c r="H253" i="24"/>
  <c r="L253" i="24" s="1"/>
  <c r="P253" i="24" s="1"/>
  <c r="T253" i="24" s="1"/>
  <c r="G253" i="24"/>
  <c r="I253" i="24" s="1"/>
  <c r="E253" i="24"/>
  <c r="K252" i="24"/>
  <c r="O252" i="24" s="1"/>
  <c r="H252" i="24"/>
  <c r="L252" i="24" s="1"/>
  <c r="G252" i="24"/>
  <c r="G256" i="24" s="1"/>
  <c r="E252" i="24"/>
  <c r="T333" i="30"/>
  <c r="P333" i="30"/>
  <c r="L333" i="30"/>
  <c r="H333" i="30"/>
  <c r="D333" i="30"/>
  <c r="X333" i="30" s="1"/>
  <c r="C333" i="30"/>
  <c r="X332" i="30"/>
  <c r="W332" i="30"/>
  <c r="U332" i="30"/>
  <c r="Q332" i="30"/>
  <c r="M332" i="30"/>
  <c r="I332" i="30"/>
  <c r="E332" i="30"/>
  <c r="Y332" i="30" s="1"/>
  <c r="X331" i="30"/>
  <c r="W331" i="30"/>
  <c r="U331" i="30"/>
  <c r="Q331" i="30"/>
  <c r="M331" i="30"/>
  <c r="I331" i="30"/>
  <c r="E331" i="30"/>
  <c r="Y331" i="30" s="1"/>
  <c r="X330" i="30"/>
  <c r="W330" i="30"/>
  <c r="U330" i="30"/>
  <c r="Q330" i="30"/>
  <c r="M330" i="30"/>
  <c r="I330" i="30"/>
  <c r="E330" i="30"/>
  <c r="Y330" i="30" s="1"/>
  <c r="X329" i="30"/>
  <c r="G329" i="30"/>
  <c r="G329" i="33" s="1"/>
  <c r="E329" i="30"/>
  <c r="T327" i="30"/>
  <c r="P327" i="30"/>
  <c r="L327" i="30"/>
  <c r="H327" i="30"/>
  <c r="G327" i="30"/>
  <c r="D327" i="30"/>
  <c r="X327" i="30" s="1"/>
  <c r="C327" i="30"/>
  <c r="X326" i="30"/>
  <c r="G326" i="30"/>
  <c r="K326" i="30" s="1"/>
  <c r="C326" i="30"/>
  <c r="X325" i="30"/>
  <c r="W325" i="30"/>
  <c r="U325" i="30"/>
  <c r="Q325" i="30"/>
  <c r="M325" i="30"/>
  <c r="I325" i="30"/>
  <c r="E325" i="30"/>
  <c r="X322" i="30"/>
  <c r="W322" i="30"/>
  <c r="U322" i="30"/>
  <c r="Q322" i="30"/>
  <c r="M322" i="30"/>
  <c r="I322" i="30"/>
  <c r="E322" i="30"/>
  <c r="Y322" i="30" s="1"/>
  <c r="G320" i="33"/>
  <c r="T318" i="30"/>
  <c r="P318" i="30"/>
  <c r="L318" i="30"/>
  <c r="K318" i="30"/>
  <c r="H318" i="30"/>
  <c r="G318" i="30"/>
  <c r="D318" i="30"/>
  <c r="X318" i="30" s="1"/>
  <c r="C318" i="30"/>
  <c r="X317" i="30"/>
  <c r="U317" i="30"/>
  <c r="S317" i="30"/>
  <c r="Q317" i="30"/>
  <c r="K317" i="30"/>
  <c r="W317" i="30" s="1"/>
  <c r="I317" i="30"/>
  <c r="E317" i="30"/>
  <c r="Y316" i="30"/>
  <c r="X316" i="30"/>
  <c r="W316" i="30"/>
  <c r="U316" i="30"/>
  <c r="S316" i="30"/>
  <c r="S318" i="30" s="1"/>
  <c r="Q316" i="30"/>
  <c r="O316" i="30"/>
  <c r="O318" i="30" s="1"/>
  <c r="M316" i="30"/>
  <c r="I316" i="30"/>
  <c r="E316" i="30"/>
  <c r="X315" i="30"/>
  <c r="W315" i="30"/>
  <c r="U315" i="30"/>
  <c r="U318" i="30" s="1"/>
  <c r="Q315" i="30"/>
  <c r="Q318" i="30" s="1"/>
  <c r="M315" i="30"/>
  <c r="I315" i="30"/>
  <c r="I318" i="30" s="1"/>
  <c r="E315" i="30"/>
  <c r="E318" i="30" s="1"/>
  <c r="J313" i="30"/>
  <c r="J334" i="30" s="1"/>
  <c r="J336" i="30" s="1"/>
  <c r="H311" i="30"/>
  <c r="C311" i="30"/>
  <c r="G311" i="30" s="1"/>
  <c r="I311" i="30" s="1"/>
  <c r="D309" i="30"/>
  <c r="C309" i="30"/>
  <c r="V307" i="30"/>
  <c r="V335" i="30" s="1"/>
  <c r="R307" i="30"/>
  <c r="R335" i="30" s="1"/>
  <c r="N307" i="30"/>
  <c r="N335" i="30" s="1"/>
  <c r="J307" i="30"/>
  <c r="J335" i="30" s="1"/>
  <c r="F307" i="30"/>
  <c r="F313" i="30" s="1"/>
  <c r="F334" i="30" s="1"/>
  <c r="D306" i="30"/>
  <c r="D307" i="30" s="1"/>
  <c r="C306" i="30"/>
  <c r="H305" i="30"/>
  <c r="L305" i="30" s="1"/>
  <c r="P305" i="30" s="1"/>
  <c r="T305" i="30" s="1"/>
  <c r="G305" i="30"/>
  <c r="K305" i="30" s="1"/>
  <c r="E305" i="30"/>
  <c r="H304" i="30"/>
  <c r="L304" i="30" s="1"/>
  <c r="G304" i="30"/>
  <c r="K304" i="30" s="1"/>
  <c r="E304" i="30"/>
  <c r="H303" i="30"/>
  <c r="L303" i="30" s="1"/>
  <c r="P303" i="30" s="1"/>
  <c r="T303" i="30" s="1"/>
  <c r="G303" i="30"/>
  <c r="K303" i="30" s="1"/>
  <c r="E303" i="30"/>
  <c r="H302" i="30"/>
  <c r="L302" i="30" s="1"/>
  <c r="G302" i="30"/>
  <c r="K302" i="30" s="1"/>
  <c r="E302" i="30"/>
  <c r="E306" i="30" s="1"/>
  <c r="D300" i="30"/>
  <c r="C300" i="30"/>
  <c r="K299" i="30"/>
  <c r="O299" i="30" s="1"/>
  <c r="I299" i="30"/>
  <c r="H299" i="30"/>
  <c r="L299" i="30" s="1"/>
  <c r="P299" i="30" s="1"/>
  <c r="T299" i="30" s="1"/>
  <c r="G299" i="30"/>
  <c r="E299" i="30"/>
  <c r="K298" i="30"/>
  <c r="O298" i="30" s="1"/>
  <c r="I298" i="30"/>
  <c r="H298" i="30"/>
  <c r="L298" i="30" s="1"/>
  <c r="P298" i="30" s="1"/>
  <c r="T298" i="30" s="1"/>
  <c r="G298" i="30"/>
  <c r="E298" i="30"/>
  <c r="K297" i="30"/>
  <c r="O297" i="30" s="1"/>
  <c r="I297" i="30"/>
  <c r="H297" i="30"/>
  <c r="L297" i="30" s="1"/>
  <c r="P297" i="30" s="1"/>
  <c r="T297" i="30" s="1"/>
  <c r="G297" i="30"/>
  <c r="E297" i="30"/>
  <c r="I296" i="30"/>
  <c r="I300" i="30" s="1"/>
  <c r="H296" i="30"/>
  <c r="L296" i="30" s="1"/>
  <c r="G296" i="30"/>
  <c r="G300" i="30" s="1"/>
  <c r="G310" i="30" s="1"/>
  <c r="E296" i="30"/>
  <c r="E300" i="30" s="1"/>
  <c r="T289" i="30"/>
  <c r="P289" i="30"/>
  <c r="L289" i="30"/>
  <c r="H289" i="30"/>
  <c r="D289" i="30"/>
  <c r="X289" i="30" s="1"/>
  <c r="C289" i="30"/>
  <c r="X288" i="30"/>
  <c r="W288" i="30"/>
  <c r="U288" i="30"/>
  <c r="Q288" i="30"/>
  <c r="M288" i="30"/>
  <c r="I288" i="30"/>
  <c r="E288" i="30"/>
  <c r="Y288" i="30" s="1"/>
  <c r="X287" i="30"/>
  <c r="W287" i="30"/>
  <c r="U287" i="30"/>
  <c r="Q287" i="30"/>
  <c r="M287" i="30"/>
  <c r="I287" i="30"/>
  <c r="E287" i="30"/>
  <c r="Y287" i="30" s="1"/>
  <c r="X286" i="30"/>
  <c r="W286" i="30"/>
  <c r="U286" i="30"/>
  <c r="Q286" i="30"/>
  <c r="M286" i="30"/>
  <c r="I286" i="30"/>
  <c r="E286" i="30"/>
  <c r="Y286" i="30" s="1"/>
  <c r="X285" i="30"/>
  <c r="G285" i="30"/>
  <c r="G289" i="30" s="1"/>
  <c r="E285" i="30"/>
  <c r="X283" i="30"/>
  <c r="T283" i="30"/>
  <c r="P283" i="30"/>
  <c r="L283" i="30"/>
  <c r="H283" i="30"/>
  <c r="D283" i="30"/>
  <c r="C283" i="30"/>
  <c r="X282" i="30"/>
  <c r="G282" i="30"/>
  <c r="K282" i="30" s="1"/>
  <c r="C282" i="30"/>
  <c r="X281" i="30"/>
  <c r="W281" i="30"/>
  <c r="U281" i="30"/>
  <c r="Q281" i="30"/>
  <c r="M281" i="30"/>
  <c r="I281" i="30"/>
  <c r="E281" i="30"/>
  <c r="X278" i="30"/>
  <c r="W278" i="30"/>
  <c r="U278" i="30"/>
  <c r="Q278" i="30"/>
  <c r="M278" i="30"/>
  <c r="I278" i="30"/>
  <c r="E278" i="30"/>
  <c r="Y278" i="30" s="1"/>
  <c r="T274" i="30"/>
  <c r="P274" i="30"/>
  <c r="L274" i="30"/>
  <c r="H274" i="30"/>
  <c r="G274" i="30"/>
  <c r="D274" i="30"/>
  <c r="X274" i="30" s="1"/>
  <c r="C274" i="30"/>
  <c r="X273" i="30"/>
  <c r="W273" i="30"/>
  <c r="S273" i="30"/>
  <c r="U273" i="30" s="1"/>
  <c r="Q273" i="30"/>
  <c r="M273" i="30"/>
  <c r="K273" i="30"/>
  <c r="K274" i="30" s="1"/>
  <c r="I273" i="30"/>
  <c r="E273" i="30"/>
  <c r="X272" i="30"/>
  <c r="W272" i="30"/>
  <c r="S272" i="30"/>
  <c r="U272" i="30" s="1"/>
  <c r="Y272" i="30" s="1"/>
  <c r="Q272" i="30"/>
  <c r="O272" i="30"/>
  <c r="O274" i="30" s="1"/>
  <c r="M272" i="30"/>
  <c r="I272" i="30"/>
  <c r="E272" i="30"/>
  <c r="X271" i="30"/>
  <c r="W271" i="30"/>
  <c r="U271" i="30"/>
  <c r="U274" i="30" s="1"/>
  <c r="Q271" i="30"/>
  <c r="Q274" i="30" s="1"/>
  <c r="M271" i="30"/>
  <c r="M274" i="30" s="1"/>
  <c r="I271" i="30"/>
  <c r="I274" i="30" s="1"/>
  <c r="E271" i="30"/>
  <c r="E274" i="30" s="1"/>
  <c r="J269" i="30"/>
  <c r="J290" i="30" s="1"/>
  <c r="H267" i="30"/>
  <c r="C267" i="30"/>
  <c r="G267" i="30" s="1"/>
  <c r="I267" i="30" s="1"/>
  <c r="D265" i="30"/>
  <c r="C265" i="30"/>
  <c r="V263" i="30"/>
  <c r="V291" i="30" s="1"/>
  <c r="R263" i="30"/>
  <c r="R291" i="30" s="1"/>
  <c r="N263" i="30"/>
  <c r="N291" i="30" s="1"/>
  <c r="J263" i="30"/>
  <c r="J291" i="30" s="1"/>
  <c r="F263" i="30"/>
  <c r="F269" i="30" s="1"/>
  <c r="F290" i="30" s="1"/>
  <c r="D262" i="30"/>
  <c r="D263" i="30" s="1"/>
  <c r="C262" i="30"/>
  <c r="H261" i="30"/>
  <c r="L261" i="30" s="1"/>
  <c r="P261" i="30" s="1"/>
  <c r="T261" i="30" s="1"/>
  <c r="G261" i="30"/>
  <c r="K261" i="30" s="1"/>
  <c r="E261" i="30"/>
  <c r="H260" i="30"/>
  <c r="L260" i="30" s="1"/>
  <c r="G260" i="30"/>
  <c r="K260" i="30" s="1"/>
  <c r="E260" i="30"/>
  <c r="H259" i="30"/>
  <c r="L259" i="30" s="1"/>
  <c r="P259" i="30" s="1"/>
  <c r="T259" i="30" s="1"/>
  <c r="G259" i="30"/>
  <c r="K259" i="30" s="1"/>
  <c r="E259" i="30"/>
  <c r="H258" i="30"/>
  <c r="L258" i="30" s="1"/>
  <c r="G258" i="30"/>
  <c r="K258" i="30" s="1"/>
  <c r="E258" i="30"/>
  <c r="E262" i="30" s="1"/>
  <c r="D256" i="30"/>
  <c r="C256" i="30"/>
  <c r="K255" i="30"/>
  <c r="O255" i="30" s="1"/>
  <c r="H255" i="30"/>
  <c r="L255" i="30" s="1"/>
  <c r="P255" i="30" s="1"/>
  <c r="T255" i="30" s="1"/>
  <c r="G255" i="30"/>
  <c r="E255" i="30"/>
  <c r="K254" i="30"/>
  <c r="O254" i="30" s="1"/>
  <c r="H254" i="30"/>
  <c r="L254" i="30" s="1"/>
  <c r="P254" i="30" s="1"/>
  <c r="T254" i="30" s="1"/>
  <c r="G254" i="30"/>
  <c r="E254" i="30"/>
  <c r="K253" i="30"/>
  <c r="O253" i="30" s="1"/>
  <c r="H253" i="30"/>
  <c r="L253" i="30" s="1"/>
  <c r="P253" i="30" s="1"/>
  <c r="T253" i="30" s="1"/>
  <c r="G253" i="30"/>
  <c r="E253" i="30"/>
  <c r="H252" i="30"/>
  <c r="L252" i="30" s="1"/>
  <c r="G252" i="30"/>
  <c r="G256" i="30" s="1"/>
  <c r="G266" i="30" s="1"/>
  <c r="E252" i="30"/>
  <c r="E256" i="30" s="1"/>
  <c r="J335" i="39"/>
  <c r="T333" i="39"/>
  <c r="P333" i="39"/>
  <c r="L333" i="39"/>
  <c r="H333" i="39"/>
  <c r="D333" i="39"/>
  <c r="X333" i="39" s="1"/>
  <c r="C333" i="39"/>
  <c r="X332" i="39"/>
  <c r="W332" i="39"/>
  <c r="U332" i="39"/>
  <c r="Q332" i="39"/>
  <c r="M332" i="39"/>
  <c r="I332" i="39"/>
  <c r="E332" i="39"/>
  <c r="Y332" i="39" s="1"/>
  <c r="Y331" i="39"/>
  <c r="X331" i="39"/>
  <c r="W331" i="39"/>
  <c r="U331" i="39"/>
  <c r="Q331" i="39"/>
  <c r="M331" i="39"/>
  <c r="I331" i="39"/>
  <c r="E331" i="39"/>
  <c r="X330" i="39"/>
  <c r="W330" i="39"/>
  <c r="U330" i="39"/>
  <c r="Q330" i="39"/>
  <c r="M330" i="39"/>
  <c r="I330" i="39"/>
  <c r="E330" i="39"/>
  <c r="Y330" i="39" s="1"/>
  <c r="X329" i="39"/>
  <c r="I329" i="39"/>
  <c r="I333" i="39" s="1"/>
  <c r="G329" i="39"/>
  <c r="E329" i="39"/>
  <c r="T327" i="39"/>
  <c r="P327" i="39"/>
  <c r="L327" i="39"/>
  <c r="H327" i="39"/>
  <c r="X327" i="39" s="1"/>
  <c r="G327" i="39"/>
  <c r="E327" i="39"/>
  <c r="D327" i="39"/>
  <c r="C327" i="39"/>
  <c r="X326" i="39"/>
  <c r="M326" i="39"/>
  <c r="K326" i="39"/>
  <c r="K327" i="39" s="1"/>
  <c r="I326" i="39"/>
  <c r="G326" i="39"/>
  <c r="E326" i="39"/>
  <c r="C326" i="39"/>
  <c r="X325" i="39"/>
  <c r="W325" i="39"/>
  <c r="U325" i="39"/>
  <c r="Q325" i="39"/>
  <c r="M325" i="39"/>
  <c r="M327" i="39" s="1"/>
  <c r="I325" i="39"/>
  <c r="I327" i="39" s="1"/>
  <c r="E325" i="39"/>
  <c r="X322" i="39"/>
  <c r="W322" i="39"/>
  <c r="U322" i="39"/>
  <c r="Q322" i="39"/>
  <c r="M322" i="39"/>
  <c r="I322" i="39"/>
  <c r="Y322" i="39" s="1"/>
  <c r="E322" i="39"/>
  <c r="D321" i="39"/>
  <c r="H321" i="39" s="1"/>
  <c r="C321" i="39"/>
  <c r="G321" i="39" s="1"/>
  <c r="D320" i="39"/>
  <c r="C320" i="39"/>
  <c r="T318" i="39"/>
  <c r="P318" i="39"/>
  <c r="O318" i="39"/>
  <c r="L318" i="39"/>
  <c r="K318" i="39"/>
  <c r="H318" i="39"/>
  <c r="G318" i="39"/>
  <c r="D318" i="39"/>
  <c r="X318" i="39" s="1"/>
  <c r="C318" i="39"/>
  <c r="X317" i="39"/>
  <c r="W317" i="39"/>
  <c r="U317" i="39"/>
  <c r="S317" i="39"/>
  <c r="Q317" i="39"/>
  <c r="M317" i="39"/>
  <c r="K317" i="39"/>
  <c r="I317" i="39"/>
  <c r="Y317" i="39" s="1"/>
  <c r="E317" i="39"/>
  <c r="X316" i="39"/>
  <c r="O316" i="39"/>
  <c r="S316" i="39" s="1"/>
  <c r="M316" i="39"/>
  <c r="I316" i="39"/>
  <c r="E316" i="39"/>
  <c r="X315" i="39"/>
  <c r="W315" i="39"/>
  <c r="U315" i="39"/>
  <c r="Q315" i="39"/>
  <c r="M315" i="39"/>
  <c r="M318" i="39" s="1"/>
  <c r="I315" i="39"/>
  <c r="I318" i="39" s="1"/>
  <c r="E315" i="39"/>
  <c r="E318" i="39" s="1"/>
  <c r="J313" i="39"/>
  <c r="J334" i="39" s="1"/>
  <c r="J336" i="39" s="1"/>
  <c r="H311" i="39"/>
  <c r="I311" i="39" s="1"/>
  <c r="G311" i="39"/>
  <c r="E311" i="39"/>
  <c r="C311" i="39"/>
  <c r="D310" i="39"/>
  <c r="G309" i="39"/>
  <c r="G312" i="39" s="1"/>
  <c r="D309" i="39"/>
  <c r="D312" i="39" s="1"/>
  <c r="C309" i="39"/>
  <c r="V307" i="39"/>
  <c r="V335" i="39" s="1"/>
  <c r="R307" i="39"/>
  <c r="R335" i="39" s="1"/>
  <c r="N307" i="39"/>
  <c r="N335" i="39" s="1"/>
  <c r="J307" i="39"/>
  <c r="F307" i="39"/>
  <c r="F313" i="39" s="1"/>
  <c r="F334" i="39" s="1"/>
  <c r="L306" i="39"/>
  <c r="K306" i="39"/>
  <c r="K307" i="39" s="1"/>
  <c r="K335" i="39" s="1"/>
  <c r="M335" i="39" s="1"/>
  <c r="D306" i="39"/>
  <c r="D307" i="39" s="1"/>
  <c r="C306" i="39"/>
  <c r="C307" i="39" s="1"/>
  <c r="C335" i="39" s="1"/>
  <c r="E335" i="39" s="1"/>
  <c r="O305" i="39"/>
  <c r="S305" i="39" s="1"/>
  <c r="M305" i="39"/>
  <c r="L305" i="39"/>
  <c r="P305" i="39" s="1"/>
  <c r="T305" i="39" s="1"/>
  <c r="K305" i="39"/>
  <c r="H305" i="39"/>
  <c r="X305" i="39" s="1"/>
  <c r="G305" i="39"/>
  <c r="I305" i="39" s="1"/>
  <c r="E305" i="39"/>
  <c r="O304" i="39"/>
  <c r="O310" i="39" s="1"/>
  <c r="M304" i="39"/>
  <c r="L304" i="39"/>
  <c r="L310" i="39" s="1"/>
  <c r="K304" i="39"/>
  <c r="K310" i="39" s="1"/>
  <c r="M310" i="39" s="1"/>
  <c r="H304" i="39"/>
  <c r="G304" i="39"/>
  <c r="I304" i="39" s="1"/>
  <c r="E304" i="39"/>
  <c r="O303" i="39"/>
  <c r="S303" i="39" s="1"/>
  <c r="U303" i="39" s="1"/>
  <c r="M303" i="39"/>
  <c r="L303" i="39"/>
  <c r="P303" i="39" s="1"/>
  <c r="T303" i="39" s="1"/>
  <c r="K303" i="39"/>
  <c r="H303" i="39"/>
  <c r="G303" i="39"/>
  <c r="I303" i="39" s="1"/>
  <c r="E303" i="39"/>
  <c r="O302" i="39"/>
  <c r="O309" i="39" s="1"/>
  <c r="M302" i="39"/>
  <c r="M306" i="39" s="1"/>
  <c r="L302" i="39"/>
  <c r="L309" i="39" s="1"/>
  <c r="K302" i="39"/>
  <c r="K309" i="39" s="1"/>
  <c r="H302" i="39"/>
  <c r="H306" i="39" s="1"/>
  <c r="G302" i="39"/>
  <c r="G306" i="39" s="1"/>
  <c r="G307" i="39" s="1"/>
  <c r="G335" i="39" s="1"/>
  <c r="I335" i="39" s="1"/>
  <c r="E302" i="39"/>
  <c r="E306" i="39" s="1"/>
  <c r="O300" i="39"/>
  <c r="O311" i="39" s="1"/>
  <c r="E300" i="39"/>
  <c r="D300" i="39"/>
  <c r="C300" i="39"/>
  <c r="O299" i="39"/>
  <c r="S299" i="39" s="1"/>
  <c r="K299" i="39"/>
  <c r="M299" i="39" s="1"/>
  <c r="H299" i="39"/>
  <c r="L299" i="39" s="1"/>
  <c r="P299" i="39" s="1"/>
  <c r="G299" i="39"/>
  <c r="I299" i="39" s="1"/>
  <c r="E299" i="39"/>
  <c r="O298" i="39"/>
  <c r="S298" i="39" s="1"/>
  <c r="K298" i="39"/>
  <c r="M298" i="39" s="1"/>
  <c r="H298" i="39"/>
  <c r="L298" i="39" s="1"/>
  <c r="P298" i="39" s="1"/>
  <c r="G298" i="39"/>
  <c r="W298" i="39" s="1"/>
  <c r="E298" i="39"/>
  <c r="O297" i="39"/>
  <c r="S297" i="39" s="1"/>
  <c r="K297" i="39"/>
  <c r="M297" i="39" s="1"/>
  <c r="H297" i="39"/>
  <c r="L297" i="39" s="1"/>
  <c r="P297" i="39" s="1"/>
  <c r="G297" i="39"/>
  <c r="E297" i="39"/>
  <c r="O296" i="39"/>
  <c r="S296" i="39" s="1"/>
  <c r="K296" i="39"/>
  <c r="K300" i="39" s="1"/>
  <c r="K311" i="39" s="1"/>
  <c r="H296" i="39"/>
  <c r="L296" i="39" s="1"/>
  <c r="G296" i="39"/>
  <c r="G300" i="39" s="1"/>
  <c r="G310" i="39" s="1"/>
  <c r="E296" i="39"/>
  <c r="F291" i="39"/>
  <c r="T289" i="39"/>
  <c r="P289" i="39"/>
  <c r="L289" i="39"/>
  <c r="H289" i="39"/>
  <c r="D289" i="39"/>
  <c r="X289" i="39" s="1"/>
  <c r="C289" i="39"/>
  <c r="X288" i="39"/>
  <c r="W288" i="39"/>
  <c r="U288" i="39"/>
  <c r="Q288" i="39"/>
  <c r="M288" i="39"/>
  <c r="I288" i="39"/>
  <c r="E288" i="39"/>
  <c r="Y288" i="39" s="1"/>
  <c r="X287" i="39"/>
  <c r="W287" i="39"/>
  <c r="U287" i="39"/>
  <c r="Q287" i="39"/>
  <c r="Y287" i="39" s="1"/>
  <c r="M287" i="39"/>
  <c r="I287" i="39"/>
  <c r="E287" i="39"/>
  <c r="X286" i="39"/>
  <c r="W286" i="39"/>
  <c r="U286" i="39"/>
  <c r="Q286" i="39"/>
  <c r="M286" i="39"/>
  <c r="I286" i="39"/>
  <c r="E286" i="39"/>
  <c r="Y286" i="39" s="1"/>
  <c r="X285" i="39"/>
  <c r="G285" i="39"/>
  <c r="E285" i="39"/>
  <c r="E289" i="39" s="1"/>
  <c r="X283" i="39"/>
  <c r="T283" i="39"/>
  <c r="P283" i="39"/>
  <c r="L283" i="39"/>
  <c r="H283" i="39"/>
  <c r="G283" i="39"/>
  <c r="D283" i="39"/>
  <c r="C283" i="39"/>
  <c r="X282" i="39"/>
  <c r="G282" i="39"/>
  <c r="K282" i="39" s="1"/>
  <c r="C282" i="39"/>
  <c r="X281" i="39"/>
  <c r="W281" i="39"/>
  <c r="U281" i="39"/>
  <c r="Q281" i="39"/>
  <c r="M281" i="39"/>
  <c r="I281" i="39"/>
  <c r="E281" i="39"/>
  <c r="X278" i="39"/>
  <c r="W278" i="39"/>
  <c r="U278" i="39"/>
  <c r="Q278" i="39"/>
  <c r="M278" i="39"/>
  <c r="I278" i="39"/>
  <c r="E278" i="39"/>
  <c r="Y278" i="39" s="1"/>
  <c r="D277" i="39"/>
  <c r="H277" i="39" s="1"/>
  <c r="C277" i="39"/>
  <c r="G276" i="39"/>
  <c r="E276" i="39"/>
  <c r="D276" i="39"/>
  <c r="C276" i="39"/>
  <c r="T274" i="39"/>
  <c r="P274" i="39"/>
  <c r="L274" i="39"/>
  <c r="H274" i="39"/>
  <c r="X274" i="39" s="1"/>
  <c r="G274" i="39"/>
  <c r="D274" i="39"/>
  <c r="C274" i="39"/>
  <c r="X273" i="39"/>
  <c r="U273" i="39"/>
  <c r="S273" i="39"/>
  <c r="Q273" i="39"/>
  <c r="K273" i="39"/>
  <c r="W273" i="39" s="1"/>
  <c r="I273" i="39"/>
  <c r="E273" i="39"/>
  <c r="X272" i="39"/>
  <c r="Q272" i="39"/>
  <c r="O272" i="39"/>
  <c r="S272" i="39" s="1"/>
  <c r="M272" i="39"/>
  <c r="I272" i="39"/>
  <c r="E272" i="39"/>
  <c r="X271" i="39"/>
  <c r="W271" i="39"/>
  <c r="U271" i="39"/>
  <c r="Q271" i="39"/>
  <c r="Q274" i="39" s="1"/>
  <c r="M271" i="39"/>
  <c r="I271" i="39"/>
  <c r="I274" i="39" s="1"/>
  <c r="E271" i="39"/>
  <c r="E274" i="39" s="1"/>
  <c r="V269" i="39"/>
  <c r="V290" i="39" s="1"/>
  <c r="V292" i="39" s="1"/>
  <c r="N269" i="39"/>
  <c r="N290" i="39" s="1"/>
  <c r="N292" i="39" s="1"/>
  <c r="J269" i="39"/>
  <c r="J290" i="39" s="1"/>
  <c r="F269" i="39"/>
  <c r="F290" i="39" s="1"/>
  <c r="F292" i="39" s="1"/>
  <c r="H267" i="39"/>
  <c r="C267" i="39"/>
  <c r="G267" i="39" s="1"/>
  <c r="C266" i="39"/>
  <c r="H265" i="39"/>
  <c r="H268" i="39" s="1"/>
  <c r="E265" i="39"/>
  <c r="D265" i="39"/>
  <c r="C265" i="39"/>
  <c r="C268" i="39" s="1"/>
  <c r="V263" i="39"/>
  <c r="V291" i="39" s="1"/>
  <c r="R263" i="39"/>
  <c r="R291" i="39" s="1"/>
  <c r="N263" i="39"/>
  <c r="N291" i="39" s="1"/>
  <c r="J263" i="39"/>
  <c r="J291" i="39" s="1"/>
  <c r="F263" i="39"/>
  <c r="D262" i="39"/>
  <c r="D263" i="39" s="1"/>
  <c r="C262" i="39"/>
  <c r="C263" i="39" s="1"/>
  <c r="C291" i="39" s="1"/>
  <c r="E291" i="39" s="1"/>
  <c r="H261" i="39"/>
  <c r="L261" i="39" s="1"/>
  <c r="P261" i="39" s="1"/>
  <c r="T261" i="39" s="1"/>
  <c r="G261" i="39"/>
  <c r="K261" i="39" s="1"/>
  <c r="E261" i="39"/>
  <c r="H260" i="39"/>
  <c r="L260" i="39" s="1"/>
  <c r="G260" i="39"/>
  <c r="K260" i="39" s="1"/>
  <c r="E260" i="39"/>
  <c r="H259" i="39"/>
  <c r="L259" i="39" s="1"/>
  <c r="P259" i="39" s="1"/>
  <c r="T259" i="39" s="1"/>
  <c r="G259" i="39"/>
  <c r="K259" i="39" s="1"/>
  <c r="E259" i="39"/>
  <c r="H258" i="39"/>
  <c r="L258" i="39" s="1"/>
  <c r="G258" i="39"/>
  <c r="K258" i="39" s="1"/>
  <c r="E258" i="39"/>
  <c r="E262" i="39" s="1"/>
  <c r="P256" i="39"/>
  <c r="P267" i="39" s="1"/>
  <c r="G256" i="39"/>
  <c r="G266" i="39" s="1"/>
  <c r="I266" i="39" s="1"/>
  <c r="D256" i="39"/>
  <c r="C256" i="39"/>
  <c r="P255" i="39"/>
  <c r="T255" i="39" s="1"/>
  <c r="L255" i="39"/>
  <c r="K255" i="39"/>
  <c r="O255" i="39" s="1"/>
  <c r="I255" i="39"/>
  <c r="H255" i="39"/>
  <c r="G255" i="39"/>
  <c r="E255" i="39"/>
  <c r="P254" i="39"/>
  <c r="T254" i="39" s="1"/>
  <c r="L254" i="39"/>
  <c r="K254" i="39"/>
  <c r="O254" i="39" s="1"/>
  <c r="I254" i="39"/>
  <c r="H254" i="39"/>
  <c r="X254" i="39" s="1"/>
  <c r="G254" i="39"/>
  <c r="E254" i="39"/>
  <c r="P253" i="39"/>
  <c r="T253" i="39" s="1"/>
  <c r="L253" i="39"/>
  <c r="K253" i="39"/>
  <c r="O253" i="39" s="1"/>
  <c r="I253" i="39"/>
  <c r="H253" i="39"/>
  <c r="G253" i="39"/>
  <c r="E253" i="39"/>
  <c r="P252" i="39"/>
  <c r="T252" i="39" s="1"/>
  <c r="L252" i="39"/>
  <c r="L256" i="39" s="1"/>
  <c r="L267" i="39" s="1"/>
  <c r="K252" i="39"/>
  <c r="O252" i="39" s="1"/>
  <c r="I252" i="39"/>
  <c r="I256" i="39" s="1"/>
  <c r="H252" i="39"/>
  <c r="H256" i="39" s="1"/>
  <c r="H266" i="39" s="1"/>
  <c r="G252" i="39"/>
  <c r="E252" i="39"/>
  <c r="E256" i="39" s="1"/>
  <c r="T333" i="29"/>
  <c r="P333" i="29"/>
  <c r="L333" i="29"/>
  <c r="H333" i="29"/>
  <c r="G333" i="29"/>
  <c r="D333" i="29"/>
  <c r="X333" i="29" s="1"/>
  <c r="C333" i="29"/>
  <c r="X332" i="29"/>
  <c r="W332" i="29"/>
  <c r="U332" i="29"/>
  <c r="Q332" i="29"/>
  <c r="M332" i="29"/>
  <c r="I332" i="29"/>
  <c r="E332" i="29"/>
  <c r="Y332" i="29" s="1"/>
  <c r="X331" i="29"/>
  <c r="W331" i="29"/>
  <c r="U331" i="29"/>
  <c r="Q331" i="29"/>
  <c r="M331" i="29"/>
  <c r="I331" i="29"/>
  <c r="E331" i="29"/>
  <c r="Y331" i="29" s="1"/>
  <c r="X330" i="29"/>
  <c r="W330" i="29"/>
  <c r="U330" i="29"/>
  <c r="Q330" i="29"/>
  <c r="M330" i="29"/>
  <c r="I330" i="29"/>
  <c r="E330" i="29"/>
  <c r="Y330" i="29" s="1"/>
  <c r="X329" i="29"/>
  <c r="I329" i="29"/>
  <c r="I333" i="29" s="1"/>
  <c r="G329" i="29"/>
  <c r="E329" i="29"/>
  <c r="X327" i="29"/>
  <c r="T327" i="29"/>
  <c r="P327" i="29"/>
  <c r="L327" i="29"/>
  <c r="H327" i="29"/>
  <c r="D327" i="29"/>
  <c r="C327" i="29"/>
  <c r="X326" i="29"/>
  <c r="G326" i="29"/>
  <c r="K326" i="29" s="1"/>
  <c r="E326" i="29"/>
  <c r="E327" i="29" s="1"/>
  <c r="C326" i="29"/>
  <c r="X325" i="29"/>
  <c r="W325" i="29"/>
  <c r="U325" i="29"/>
  <c r="Q325" i="29"/>
  <c r="M325" i="29"/>
  <c r="I325" i="29"/>
  <c r="E325" i="29"/>
  <c r="C323" i="29"/>
  <c r="X322" i="29"/>
  <c r="W322" i="29"/>
  <c r="U322" i="29"/>
  <c r="Q322" i="29"/>
  <c r="M322" i="29"/>
  <c r="I322" i="29"/>
  <c r="E322" i="29"/>
  <c r="Y322" i="29" s="1"/>
  <c r="D321" i="29"/>
  <c r="H321" i="29" s="1"/>
  <c r="L321" i="29" s="1"/>
  <c r="P321" i="29" s="1"/>
  <c r="T321" i="29" s="1"/>
  <c r="C321" i="29"/>
  <c r="G321" i="29" s="1"/>
  <c r="G320" i="29"/>
  <c r="D320" i="29"/>
  <c r="C320" i="29"/>
  <c r="T318" i="29"/>
  <c r="P318" i="29"/>
  <c r="O318" i="29"/>
  <c r="L318" i="29"/>
  <c r="K318" i="29"/>
  <c r="H318" i="29"/>
  <c r="G318" i="29"/>
  <c r="D318" i="29"/>
  <c r="X318" i="29" s="1"/>
  <c r="C318" i="29"/>
  <c r="X317" i="29"/>
  <c r="U317" i="29"/>
  <c r="S317" i="29"/>
  <c r="Q317" i="29"/>
  <c r="M317" i="29"/>
  <c r="K317" i="29"/>
  <c r="W317" i="29" s="1"/>
  <c r="I317" i="29"/>
  <c r="E317" i="29"/>
  <c r="Y317" i="29" s="1"/>
  <c r="X316" i="29"/>
  <c r="W316" i="29"/>
  <c r="S316" i="29"/>
  <c r="U316" i="29" s="1"/>
  <c r="Q316" i="29"/>
  <c r="O316" i="29"/>
  <c r="M316" i="29"/>
  <c r="I316" i="29"/>
  <c r="E316" i="29"/>
  <c r="X315" i="29"/>
  <c r="W315" i="29"/>
  <c r="U315" i="29"/>
  <c r="Q315" i="29"/>
  <c r="Q318" i="29" s="1"/>
  <c r="M315" i="29"/>
  <c r="M318" i="29" s="1"/>
  <c r="I315" i="29"/>
  <c r="I318" i="29" s="1"/>
  <c r="E315" i="29"/>
  <c r="E318" i="29" s="1"/>
  <c r="J313" i="29"/>
  <c r="J334" i="29" s="1"/>
  <c r="J336" i="29" s="1"/>
  <c r="H311" i="29"/>
  <c r="C311" i="29"/>
  <c r="G311" i="29" s="1"/>
  <c r="I311" i="29" s="1"/>
  <c r="H309" i="29"/>
  <c r="D309" i="29"/>
  <c r="C309" i="29"/>
  <c r="V307" i="29"/>
  <c r="V335" i="29" s="1"/>
  <c r="R307" i="29"/>
  <c r="R335" i="29" s="1"/>
  <c r="N307" i="29"/>
  <c r="N335" i="29" s="1"/>
  <c r="J307" i="29"/>
  <c r="J335" i="29" s="1"/>
  <c r="F307" i="29"/>
  <c r="F313" i="29" s="1"/>
  <c r="F334" i="29" s="1"/>
  <c r="D306" i="29"/>
  <c r="D307" i="29" s="1"/>
  <c r="C306" i="29"/>
  <c r="C307" i="29" s="1"/>
  <c r="C335" i="29" s="1"/>
  <c r="E335" i="29" s="1"/>
  <c r="P305" i="29"/>
  <c r="T305" i="29" s="1"/>
  <c r="L305" i="29"/>
  <c r="H305" i="29"/>
  <c r="X305" i="29" s="1"/>
  <c r="G305" i="29"/>
  <c r="K305" i="29" s="1"/>
  <c r="E305" i="29"/>
  <c r="P304" i="29"/>
  <c r="P310" i="29" s="1"/>
  <c r="L304" i="29"/>
  <c r="L310" i="29" s="1"/>
  <c r="H304" i="29"/>
  <c r="G304" i="29"/>
  <c r="K304" i="29" s="1"/>
  <c r="E304" i="29"/>
  <c r="H303" i="29"/>
  <c r="L303" i="29" s="1"/>
  <c r="P303" i="29" s="1"/>
  <c r="T303" i="29" s="1"/>
  <c r="G303" i="29"/>
  <c r="K303" i="29" s="1"/>
  <c r="E303" i="29"/>
  <c r="H302" i="29"/>
  <c r="L302" i="29" s="1"/>
  <c r="G302" i="29"/>
  <c r="K302" i="29" s="1"/>
  <c r="E302" i="29"/>
  <c r="E306" i="29" s="1"/>
  <c r="G300" i="29"/>
  <c r="G310" i="29" s="1"/>
  <c r="D300" i="29"/>
  <c r="C300" i="29"/>
  <c r="C310" i="29" s="1"/>
  <c r="I299" i="29"/>
  <c r="H299" i="29"/>
  <c r="L299" i="29" s="1"/>
  <c r="G299" i="29"/>
  <c r="K299" i="29" s="1"/>
  <c r="E299" i="29"/>
  <c r="I298" i="29"/>
  <c r="H298" i="29"/>
  <c r="L298" i="29" s="1"/>
  <c r="G298" i="29"/>
  <c r="K298" i="29" s="1"/>
  <c r="E298" i="29"/>
  <c r="I297" i="29"/>
  <c r="H297" i="29"/>
  <c r="L297" i="29" s="1"/>
  <c r="G297" i="29"/>
  <c r="K297" i="29" s="1"/>
  <c r="E297" i="29"/>
  <c r="I296" i="29"/>
  <c r="I300" i="29" s="1"/>
  <c r="H296" i="29"/>
  <c r="L296" i="29" s="1"/>
  <c r="G296" i="29"/>
  <c r="K296" i="29" s="1"/>
  <c r="E296" i="29"/>
  <c r="E300" i="29" s="1"/>
  <c r="R291" i="29"/>
  <c r="F291" i="29"/>
  <c r="C291" i="29"/>
  <c r="E291" i="29" s="1"/>
  <c r="T289" i="29"/>
  <c r="P289" i="29"/>
  <c r="L289" i="29"/>
  <c r="H289" i="29"/>
  <c r="X289" i="29" s="1"/>
  <c r="D289" i="29"/>
  <c r="C289" i="29"/>
  <c r="X288" i="29"/>
  <c r="W288" i="29"/>
  <c r="U288" i="29"/>
  <c r="Q288" i="29"/>
  <c r="M288" i="29"/>
  <c r="I288" i="29"/>
  <c r="Y288" i="29" s="1"/>
  <c r="E288" i="29"/>
  <c r="X287" i="29"/>
  <c r="W287" i="29"/>
  <c r="U287" i="29"/>
  <c r="Q287" i="29"/>
  <c r="M287" i="29"/>
  <c r="I287" i="29"/>
  <c r="E287" i="29"/>
  <c r="Y287" i="29" s="1"/>
  <c r="X286" i="29"/>
  <c r="W286" i="29"/>
  <c r="U286" i="29"/>
  <c r="Q286" i="29"/>
  <c r="M286" i="29"/>
  <c r="I286" i="29"/>
  <c r="Y286" i="29" s="1"/>
  <c r="E286" i="29"/>
  <c r="X285" i="29"/>
  <c r="K285" i="29"/>
  <c r="K289" i="29" s="1"/>
  <c r="G285" i="29"/>
  <c r="E285" i="29"/>
  <c r="T283" i="29"/>
  <c r="P283" i="29"/>
  <c r="L283" i="29"/>
  <c r="H283" i="29"/>
  <c r="D283" i="29"/>
  <c r="X283" i="29" s="1"/>
  <c r="X282" i="29"/>
  <c r="G282" i="29"/>
  <c r="K282" i="29" s="1"/>
  <c r="C282" i="29"/>
  <c r="X281" i="29"/>
  <c r="W281" i="29"/>
  <c r="U281" i="29"/>
  <c r="Q281" i="29"/>
  <c r="M281" i="29"/>
  <c r="I281" i="29"/>
  <c r="E281" i="29"/>
  <c r="D279" i="29"/>
  <c r="X278" i="29"/>
  <c r="W278" i="29"/>
  <c r="U278" i="29"/>
  <c r="Q278" i="29"/>
  <c r="M278" i="29"/>
  <c r="I278" i="29"/>
  <c r="E278" i="29"/>
  <c r="Y278" i="29" s="1"/>
  <c r="L277" i="29"/>
  <c r="P277" i="29" s="1"/>
  <c r="H277" i="29"/>
  <c r="D277" i="29"/>
  <c r="C277" i="29"/>
  <c r="H276" i="29"/>
  <c r="H279" i="29" s="1"/>
  <c r="E276" i="29"/>
  <c r="D276" i="29"/>
  <c r="C276" i="29"/>
  <c r="T274" i="29"/>
  <c r="P274" i="29"/>
  <c r="L274" i="29"/>
  <c r="K274" i="29"/>
  <c r="H274" i="29"/>
  <c r="G274" i="29"/>
  <c r="D274" i="29"/>
  <c r="X274" i="29" s="1"/>
  <c r="C274" i="29"/>
  <c r="X273" i="29"/>
  <c r="S273" i="29"/>
  <c r="U273" i="29" s="1"/>
  <c r="Q273" i="29"/>
  <c r="K273" i="29"/>
  <c r="W273" i="29" s="1"/>
  <c r="I273" i="29"/>
  <c r="E273" i="29"/>
  <c r="X272" i="29"/>
  <c r="O272" i="29"/>
  <c r="M272" i="29"/>
  <c r="I272" i="29"/>
  <c r="E272" i="29"/>
  <c r="X271" i="29"/>
  <c r="W271" i="29"/>
  <c r="U271" i="29"/>
  <c r="Q271" i="29"/>
  <c r="M271" i="29"/>
  <c r="I271" i="29"/>
  <c r="I274" i="29" s="1"/>
  <c r="E271" i="29"/>
  <c r="E274" i="29" s="1"/>
  <c r="J269" i="29"/>
  <c r="J290" i="29" s="1"/>
  <c r="J292" i="29" s="1"/>
  <c r="H267" i="29"/>
  <c r="C267" i="29"/>
  <c r="G267" i="29" s="1"/>
  <c r="I267" i="29" s="1"/>
  <c r="D265" i="29"/>
  <c r="D268" i="29" s="1"/>
  <c r="C265" i="29"/>
  <c r="V263" i="29"/>
  <c r="V291" i="29" s="1"/>
  <c r="R263" i="29"/>
  <c r="R269" i="29" s="1"/>
  <c r="R290" i="29" s="1"/>
  <c r="R292" i="29" s="1"/>
  <c r="N263" i="29"/>
  <c r="N291" i="29" s="1"/>
  <c r="J263" i="29"/>
  <c r="J291" i="29" s="1"/>
  <c r="F263" i="29"/>
  <c r="F269" i="29" s="1"/>
  <c r="F290" i="29" s="1"/>
  <c r="F292" i="29" s="1"/>
  <c r="C263" i="29"/>
  <c r="E262" i="29"/>
  <c r="D262" i="29"/>
  <c r="D263" i="29" s="1"/>
  <c r="C262" i="29"/>
  <c r="H261" i="29"/>
  <c r="L261" i="29" s="1"/>
  <c r="P261" i="29" s="1"/>
  <c r="T261" i="29" s="1"/>
  <c r="G261" i="29"/>
  <c r="K261" i="29" s="1"/>
  <c r="E261" i="29"/>
  <c r="H260" i="29"/>
  <c r="L260" i="29" s="1"/>
  <c r="G260" i="29"/>
  <c r="K260" i="29" s="1"/>
  <c r="E260" i="29"/>
  <c r="H259" i="29"/>
  <c r="L259" i="29" s="1"/>
  <c r="P259" i="29" s="1"/>
  <c r="T259" i="29" s="1"/>
  <c r="G259" i="29"/>
  <c r="K259" i="29" s="1"/>
  <c r="E259" i="29"/>
  <c r="H258" i="29"/>
  <c r="L258" i="29" s="1"/>
  <c r="G258" i="29"/>
  <c r="K258" i="29" s="1"/>
  <c r="E258" i="29"/>
  <c r="H256" i="29"/>
  <c r="H266" i="29" s="1"/>
  <c r="D256" i="29"/>
  <c r="D266" i="29" s="1"/>
  <c r="C256" i="29"/>
  <c r="K255" i="29"/>
  <c r="O255" i="29" s="1"/>
  <c r="H255" i="29"/>
  <c r="L255" i="29" s="1"/>
  <c r="P255" i="29" s="1"/>
  <c r="T255" i="29" s="1"/>
  <c r="G255" i="29"/>
  <c r="E255" i="29"/>
  <c r="K254" i="29"/>
  <c r="O254" i="29" s="1"/>
  <c r="I254" i="29"/>
  <c r="H254" i="29"/>
  <c r="L254" i="29" s="1"/>
  <c r="P254" i="29" s="1"/>
  <c r="T254" i="29" s="1"/>
  <c r="G254" i="29"/>
  <c r="E254" i="29"/>
  <c r="K253" i="29"/>
  <c r="O253" i="29" s="1"/>
  <c r="I253" i="29"/>
  <c r="H253" i="29"/>
  <c r="L253" i="29" s="1"/>
  <c r="P253" i="29" s="1"/>
  <c r="T253" i="29" s="1"/>
  <c r="G253" i="29"/>
  <c r="E253" i="29"/>
  <c r="K252" i="29"/>
  <c r="O252" i="29" s="1"/>
  <c r="H252" i="29"/>
  <c r="L252" i="29" s="1"/>
  <c r="G252" i="29"/>
  <c r="G256" i="29" s="1"/>
  <c r="G266" i="29" s="1"/>
  <c r="I266" i="29" s="1"/>
  <c r="E252" i="29"/>
  <c r="E256" i="29" s="1"/>
  <c r="J334" i="38"/>
  <c r="T333" i="38"/>
  <c r="P333" i="38"/>
  <c r="L333" i="38"/>
  <c r="H333" i="38"/>
  <c r="D333" i="38"/>
  <c r="X333" i="38" s="1"/>
  <c r="C333" i="38"/>
  <c r="X332" i="38"/>
  <c r="W332" i="38"/>
  <c r="U332" i="38"/>
  <c r="Q332" i="38"/>
  <c r="M332" i="38"/>
  <c r="I332" i="38"/>
  <c r="E332" i="38"/>
  <c r="Y332" i="38" s="1"/>
  <c r="X331" i="38"/>
  <c r="W331" i="38"/>
  <c r="U331" i="38"/>
  <c r="Q331" i="38"/>
  <c r="M331" i="38"/>
  <c r="I331" i="38"/>
  <c r="E331" i="38"/>
  <c r="Y331" i="38" s="1"/>
  <c r="X330" i="38"/>
  <c r="W330" i="38"/>
  <c r="U330" i="38"/>
  <c r="Q330" i="38"/>
  <c r="M330" i="38"/>
  <c r="I330" i="38"/>
  <c r="E330" i="38"/>
  <c r="Y330" i="38" s="1"/>
  <c r="X329" i="38"/>
  <c r="K329" i="38"/>
  <c r="K333" i="38" s="1"/>
  <c r="G329" i="38"/>
  <c r="E329" i="38"/>
  <c r="X327" i="38"/>
  <c r="T327" i="38"/>
  <c r="P327" i="38"/>
  <c r="L327" i="38"/>
  <c r="H327" i="38"/>
  <c r="D327" i="38"/>
  <c r="C327" i="38"/>
  <c r="X326" i="38"/>
  <c r="G326" i="38"/>
  <c r="K326" i="38" s="1"/>
  <c r="C326" i="38"/>
  <c r="X325" i="38"/>
  <c r="W325" i="38"/>
  <c r="U325" i="38"/>
  <c r="Q325" i="38"/>
  <c r="M325" i="38"/>
  <c r="I325" i="38"/>
  <c r="E325" i="38"/>
  <c r="X322" i="38"/>
  <c r="W322" i="38"/>
  <c r="U322" i="38"/>
  <c r="Q322" i="38"/>
  <c r="M322" i="38"/>
  <c r="I322" i="38"/>
  <c r="E322" i="38"/>
  <c r="Y322" i="38" s="1"/>
  <c r="D321" i="38"/>
  <c r="H321" i="38" s="1"/>
  <c r="C321" i="38"/>
  <c r="G321" i="38" s="1"/>
  <c r="G320" i="38"/>
  <c r="G323" i="38" s="1"/>
  <c r="D320" i="38"/>
  <c r="C320" i="38"/>
  <c r="T318" i="38"/>
  <c r="P318" i="38"/>
  <c r="L318" i="38"/>
  <c r="K318" i="38"/>
  <c r="H318" i="38"/>
  <c r="G318" i="38"/>
  <c r="D318" i="38"/>
  <c r="X318" i="38" s="1"/>
  <c r="C318" i="38"/>
  <c r="X317" i="38"/>
  <c r="U317" i="38"/>
  <c r="S317" i="38"/>
  <c r="Q317" i="38"/>
  <c r="M317" i="38"/>
  <c r="K317" i="38"/>
  <c r="W317" i="38" s="1"/>
  <c r="I317" i="38"/>
  <c r="E317" i="38"/>
  <c r="Y317" i="38" s="1"/>
  <c r="X316" i="38"/>
  <c r="W316" i="38"/>
  <c r="S316" i="38"/>
  <c r="U316" i="38" s="1"/>
  <c r="Y316" i="38" s="1"/>
  <c r="Q316" i="38"/>
  <c r="O316" i="38"/>
  <c r="O318" i="38" s="1"/>
  <c r="M316" i="38"/>
  <c r="I316" i="38"/>
  <c r="E316" i="38"/>
  <c r="X315" i="38"/>
  <c r="W315" i="38"/>
  <c r="U315" i="38"/>
  <c r="Q315" i="38"/>
  <c r="Q318" i="38" s="1"/>
  <c r="M315" i="38"/>
  <c r="M318" i="38" s="1"/>
  <c r="I315" i="38"/>
  <c r="I318" i="38" s="1"/>
  <c r="E315" i="38"/>
  <c r="E318" i="38" s="1"/>
  <c r="J313" i="38"/>
  <c r="H311" i="38"/>
  <c r="C311" i="38"/>
  <c r="G311" i="38" s="1"/>
  <c r="I311" i="38" s="1"/>
  <c r="D309" i="38"/>
  <c r="C309" i="38"/>
  <c r="V307" i="38"/>
  <c r="V335" i="38" s="1"/>
  <c r="R307" i="38"/>
  <c r="R335" i="38" s="1"/>
  <c r="N307" i="38"/>
  <c r="N335" i="38" s="1"/>
  <c r="J307" i="38"/>
  <c r="J335" i="38" s="1"/>
  <c r="F307" i="38"/>
  <c r="F313" i="38" s="1"/>
  <c r="F334" i="38" s="1"/>
  <c r="D306" i="38"/>
  <c r="D307" i="38" s="1"/>
  <c r="C306" i="38"/>
  <c r="C307" i="38" s="1"/>
  <c r="C335" i="38" s="1"/>
  <c r="E335" i="38" s="1"/>
  <c r="H305" i="38"/>
  <c r="L305" i="38" s="1"/>
  <c r="P305" i="38" s="1"/>
  <c r="T305" i="38" s="1"/>
  <c r="G305" i="38"/>
  <c r="K305" i="38" s="1"/>
  <c r="E305" i="38"/>
  <c r="H304" i="38"/>
  <c r="L304" i="38" s="1"/>
  <c r="G304" i="38"/>
  <c r="K304" i="38" s="1"/>
  <c r="E304" i="38"/>
  <c r="H303" i="38"/>
  <c r="L303" i="38" s="1"/>
  <c r="P303" i="38" s="1"/>
  <c r="T303" i="38" s="1"/>
  <c r="G303" i="38"/>
  <c r="K303" i="38" s="1"/>
  <c r="E303" i="38"/>
  <c r="H302" i="38"/>
  <c r="L302" i="38" s="1"/>
  <c r="G302" i="38"/>
  <c r="K302" i="38" s="1"/>
  <c r="E302" i="38"/>
  <c r="E306" i="38" s="1"/>
  <c r="D300" i="38"/>
  <c r="C300" i="38"/>
  <c r="H299" i="38"/>
  <c r="L299" i="38" s="1"/>
  <c r="P299" i="38" s="1"/>
  <c r="T299" i="38" s="1"/>
  <c r="G299" i="38"/>
  <c r="K299" i="38" s="1"/>
  <c r="E299" i="38"/>
  <c r="H298" i="38"/>
  <c r="L298" i="38" s="1"/>
  <c r="P298" i="38" s="1"/>
  <c r="T298" i="38" s="1"/>
  <c r="G298" i="38"/>
  <c r="K298" i="38" s="1"/>
  <c r="E298" i="38"/>
  <c r="H297" i="38"/>
  <c r="L297" i="38" s="1"/>
  <c r="P297" i="38" s="1"/>
  <c r="T297" i="38" s="1"/>
  <c r="G297" i="38"/>
  <c r="K297" i="38" s="1"/>
  <c r="E297" i="38"/>
  <c r="H296" i="38"/>
  <c r="L296" i="38" s="1"/>
  <c r="G296" i="38"/>
  <c r="K296" i="38" s="1"/>
  <c r="E296" i="38"/>
  <c r="E300" i="38" s="1"/>
  <c r="F291" i="38"/>
  <c r="T289" i="38"/>
  <c r="P289" i="38"/>
  <c r="L289" i="38"/>
  <c r="H289" i="38"/>
  <c r="D289" i="38"/>
  <c r="X289" i="38" s="1"/>
  <c r="C289" i="38"/>
  <c r="X288" i="38"/>
  <c r="W288" i="38"/>
  <c r="U288" i="38"/>
  <c r="Q288" i="38"/>
  <c r="M288" i="38"/>
  <c r="I288" i="38"/>
  <c r="E288" i="38"/>
  <c r="Y288" i="38" s="1"/>
  <c r="X287" i="38"/>
  <c r="W287" i="38"/>
  <c r="U287" i="38"/>
  <c r="Q287" i="38"/>
  <c r="M287" i="38"/>
  <c r="I287" i="38"/>
  <c r="E287" i="38"/>
  <c r="Y287" i="38" s="1"/>
  <c r="X286" i="38"/>
  <c r="W286" i="38"/>
  <c r="U286" i="38"/>
  <c r="Q286" i="38"/>
  <c r="M286" i="38"/>
  <c r="I286" i="38"/>
  <c r="E286" i="38"/>
  <c r="Y286" i="38" s="1"/>
  <c r="X285" i="38"/>
  <c r="G285" i="38"/>
  <c r="E285" i="38"/>
  <c r="X283" i="38"/>
  <c r="T283" i="38"/>
  <c r="P283" i="38"/>
  <c r="L283" i="38"/>
  <c r="H283" i="38"/>
  <c r="G283" i="38"/>
  <c r="D283" i="38"/>
  <c r="C283" i="38"/>
  <c r="X282" i="38"/>
  <c r="I282" i="38"/>
  <c r="G282" i="38"/>
  <c r="K282" i="38" s="1"/>
  <c r="C282" i="38"/>
  <c r="X281" i="38"/>
  <c r="W281" i="38"/>
  <c r="U281" i="38"/>
  <c r="Q281" i="38"/>
  <c r="M281" i="38"/>
  <c r="I281" i="38"/>
  <c r="I283" i="38" s="1"/>
  <c r="E281" i="38"/>
  <c r="X278" i="38"/>
  <c r="W278" i="38"/>
  <c r="U278" i="38"/>
  <c r="Q278" i="38"/>
  <c r="M278" i="38"/>
  <c r="I278" i="38"/>
  <c r="E278" i="38"/>
  <c r="Y278" i="38" s="1"/>
  <c r="D277" i="38"/>
  <c r="H277" i="38" s="1"/>
  <c r="C277" i="38"/>
  <c r="H276" i="38"/>
  <c r="H279" i="38" s="1"/>
  <c r="G276" i="38"/>
  <c r="E276" i="38"/>
  <c r="D276" i="38"/>
  <c r="C276" i="38"/>
  <c r="T274" i="38"/>
  <c r="P274" i="38"/>
  <c r="L274" i="38"/>
  <c r="K274" i="38"/>
  <c r="H274" i="38"/>
  <c r="G274" i="38"/>
  <c r="D274" i="38"/>
  <c r="X274" i="38" s="1"/>
  <c r="C274" i="38"/>
  <c r="X273" i="38"/>
  <c r="S273" i="38"/>
  <c r="U273" i="38" s="1"/>
  <c r="Q273" i="38"/>
  <c r="K273" i="38"/>
  <c r="W273" i="38" s="1"/>
  <c r="I273" i="38"/>
  <c r="E273" i="38"/>
  <c r="X272" i="38"/>
  <c r="O272" i="38"/>
  <c r="M272" i="38"/>
  <c r="I272" i="38"/>
  <c r="E272" i="38"/>
  <c r="X271" i="38"/>
  <c r="W271" i="38"/>
  <c r="U271" i="38"/>
  <c r="Q271" i="38"/>
  <c r="M271" i="38"/>
  <c r="I271" i="38"/>
  <c r="I274" i="38" s="1"/>
  <c r="E271" i="38"/>
  <c r="E274" i="38" s="1"/>
  <c r="J269" i="38"/>
  <c r="J290" i="38" s="1"/>
  <c r="J292" i="38" s="1"/>
  <c r="H267" i="38"/>
  <c r="C267" i="38"/>
  <c r="G267" i="38" s="1"/>
  <c r="D265" i="38"/>
  <c r="C265" i="38"/>
  <c r="V263" i="38"/>
  <c r="V291" i="38" s="1"/>
  <c r="R263" i="38"/>
  <c r="R291" i="38" s="1"/>
  <c r="N263" i="38"/>
  <c r="N291" i="38" s="1"/>
  <c r="J263" i="38"/>
  <c r="J291" i="38" s="1"/>
  <c r="F263" i="38"/>
  <c r="F269" i="38" s="1"/>
  <c r="F290" i="38" s="1"/>
  <c r="F292" i="38" s="1"/>
  <c r="D262" i="38"/>
  <c r="D263" i="38" s="1"/>
  <c r="C262" i="38"/>
  <c r="C263" i="38" s="1"/>
  <c r="C291" i="38" s="1"/>
  <c r="E291" i="38" s="1"/>
  <c r="P261" i="38"/>
  <c r="T261" i="38" s="1"/>
  <c r="L261" i="38"/>
  <c r="H261" i="38"/>
  <c r="G261" i="38"/>
  <c r="K261" i="38" s="1"/>
  <c r="E261" i="38"/>
  <c r="H260" i="38"/>
  <c r="L260" i="38" s="1"/>
  <c r="G260" i="38"/>
  <c r="K260" i="38" s="1"/>
  <c r="E260" i="38"/>
  <c r="H259" i="38"/>
  <c r="L259" i="38" s="1"/>
  <c r="G259" i="38"/>
  <c r="K259" i="38" s="1"/>
  <c r="E259" i="38"/>
  <c r="P258" i="38"/>
  <c r="P265" i="38" s="1"/>
  <c r="L258" i="38"/>
  <c r="L265" i="38" s="1"/>
  <c r="H258" i="38"/>
  <c r="H262" i="38" s="1"/>
  <c r="G258" i="38"/>
  <c r="K258" i="38" s="1"/>
  <c r="E258" i="38"/>
  <c r="E262" i="38" s="1"/>
  <c r="D256" i="38"/>
  <c r="C256" i="38"/>
  <c r="H255" i="38"/>
  <c r="L255" i="38" s="1"/>
  <c r="P255" i="38" s="1"/>
  <c r="T255" i="38" s="1"/>
  <c r="G255" i="38"/>
  <c r="K255" i="38" s="1"/>
  <c r="E255" i="38"/>
  <c r="H254" i="38"/>
  <c r="L254" i="38" s="1"/>
  <c r="P254" i="38" s="1"/>
  <c r="T254" i="38" s="1"/>
  <c r="G254" i="38"/>
  <c r="K254" i="38" s="1"/>
  <c r="E254" i="38"/>
  <c r="K253" i="38"/>
  <c r="O253" i="38" s="1"/>
  <c r="I253" i="38"/>
  <c r="H253" i="38"/>
  <c r="L253" i="38" s="1"/>
  <c r="P253" i="38" s="1"/>
  <c r="T253" i="38" s="1"/>
  <c r="G253" i="38"/>
  <c r="E253" i="38"/>
  <c r="L252" i="38"/>
  <c r="P252" i="38" s="1"/>
  <c r="K252" i="38"/>
  <c r="O252" i="38" s="1"/>
  <c r="I252" i="38"/>
  <c r="H252" i="38"/>
  <c r="H256" i="38" s="1"/>
  <c r="H266" i="38" s="1"/>
  <c r="G252" i="38"/>
  <c r="G256" i="38" s="1"/>
  <c r="G266" i="38" s="1"/>
  <c r="E252" i="38"/>
  <c r="E256" i="38" s="1"/>
  <c r="J335" i="32"/>
  <c r="T333" i="32"/>
  <c r="P333" i="32"/>
  <c r="L333" i="32"/>
  <c r="H333" i="32"/>
  <c r="D333" i="32"/>
  <c r="X333" i="32" s="1"/>
  <c r="C333" i="32"/>
  <c r="X332" i="32"/>
  <c r="W332" i="32"/>
  <c r="U332" i="32"/>
  <c r="Q332" i="32"/>
  <c r="M332" i="32"/>
  <c r="I332" i="32"/>
  <c r="E332" i="32"/>
  <c r="X331" i="32"/>
  <c r="W331" i="32"/>
  <c r="U331" i="32"/>
  <c r="Q331" i="32"/>
  <c r="M331" i="32"/>
  <c r="I331" i="32"/>
  <c r="E331" i="32"/>
  <c r="Y331" i="32" s="1"/>
  <c r="X330" i="32"/>
  <c r="W330" i="32"/>
  <c r="U330" i="32"/>
  <c r="Q330" i="32"/>
  <c r="M330" i="32"/>
  <c r="I330" i="32"/>
  <c r="E330" i="32"/>
  <c r="X329" i="32"/>
  <c r="G329" i="32"/>
  <c r="K329" i="32" s="1"/>
  <c r="E329" i="32"/>
  <c r="T327" i="32"/>
  <c r="P327" i="32"/>
  <c r="L327" i="32"/>
  <c r="H327" i="32"/>
  <c r="X327" i="32" s="1"/>
  <c r="G327" i="32"/>
  <c r="D327" i="32"/>
  <c r="X326" i="32"/>
  <c r="G326" i="32"/>
  <c r="K326" i="32" s="1"/>
  <c r="C326" i="32"/>
  <c r="Y325" i="32"/>
  <c r="X325" i="32"/>
  <c r="W325" i="32"/>
  <c r="U325" i="32"/>
  <c r="Q325" i="32"/>
  <c r="M325" i="32"/>
  <c r="I325" i="32"/>
  <c r="E325" i="32"/>
  <c r="X322" i="32"/>
  <c r="W322" i="32"/>
  <c r="U322" i="32"/>
  <c r="Q322" i="32"/>
  <c r="M322" i="32"/>
  <c r="I322" i="32"/>
  <c r="E322" i="32"/>
  <c r="Y322" i="32" s="1"/>
  <c r="H321" i="32"/>
  <c r="L321" i="32" s="1"/>
  <c r="P321" i="32" s="1"/>
  <c r="T321" i="32" s="1"/>
  <c r="G321" i="32"/>
  <c r="D321" i="32"/>
  <c r="C321" i="32"/>
  <c r="E321" i="32" s="1"/>
  <c r="K320" i="32"/>
  <c r="G320" i="32"/>
  <c r="D320" i="32"/>
  <c r="C320" i="32"/>
  <c r="T318" i="32"/>
  <c r="P318" i="32"/>
  <c r="O318" i="32"/>
  <c r="L318" i="32"/>
  <c r="H318" i="32"/>
  <c r="G318" i="32"/>
  <c r="D318" i="32"/>
  <c r="X318" i="32" s="1"/>
  <c r="C318" i="32"/>
  <c r="X317" i="32"/>
  <c r="U317" i="32"/>
  <c r="S317" i="32"/>
  <c r="Q317" i="32"/>
  <c r="K317" i="32"/>
  <c r="W317" i="32" s="1"/>
  <c r="I317" i="32"/>
  <c r="E317" i="32"/>
  <c r="X316" i="32"/>
  <c r="Q316" i="32"/>
  <c r="O316" i="32"/>
  <c r="S316" i="32" s="1"/>
  <c r="M316" i="32"/>
  <c r="I316" i="32"/>
  <c r="E316" i="32"/>
  <c r="X315" i="32"/>
  <c r="W315" i="32"/>
  <c r="U315" i="32"/>
  <c r="Q315" i="32"/>
  <c r="Q318" i="32" s="1"/>
  <c r="M315" i="32"/>
  <c r="I315" i="32"/>
  <c r="I318" i="32" s="1"/>
  <c r="E315" i="32"/>
  <c r="E318" i="32" s="1"/>
  <c r="N313" i="32"/>
  <c r="N334" i="32" s="1"/>
  <c r="H311" i="32"/>
  <c r="C311" i="32"/>
  <c r="G311" i="32" s="1"/>
  <c r="D310" i="32"/>
  <c r="C310" i="32"/>
  <c r="E310" i="32" s="1"/>
  <c r="H309" i="32"/>
  <c r="G309" i="32"/>
  <c r="D309" i="32"/>
  <c r="C309" i="32"/>
  <c r="C312" i="32" s="1"/>
  <c r="V307" i="32"/>
  <c r="V335" i="32" s="1"/>
  <c r="R307" i="32"/>
  <c r="R335" i="32" s="1"/>
  <c r="N307" i="32"/>
  <c r="N335" i="32" s="1"/>
  <c r="J307" i="32"/>
  <c r="J313" i="32" s="1"/>
  <c r="J334" i="32" s="1"/>
  <c r="J336" i="32" s="1"/>
  <c r="F307" i="32"/>
  <c r="F313" i="32" s="1"/>
  <c r="F334" i="32" s="1"/>
  <c r="D306" i="32"/>
  <c r="D307" i="32" s="1"/>
  <c r="C306" i="32"/>
  <c r="C307" i="32" s="1"/>
  <c r="C335" i="32" s="1"/>
  <c r="E335" i="32" s="1"/>
  <c r="H305" i="32"/>
  <c r="L305" i="32" s="1"/>
  <c r="P305" i="32" s="1"/>
  <c r="T305" i="32" s="1"/>
  <c r="G305" i="32"/>
  <c r="K305" i="32" s="1"/>
  <c r="E305" i="32"/>
  <c r="H304" i="32"/>
  <c r="L304" i="32" s="1"/>
  <c r="G304" i="32"/>
  <c r="K304" i="32" s="1"/>
  <c r="E304" i="32"/>
  <c r="H303" i="32"/>
  <c r="L303" i="32" s="1"/>
  <c r="P303" i="32" s="1"/>
  <c r="T303" i="32" s="1"/>
  <c r="G303" i="32"/>
  <c r="K303" i="32" s="1"/>
  <c r="E303" i="32"/>
  <c r="H302" i="32"/>
  <c r="L302" i="32" s="1"/>
  <c r="G302" i="32"/>
  <c r="K302" i="32" s="1"/>
  <c r="E302" i="32"/>
  <c r="E306" i="32" s="1"/>
  <c r="D300" i="32"/>
  <c r="C300" i="32"/>
  <c r="H299" i="32"/>
  <c r="L299" i="32" s="1"/>
  <c r="G299" i="32"/>
  <c r="K299" i="32" s="1"/>
  <c r="E299" i="32"/>
  <c r="H298" i="32"/>
  <c r="L298" i="32" s="1"/>
  <c r="G298" i="32"/>
  <c r="K298" i="32" s="1"/>
  <c r="E298" i="32"/>
  <c r="H297" i="32"/>
  <c r="L297" i="32" s="1"/>
  <c r="G297" i="32"/>
  <c r="K297" i="32" s="1"/>
  <c r="E297" i="32"/>
  <c r="H296" i="32"/>
  <c r="L296" i="32" s="1"/>
  <c r="G296" i="32"/>
  <c r="K296" i="32" s="1"/>
  <c r="E296" i="32"/>
  <c r="E300" i="32" s="1"/>
  <c r="J291" i="32"/>
  <c r="T289" i="32"/>
  <c r="X289" i="32" s="1"/>
  <c r="P289" i="32"/>
  <c r="L289" i="32"/>
  <c r="H289" i="32"/>
  <c r="D289" i="32"/>
  <c r="C289" i="32"/>
  <c r="Y288" i="32"/>
  <c r="X288" i="32"/>
  <c r="W288" i="32"/>
  <c r="U288" i="32"/>
  <c r="Q288" i="32"/>
  <c r="M288" i="32"/>
  <c r="I288" i="32"/>
  <c r="E288" i="32"/>
  <c r="X287" i="32"/>
  <c r="W287" i="32"/>
  <c r="U287" i="32"/>
  <c r="Q287" i="32"/>
  <c r="M287" i="32"/>
  <c r="I287" i="32"/>
  <c r="E287" i="32"/>
  <c r="Y287" i="32" s="1"/>
  <c r="Y286" i="32"/>
  <c r="X286" i="32"/>
  <c r="W286" i="32"/>
  <c r="U286" i="32"/>
  <c r="Q286" i="32"/>
  <c r="M286" i="32"/>
  <c r="I286" i="32"/>
  <c r="E286" i="32"/>
  <c r="X285" i="32"/>
  <c r="G285" i="32"/>
  <c r="E285" i="32"/>
  <c r="T283" i="32"/>
  <c r="P283" i="32"/>
  <c r="L283" i="32"/>
  <c r="H283" i="32"/>
  <c r="G283" i="32"/>
  <c r="D283" i="32"/>
  <c r="X282" i="32"/>
  <c r="G282" i="32"/>
  <c r="I282" i="32" s="1"/>
  <c r="I283" i="32" s="1"/>
  <c r="C282" i="32"/>
  <c r="X281" i="32"/>
  <c r="W281" i="32"/>
  <c r="U281" i="32"/>
  <c r="Q281" i="32"/>
  <c r="M281" i="32"/>
  <c r="I281" i="32"/>
  <c r="E281" i="32"/>
  <c r="X278" i="32"/>
  <c r="W278" i="32"/>
  <c r="U278" i="32"/>
  <c r="Q278" i="32"/>
  <c r="M278" i="32"/>
  <c r="I278" i="32"/>
  <c r="E278" i="32"/>
  <c r="H277" i="32"/>
  <c r="D277" i="32"/>
  <c r="C277" i="32"/>
  <c r="L276" i="32"/>
  <c r="H276" i="32"/>
  <c r="H279" i="32" s="1"/>
  <c r="E276" i="32"/>
  <c r="D276" i="32"/>
  <c r="C276" i="32"/>
  <c r="T274" i="32"/>
  <c r="P274" i="32"/>
  <c r="O274" i="32"/>
  <c r="M274" i="32"/>
  <c r="L274" i="32"/>
  <c r="H274" i="32"/>
  <c r="G274" i="32"/>
  <c r="D274" i="32"/>
  <c r="X274" i="32" s="1"/>
  <c r="C274" i="32"/>
  <c r="X273" i="32"/>
  <c r="S273" i="32"/>
  <c r="U273" i="32" s="1"/>
  <c r="Q273" i="32"/>
  <c r="Q274" i="32" s="1"/>
  <c r="M273" i="32"/>
  <c r="K273" i="32"/>
  <c r="I273" i="32"/>
  <c r="E273" i="32"/>
  <c r="Y273" i="32" s="1"/>
  <c r="X272" i="32"/>
  <c r="S272" i="32"/>
  <c r="W272" i="32" s="1"/>
  <c r="Q272" i="32"/>
  <c r="O272" i="32"/>
  <c r="M272" i="32"/>
  <c r="I272" i="32"/>
  <c r="E272" i="32"/>
  <c r="X271" i="32"/>
  <c r="W271" i="32"/>
  <c r="U271" i="32"/>
  <c r="Q271" i="32"/>
  <c r="M271" i="32"/>
  <c r="I271" i="32"/>
  <c r="I274" i="32" s="1"/>
  <c r="E271" i="32"/>
  <c r="Y271" i="32" s="1"/>
  <c r="N269" i="32"/>
  <c r="N290" i="32" s="1"/>
  <c r="N292" i="32" s="1"/>
  <c r="J269" i="32"/>
  <c r="J290" i="32" s="1"/>
  <c r="J292" i="32" s="1"/>
  <c r="J339" i="32" s="1"/>
  <c r="H267" i="32"/>
  <c r="C267" i="32"/>
  <c r="E267" i="32" s="1"/>
  <c r="D266" i="32"/>
  <c r="C266" i="32"/>
  <c r="H265" i="32"/>
  <c r="G265" i="32"/>
  <c r="E265" i="32"/>
  <c r="D265" i="32"/>
  <c r="D268" i="32" s="1"/>
  <c r="C265" i="32"/>
  <c r="V263" i="32"/>
  <c r="V291" i="32" s="1"/>
  <c r="R263" i="32"/>
  <c r="R291" i="32" s="1"/>
  <c r="N263" i="32"/>
  <c r="N291" i="32" s="1"/>
  <c r="J263" i="32"/>
  <c r="F263" i="32"/>
  <c r="F269" i="32" s="1"/>
  <c r="F290" i="32" s="1"/>
  <c r="D262" i="32"/>
  <c r="D263" i="32" s="1"/>
  <c r="C262" i="32"/>
  <c r="C263" i="32" s="1"/>
  <c r="C291" i="32" s="1"/>
  <c r="E291" i="32" s="1"/>
  <c r="H261" i="32"/>
  <c r="L261" i="32" s="1"/>
  <c r="G261" i="32"/>
  <c r="K261" i="32" s="1"/>
  <c r="E261" i="32"/>
  <c r="H260" i="32"/>
  <c r="L260" i="32" s="1"/>
  <c r="G260" i="32"/>
  <c r="K260" i="32" s="1"/>
  <c r="E260" i="32"/>
  <c r="H259" i="32"/>
  <c r="L259" i="32" s="1"/>
  <c r="G259" i="32"/>
  <c r="K259" i="32" s="1"/>
  <c r="E259" i="32"/>
  <c r="H258" i="32"/>
  <c r="L258" i="32" s="1"/>
  <c r="G258" i="32"/>
  <c r="K258" i="32" s="1"/>
  <c r="E258" i="32"/>
  <c r="E262" i="32" s="1"/>
  <c r="D256" i="32"/>
  <c r="C256" i="32"/>
  <c r="X255" i="32"/>
  <c r="H255" i="32"/>
  <c r="L255" i="32" s="1"/>
  <c r="P255" i="32" s="1"/>
  <c r="T255" i="32" s="1"/>
  <c r="G255" i="32"/>
  <c r="K255" i="32" s="1"/>
  <c r="E255" i="32"/>
  <c r="H254" i="32"/>
  <c r="L254" i="32" s="1"/>
  <c r="P254" i="32" s="1"/>
  <c r="T254" i="32" s="1"/>
  <c r="G254" i="32"/>
  <c r="K254" i="32" s="1"/>
  <c r="E254" i="32"/>
  <c r="H253" i="32"/>
  <c r="L253" i="32" s="1"/>
  <c r="P253" i="32" s="1"/>
  <c r="T253" i="32" s="1"/>
  <c r="G253" i="32"/>
  <c r="K253" i="32" s="1"/>
  <c r="E253" i="32"/>
  <c r="H252" i="32"/>
  <c r="L252" i="32" s="1"/>
  <c r="G252" i="32"/>
  <c r="K252" i="32" s="1"/>
  <c r="E252" i="32"/>
  <c r="E256" i="32" s="1"/>
  <c r="T333" i="31"/>
  <c r="P333" i="31"/>
  <c r="L333" i="31"/>
  <c r="H333" i="31"/>
  <c r="E333" i="31"/>
  <c r="D333" i="31"/>
  <c r="X333" i="31" s="1"/>
  <c r="C333" i="31"/>
  <c r="X332" i="31"/>
  <c r="W332" i="31"/>
  <c r="U332" i="31"/>
  <c r="Q332" i="31"/>
  <c r="M332" i="31"/>
  <c r="I332" i="31"/>
  <c r="E332" i="31"/>
  <c r="Y332" i="31" s="1"/>
  <c r="X331" i="31"/>
  <c r="W331" i="31"/>
  <c r="U331" i="31"/>
  <c r="Q331" i="31"/>
  <c r="M331" i="31"/>
  <c r="I331" i="31"/>
  <c r="E331" i="31"/>
  <c r="Y331" i="31" s="1"/>
  <c r="X329" i="31"/>
  <c r="M329" i="31"/>
  <c r="K329" i="31"/>
  <c r="K333" i="31" s="1"/>
  <c r="K335" i="31" s="1"/>
  <c r="M335" i="31" s="1"/>
  <c r="I329" i="31"/>
  <c r="I333" i="31" s="1"/>
  <c r="G329" i="31"/>
  <c r="G333" i="31" s="1"/>
  <c r="E329" i="31"/>
  <c r="T327" i="31"/>
  <c r="P327" i="31"/>
  <c r="X327" i="31" s="1"/>
  <c r="L327" i="31"/>
  <c r="H327" i="31"/>
  <c r="D327" i="31"/>
  <c r="C327" i="31"/>
  <c r="X326" i="31"/>
  <c r="I326" i="31"/>
  <c r="I327" i="31" s="1"/>
  <c r="G326" i="31"/>
  <c r="E326" i="31"/>
  <c r="C326" i="31"/>
  <c r="X325" i="31"/>
  <c r="W325" i="31"/>
  <c r="U325" i="31"/>
  <c r="Q325" i="31"/>
  <c r="M325" i="31"/>
  <c r="I325" i="31"/>
  <c r="E325" i="31"/>
  <c r="E327" i="31" s="1"/>
  <c r="Y322" i="31"/>
  <c r="X322" i="31"/>
  <c r="W322" i="31"/>
  <c r="U322" i="31"/>
  <c r="Q322" i="31"/>
  <c r="M322" i="31"/>
  <c r="I322" i="31"/>
  <c r="E322" i="31"/>
  <c r="O321" i="31"/>
  <c r="S321" i="31" s="1"/>
  <c r="K321" i="31"/>
  <c r="G321" i="31"/>
  <c r="D321" i="31"/>
  <c r="H321" i="31" s="1"/>
  <c r="C321" i="31"/>
  <c r="G320" i="31"/>
  <c r="G323" i="31" s="1"/>
  <c r="D320" i="31"/>
  <c r="C320" i="31"/>
  <c r="T318" i="31"/>
  <c r="P318" i="31"/>
  <c r="X318" i="31" s="1"/>
  <c r="L318" i="31"/>
  <c r="K318" i="31"/>
  <c r="H318" i="31"/>
  <c r="G318" i="31"/>
  <c r="E318" i="31"/>
  <c r="D318" i="31"/>
  <c r="C318" i="31"/>
  <c r="X317" i="31"/>
  <c r="S317" i="31"/>
  <c r="W317" i="31" s="1"/>
  <c r="Q317" i="31"/>
  <c r="M317" i="31"/>
  <c r="K317" i="31"/>
  <c r="I317" i="31"/>
  <c r="E317" i="31"/>
  <c r="X316" i="31"/>
  <c r="O316" i="31"/>
  <c r="S316" i="31" s="1"/>
  <c r="M316" i="31"/>
  <c r="I316" i="31"/>
  <c r="E316" i="31"/>
  <c r="Y315" i="31"/>
  <c r="X315" i="31"/>
  <c r="W315" i="31"/>
  <c r="U315" i="31"/>
  <c r="Q315" i="31"/>
  <c r="M315" i="31"/>
  <c r="M318" i="31" s="1"/>
  <c r="I315" i="31"/>
  <c r="I318" i="31" s="1"/>
  <c r="E315" i="31"/>
  <c r="H311" i="31"/>
  <c r="E311" i="31"/>
  <c r="C311" i="31"/>
  <c r="G311" i="31" s="1"/>
  <c r="I311" i="31" s="1"/>
  <c r="D310" i="31"/>
  <c r="G309" i="31"/>
  <c r="D309" i="31"/>
  <c r="D312" i="31" s="1"/>
  <c r="C309" i="31"/>
  <c r="E309" i="31" s="1"/>
  <c r="V307" i="31"/>
  <c r="R307" i="31"/>
  <c r="R313" i="31" s="1"/>
  <c r="R334" i="31" s="1"/>
  <c r="R336" i="31" s="1"/>
  <c r="N307" i="31"/>
  <c r="J307" i="31"/>
  <c r="J313" i="31" s="1"/>
  <c r="J334" i="31" s="1"/>
  <c r="J336" i="31" s="1"/>
  <c r="F307" i="31"/>
  <c r="F313" i="31" s="1"/>
  <c r="F334" i="31" s="1"/>
  <c r="D307" i="31"/>
  <c r="G306" i="31"/>
  <c r="D306" i="31"/>
  <c r="C306" i="31"/>
  <c r="C307" i="31" s="1"/>
  <c r="H305" i="31"/>
  <c r="L305" i="31" s="1"/>
  <c r="G305" i="31"/>
  <c r="K305" i="31" s="1"/>
  <c r="E305" i="31"/>
  <c r="H304" i="31"/>
  <c r="L304" i="31" s="1"/>
  <c r="G304" i="31"/>
  <c r="K304" i="31" s="1"/>
  <c r="E304" i="31"/>
  <c r="H303" i="31"/>
  <c r="L303" i="31" s="1"/>
  <c r="G303" i="31"/>
  <c r="K303" i="31" s="1"/>
  <c r="E303" i="31"/>
  <c r="H302" i="31"/>
  <c r="L302" i="31" s="1"/>
  <c r="G302" i="31"/>
  <c r="K302" i="31" s="1"/>
  <c r="E302" i="31"/>
  <c r="E306" i="31" s="1"/>
  <c r="D300" i="31"/>
  <c r="C300" i="31"/>
  <c r="K299" i="31"/>
  <c r="O299" i="31" s="1"/>
  <c r="H299" i="31"/>
  <c r="L299" i="31" s="1"/>
  <c r="P299" i="31" s="1"/>
  <c r="T299" i="31" s="1"/>
  <c r="G299" i="31"/>
  <c r="E299" i="31"/>
  <c r="K298" i="31"/>
  <c r="O298" i="31" s="1"/>
  <c r="H298" i="31"/>
  <c r="L298" i="31" s="1"/>
  <c r="P298" i="31" s="1"/>
  <c r="T298" i="31" s="1"/>
  <c r="G298" i="31"/>
  <c r="E298" i="31"/>
  <c r="K297" i="31"/>
  <c r="O297" i="31" s="1"/>
  <c r="H297" i="31"/>
  <c r="L297" i="31" s="1"/>
  <c r="P297" i="31" s="1"/>
  <c r="T297" i="31" s="1"/>
  <c r="G297" i="31"/>
  <c r="E297" i="31"/>
  <c r="K296" i="31"/>
  <c r="H296" i="31"/>
  <c r="L296" i="31" s="1"/>
  <c r="G296" i="31"/>
  <c r="G300" i="31" s="1"/>
  <c r="E296" i="31"/>
  <c r="E300" i="31" s="1"/>
  <c r="N291" i="31"/>
  <c r="F291" i="31"/>
  <c r="T289" i="31"/>
  <c r="P289" i="31"/>
  <c r="O289" i="31"/>
  <c r="L289" i="31"/>
  <c r="H289" i="31"/>
  <c r="G289" i="31"/>
  <c r="D289" i="31"/>
  <c r="X289" i="31" s="1"/>
  <c r="C289" i="31"/>
  <c r="X288" i="31"/>
  <c r="W288" i="31"/>
  <c r="U288" i="31"/>
  <c r="Q288" i="31"/>
  <c r="M288" i="31"/>
  <c r="I288" i="31"/>
  <c r="E288" i="31"/>
  <c r="Y288" i="31" s="1"/>
  <c r="X287" i="31"/>
  <c r="W287" i="31"/>
  <c r="U287" i="31"/>
  <c r="Q287" i="31"/>
  <c r="M287" i="31"/>
  <c r="I287" i="31"/>
  <c r="E287" i="31"/>
  <c r="X285" i="31"/>
  <c r="S285" i="31"/>
  <c r="O285" i="31"/>
  <c r="M285" i="31"/>
  <c r="M289" i="31" s="1"/>
  <c r="K285" i="31"/>
  <c r="K289" i="31" s="1"/>
  <c r="G285" i="31"/>
  <c r="I285" i="31" s="1"/>
  <c r="E285" i="31"/>
  <c r="T283" i="31"/>
  <c r="P283" i="31"/>
  <c r="L283" i="31"/>
  <c r="H283" i="31"/>
  <c r="D283" i="31"/>
  <c r="X283" i="31" s="1"/>
  <c r="X282" i="31"/>
  <c r="K282" i="31"/>
  <c r="I282" i="31"/>
  <c r="G282" i="31"/>
  <c r="G283" i="31" s="1"/>
  <c r="C282" i="31"/>
  <c r="X281" i="31"/>
  <c r="W281" i="31"/>
  <c r="U281" i="31"/>
  <c r="Q281" i="31"/>
  <c r="M281" i="31"/>
  <c r="I281" i="31"/>
  <c r="E281" i="31"/>
  <c r="C279" i="31"/>
  <c r="X278" i="31"/>
  <c r="W278" i="31"/>
  <c r="U278" i="31"/>
  <c r="Q278" i="31"/>
  <c r="M278" i="31"/>
  <c r="I278" i="31"/>
  <c r="E278" i="31"/>
  <c r="Y278" i="31" s="1"/>
  <c r="L277" i="31"/>
  <c r="H277" i="31"/>
  <c r="D277" i="31"/>
  <c r="C277" i="31"/>
  <c r="D276" i="31"/>
  <c r="E276" i="31" s="1"/>
  <c r="C276" i="31"/>
  <c r="G276" i="31" s="1"/>
  <c r="T274" i="31"/>
  <c r="P274" i="31"/>
  <c r="L274" i="31"/>
  <c r="K274" i="31"/>
  <c r="H274" i="31"/>
  <c r="X274" i="31" s="1"/>
  <c r="G274" i="31"/>
  <c r="D274" i="31"/>
  <c r="C274" i="31"/>
  <c r="X273" i="31"/>
  <c r="S273" i="31"/>
  <c r="S274" i="31" s="1"/>
  <c r="Q273" i="31"/>
  <c r="K273" i="31"/>
  <c r="I273" i="31"/>
  <c r="E273" i="31"/>
  <c r="X272" i="31"/>
  <c r="W272" i="31"/>
  <c r="S272" i="31"/>
  <c r="U272" i="31" s="1"/>
  <c r="Q272" i="31"/>
  <c r="Q274" i="31" s="1"/>
  <c r="O272" i="31"/>
  <c r="O274" i="31" s="1"/>
  <c r="M272" i="31"/>
  <c r="I272" i="31"/>
  <c r="E272" i="31"/>
  <c r="X271" i="31"/>
  <c r="W271" i="31"/>
  <c r="U271" i="31"/>
  <c r="Q271" i="31"/>
  <c r="M271" i="31"/>
  <c r="I271" i="31"/>
  <c r="I274" i="31" s="1"/>
  <c r="E271" i="31"/>
  <c r="E274" i="31" s="1"/>
  <c r="V269" i="31"/>
  <c r="V290" i="31" s="1"/>
  <c r="J269" i="31"/>
  <c r="J290" i="31" s="1"/>
  <c r="J292" i="31" s="1"/>
  <c r="J339" i="31" s="1"/>
  <c r="F269" i="31"/>
  <c r="F290" i="31" s="1"/>
  <c r="F292" i="31" s="1"/>
  <c r="I267" i="31"/>
  <c r="H267" i="31"/>
  <c r="G267" i="31"/>
  <c r="E267" i="31"/>
  <c r="C267" i="31"/>
  <c r="H265" i="31"/>
  <c r="D265" i="31"/>
  <c r="C265" i="31"/>
  <c r="E265" i="31" s="1"/>
  <c r="V263" i="31"/>
  <c r="V291" i="31" s="1"/>
  <c r="R263" i="31"/>
  <c r="R291" i="31" s="1"/>
  <c r="N263" i="31"/>
  <c r="N269" i="31" s="1"/>
  <c r="N290" i="31" s="1"/>
  <c r="N292" i="31" s="1"/>
  <c r="J263" i="31"/>
  <c r="J291" i="31" s="1"/>
  <c r="F263" i="31"/>
  <c r="H262" i="31"/>
  <c r="D262" i="31"/>
  <c r="C262" i="31"/>
  <c r="H261" i="31"/>
  <c r="L261" i="31" s="1"/>
  <c r="P261" i="31" s="1"/>
  <c r="T261" i="31" s="1"/>
  <c r="G261" i="31"/>
  <c r="E261" i="31"/>
  <c r="H260" i="31"/>
  <c r="L260" i="31" s="1"/>
  <c r="G260" i="31"/>
  <c r="I260" i="31" s="1"/>
  <c r="E260" i="31"/>
  <c r="X259" i="31"/>
  <c r="H259" i="31"/>
  <c r="L259" i="31" s="1"/>
  <c r="P259" i="31" s="1"/>
  <c r="T259" i="31" s="1"/>
  <c r="G259" i="31"/>
  <c r="E259" i="31"/>
  <c r="H258" i="31"/>
  <c r="L258" i="31" s="1"/>
  <c r="G258" i="31"/>
  <c r="I258" i="31" s="1"/>
  <c r="E258" i="31"/>
  <c r="E262" i="31" s="1"/>
  <c r="G256" i="31"/>
  <c r="G266" i="31" s="1"/>
  <c r="D256" i="31"/>
  <c r="D266" i="31" s="1"/>
  <c r="C256" i="31"/>
  <c r="P255" i="31"/>
  <c r="T255" i="31" s="1"/>
  <c r="L255" i="31"/>
  <c r="I255" i="31"/>
  <c r="H255" i="31"/>
  <c r="G255" i="31"/>
  <c r="E255" i="31"/>
  <c r="L254" i="31"/>
  <c r="P254" i="31" s="1"/>
  <c r="T254" i="31" s="1"/>
  <c r="H254" i="31"/>
  <c r="G254" i="31"/>
  <c r="E254" i="31"/>
  <c r="P253" i="31"/>
  <c r="T253" i="31" s="1"/>
  <c r="L253" i="31"/>
  <c r="H253" i="31"/>
  <c r="G253" i="31"/>
  <c r="E253" i="31"/>
  <c r="P252" i="31"/>
  <c r="L252" i="31"/>
  <c r="I252" i="31"/>
  <c r="H252" i="31"/>
  <c r="H256" i="31" s="1"/>
  <c r="H266" i="31" s="1"/>
  <c r="G252" i="31"/>
  <c r="E252" i="31"/>
  <c r="T333" i="28"/>
  <c r="P333" i="28"/>
  <c r="L333" i="28"/>
  <c r="H333" i="28"/>
  <c r="D333" i="28"/>
  <c r="C333" i="28"/>
  <c r="X332" i="28"/>
  <c r="W332" i="28"/>
  <c r="U332" i="28"/>
  <c r="Q332" i="28"/>
  <c r="M332" i="28"/>
  <c r="I332" i="28"/>
  <c r="E332" i="28"/>
  <c r="Y332" i="28" s="1"/>
  <c r="X331" i="28"/>
  <c r="W331" i="28"/>
  <c r="U331" i="28"/>
  <c r="Q331" i="28"/>
  <c r="M331" i="28"/>
  <c r="I331" i="28"/>
  <c r="E331" i="28"/>
  <c r="Y331" i="28" s="1"/>
  <c r="X330" i="28"/>
  <c r="W330" i="28"/>
  <c r="U330" i="28"/>
  <c r="Q330" i="28"/>
  <c r="M330" i="28"/>
  <c r="I330" i="28"/>
  <c r="E330" i="28"/>
  <c r="T327" i="28"/>
  <c r="P327" i="28"/>
  <c r="L327" i="28"/>
  <c r="H327" i="28"/>
  <c r="D327" i="28"/>
  <c r="X327" i="28" s="1"/>
  <c r="X326" i="28"/>
  <c r="G326" i="28"/>
  <c r="K326" i="28" s="1"/>
  <c r="K326" i="33" s="1"/>
  <c r="C326" i="28"/>
  <c r="E326" i="28" s="1"/>
  <c r="X325" i="28"/>
  <c r="W325" i="28"/>
  <c r="U325" i="28"/>
  <c r="Q325" i="28"/>
  <c r="M325" i="28"/>
  <c r="I325" i="28"/>
  <c r="E325" i="28"/>
  <c r="X322" i="28"/>
  <c r="W322" i="28"/>
  <c r="U322" i="28"/>
  <c r="Q322" i="28"/>
  <c r="M322" i="28"/>
  <c r="I322" i="28"/>
  <c r="E322" i="28"/>
  <c r="D321" i="28"/>
  <c r="H321" i="28" s="1"/>
  <c r="H321" i="33" s="1"/>
  <c r="C321" i="28"/>
  <c r="G321" i="28" s="1"/>
  <c r="G321" i="33" s="1"/>
  <c r="T318" i="28"/>
  <c r="P318" i="28"/>
  <c r="L318" i="28"/>
  <c r="H318" i="28"/>
  <c r="G318" i="28"/>
  <c r="D318" i="28"/>
  <c r="X318" i="28" s="1"/>
  <c r="C318" i="28"/>
  <c r="X317" i="28"/>
  <c r="S317" i="28"/>
  <c r="U317" i="28" s="1"/>
  <c r="Q317" i="28"/>
  <c r="K317" i="28"/>
  <c r="M317" i="28" s="1"/>
  <c r="I317" i="28"/>
  <c r="E317" i="28"/>
  <c r="X316" i="28"/>
  <c r="O316" i="28"/>
  <c r="O318" i="28" s="1"/>
  <c r="M316" i="28"/>
  <c r="I316" i="28"/>
  <c r="E316" i="28"/>
  <c r="X315" i="28"/>
  <c r="W315" i="28"/>
  <c r="U315" i="28"/>
  <c r="Q315" i="28"/>
  <c r="M315" i="28"/>
  <c r="I315" i="28"/>
  <c r="I318" i="28" s="1"/>
  <c r="E315" i="28"/>
  <c r="E318" i="28" s="1"/>
  <c r="H311" i="28"/>
  <c r="H311" i="33" s="1"/>
  <c r="E311" i="28"/>
  <c r="C311" i="28"/>
  <c r="G311" i="28" s="1"/>
  <c r="G311" i="33" s="1"/>
  <c r="I311" i="33" s="1"/>
  <c r="D309" i="28"/>
  <c r="D309" i="33" s="1"/>
  <c r="C309" i="28"/>
  <c r="C309" i="33" s="1"/>
  <c r="V307" i="28"/>
  <c r="V335" i="28" s="1"/>
  <c r="R307" i="28"/>
  <c r="R335" i="28" s="1"/>
  <c r="N307" i="28"/>
  <c r="N335" i="28" s="1"/>
  <c r="J307" i="28"/>
  <c r="J335" i="28" s="1"/>
  <c r="F307" i="28"/>
  <c r="D306" i="28"/>
  <c r="C306" i="28"/>
  <c r="H305" i="28"/>
  <c r="H305" i="33" s="1"/>
  <c r="G305" i="28"/>
  <c r="G305" i="33" s="1"/>
  <c r="E305" i="28"/>
  <c r="H304" i="28"/>
  <c r="L304" i="28" s="1"/>
  <c r="L310" i="28" s="1"/>
  <c r="G304" i="28"/>
  <c r="G304" i="33" s="1"/>
  <c r="E304" i="28"/>
  <c r="H303" i="28"/>
  <c r="L303" i="28" s="1"/>
  <c r="L303" i="33" s="1"/>
  <c r="G303" i="28"/>
  <c r="G303" i="33" s="1"/>
  <c r="E303" i="28"/>
  <c r="H302" i="28"/>
  <c r="H309" i="28" s="1"/>
  <c r="H309" i="33" s="1"/>
  <c r="G302" i="28"/>
  <c r="G302" i="33" s="1"/>
  <c r="E302" i="28"/>
  <c r="D300" i="28"/>
  <c r="D310" i="28" s="1"/>
  <c r="C300" i="28"/>
  <c r="C310" i="28" s="1"/>
  <c r="H299" i="28"/>
  <c r="H299" i="33" s="1"/>
  <c r="G299" i="28"/>
  <c r="K299" i="28" s="1"/>
  <c r="E299" i="28"/>
  <c r="H298" i="28"/>
  <c r="H298" i="33" s="1"/>
  <c r="G298" i="28"/>
  <c r="K298" i="28" s="1"/>
  <c r="E298" i="28"/>
  <c r="H297" i="28"/>
  <c r="L297" i="28" s="1"/>
  <c r="L297" i="33" s="1"/>
  <c r="G297" i="28"/>
  <c r="G297" i="33" s="1"/>
  <c r="E297" i="28"/>
  <c r="E300" i="28" s="1"/>
  <c r="E272" i="33" l="1"/>
  <c r="W278" i="33"/>
  <c r="K297" i="28"/>
  <c r="O297" i="28" s="1"/>
  <c r="O297" i="33" s="1"/>
  <c r="G300" i="28"/>
  <c r="G310" i="28" s="1"/>
  <c r="L318" i="33"/>
  <c r="Y322" i="28"/>
  <c r="L283" i="33"/>
  <c r="O298" i="28"/>
  <c r="O298" i="33" s="1"/>
  <c r="K298" i="33"/>
  <c r="O299" i="28"/>
  <c r="O299" i="33" s="1"/>
  <c r="K299" i="33"/>
  <c r="K300" i="28"/>
  <c r="W317" i="28"/>
  <c r="C327" i="28"/>
  <c r="W287" i="33"/>
  <c r="C321" i="33"/>
  <c r="G326" i="33"/>
  <c r="E306" i="28"/>
  <c r="H306" i="28"/>
  <c r="X333" i="28"/>
  <c r="D321" i="33"/>
  <c r="F313" i="28"/>
  <c r="F334" i="28" s="1"/>
  <c r="F335" i="28"/>
  <c r="G327" i="28"/>
  <c r="H297" i="33"/>
  <c r="I297" i="33" s="1"/>
  <c r="O316" i="33"/>
  <c r="Q316" i="33" s="1"/>
  <c r="G298" i="33"/>
  <c r="C300" i="33"/>
  <c r="S317" i="33"/>
  <c r="U317" i="33" s="1"/>
  <c r="D300" i="33"/>
  <c r="G299" i="33"/>
  <c r="I299" i="33" s="1"/>
  <c r="L304" i="33"/>
  <c r="C311" i="33"/>
  <c r="C326" i="33"/>
  <c r="C327" i="33" s="1"/>
  <c r="E309" i="28"/>
  <c r="K318" i="28"/>
  <c r="Y330" i="28"/>
  <c r="E315" i="33"/>
  <c r="E318" i="33" s="1"/>
  <c r="E329" i="33"/>
  <c r="H302" i="33"/>
  <c r="I302" i="33" s="1"/>
  <c r="S316" i="28"/>
  <c r="K304" i="28"/>
  <c r="H303" i="33"/>
  <c r="I303" i="33" s="1"/>
  <c r="K297" i="33"/>
  <c r="X330" i="33"/>
  <c r="E310" i="28"/>
  <c r="J313" i="28"/>
  <c r="J334" i="28" s="1"/>
  <c r="J336" i="28" s="1"/>
  <c r="F313" i="33"/>
  <c r="F334" i="33" s="1"/>
  <c r="F336" i="33" s="1"/>
  <c r="F335" i="33"/>
  <c r="D256" i="33"/>
  <c r="D263" i="33" s="1"/>
  <c r="H304" i="33"/>
  <c r="I304" i="33" s="1"/>
  <c r="P327" i="33"/>
  <c r="N313" i="28"/>
  <c r="N334" i="28" s="1"/>
  <c r="N336" i="28" s="1"/>
  <c r="T289" i="33"/>
  <c r="I326" i="28"/>
  <c r="I327" i="28" s="1"/>
  <c r="I325" i="33"/>
  <c r="Y325" i="33" s="1"/>
  <c r="K317" i="33"/>
  <c r="K318" i="33" s="1"/>
  <c r="K296" i="30"/>
  <c r="O296" i="30" s="1"/>
  <c r="O296" i="33" s="1"/>
  <c r="T333" i="33"/>
  <c r="X329" i="33"/>
  <c r="C307" i="28"/>
  <c r="G310" i="33"/>
  <c r="D307" i="28"/>
  <c r="P289" i="33"/>
  <c r="E285" i="33"/>
  <c r="G285" i="33"/>
  <c r="I285" i="33" s="1"/>
  <c r="I289" i="33" s="1"/>
  <c r="W330" i="33"/>
  <c r="D333" i="33"/>
  <c r="C333" i="33"/>
  <c r="C289" i="33"/>
  <c r="Y189" i="32"/>
  <c r="U220" i="32"/>
  <c r="Y220" i="32" s="1"/>
  <c r="W220" i="32"/>
  <c r="U144" i="32"/>
  <c r="Y144" i="32" s="1"/>
  <c r="W144" i="32"/>
  <c r="C307" i="30"/>
  <c r="G296" i="33"/>
  <c r="K296" i="33"/>
  <c r="C256" i="33"/>
  <c r="C263" i="30"/>
  <c r="G252" i="33"/>
  <c r="K252" i="30"/>
  <c r="X325" i="33"/>
  <c r="W322" i="33"/>
  <c r="X316" i="33"/>
  <c r="Q322" i="33"/>
  <c r="X322" i="33"/>
  <c r="L327" i="33"/>
  <c r="M322" i="33"/>
  <c r="Q318" i="33"/>
  <c r="Y331" i="33"/>
  <c r="Y330" i="33"/>
  <c r="X327" i="33"/>
  <c r="Y322" i="33"/>
  <c r="X317" i="33"/>
  <c r="H318" i="33"/>
  <c r="X318" i="33" s="1"/>
  <c r="I318" i="33"/>
  <c r="E332" i="33"/>
  <c r="Y332" i="33" s="1"/>
  <c r="X332" i="33"/>
  <c r="W325" i="33"/>
  <c r="C318" i="33"/>
  <c r="D306" i="33"/>
  <c r="E304" i="33"/>
  <c r="E306" i="33" s="1"/>
  <c r="I298" i="33"/>
  <c r="E296" i="33"/>
  <c r="E300" i="33" s="1"/>
  <c r="C307" i="33"/>
  <c r="D307" i="33"/>
  <c r="U287" i="33"/>
  <c r="Y287" i="33" s="1"/>
  <c r="X282" i="33"/>
  <c r="W286" i="33"/>
  <c r="X286" i="33"/>
  <c r="Q273" i="33"/>
  <c r="X272" i="33"/>
  <c r="Y288" i="33"/>
  <c r="Y286" i="33"/>
  <c r="H289" i="33"/>
  <c r="H283" i="33"/>
  <c r="X283" i="33" s="1"/>
  <c r="I278" i="33"/>
  <c r="Y278" i="33" s="1"/>
  <c r="G274" i="33"/>
  <c r="I274" i="33"/>
  <c r="E274" i="33"/>
  <c r="E261" i="33"/>
  <c r="X285" i="33"/>
  <c r="W281" i="33"/>
  <c r="X271" i="33"/>
  <c r="X281" i="33"/>
  <c r="X274" i="33"/>
  <c r="E281" i="33"/>
  <c r="Y281" i="33" s="1"/>
  <c r="I276" i="33"/>
  <c r="W271" i="33"/>
  <c r="C262" i="33"/>
  <c r="E258" i="33"/>
  <c r="E256" i="33"/>
  <c r="I321" i="33"/>
  <c r="M326" i="33"/>
  <c r="M327" i="33" s="1"/>
  <c r="K327" i="33"/>
  <c r="J269" i="33"/>
  <c r="J290" i="33" s="1"/>
  <c r="J292" i="33" s="1"/>
  <c r="J313" i="33"/>
  <c r="J334" i="33" s="1"/>
  <c r="J336" i="33" s="1"/>
  <c r="E320" i="33"/>
  <c r="F291" i="33"/>
  <c r="F292" i="33" s="1"/>
  <c r="I320" i="33"/>
  <c r="N269" i="33"/>
  <c r="N290" i="33" s="1"/>
  <c r="N292" i="33" s="1"/>
  <c r="E309" i="33"/>
  <c r="N313" i="33"/>
  <c r="N334" i="33" s="1"/>
  <c r="N336" i="33" s="1"/>
  <c r="G327" i="33"/>
  <c r="O318" i="33"/>
  <c r="I329" i="33"/>
  <c r="I333" i="33" s="1"/>
  <c r="Y271" i="33"/>
  <c r="R269" i="33"/>
  <c r="R290" i="33" s="1"/>
  <c r="R292" i="33" s="1"/>
  <c r="E311" i="33"/>
  <c r="Y315" i="33"/>
  <c r="I326" i="33"/>
  <c r="I327" i="33" s="1"/>
  <c r="E289" i="33"/>
  <c r="R313" i="33"/>
  <c r="R334" i="33" s="1"/>
  <c r="R336" i="33" s="1"/>
  <c r="E333" i="33"/>
  <c r="C323" i="33"/>
  <c r="G333" i="33"/>
  <c r="V269" i="33"/>
  <c r="V290" i="33" s="1"/>
  <c r="V292" i="33" s="1"/>
  <c r="H300" i="33"/>
  <c r="I305" i="33"/>
  <c r="G306" i="33"/>
  <c r="V313" i="33"/>
  <c r="V334" i="33" s="1"/>
  <c r="V336" i="33" s="1"/>
  <c r="M297" i="33"/>
  <c r="O254" i="23"/>
  <c r="M254" i="23"/>
  <c r="D313" i="23"/>
  <c r="M260" i="23"/>
  <c r="K266" i="23"/>
  <c r="M266" i="23" s="1"/>
  <c r="O260" i="23"/>
  <c r="L300" i="23"/>
  <c r="L311" i="23" s="1"/>
  <c r="P296" i="23"/>
  <c r="G312" i="23"/>
  <c r="U316" i="23"/>
  <c r="U318" i="23" s="1"/>
  <c r="S318" i="23"/>
  <c r="W316" i="23"/>
  <c r="S296" i="23"/>
  <c r="O300" i="23"/>
  <c r="O311" i="23" s="1"/>
  <c r="Q296" i="23"/>
  <c r="O255" i="23"/>
  <c r="M255" i="23"/>
  <c r="G307" i="23"/>
  <c r="G335" i="23" s="1"/>
  <c r="I335" i="23" s="1"/>
  <c r="M305" i="23"/>
  <c r="P305" i="23"/>
  <c r="T305" i="23" s="1"/>
  <c r="M302" i="23"/>
  <c r="L309" i="23"/>
  <c r="M309" i="23" s="1"/>
  <c r="P302" i="23"/>
  <c r="L306" i="23"/>
  <c r="M261" i="23"/>
  <c r="O261" i="23"/>
  <c r="P297" i="23"/>
  <c r="T297" i="23" s="1"/>
  <c r="U305" i="23"/>
  <c r="S297" i="23"/>
  <c r="U297" i="23" s="1"/>
  <c r="Q297" i="23"/>
  <c r="O312" i="23"/>
  <c r="O313" i="23" s="1"/>
  <c r="K321" i="23"/>
  <c r="I321" i="23"/>
  <c r="E263" i="23"/>
  <c r="K262" i="23"/>
  <c r="M258" i="23"/>
  <c r="M262" i="23" s="1"/>
  <c r="K265" i="23"/>
  <c r="O258" i="23"/>
  <c r="X277" i="23"/>
  <c r="L277" i="23"/>
  <c r="P277" i="23" s="1"/>
  <c r="T277" i="23" s="1"/>
  <c r="M282" i="23"/>
  <c r="M283" i="23" s="1"/>
  <c r="K283" i="23"/>
  <c r="O282" i="23" s="1"/>
  <c r="M326" i="23"/>
  <c r="M327" i="23" s="1"/>
  <c r="K327" i="23"/>
  <c r="O326" i="23" s="1"/>
  <c r="P298" i="23"/>
  <c r="T298" i="23" s="1"/>
  <c r="M303" i="23"/>
  <c r="P303" i="23"/>
  <c r="T303" i="23" s="1"/>
  <c r="K307" i="23"/>
  <c r="K335" i="23" s="1"/>
  <c r="M335" i="23" s="1"/>
  <c r="O252" i="23"/>
  <c r="K256" i="23"/>
  <c r="K267" i="23" s="1"/>
  <c r="M267" i="23" s="1"/>
  <c r="M252" i="23"/>
  <c r="L268" i="23"/>
  <c r="S298" i="23"/>
  <c r="P252" i="23"/>
  <c r="L256" i="23"/>
  <c r="L267" i="23" s="1"/>
  <c r="Y299" i="23"/>
  <c r="U303" i="23"/>
  <c r="M259" i="23"/>
  <c r="O259" i="23"/>
  <c r="W318" i="23"/>
  <c r="O253" i="23"/>
  <c r="M253" i="23"/>
  <c r="P299" i="23"/>
  <c r="T299" i="23" s="1"/>
  <c r="S299" i="23"/>
  <c r="U299" i="23" s="1"/>
  <c r="Q299" i="23"/>
  <c r="L310" i="23"/>
  <c r="M310" i="23" s="1"/>
  <c r="M304" i="23"/>
  <c r="P304" i="23"/>
  <c r="X259" i="23"/>
  <c r="P258" i="23"/>
  <c r="P259" i="23"/>
  <c r="T259" i="23" s="1"/>
  <c r="P260" i="23"/>
  <c r="P261" i="23"/>
  <c r="T261" i="23" s="1"/>
  <c r="G276" i="23"/>
  <c r="E320" i="23"/>
  <c r="X321" i="23"/>
  <c r="E277" i="23"/>
  <c r="E279" i="23" s="1"/>
  <c r="F291" i="23"/>
  <c r="F292" i="23" s="1"/>
  <c r="F339" i="23" s="1"/>
  <c r="I318" i="23"/>
  <c r="G277" i="23"/>
  <c r="Y281" i="23"/>
  <c r="Q305" i="23"/>
  <c r="O306" i="23"/>
  <c r="O307" i="23" s="1"/>
  <c r="O335" i="23" s="1"/>
  <c r="Q335" i="23" s="1"/>
  <c r="H320" i="23"/>
  <c r="E321" i="23"/>
  <c r="F335" i="23"/>
  <c r="F336" i="23" s="1"/>
  <c r="E265" i="23"/>
  <c r="C266" i="23"/>
  <c r="C268" i="23" s="1"/>
  <c r="N269" i="23"/>
  <c r="N290" i="23" s="1"/>
  <c r="N292" i="23" s="1"/>
  <c r="G283" i="23"/>
  <c r="S302" i="23"/>
  <c r="S304" i="23"/>
  <c r="Y325" i="23"/>
  <c r="X253" i="23"/>
  <c r="X254" i="23"/>
  <c r="X255" i="23"/>
  <c r="G265" i="23"/>
  <c r="D266" i="23"/>
  <c r="L276" i="23"/>
  <c r="E282" i="23"/>
  <c r="E283" i="23" s="1"/>
  <c r="I285" i="23"/>
  <c r="I289" i="23" s="1"/>
  <c r="W298" i="23"/>
  <c r="C310" i="23"/>
  <c r="N313" i="23"/>
  <c r="N334" i="23" s="1"/>
  <c r="N336" i="23" s="1"/>
  <c r="K320" i="23"/>
  <c r="G327" i="23"/>
  <c r="H265" i="23"/>
  <c r="E267" i="23"/>
  <c r="Y271" i="23"/>
  <c r="I282" i="23"/>
  <c r="I283" i="23" s="1"/>
  <c r="M285" i="23"/>
  <c r="M289" i="23" s="1"/>
  <c r="W302" i="23"/>
  <c r="W303" i="23"/>
  <c r="Y303" i="23" s="1"/>
  <c r="W304" i="23"/>
  <c r="W305" i="23"/>
  <c r="Y305" i="23" s="1"/>
  <c r="H309" i="23"/>
  <c r="H312" i="23" s="1"/>
  <c r="H313" i="23" s="1"/>
  <c r="K329" i="23"/>
  <c r="R269" i="23"/>
  <c r="R290" i="23" s="1"/>
  <c r="R292" i="23" s="1"/>
  <c r="S274" i="23"/>
  <c r="W274" i="23" s="1"/>
  <c r="O285" i="23"/>
  <c r="X303" i="23"/>
  <c r="X305" i="23"/>
  <c r="E289" i="23"/>
  <c r="R313" i="23"/>
  <c r="R334" i="23" s="1"/>
  <c r="R336" i="23" s="1"/>
  <c r="I252" i="23"/>
  <c r="I253" i="23"/>
  <c r="I254" i="23"/>
  <c r="I255" i="23"/>
  <c r="G256" i="23"/>
  <c r="G266" i="23" s="1"/>
  <c r="I266" i="23" s="1"/>
  <c r="C279" i="23"/>
  <c r="E333" i="23"/>
  <c r="H256" i="23"/>
  <c r="H266" i="23" s="1"/>
  <c r="D279" i="23"/>
  <c r="I296" i="23"/>
  <c r="I300" i="23" s="1"/>
  <c r="G333" i="23"/>
  <c r="I258" i="23"/>
  <c r="I260" i="23"/>
  <c r="I261" i="23"/>
  <c r="G262" i="23"/>
  <c r="G263" i="23" s="1"/>
  <c r="G291" i="23" s="1"/>
  <c r="I291" i="23" s="1"/>
  <c r="V269" i="23"/>
  <c r="V290" i="23" s="1"/>
  <c r="V292" i="23" s="1"/>
  <c r="D323" i="23"/>
  <c r="I302" i="23"/>
  <c r="I306" i="23" s="1"/>
  <c r="I307" i="23" s="1"/>
  <c r="V313" i="23"/>
  <c r="V334" i="23" s="1"/>
  <c r="V336" i="23" s="1"/>
  <c r="Q316" i="23"/>
  <c r="U272" i="23"/>
  <c r="Y272" i="23" s="1"/>
  <c r="M296" i="23"/>
  <c r="M297" i="23"/>
  <c r="Y297" i="23" s="1"/>
  <c r="M298" i="23"/>
  <c r="M299" i="23"/>
  <c r="K300" i="23"/>
  <c r="K311" i="23" s="1"/>
  <c r="H306" i="23"/>
  <c r="H307" i="23" s="1"/>
  <c r="P254" i="9"/>
  <c r="T254" i="9" s="1"/>
  <c r="T256" i="9" s="1"/>
  <c r="T267" i="9" s="1"/>
  <c r="M299" i="9"/>
  <c r="O299" i="9"/>
  <c r="S299" i="9" s="1"/>
  <c r="L256" i="9"/>
  <c r="L267" i="9" s="1"/>
  <c r="P252" i="9"/>
  <c r="T252" i="9" s="1"/>
  <c r="E310" i="9"/>
  <c r="I253" i="9"/>
  <c r="D268" i="9"/>
  <c r="D269" i="9" s="1"/>
  <c r="D290" i="9" s="1"/>
  <c r="D292" i="9" s="1"/>
  <c r="X274" i="9"/>
  <c r="Y287" i="9"/>
  <c r="X289" i="9"/>
  <c r="O297" i="9"/>
  <c r="S297" i="9" s="1"/>
  <c r="Y330" i="9"/>
  <c r="I260" i="9"/>
  <c r="G265" i="9"/>
  <c r="I265" i="9" s="1"/>
  <c r="H265" i="9"/>
  <c r="E283" i="9"/>
  <c r="H307" i="9"/>
  <c r="M317" i="9"/>
  <c r="L302" i="9"/>
  <c r="L309" i="9" s="1"/>
  <c r="Y315" i="9"/>
  <c r="E326" i="9"/>
  <c r="E327" i="9" s="1"/>
  <c r="H256" i="9"/>
  <c r="H266" i="9" s="1"/>
  <c r="H268" i="9" s="1"/>
  <c r="I298" i="9"/>
  <c r="I318" i="9"/>
  <c r="Y322" i="9"/>
  <c r="I261" i="9"/>
  <c r="E300" i="9"/>
  <c r="E256" i="9"/>
  <c r="E262" i="9"/>
  <c r="F269" i="9"/>
  <c r="F290" i="9" s="1"/>
  <c r="F292" i="9" s="1"/>
  <c r="I289" i="9"/>
  <c r="G300" i="9"/>
  <c r="X303" i="9"/>
  <c r="R336" i="9"/>
  <c r="G262" i="9"/>
  <c r="I296" i="9"/>
  <c r="I252" i="9"/>
  <c r="I256" i="9" s="1"/>
  <c r="I258" i="9"/>
  <c r="E274" i="9"/>
  <c r="M273" i="9"/>
  <c r="Y273" i="9" s="1"/>
  <c r="Y286" i="9"/>
  <c r="K296" i="9"/>
  <c r="C312" i="9"/>
  <c r="K252" i="9"/>
  <c r="O252" i="9" s="1"/>
  <c r="S252" i="9" s="1"/>
  <c r="I274" i="9"/>
  <c r="I299" i="9"/>
  <c r="D312" i="9"/>
  <c r="D313" i="9" s="1"/>
  <c r="Y278" i="9"/>
  <c r="E309" i="9"/>
  <c r="Q274" i="9"/>
  <c r="G309" i="9"/>
  <c r="O318" i="9"/>
  <c r="E333" i="9"/>
  <c r="R335" i="9"/>
  <c r="Q255" i="9"/>
  <c r="S255" i="9"/>
  <c r="U255" i="9" s="1"/>
  <c r="M260" i="9"/>
  <c r="K266" i="9"/>
  <c r="O260" i="9"/>
  <c r="I311" i="9"/>
  <c r="X255" i="9"/>
  <c r="L266" i="9"/>
  <c r="P260" i="9"/>
  <c r="Q253" i="9"/>
  <c r="S253" i="9"/>
  <c r="U253" i="9" s="1"/>
  <c r="K309" i="9"/>
  <c r="K306" i="9"/>
  <c r="O302" i="9"/>
  <c r="K321" i="9"/>
  <c r="I321" i="9"/>
  <c r="X253" i="9"/>
  <c r="E307" i="9"/>
  <c r="N336" i="9"/>
  <c r="Y317" i="9"/>
  <c r="W272" i="9"/>
  <c r="U272" i="9"/>
  <c r="Y272" i="9" s="1"/>
  <c r="S274" i="9"/>
  <c r="P298" i="9"/>
  <c r="T298" i="9" s="1"/>
  <c r="L312" i="9"/>
  <c r="P321" i="9"/>
  <c r="T321" i="9" s="1"/>
  <c r="M326" i="9"/>
  <c r="K327" i="9"/>
  <c r="O326" i="9" s="1"/>
  <c r="M298" i="9"/>
  <c r="O303" i="9"/>
  <c r="M303" i="9"/>
  <c r="E263" i="9"/>
  <c r="G263" i="9"/>
  <c r="G291" i="9" s="1"/>
  <c r="I291" i="9" s="1"/>
  <c r="G266" i="9"/>
  <c r="I266" i="9" s="1"/>
  <c r="K262" i="9"/>
  <c r="M258" i="9"/>
  <c r="K265" i="9"/>
  <c r="O258" i="9"/>
  <c r="L300" i="9"/>
  <c r="L311" i="9" s="1"/>
  <c r="P296" i="9"/>
  <c r="U298" i="9"/>
  <c r="S254" i="9"/>
  <c r="U254" i="9" s="1"/>
  <c r="L265" i="9"/>
  <c r="L262" i="9"/>
  <c r="P258" i="9"/>
  <c r="V292" i="9"/>
  <c r="P299" i="9"/>
  <c r="T299" i="9" s="1"/>
  <c r="U299" i="9" s="1"/>
  <c r="K310" i="9"/>
  <c r="M310" i="9" s="1"/>
  <c r="M304" i="9"/>
  <c r="O304" i="9"/>
  <c r="C313" i="9"/>
  <c r="G310" i="9"/>
  <c r="I310" i="9" s="1"/>
  <c r="Q252" i="9"/>
  <c r="O256" i="9"/>
  <c r="O267" i="9" s="1"/>
  <c r="L277" i="9"/>
  <c r="P277" i="9" s="1"/>
  <c r="T277" i="9" s="1"/>
  <c r="X277" i="9"/>
  <c r="M259" i="9"/>
  <c r="O259" i="9"/>
  <c r="M282" i="9"/>
  <c r="M283" i="9" s="1"/>
  <c r="K283" i="9"/>
  <c r="O282" i="9" s="1"/>
  <c r="M261" i="9"/>
  <c r="O261" i="9"/>
  <c r="G312" i="9"/>
  <c r="U274" i="9"/>
  <c r="P297" i="9"/>
  <c r="T297" i="9" s="1"/>
  <c r="X297" i="9" s="1"/>
  <c r="M305" i="9"/>
  <c r="O305" i="9"/>
  <c r="U316" i="9"/>
  <c r="U318" i="9" s="1"/>
  <c r="S318" i="9"/>
  <c r="W316" i="9"/>
  <c r="M327" i="9"/>
  <c r="X305" i="9"/>
  <c r="Q298" i="9"/>
  <c r="L306" i="9"/>
  <c r="L307" i="9" s="1"/>
  <c r="E320" i="9"/>
  <c r="K274" i="9"/>
  <c r="H276" i="9"/>
  <c r="I276" i="9" s="1"/>
  <c r="E277" i="9"/>
  <c r="E279" i="9" s="1"/>
  <c r="P304" i="9"/>
  <c r="G320" i="9"/>
  <c r="G277" i="9"/>
  <c r="G279" i="9" s="1"/>
  <c r="Y281" i="9"/>
  <c r="K318" i="9"/>
  <c r="W318" i="9" s="1"/>
  <c r="H320" i="9"/>
  <c r="E321" i="9"/>
  <c r="F335" i="9"/>
  <c r="F336" i="9" s="1"/>
  <c r="W253" i="9"/>
  <c r="E265" i="9"/>
  <c r="C266" i="9"/>
  <c r="C268" i="9" s="1"/>
  <c r="N269" i="9"/>
  <c r="N290" i="9" s="1"/>
  <c r="N292" i="9" s="1"/>
  <c r="K276" i="9"/>
  <c r="G283" i="9"/>
  <c r="Y325" i="9"/>
  <c r="X252" i="9"/>
  <c r="W297" i="9"/>
  <c r="W298" i="9"/>
  <c r="W299" i="9"/>
  <c r="M318" i="9"/>
  <c r="X259" i="9"/>
  <c r="X261" i="9"/>
  <c r="E267" i="9"/>
  <c r="Y271" i="9"/>
  <c r="I282" i="9"/>
  <c r="M285" i="9"/>
  <c r="M289" i="9" s="1"/>
  <c r="H309" i="9"/>
  <c r="H312" i="9" s="1"/>
  <c r="H313" i="9" s="1"/>
  <c r="K329" i="9"/>
  <c r="R269" i="9"/>
  <c r="R290" i="9" s="1"/>
  <c r="R292" i="9" s="1"/>
  <c r="O285" i="9"/>
  <c r="E311" i="9"/>
  <c r="E312" i="9" s="1"/>
  <c r="I326" i="9"/>
  <c r="I327" i="9" s="1"/>
  <c r="E289" i="9"/>
  <c r="D279" i="9"/>
  <c r="C323" i="9"/>
  <c r="G333" i="9"/>
  <c r="D323" i="9"/>
  <c r="M252" i="9"/>
  <c r="M253" i="9"/>
  <c r="M254" i="9"/>
  <c r="M255" i="9"/>
  <c r="K256" i="9"/>
  <c r="K267" i="9" s="1"/>
  <c r="M267" i="9" s="1"/>
  <c r="H262" i="9"/>
  <c r="I302" i="9"/>
  <c r="I303" i="9"/>
  <c r="I304" i="9"/>
  <c r="I305" i="9"/>
  <c r="G306" i="9"/>
  <c r="G307" i="9" s="1"/>
  <c r="G335" i="9" s="1"/>
  <c r="I335" i="9" s="1"/>
  <c r="V313" i="9"/>
  <c r="V334" i="9" s="1"/>
  <c r="V336" i="9" s="1"/>
  <c r="Q316" i="9"/>
  <c r="Q318" i="9" s="1"/>
  <c r="I333" i="9"/>
  <c r="M296" i="9"/>
  <c r="M305" i="24"/>
  <c r="O305" i="24"/>
  <c r="P252" i="24"/>
  <c r="L256" i="24"/>
  <c r="L267" i="24" s="1"/>
  <c r="M282" i="24"/>
  <c r="M283" i="24" s="1"/>
  <c r="K283" i="24"/>
  <c r="O282" i="24" s="1"/>
  <c r="L310" i="24"/>
  <c r="P304" i="24"/>
  <c r="Q252" i="24"/>
  <c r="O256" i="24"/>
  <c r="O267" i="24" s="1"/>
  <c r="S252" i="24"/>
  <c r="O298" i="24"/>
  <c r="M298" i="24"/>
  <c r="P298" i="24"/>
  <c r="T298" i="24" s="1"/>
  <c r="K262" i="24"/>
  <c r="K263" i="24" s="1"/>
  <c r="K291" i="24" s="1"/>
  <c r="M291" i="24" s="1"/>
  <c r="M258" i="24"/>
  <c r="O258" i="24"/>
  <c r="K265" i="24"/>
  <c r="L262" i="24"/>
  <c r="L263" i="24" s="1"/>
  <c r="L265" i="24"/>
  <c r="L268" i="24" s="1"/>
  <c r="L269" i="24" s="1"/>
  <c r="P258" i="24"/>
  <c r="O299" i="24"/>
  <c r="M299" i="24"/>
  <c r="K321" i="24"/>
  <c r="I321" i="24"/>
  <c r="S253" i="24"/>
  <c r="U253" i="24" s="1"/>
  <c r="Q253" i="24"/>
  <c r="Y253" i="24" s="1"/>
  <c r="P299" i="24"/>
  <c r="T299" i="24" s="1"/>
  <c r="U318" i="24"/>
  <c r="Y318" i="24" s="1"/>
  <c r="L321" i="24"/>
  <c r="P321" i="24" s="1"/>
  <c r="T321" i="24" s="1"/>
  <c r="C269" i="24"/>
  <c r="M326" i="24"/>
  <c r="M327" i="24" s="1"/>
  <c r="K327" i="24"/>
  <c r="E307" i="24"/>
  <c r="S254" i="24"/>
  <c r="U254" i="24" s="1"/>
  <c r="Q254" i="24"/>
  <c r="Y254" i="24" s="1"/>
  <c r="M260" i="24"/>
  <c r="K266" i="24"/>
  <c r="O260" i="24"/>
  <c r="O302" i="24"/>
  <c r="K306" i="24"/>
  <c r="M302" i="24"/>
  <c r="K309" i="24"/>
  <c r="F292" i="24"/>
  <c r="L266" i="24"/>
  <c r="P260" i="24"/>
  <c r="L306" i="24"/>
  <c r="L309" i="24"/>
  <c r="L312" i="24" s="1"/>
  <c r="P302" i="24"/>
  <c r="M259" i="24"/>
  <c r="O259" i="24"/>
  <c r="J292" i="24"/>
  <c r="O296" i="24"/>
  <c r="K300" i="24"/>
  <c r="K311" i="24" s="1"/>
  <c r="M311" i="24" s="1"/>
  <c r="M296" i="24"/>
  <c r="M300" i="24" s="1"/>
  <c r="C312" i="24"/>
  <c r="W272" i="24"/>
  <c r="M261" i="24"/>
  <c r="O261" i="24"/>
  <c r="L300" i="24"/>
  <c r="L311" i="24" s="1"/>
  <c r="P296" i="24"/>
  <c r="O303" i="24"/>
  <c r="M303" i="24"/>
  <c r="S255" i="24"/>
  <c r="U255" i="24" s="1"/>
  <c r="Q255" i="24"/>
  <c r="O297" i="24"/>
  <c r="M297" i="24"/>
  <c r="G266" i="24"/>
  <c r="I266" i="24" s="1"/>
  <c r="L277" i="24"/>
  <c r="P277" i="24" s="1"/>
  <c r="T277" i="24" s="1"/>
  <c r="X277" i="24"/>
  <c r="P297" i="24"/>
  <c r="T297" i="24" s="1"/>
  <c r="K310" i="24"/>
  <c r="O304" i="24"/>
  <c r="M304" i="24"/>
  <c r="J336" i="24"/>
  <c r="E277" i="24"/>
  <c r="F291" i="24"/>
  <c r="I276" i="24"/>
  <c r="G277" i="24"/>
  <c r="Y281" i="24"/>
  <c r="H320" i="24"/>
  <c r="E321" i="24"/>
  <c r="F335" i="24"/>
  <c r="F336" i="24" s="1"/>
  <c r="E320" i="24"/>
  <c r="W252" i="24"/>
  <c r="W253" i="24"/>
  <c r="E265" i="24"/>
  <c r="N269" i="24"/>
  <c r="N290" i="24" s="1"/>
  <c r="N292" i="24" s="1"/>
  <c r="K276" i="24"/>
  <c r="G283" i="24"/>
  <c r="I320" i="24"/>
  <c r="I323" i="24" s="1"/>
  <c r="Y325" i="24"/>
  <c r="X253" i="24"/>
  <c r="X254" i="24"/>
  <c r="X255" i="24"/>
  <c r="G265" i="24"/>
  <c r="D266" i="24"/>
  <c r="D268" i="24" s="1"/>
  <c r="O274" i="24"/>
  <c r="L276" i="24"/>
  <c r="E282" i="24"/>
  <c r="I285" i="24"/>
  <c r="I289" i="24" s="1"/>
  <c r="E309" i="24"/>
  <c r="N313" i="24"/>
  <c r="N334" i="24" s="1"/>
  <c r="N336" i="24" s="1"/>
  <c r="K320" i="24"/>
  <c r="H265" i="24"/>
  <c r="H268" i="24" s="1"/>
  <c r="D310" i="24"/>
  <c r="E310" i="24" s="1"/>
  <c r="X259" i="24"/>
  <c r="X261" i="24"/>
  <c r="E267" i="24"/>
  <c r="Y271" i="24"/>
  <c r="I282" i="24"/>
  <c r="I283" i="24" s="1"/>
  <c r="M285" i="24"/>
  <c r="M289" i="24" s="1"/>
  <c r="H309" i="24"/>
  <c r="K329" i="24"/>
  <c r="R269" i="24"/>
  <c r="R290" i="24" s="1"/>
  <c r="R292" i="24" s="1"/>
  <c r="R339" i="24" s="1"/>
  <c r="O285" i="24"/>
  <c r="X303" i="24"/>
  <c r="X305" i="24"/>
  <c r="E311" i="24"/>
  <c r="Y315" i="24"/>
  <c r="I326" i="24"/>
  <c r="R313" i="24"/>
  <c r="R334" i="24" s="1"/>
  <c r="R336" i="24" s="1"/>
  <c r="S318" i="24"/>
  <c r="W318" i="24" s="1"/>
  <c r="I252" i="24"/>
  <c r="C279" i="24"/>
  <c r="E333" i="24"/>
  <c r="I296" i="24"/>
  <c r="I300" i="24" s="1"/>
  <c r="I297" i="24"/>
  <c r="I298" i="24"/>
  <c r="I299" i="24"/>
  <c r="G300" i="24"/>
  <c r="C323" i="24"/>
  <c r="G333" i="24"/>
  <c r="I258" i="24"/>
  <c r="I259" i="24"/>
  <c r="I260" i="24"/>
  <c r="I261" i="24"/>
  <c r="G262" i="24"/>
  <c r="G263" i="24" s="1"/>
  <c r="G291" i="24" s="1"/>
  <c r="I291" i="24" s="1"/>
  <c r="V269" i="24"/>
  <c r="V290" i="24" s="1"/>
  <c r="V292" i="24" s="1"/>
  <c r="Q272" i="24"/>
  <c r="E279" i="24"/>
  <c r="H300" i="24"/>
  <c r="H310" i="24" s="1"/>
  <c r="D323" i="24"/>
  <c r="M252" i="24"/>
  <c r="M256" i="24" s="1"/>
  <c r="M253" i="24"/>
  <c r="M254" i="24"/>
  <c r="M255" i="24"/>
  <c r="Y255" i="24" s="1"/>
  <c r="K256" i="24"/>
  <c r="K267" i="24" s="1"/>
  <c r="M267" i="24" s="1"/>
  <c r="H262" i="24"/>
  <c r="S272" i="24"/>
  <c r="I302" i="24"/>
  <c r="I303" i="24"/>
  <c r="I304" i="24"/>
  <c r="I305" i="24"/>
  <c r="G306" i="24"/>
  <c r="V313" i="24"/>
  <c r="V334" i="24" s="1"/>
  <c r="V336" i="24" s="1"/>
  <c r="H306" i="24"/>
  <c r="H307" i="24" s="1"/>
  <c r="S297" i="30"/>
  <c r="U297" i="30" s="1"/>
  <c r="Q297" i="30"/>
  <c r="P252" i="30"/>
  <c r="L256" i="30"/>
  <c r="L267" i="30" s="1"/>
  <c r="M304" i="30"/>
  <c r="O304" i="30"/>
  <c r="E263" i="30"/>
  <c r="S298" i="30"/>
  <c r="U298" i="30" s="1"/>
  <c r="Q298" i="30"/>
  <c r="L310" i="30"/>
  <c r="L310" i="33" s="1"/>
  <c r="P304" i="30"/>
  <c r="K262" i="30"/>
  <c r="M258" i="30"/>
  <c r="K265" i="30"/>
  <c r="O258" i="30"/>
  <c r="L262" i="30"/>
  <c r="L265" i="30"/>
  <c r="P258" i="30"/>
  <c r="M305" i="30"/>
  <c r="O305" i="30"/>
  <c r="G323" i="30"/>
  <c r="M282" i="30"/>
  <c r="K283" i="30"/>
  <c r="O282" i="30" s="1"/>
  <c r="M303" i="30"/>
  <c r="O303" i="30"/>
  <c r="Q253" i="30"/>
  <c r="S253" i="30"/>
  <c r="U253" i="30" s="1"/>
  <c r="M259" i="30"/>
  <c r="O259" i="30"/>
  <c r="L300" i="30"/>
  <c r="L311" i="30" s="1"/>
  <c r="P296" i="30"/>
  <c r="M326" i="30"/>
  <c r="M327" i="30" s="1"/>
  <c r="K327" i="30"/>
  <c r="Q255" i="30"/>
  <c r="S255" i="30"/>
  <c r="U255" i="30" s="1"/>
  <c r="M283" i="30"/>
  <c r="S299" i="30"/>
  <c r="U299" i="30" s="1"/>
  <c r="Q299" i="30"/>
  <c r="S296" i="30"/>
  <c r="S296" i="33" s="1"/>
  <c r="O300" i="30"/>
  <c r="Q296" i="30"/>
  <c r="Q300" i="30" s="1"/>
  <c r="M260" i="30"/>
  <c r="O260" i="30"/>
  <c r="J292" i="30"/>
  <c r="J339" i="30" s="1"/>
  <c r="Y273" i="30"/>
  <c r="Q254" i="30"/>
  <c r="S254" i="30"/>
  <c r="U254" i="30" s="1"/>
  <c r="L266" i="30"/>
  <c r="P260" i="30"/>
  <c r="Y274" i="30"/>
  <c r="W297" i="30"/>
  <c r="E307" i="30"/>
  <c r="W318" i="30"/>
  <c r="M302" i="30"/>
  <c r="K309" i="30"/>
  <c r="K306" i="30"/>
  <c r="O302" i="30"/>
  <c r="W255" i="30"/>
  <c r="M261" i="30"/>
  <c r="O261" i="30"/>
  <c r="L309" i="30"/>
  <c r="L312" i="30" s="1"/>
  <c r="P302" i="30"/>
  <c r="L306" i="30"/>
  <c r="L307" i="30" s="1"/>
  <c r="F291" i="30"/>
  <c r="F292" i="30" s="1"/>
  <c r="F339" i="30" s="1"/>
  <c r="Y281" i="30"/>
  <c r="F335" i="30"/>
  <c r="F336" i="30" s="1"/>
  <c r="E265" i="30"/>
  <c r="C266" i="30"/>
  <c r="N269" i="30"/>
  <c r="N290" i="30" s="1"/>
  <c r="N292" i="30" s="1"/>
  <c r="N339" i="30" s="1"/>
  <c r="G283" i="30"/>
  <c r="Y325" i="30"/>
  <c r="X253" i="30"/>
  <c r="X254" i="30"/>
  <c r="X255" i="30"/>
  <c r="G265" i="30"/>
  <c r="D266" i="30"/>
  <c r="E282" i="30"/>
  <c r="I285" i="30"/>
  <c r="I289" i="30" s="1"/>
  <c r="E309" i="30"/>
  <c r="C310" i="30"/>
  <c r="C310" i="33" s="1"/>
  <c r="N313" i="30"/>
  <c r="N334" i="30" s="1"/>
  <c r="N336" i="30" s="1"/>
  <c r="K320" i="33"/>
  <c r="H265" i="30"/>
  <c r="K285" i="30"/>
  <c r="K285" i="33" s="1"/>
  <c r="X297" i="30"/>
  <c r="X298" i="30"/>
  <c r="X299" i="30"/>
  <c r="G309" i="30"/>
  <c r="D310" i="30"/>
  <c r="D310" i="33" s="1"/>
  <c r="M317" i="30"/>
  <c r="M318" i="30" s="1"/>
  <c r="Y318" i="30" s="1"/>
  <c r="E326" i="30"/>
  <c r="I329" i="30"/>
  <c r="I333" i="30" s="1"/>
  <c r="X259" i="30"/>
  <c r="X261" i="30"/>
  <c r="E267" i="30"/>
  <c r="Y271" i="30"/>
  <c r="I282" i="30"/>
  <c r="I283" i="30" s="1"/>
  <c r="H309" i="30"/>
  <c r="K329" i="30"/>
  <c r="K329" i="33" s="1"/>
  <c r="R269" i="30"/>
  <c r="R290" i="30" s="1"/>
  <c r="R292" i="30" s="1"/>
  <c r="S274" i="30"/>
  <c r="W274" i="30" s="1"/>
  <c r="X303" i="30"/>
  <c r="X305" i="30"/>
  <c r="E311" i="30"/>
  <c r="Y315" i="30"/>
  <c r="I326" i="30"/>
  <c r="I327" i="30" s="1"/>
  <c r="E289" i="30"/>
  <c r="R313" i="30"/>
  <c r="R334" i="30" s="1"/>
  <c r="R336" i="30" s="1"/>
  <c r="I252" i="30"/>
  <c r="I253" i="30"/>
  <c r="Y253" i="30" s="1"/>
  <c r="I254" i="30"/>
  <c r="Y254" i="30" s="1"/>
  <c r="I255" i="30"/>
  <c r="Y255" i="30" s="1"/>
  <c r="C279" i="30"/>
  <c r="E333" i="30"/>
  <c r="H256" i="30"/>
  <c r="H266" i="30" s="1"/>
  <c r="I266" i="30" s="1"/>
  <c r="D279" i="30"/>
  <c r="C323" i="30"/>
  <c r="G333" i="30"/>
  <c r="I258" i="30"/>
  <c r="I259" i="30"/>
  <c r="I260" i="30"/>
  <c r="I261" i="30"/>
  <c r="G262" i="30"/>
  <c r="G263" i="30" s="1"/>
  <c r="G291" i="30" s="1"/>
  <c r="I291" i="30" s="1"/>
  <c r="V269" i="30"/>
  <c r="V290" i="30" s="1"/>
  <c r="V292" i="30" s="1"/>
  <c r="E279" i="30"/>
  <c r="H300" i="30"/>
  <c r="H310" i="30" s="1"/>
  <c r="D323" i="30"/>
  <c r="M252" i="30"/>
  <c r="M256" i="30" s="1"/>
  <c r="M253" i="30"/>
  <c r="M254" i="30"/>
  <c r="M255" i="30"/>
  <c r="K256" i="30"/>
  <c r="H262" i="30"/>
  <c r="I302" i="30"/>
  <c r="I303" i="30"/>
  <c r="I304" i="30"/>
  <c r="I305" i="30"/>
  <c r="G306" i="30"/>
  <c r="G307" i="30" s="1"/>
  <c r="V313" i="30"/>
  <c r="V334" i="30" s="1"/>
  <c r="V336" i="30" s="1"/>
  <c r="M296" i="30"/>
  <c r="M297" i="30"/>
  <c r="Y297" i="30" s="1"/>
  <c r="M298" i="30"/>
  <c r="Y298" i="30" s="1"/>
  <c r="M299" i="30"/>
  <c r="Y299" i="30" s="1"/>
  <c r="K300" i="30"/>
  <c r="H306" i="30"/>
  <c r="W297" i="39"/>
  <c r="K321" i="39"/>
  <c r="I321" i="39"/>
  <c r="L277" i="39"/>
  <c r="P277" i="39" s="1"/>
  <c r="T277" i="39" s="1"/>
  <c r="M282" i="39"/>
  <c r="K283" i="39"/>
  <c r="T297" i="39"/>
  <c r="Q297" i="39"/>
  <c r="L321" i="39"/>
  <c r="P321" i="39" s="1"/>
  <c r="T321" i="39" s="1"/>
  <c r="K262" i="39"/>
  <c r="M258" i="39"/>
  <c r="M262" i="39" s="1"/>
  <c r="O258" i="39"/>
  <c r="K265" i="39"/>
  <c r="O326" i="39"/>
  <c r="E263" i="39"/>
  <c r="Q254" i="39"/>
  <c r="S254" i="39"/>
  <c r="U254" i="39" s="1"/>
  <c r="L262" i="39"/>
  <c r="L263" i="39" s="1"/>
  <c r="L265" i="39"/>
  <c r="P258" i="39"/>
  <c r="W274" i="39"/>
  <c r="K312" i="39"/>
  <c r="K313" i="39" s="1"/>
  <c r="M309" i="39"/>
  <c r="U297" i="39"/>
  <c r="C269" i="39"/>
  <c r="T298" i="39"/>
  <c r="Q298" i="39"/>
  <c r="L312" i="39"/>
  <c r="E307" i="39"/>
  <c r="Q252" i="39"/>
  <c r="Q256" i="39" s="1"/>
  <c r="O256" i="39"/>
  <c r="O267" i="39" s="1"/>
  <c r="Q267" i="39" s="1"/>
  <c r="S252" i="39"/>
  <c r="M259" i="39"/>
  <c r="O259" i="39"/>
  <c r="U298" i="39"/>
  <c r="O312" i="39"/>
  <c r="O313" i="39" s="1"/>
  <c r="D313" i="39"/>
  <c r="X255" i="39"/>
  <c r="M260" i="39"/>
  <c r="K266" i="39"/>
  <c r="O260" i="39"/>
  <c r="U316" i="39"/>
  <c r="U318" i="39" s="1"/>
  <c r="W316" i="39"/>
  <c r="S318" i="39"/>
  <c r="W318" i="39" s="1"/>
  <c r="L266" i="39"/>
  <c r="P260" i="39"/>
  <c r="I267" i="39"/>
  <c r="W272" i="39"/>
  <c r="U272" i="39"/>
  <c r="Y272" i="39" s="1"/>
  <c r="S274" i="39"/>
  <c r="M283" i="39"/>
  <c r="T299" i="39"/>
  <c r="Q299" i="39"/>
  <c r="X303" i="39"/>
  <c r="G313" i="39"/>
  <c r="X253" i="39"/>
  <c r="S255" i="39"/>
  <c r="U255" i="39" s="1"/>
  <c r="Q255" i="39"/>
  <c r="W255" i="39"/>
  <c r="X267" i="39"/>
  <c r="L300" i="39"/>
  <c r="L311" i="39" s="1"/>
  <c r="P296" i="39"/>
  <c r="Y299" i="39"/>
  <c r="M261" i="39"/>
  <c r="O261" i="39"/>
  <c r="M311" i="39"/>
  <c r="U299" i="39"/>
  <c r="U305" i="39"/>
  <c r="T256" i="39"/>
  <c r="T267" i="39" s="1"/>
  <c r="S253" i="39"/>
  <c r="U253" i="39" s="1"/>
  <c r="Q253" i="39"/>
  <c r="J292" i="39"/>
  <c r="J339" i="39" s="1"/>
  <c r="S300" i="39"/>
  <c r="S311" i="39" s="1"/>
  <c r="W300" i="39"/>
  <c r="G279" i="39"/>
  <c r="K274" i="39"/>
  <c r="H276" i="39"/>
  <c r="E277" i="39"/>
  <c r="P302" i="39"/>
  <c r="P304" i="39"/>
  <c r="G320" i="39"/>
  <c r="E320" i="39"/>
  <c r="I276" i="39"/>
  <c r="G277" i="39"/>
  <c r="Y281" i="39"/>
  <c r="Q302" i="39"/>
  <c r="Q306" i="39" s="1"/>
  <c r="Q303" i="39"/>
  <c r="Q304" i="39"/>
  <c r="Q305" i="39"/>
  <c r="O306" i="39"/>
  <c r="O307" i="39" s="1"/>
  <c r="O335" i="39" s="1"/>
  <c r="Q335" i="39" s="1"/>
  <c r="H320" i="39"/>
  <c r="E321" i="39"/>
  <c r="F335" i="39"/>
  <c r="F336" i="39" s="1"/>
  <c r="F339" i="39" s="1"/>
  <c r="S302" i="39"/>
  <c r="W302" i="39" s="1"/>
  <c r="X252" i="39"/>
  <c r="G265" i="39"/>
  <c r="D266" i="39"/>
  <c r="M273" i="39"/>
  <c r="M274" i="39" s="1"/>
  <c r="O274" i="39"/>
  <c r="E282" i="39"/>
  <c r="E283" i="39" s="1"/>
  <c r="I285" i="39"/>
  <c r="W296" i="39"/>
  <c r="W299" i="39"/>
  <c r="E309" i="39"/>
  <c r="C310" i="39"/>
  <c r="C312" i="39" s="1"/>
  <c r="N313" i="39"/>
  <c r="N334" i="39" s="1"/>
  <c r="N336" i="39" s="1"/>
  <c r="N339" i="39" s="1"/>
  <c r="K285" i="39"/>
  <c r="X297" i="39"/>
  <c r="X298" i="39"/>
  <c r="X299" i="39"/>
  <c r="Y325" i="39"/>
  <c r="X259" i="39"/>
  <c r="X261" i="39"/>
  <c r="E267" i="39"/>
  <c r="Y271" i="39"/>
  <c r="I282" i="39"/>
  <c r="I283" i="39" s="1"/>
  <c r="W303" i="39"/>
  <c r="W304" i="39"/>
  <c r="W305" i="39"/>
  <c r="Y305" i="39" s="1"/>
  <c r="H309" i="39"/>
  <c r="H312" i="39" s="1"/>
  <c r="K329" i="39"/>
  <c r="R269" i="39"/>
  <c r="R290" i="39" s="1"/>
  <c r="R292" i="39" s="1"/>
  <c r="R339" i="39" s="1"/>
  <c r="Y315" i="39"/>
  <c r="K276" i="39"/>
  <c r="R313" i="39"/>
  <c r="R334" i="39" s="1"/>
  <c r="R336" i="39" s="1"/>
  <c r="C279" i="39"/>
  <c r="G289" i="39"/>
  <c r="E333" i="39"/>
  <c r="D279" i="39"/>
  <c r="I296" i="39"/>
  <c r="I297" i="39"/>
  <c r="Y297" i="39" s="1"/>
  <c r="I298" i="39"/>
  <c r="Y298" i="39" s="1"/>
  <c r="C323" i="39"/>
  <c r="G333" i="39"/>
  <c r="I258" i="39"/>
  <c r="I262" i="39" s="1"/>
  <c r="I263" i="39" s="1"/>
  <c r="I259" i="39"/>
  <c r="I260" i="39"/>
  <c r="I261" i="39"/>
  <c r="G262" i="39"/>
  <c r="G263" i="39" s="1"/>
  <c r="G291" i="39" s="1"/>
  <c r="I291" i="39" s="1"/>
  <c r="E279" i="39"/>
  <c r="H300" i="39"/>
  <c r="H310" i="39" s="1"/>
  <c r="I310" i="39" s="1"/>
  <c r="D323" i="39"/>
  <c r="M252" i="39"/>
  <c r="M253" i="39"/>
  <c r="Y253" i="39" s="1"/>
  <c r="M254" i="39"/>
  <c r="Y254" i="39" s="1"/>
  <c r="M255" i="39"/>
  <c r="Y255" i="39" s="1"/>
  <c r="K256" i="39"/>
  <c r="K267" i="39" s="1"/>
  <c r="M267" i="39" s="1"/>
  <c r="H262" i="39"/>
  <c r="H263" i="39" s="1"/>
  <c r="H269" i="39" s="1"/>
  <c r="I302" i="39"/>
  <c r="I306" i="39" s="1"/>
  <c r="V313" i="39"/>
  <c r="V334" i="39" s="1"/>
  <c r="V336" i="39" s="1"/>
  <c r="V339" i="39" s="1"/>
  <c r="Q316" i="39"/>
  <c r="Q318" i="39" s="1"/>
  <c r="Y318" i="39" s="1"/>
  <c r="S304" i="39"/>
  <c r="M296" i="39"/>
  <c r="M300" i="39" s="1"/>
  <c r="M307" i="39" s="1"/>
  <c r="D269" i="29"/>
  <c r="D290" i="29" s="1"/>
  <c r="D292" i="29" s="1"/>
  <c r="M283" i="29"/>
  <c r="O296" i="29"/>
  <c r="K300" i="29"/>
  <c r="K311" i="29" s="1"/>
  <c r="M311" i="29" s="1"/>
  <c r="M296" i="29"/>
  <c r="M300" i="29" s="1"/>
  <c r="M260" i="29"/>
  <c r="K266" i="29"/>
  <c r="O260" i="29"/>
  <c r="L300" i="29"/>
  <c r="L311" i="29" s="1"/>
  <c r="P296" i="29"/>
  <c r="I310" i="29"/>
  <c r="G323" i="29"/>
  <c r="K309" i="29"/>
  <c r="M302" i="29"/>
  <c r="M306" i="29" s="1"/>
  <c r="O302" i="29"/>
  <c r="K306" i="29"/>
  <c r="M259" i="29"/>
  <c r="O259" i="29"/>
  <c r="J339" i="29"/>
  <c r="M261" i="29"/>
  <c r="O261" i="29"/>
  <c r="O297" i="29"/>
  <c r="M297" i="29"/>
  <c r="L309" i="29"/>
  <c r="P302" i="29"/>
  <c r="L306" i="29"/>
  <c r="K321" i="29"/>
  <c r="I321" i="29"/>
  <c r="T277" i="29"/>
  <c r="X277" i="29"/>
  <c r="P297" i="29"/>
  <c r="T297" i="29" s="1"/>
  <c r="X297" i="29"/>
  <c r="M326" i="29"/>
  <c r="M327" i="29" s="1"/>
  <c r="K327" i="29"/>
  <c r="O326" i="29" s="1"/>
  <c r="E307" i="29"/>
  <c r="M282" i="29"/>
  <c r="K283" i="29"/>
  <c r="O282" i="29" s="1"/>
  <c r="O303" i="29"/>
  <c r="M303" i="29"/>
  <c r="P252" i="29"/>
  <c r="L256" i="29"/>
  <c r="L267" i="29" s="1"/>
  <c r="Q252" i="29"/>
  <c r="Q256" i="29" s="1"/>
  <c r="O256" i="29"/>
  <c r="O267" i="29" s="1"/>
  <c r="S252" i="29"/>
  <c r="W252" i="29" s="1"/>
  <c r="E263" i="29"/>
  <c r="O298" i="29"/>
  <c r="M298" i="29"/>
  <c r="O305" i="29"/>
  <c r="M305" i="29"/>
  <c r="L266" i="29"/>
  <c r="P260" i="29"/>
  <c r="M274" i="29"/>
  <c r="P298" i="29"/>
  <c r="T298" i="29" s="1"/>
  <c r="K310" i="29"/>
  <c r="M310" i="29" s="1"/>
  <c r="O304" i="29"/>
  <c r="M304" i="29"/>
  <c r="C312" i="29"/>
  <c r="Q255" i="29"/>
  <c r="S255" i="29"/>
  <c r="U255" i="29" s="1"/>
  <c r="K262" i="29"/>
  <c r="M258" i="29"/>
  <c r="M262" i="29" s="1"/>
  <c r="K265" i="29"/>
  <c r="O258" i="29"/>
  <c r="U318" i="29"/>
  <c r="Y318" i="29" s="1"/>
  <c r="Y316" i="29"/>
  <c r="Q254" i="29"/>
  <c r="S254" i="29"/>
  <c r="U254" i="29" s="1"/>
  <c r="L265" i="29"/>
  <c r="L262" i="29"/>
  <c r="L263" i="29" s="1"/>
  <c r="P258" i="29"/>
  <c r="O299" i="29"/>
  <c r="M299" i="29"/>
  <c r="Q253" i="29"/>
  <c r="S253" i="29"/>
  <c r="U253" i="29" s="1"/>
  <c r="P299" i="29"/>
  <c r="T299" i="29" s="1"/>
  <c r="G276" i="29"/>
  <c r="C283" i="29"/>
  <c r="E320" i="29"/>
  <c r="X321" i="29"/>
  <c r="E277" i="29"/>
  <c r="G277" i="29"/>
  <c r="Y281" i="29"/>
  <c r="H320" i="29"/>
  <c r="E321" i="29"/>
  <c r="F335" i="29"/>
  <c r="F336" i="29" s="1"/>
  <c r="F339" i="29" s="1"/>
  <c r="E265" i="29"/>
  <c r="C266" i="29"/>
  <c r="N269" i="29"/>
  <c r="N290" i="29" s="1"/>
  <c r="N292" i="29" s="1"/>
  <c r="N339" i="29" s="1"/>
  <c r="G283" i="29"/>
  <c r="I320" i="29"/>
  <c r="I323" i="29" s="1"/>
  <c r="Y325" i="29"/>
  <c r="X253" i="29"/>
  <c r="X254" i="29"/>
  <c r="X255" i="29"/>
  <c r="G265" i="29"/>
  <c r="M273" i="29"/>
  <c r="Y273" i="29" s="1"/>
  <c r="O274" i="29"/>
  <c r="L276" i="29"/>
  <c r="E282" i="29"/>
  <c r="I285" i="29"/>
  <c r="I289" i="29" s="1"/>
  <c r="T304" i="29"/>
  <c r="T310" i="29" s="1"/>
  <c r="E309" i="29"/>
  <c r="N313" i="29"/>
  <c r="N334" i="29" s="1"/>
  <c r="N336" i="29" s="1"/>
  <c r="K320" i="29"/>
  <c r="G327" i="29"/>
  <c r="H265" i="29"/>
  <c r="G309" i="29"/>
  <c r="D310" i="29"/>
  <c r="D312" i="29" s="1"/>
  <c r="X259" i="29"/>
  <c r="X261" i="29"/>
  <c r="E267" i="29"/>
  <c r="Y271" i="29"/>
  <c r="I282" i="29"/>
  <c r="I283" i="29" s="1"/>
  <c r="M285" i="29"/>
  <c r="M289" i="29" s="1"/>
  <c r="K329" i="29"/>
  <c r="O285" i="29"/>
  <c r="X303" i="29"/>
  <c r="E311" i="29"/>
  <c r="Y315" i="29"/>
  <c r="I326" i="29"/>
  <c r="E289" i="29"/>
  <c r="R313" i="29"/>
  <c r="R334" i="29" s="1"/>
  <c r="R336" i="29" s="1"/>
  <c r="R339" i="29" s="1"/>
  <c r="S318" i="29"/>
  <c r="W318" i="29" s="1"/>
  <c r="I252" i="29"/>
  <c r="I255" i="29"/>
  <c r="Y255" i="29" s="1"/>
  <c r="C279" i="29"/>
  <c r="G289" i="29"/>
  <c r="E333" i="29"/>
  <c r="I258" i="29"/>
  <c r="I259" i="29"/>
  <c r="I260" i="29"/>
  <c r="I261" i="29"/>
  <c r="G262" i="29"/>
  <c r="G263" i="29" s="1"/>
  <c r="G291" i="29" s="1"/>
  <c r="I291" i="29" s="1"/>
  <c r="V269" i="29"/>
  <c r="V290" i="29" s="1"/>
  <c r="V292" i="29" s="1"/>
  <c r="V339" i="29" s="1"/>
  <c r="Q272" i="29"/>
  <c r="Q274" i="29" s="1"/>
  <c r="E279" i="29"/>
  <c r="H300" i="29"/>
  <c r="H310" i="29" s="1"/>
  <c r="H312" i="29" s="1"/>
  <c r="H313" i="29" s="1"/>
  <c r="D323" i="29"/>
  <c r="M252" i="29"/>
  <c r="M253" i="29"/>
  <c r="Y253" i="29" s="1"/>
  <c r="M254" i="29"/>
  <c r="Y254" i="29" s="1"/>
  <c r="M255" i="29"/>
  <c r="K256" i="29"/>
  <c r="K267" i="29" s="1"/>
  <c r="H262" i="29"/>
  <c r="H263" i="29" s="1"/>
  <c r="S272" i="29"/>
  <c r="I302" i="29"/>
  <c r="I303" i="29"/>
  <c r="I304" i="29"/>
  <c r="I305" i="29"/>
  <c r="G306" i="29"/>
  <c r="G307" i="29" s="1"/>
  <c r="G335" i="29" s="1"/>
  <c r="I335" i="29" s="1"/>
  <c r="V313" i="29"/>
  <c r="V334" i="29" s="1"/>
  <c r="V336" i="29" s="1"/>
  <c r="H306" i="29"/>
  <c r="H307" i="29" s="1"/>
  <c r="G279" i="38"/>
  <c r="P260" i="38"/>
  <c r="L266" i="38"/>
  <c r="M260" i="38"/>
  <c r="K266" i="38"/>
  <c r="M266" i="38" s="1"/>
  <c r="O260" i="38"/>
  <c r="I267" i="38"/>
  <c r="X267" i="38"/>
  <c r="O297" i="38"/>
  <c r="M297" i="38"/>
  <c r="O304" i="38"/>
  <c r="K310" i="38"/>
  <c r="M304" i="38"/>
  <c r="O255" i="38"/>
  <c r="M255" i="38"/>
  <c r="M261" i="38"/>
  <c r="O261" i="38"/>
  <c r="L277" i="38"/>
  <c r="P277" i="38" s="1"/>
  <c r="T277" i="38" s="1"/>
  <c r="M282" i="38"/>
  <c r="K283" i="38"/>
  <c r="P304" i="38"/>
  <c r="L310" i="38"/>
  <c r="Y318" i="38"/>
  <c r="O254" i="38"/>
  <c r="M254" i="38"/>
  <c r="O298" i="38"/>
  <c r="M298" i="38"/>
  <c r="I266" i="38"/>
  <c r="X261" i="38"/>
  <c r="M305" i="38"/>
  <c r="O305" i="38"/>
  <c r="K321" i="38"/>
  <c r="I321" i="38"/>
  <c r="I256" i="38"/>
  <c r="E263" i="38"/>
  <c r="H263" i="38"/>
  <c r="O303" i="38"/>
  <c r="M303" i="38"/>
  <c r="M326" i="38"/>
  <c r="M327" i="38" s="1"/>
  <c r="K327" i="38"/>
  <c r="O326" i="38" s="1"/>
  <c r="O299" i="38"/>
  <c r="M299" i="38"/>
  <c r="U318" i="38"/>
  <c r="S252" i="38"/>
  <c r="Q252" i="38"/>
  <c r="K262" i="38"/>
  <c r="M258" i="38"/>
  <c r="K265" i="38"/>
  <c r="O258" i="38"/>
  <c r="T252" i="38"/>
  <c r="T256" i="38" s="1"/>
  <c r="T267" i="38" s="1"/>
  <c r="P256" i="38"/>
  <c r="P267" i="38" s="1"/>
  <c r="D312" i="38"/>
  <c r="E283" i="38"/>
  <c r="E307" i="38"/>
  <c r="O302" i="38"/>
  <c r="K306" i="38"/>
  <c r="K307" i="38" s="1"/>
  <c r="K335" i="38" s="1"/>
  <c r="M335" i="38" s="1"/>
  <c r="K309" i="38"/>
  <c r="M302" i="38"/>
  <c r="M259" i="38"/>
  <c r="O259" i="38"/>
  <c r="M283" i="38"/>
  <c r="L309" i="38"/>
  <c r="L312" i="38" s="1"/>
  <c r="L306" i="38"/>
  <c r="P302" i="38"/>
  <c r="L300" i="38"/>
  <c r="L311" i="38" s="1"/>
  <c r="P296" i="38"/>
  <c r="Q274" i="38"/>
  <c r="X321" i="38"/>
  <c r="L321" i="38"/>
  <c r="P321" i="38" s="1"/>
  <c r="T321" i="38" s="1"/>
  <c r="S253" i="38"/>
  <c r="U253" i="38" s="1"/>
  <c r="Q253" i="38"/>
  <c r="P259" i="38"/>
  <c r="T259" i="38" s="1"/>
  <c r="L262" i="38"/>
  <c r="C268" i="38"/>
  <c r="O296" i="38"/>
  <c r="K300" i="38"/>
  <c r="K311" i="38" s="1"/>
  <c r="M311" i="38" s="1"/>
  <c r="M296" i="38"/>
  <c r="J336" i="38"/>
  <c r="J339" i="38" s="1"/>
  <c r="P262" i="38"/>
  <c r="P263" i="38" s="1"/>
  <c r="I276" i="38"/>
  <c r="G277" i="38"/>
  <c r="Y281" i="38"/>
  <c r="H320" i="38"/>
  <c r="E321" i="38"/>
  <c r="F335" i="38"/>
  <c r="F336" i="38" s="1"/>
  <c r="F339" i="38" s="1"/>
  <c r="W252" i="38"/>
  <c r="W253" i="38"/>
  <c r="T258" i="38"/>
  <c r="E265" i="38"/>
  <c r="C266" i="38"/>
  <c r="N269" i="38"/>
  <c r="N290" i="38" s="1"/>
  <c r="N292" i="38" s="1"/>
  <c r="K276" i="38"/>
  <c r="I320" i="38"/>
  <c r="Y325" i="38"/>
  <c r="X252" i="38"/>
  <c r="X253" i="38"/>
  <c r="X254" i="38"/>
  <c r="X255" i="38"/>
  <c r="G265" i="38"/>
  <c r="D266" i="38"/>
  <c r="M273" i="38"/>
  <c r="Y273" i="38" s="1"/>
  <c r="O274" i="38"/>
  <c r="L276" i="38"/>
  <c r="E282" i="38"/>
  <c r="I285" i="38"/>
  <c r="I289" i="38" s="1"/>
  <c r="E309" i="38"/>
  <c r="C310" i="38"/>
  <c r="N313" i="38"/>
  <c r="N334" i="38" s="1"/>
  <c r="N336" i="38" s="1"/>
  <c r="K320" i="38"/>
  <c r="G327" i="38"/>
  <c r="H265" i="38"/>
  <c r="K285" i="38"/>
  <c r="X297" i="38"/>
  <c r="X298" i="38"/>
  <c r="X299" i="38"/>
  <c r="G309" i="38"/>
  <c r="D310" i="38"/>
  <c r="E326" i="38"/>
  <c r="I329" i="38"/>
  <c r="I333" i="38" s="1"/>
  <c r="X258" i="38"/>
  <c r="X259" i="38"/>
  <c r="E267" i="38"/>
  <c r="Y271" i="38"/>
  <c r="H309" i="38"/>
  <c r="H312" i="38" s="1"/>
  <c r="R269" i="38"/>
  <c r="R290" i="38" s="1"/>
  <c r="R292" i="38" s="1"/>
  <c r="X303" i="38"/>
  <c r="X305" i="38"/>
  <c r="E311" i="38"/>
  <c r="Y315" i="38"/>
  <c r="I326" i="38"/>
  <c r="I327" i="38" s="1"/>
  <c r="M329" i="38"/>
  <c r="M333" i="38" s="1"/>
  <c r="E289" i="38"/>
  <c r="R313" i="38"/>
  <c r="R334" i="38" s="1"/>
  <c r="R336" i="38" s="1"/>
  <c r="S318" i="38"/>
  <c r="W318" i="38" s="1"/>
  <c r="O329" i="38"/>
  <c r="I254" i="38"/>
  <c r="I255" i="38"/>
  <c r="C279" i="38"/>
  <c r="G289" i="38"/>
  <c r="E333" i="38"/>
  <c r="D279" i="38"/>
  <c r="I296" i="38"/>
  <c r="I300" i="38" s="1"/>
  <c r="I297" i="38"/>
  <c r="I298" i="38"/>
  <c r="I299" i="38"/>
  <c r="G300" i="38"/>
  <c r="G310" i="38" s="1"/>
  <c r="I310" i="38" s="1"/>
  <c r="C323" i="38"/>
  <c r="G333" i="38"/>
  <c r="I258" i="38"/>
  <c r="I262" i="38" s="1"/>
  <c r="I263" i="38" s="1"/>
  <c r="I259" i="38"/>
  <c r="I260" i="38"/>
  <c r="I261" i="38"/>
  <c r="G262" i="38"/>
  <c r="V269" i="38"/>
  <c r="V290" i="38" s="1"/>
  <c r="V292" i="38" s="1"/>
  <c r="V339" i="38" s="1"/>
  <c r="Q272" i="38"/>
  <c r="H300" i="38"/>
  <c r="H310" i="38" s="1"/>
  <c r="D323" i="38"/>
  <c r="E277" i="38"/>
  <c r="M252" i="38"/>
  <c r="M253" i="38"/>
  <c r="Y253" i="38" s="1"/>
  <c r="K256" i="38"/>
  <c r="K267" i="38" s="1"/>
  <c r="M267" i="38" s="1"/>
  <c r="S272" i="38"/>
  <c r="I302" i="38"/>
  <c r="I303" i="38"/>
  <c r="I304" i="38"/>
  <c r="I305" i="38"/>
  <c r="G306" i="38"/>
  <c r="V313" i="38"/>
  <c r="V334" i="38" s="1"/>
  <c r="V336" i="38" s="1"/>
  <c r="E320" i="38"/>
  <c r="L256" i="38"/>
  <c r="L267" i="38" s="1"/>
  <c r="L268" i="38" s="1"/>
  <c r="H306" i="38"/>
  <c r="M260" i="32"/>
  <c r="K266" i="32"/>
  <c r="O260" i="32"/>
  <c r="E326" i="32"/>
  <c r="C327" i="32"/>
  <c r="L266" i="32"/>
  <c r="P260" i="32"/>
  <c r="X283" i="32"/>
  <c r="O296" i="32"/>
  <c r="K300" i="32"/>
  <c r="K311" i="32" s="1"/>
  <c r="M296" i="32"/>
  <c r="M305" i="32"/>
  <c r="O305" i="32"/>
  <c r="M326" i="32"/>
  <c r="K327" i="32"/>
  <c r="O326" i="32" s="1"/>
  <c r="L300" i="32"/>
  <c r="L311" i="32" s="1"/>
  <c r="P296" i="32"/>
  <c r="E263" i="32"/>
  <c r="X253" i="32"/>
  <c r="K262" i="32"/>
  <c r="M258" i="32"/>
  <c r="K265" i="32"/>
  <c r="O258" i="32"/>
  <c r="P261" i="32"/>
  <c r="T261" i="32" s="1"/>
  <c r="W273" i="32"/>
  <c r="K274" i="32"/>
  <c r="W274" i="32" s="1"/>
  <c r="P297" i="32"/>
  <c r="T297" i="32" s="1"/>
  <c r="L309" i="32"/>
  <c r="L312" i="32" s="1"/>
  <c r="P302" i="32"/>
  <c r="L306" i="32"/>
  <c r="O253" i="32"/>
  <c r="M253" i="32"/>
  <c r="O297" i="32"/>
  <c r="M297" i="32"/>
  <c r="E283" i="32"/>
  <c r="H312" i="32"/>
  <c r="O254" i="32"/>
  <c r="M254" i="32"/>
  <c r="K285" i="32"/>
  <c r="G289" i="32"/>
  <c r="U316" i="32"/>
  <c r="Y316" i="32" s="1"/>
  <c r="S318" i="32"/>
  <c r="W316" i="32"/>
  <c r="L265" i="32"/>
  <c r="L262" i="32"/>
  <c r="P258" i="32"/>
  <c r="C268" i="32"/>
  <c r="E266" i="32"/>
  <c r="P276" i="32"/>
  <c r="I285" i="32"/>
  <c r="I289" i="32" s="1"/>
  <c r="O298" i="32"/>
  <c r="M298" i="32"/>
  <c r="O303" i="32"/>
  <c r="M303" i="32"/>
  <c r="G323" i="32"/>
  <c r="P252" i="32"/>
  <c r="L256" i="32"/>
  <c r="L267" i="32" s="1"/>
  <c r="D269" i="32"/>
  <c r="D290" i="32" s="1"/>
  <c r="D292" i="32" s="1"/>
  <c r="K309" i="32"/>
  <c r="O302" i="32"/>
  <c r="K306" i="32"/>
  <c r="K307" i="32" s="1"/>
  <c r="K335" i="32" s="1"/>
  <c r="M335" i="32" s="1"/>
  <c r="M302" i="32"/>
  <c r="X298" i="32"/>
  <c r="P298" i="32"/>
  <c r="T298" i="32" s="1"/>
  <c r="N336" i="32"/>
  <c r="N339" i="32" s="1"/>
  <c r="M327" i="32"/>
  <c r="E333" i="32"/>
  <c r="U318" i="32"/>
  <c r="I311" i="32"/>
  <c r="I265" i="32"/>
  <c r="X254" i="32"/>
  <c r="M259" i="32"/>
  <c r="O259" i="32"/>
  <c r="Y318" i="32"/>
  <c r="K333" i="32"/>
  <c r="O329" i="32"/>
  <c r="M329" i="32"/>
  <c r="M333" i="32" s="1"/>
  <c r="Y332" i="32"/>
  <c r="M261" i="32"/>
  <c r="O261" i="32"/>
  <c r="P259" i="32"/>
  <c r="T259" i="32" s="1"/>
  <c r="L277" i="32"/>
  <c r="P277" i="32" s="1"/>
  <c r="T277" i="32" s="1"/>
  <c r="O255" i="32"/>
  <c r="M255" i="32"/>
  <c r="Y272" i="32"/>
  <c r="O299" i="32"/>
  <c r="M299" i="32"/>
  <c r="K310" i="32"/>
  <c r="M304" i="32"/>
  <c r="O304" i="32"/>
  <c r="C313" i="32"/>
  <c r="X321" i="32"/>
  <c r="Y330" i="32"/>
  <c r="E307" i="32"/>
  <c r="O252" i="32"/>
  <c r="K256" i="32"/>
  <c r="K267" i="32" s="1"/>
  <c r="M252" i="32"/>
  <c r="M256" i="32" s="1"/>
  <c r="Y278" i="32"/>
  <c r="E282" i="32"/>
  <c r="C283" i="32"/>
  <c r="P299" i="32"/>
  <c r="T299" i="32" s="1"/>
  <c r="L310" i="32"/>
  <c r="P304" i="32"/>
  <c r="E309" i="32"/>
  <c r="D312" i="32"/>
  <c r="I321" i="32"/>
  <c r="K321" i="32"/>
  <c r="I329" i="32"/>
  <c r="I333" i="32" s="1"/>
  <c r="G276" i="32"/>
  <c r="E320" i="32"/>
  <c r="E277" i="32"/>
  <c r="F291" i="32"/>
  <c r="F292" i="32" s="1"/>
  <c r="F339" i="32" s="1"/>
  <c r="G277" i="32"/>
  <c r="Y281" i="32"/>
  <c r="K318" i="32"/>
  <c r="W318" i="32" s="1"/>
  <c r="H320" i="32"/>
  <c r="F335" i="32"/>
  <c r="F336" i="32" s="1"/>
  <c r="G267" i="32"/>
  <c r="R269" i="32"/>
  <c r="R290" i="32" s="1"/>
  <c r="R292" i="32" s="1"/>
  <c r="S274" i="32"/>
  <c r="K282" i="32"/>
  <c r="X303" i="32"/>
  <c r="X305" i="32"/>
  <c r="I309" i="32"/>
  <c r="E311" i="32"/>
  <c r="Y315" i="32"/>
  <c r="O320" i="32"/>
  <c r="I326" i="32"/>
  <c r="I327" i="32" s="1"/>
  <c r="M317" i="32"/>
  <c r="M318" i="32" s="1"/>
  <c r="E289" i="32"/>
  <c r="R313" i="32"/>
  <c r="R334" i="32" s="1"/>
  <c r="R336" i="32" s="1"/>
  <c r="I252" i="32"/>
  <c r="I253" i="32"/>
  <c r="I254" i="32"/>
  <c r="I255" i="32"/>
  <c r="G256" i="32"/>
  <c r="C279" i="32"/>
  <c r="H256" i="32"/>
  <c r="D279" i="32"/>
  <c r="I296" i="32"/>
  <c r="I297" i="32"/>
  <c r="I298" i="32"/>
  <c r="I299" i="32"/>
  <c r="G300" i="32"/>
  <c r="C323" i="32"/>
  <c r="G333" i="32"/>
  <c r="I258" i="32"/>
  <c r="I259" i="32"/>
  <c r="I260" i="32"/>
  <c r="I261" i="32"/>
  <c r="G262" i="32"/>
  <c r="G263" i="32" s="1"/>
  <c r="G291" i="32" s="1"/>
  <c r="I291" i="32" s="1"/>
  <c r="V269" i="32"/>
  <c r="V290" i="32" s="1"/>
  <c r="V292" i="32" s="1"/>
  <c r="E279" i="32"/>
  <c r="H300" i="32"/>
  <c r="H310" i="32" s="1"/>
  <c r="D323" i="32"/>
  <c r="H262" i="32"/>
  <c r="H263" i="32" s="1"/>
  <c r="I302" i="32"/>
  <c r="I303" i="32"/>
  <c r="I304" i="32"/>
  <c r="I305" i="32"/>
  <c r="G306" i="32"/>
  <c r="G307" i="32" s="1"/>
  <c r="G335" i="32" s="1"/>
  <c r="I335" i="32" s="1"/>
  <c r="V313" i="32"/>
  <c r="V334" i="32" s="1"/>
  <c r="V336" i="32" s="1"/>
  <c r="U272" i="32"/>
  <c r="U274" i="32" s="1"/>
  <c r="E274" i="32"/>
  <c r="H306" i="32"/>
  <c r="I266" i="31"/>
  <c r="U274" i="31"/>
  <c r="H268" i="31"/>
  <c r="W298" i="31"/>
  <c r="L300" i="31"/>
  <c r="L311" i="31" s="1"/>
  <c r="P296" i="31"/>
  <c r="K255" i="31"/>
  <c r="L265" i="31"/>
  <c r="P258" i="31"/>
  <c r="L266" i="31"/>
  <c r="P260" i="31"/>
  <c r="G262" i="31"/>
  <c r="I289" i="31"/>
  <c r="O296" i="31"/>
  <c r="K300" i="31"/>
  <c r="K311" i="31" s="1"/>
  <c r="M296" i="31"/>
  <c r="K309" i="31"/>
  <c r="O302" i="31"/>
  <c r="K306" i="31"/>
  <c r="K307" i="31" s="1"/>
  <c r="M302" i="31"/>
  <c r="W321" i="31"/>
  <c r="X255" i="31"/>
  <c r="U273" i="31"/>
  <c r="L309" i="31"/>
  <c r="P302" i="31"/>
  <c r="L306" i="31"/>
  <c r="L307" i="31" s="1"/>
  <c r="T252" i="31"/>
  <c r="T256" i="31" s="1"/>
  <c r="T267" i="31" s="1"/>
  <c r="P256" i="31"/>
  <c r="P267" i="31" s="1"/>
  <c r="K260" i="31"/>
  <c r="K253" i="31"/>
  <c r="X253" i="31"/>
  <c r="L262" i="31"/>
  <c r="L263" i="31" s="1"/>
  <c r="Y271" i="31"/>
  <c r="W274" i="31"/>
  <c r="W285" i="31"/>
  <c r="Q285" i="31"/>
  <c r="Q289" i="31" s="1"/>
  <c r="O303" i="31"/>
  <c r="M303" i="31"/>
  <c r="K258" i="31"/>
  <c r="G265" i="31"/>
  <c r="I253" i="31"/>
  <c r="U285" i="31"/>
  <c r="U289" i="31" s="1"/>
  <c r="S289" i="31"/>
  <c r="W289" i="31" s="1"/>
  <c r="D279" i="31"/>
  <c r="H276" i="31"/>
  <c r="E307" i="31"/>
  <c r="Y272" i="31"/>
  <c r="M282" i="31"/>
  <c r="M283" i="31" s="1"/>
  <c r="K283" i="31"/>
  <c r="O282" i="31" s="1"/>
  <c r="S297" i="31"/>
  <c r="U297" i="31" s="1"/>
  <c r="Q297" i="31"/>
  <c r="X303" i="31"/>
  <c r="P303" i="31"/>
  <c r="T303" i="31" s="1"/>
  <c r="E277" i="31"/>
  <c r="G277" i="31"/>
  <c r="Y298" i="31"/>
  <c r="D313" i="31"/>
  <c r="K261" i="31"/>
  <c r="L310" i="31"/>
  <c r="P304" i="31"/>
  <c r="U316" i="31"/>
  <c r="U318" i="31" s="1"/>
  <c r="S318" i="31"/>
  <c r="W316" i="31"/>
  <c r="G312" i="31"/>
  <c r="G313" i="31" s="1"/>
  <c r="G334" i="31" s="1"/>
  <c r="G336" i="31" s="1"/>
  <c r="K259" i="31"/>
  <c r="R269" i="31"/>
  <c r="R290" i="31" s="1"/>
  <c r="R292" i="31" s="1"/>
  <c r="R339" i="31" s="1"/>
  <c r="S298" i="31"/>
  <c r="U298" i="31" s="1"/>
  <c r="Q298" i="31"/>
  <c r="O305" i="31"/>
  <c r="M305" i="31"/>
  <c r="E256" i="31"/>
  <c r="E263" i="31" s="1"/>
  <c r="X254" i="31"/>
  <c r="H263" i="31"/>
  <c r="V292" i="31"/>
  <c r="P277" i="31"/>
  <c r="T277" i="31" s="1"/>
  <c r="E283" i="31"/>
  <c r="P305" i="31"/>
  <c r="T305" i="31" s="1"/>
  <c r="K310" i="31"/>
  <c r="M310" i="31" s="1"/>
  <c r="O304" i="31"/>
  <c r="M304" i="31"/>
  <c r="D263" i="31"/>
  <c r="K254" i="31"/>
  <c r="I259" i="31"/>
  <c r="I262" i="31" s="1"/>
  <c r="I261" i="31"/>
  <c r="Y299" i="31"/>
  <c r="K252" i="31"/>
  <c r="I254" i="31"/>
  <c r="I283" i="31"/>
  <c r="S299" i="31"/>
  <c r="U299" i="31" s="1"/>
  <c r="Q299" i="31"/>
  <c r="C266" i="31"/>
  <c r="L321" i="31"/>
  <c r="P321" i="31" s="1"/>
  <c r="T321" i="31" s="1"/>
  <c r="U321" i="31" s="1"/>
  <c r="I321" i="31"/>
  <c r="X261" i="31"/>
  <c r="D268" i="31"/>
  <c r="Y273" i="31"/>
  <c r="Y287" i="31"/>
  <c r="L256" i="31"/>
  <c r="L267" i="31" s="1"/>
  <c r="X267" i="31" s="1"/>
  <c r="C263" i="31"/>
  <c r="C291" i="31" s="1"/>
  <c r="E291" i="31" s="1"/>
  <c r="M274" i="31"/>
  <c r="Y274" i="31" s="1"/>
  <c r="W273" i="31"/>
  <c r="G279" i="31"/>
  <c r="K276" i="31"/>
  <c r="I276" i="31"/>
  <c r="G310" i="31"/>
  <c r="G307" i="31"/>
  <c r="M333" i="31"/>
  <c r="C283" i="31"/>
  <c r="E320" i="31"/>
  <c r="Y281" i="31"/>
  <c r="H320" i="31"/>
  <c r="E321" i="31"/>
  <c r="F336" i="31"/>
  <c r="F339" i="31" s="1"/>
  <c r="Y325" i="31"/>
  <c r="M273" i="31"/>
  <c r="E282" i="31"/>
  <c r="C310" i="31"/>
  <c r="N313" i="31"/>
  <c r="N334" i="31" s="1"/>
  <c r="N336" i="31" s="1"/>
  <c r="N339" i="31" s="1"/>
  <c r="K320" i="31"/>
  <c r="G327" i="31"/>
  <c r="X297" i="31"/>
  <c r="X298" i="31"/>
  <c r="X299" i="31"/>
  <c r="O318" i="31"/>
  <c r="W318" i="31" s="1"/>
  <c r="H309" i="31"/>
  <c r="E289" i="31"/>
  <c r="U317" i="31"/>
  <c r="Y317" i="31" s="1"/>
  <c r="K326" i="31"/>
  <c r="O329" i="31"/>
  <c r="I296" i="31"/>
  <c r="I297" i="31"/>
  <c r="Y297" i="31" s="1"/>
  <c r="I298" i="31"/>
  <c r="I299" i="31"/>
  <c r="C323" i="31"/>
  <c r="H300" i="31"/>
  <c r="D323" i="31"/>
  <c r="I302" i="31"/>
  <c r="I306" i="31" s="1"/>
  <c r="I303" i="31"/>
  <c r="I304" i="31"/>
  <c r="I305" i="31"/>
  <c r="V313" i="31"/>
  <c r="V334" i="31" s="1"/>
  <c r="V336" i="31" s="1"/>
  <c r="Q316" i="31"/>
  <c r="Q318" i="31" s="1"/>
  <c r="Y318" i="31" s="1"/>
  <c r="M297" i="31"/>
  <c r="M298" i="31"/>
  <c r="M299" i="31"/>
  <c r="H306" i="31"/>
  <c r="M333" i="28"/>
  <c r="K333" i="28"/>
  <c r="P297" i="28"/>
  <c r="M297" i="28"/>
  <c r="E307" i="28"/>
  <c r="L321" i="28"/>
  <c r="E327" i="28"/>
  <c r="M326" i="28"/>
  <c r="M327" i="28" s="1"/>
  <c r="K327" i="28"/>
  <c r="M318" i="28"/>
  <c r="K321" i="28"/>
  <c r="K321" i="33" s="1"/>
  <c r="I321" i="28"/>
  <c r="S297" i="28"/>
  <c r="P303" i="28"/>
  <c r="S298" i="28"/>
  <c r="S298" i="33" s="1"/>
  <c r="E312" i="28"/>
  <c r="O300" i="28"/>
  <c r="K323" i="28"/>
  <c r="P304" i="28"/>
  <c r="M304" i="28"/>
  <c r="S299" i="28"/>
  <c r="S299" i="33" s="1"/>
  <c r="I311" i="28"/>
  <c r="Y317" i="28"/>
  <c r="Y325" i="28"/>
  <c r="C312" i="28"/>
  <c r="Y315" i="28"/>
  <c r="D312" i="28"/>
  <c r="R313" i="28"/>
  <c r="R334" i="28" s="1"/>
  <c r="R336" i="28" s="1"/>
  <c r="S318" i="28"/>
  <c r="I298" i="28"/>
  <c r="D323" i="28"/>
  <c r="E333" i="28"/>
  <c r="I297" i="28"/>
  <c r="I299" i="28"/>
  <c r="C323" i="28"/>
  <c r="G333" i="28"/>
  <c r="H300" i="28"/>
  <c r="H310" i="28" s="1"/>
  <c r="I310" i="28" s="1"/>
  <c r="L298" i="28"/>
  <c r="L298" i="33" s="1"/>
  <c r="L300" i="33" s="1"/>
  <c r="L299" i="28"/>
  <c r="L299" i="33" s="1"/>
  <c r="M299" i="33" s="1"/>
  <c r="I302" i="28"/>
  <c r="I303" i="28"/>
  <c r="I304" i="28"/>
  <c r="I305" i="28"/>
  <c r="G306" i="28"/>
  <c r="G307" i="28" s="1"/>
  <c r="V313" i="28"/>
  <c r="V334" i="28" s="1"/>
  <c r="V336" i="28" s="1"/>
  <c r="Q316" i="28"/>
  <c r="Q318" i="28" s="1"/>
  <c r="G323" i="28"/>
  <c r="L302" i="28"/>
  <c r="L302" i="33" s="1"/>
  <c r="L305" i="28"/>
  <c r="U316" i="28"/>
  <c r="U318" i="28" s="1"/>
  <c r="H323" i="28"/>
  <c r="K302" i="28"/>
  <c r="K302" i="33" s="1"/>
  <c r="K303" i="28"/>
  <c r="K303" i="33" s="1"/>
  <c r="M303" i="33" s="1"/>
  <c r="K305" i="28"/>
  <c r="K305" i="33" s="1"/>
  <c r="E321" i="28"/>
  <c r="E323" i="28" s="1"/>
  <c r="G309" i="28"/>
  <c r="G309" i="33" s="1"/>
  <c r="I333" i="28"/>
  <c r="G282" i="28"/>
  <c r="C282" i="28"/>
  <c r="C277" i="28"/>
  <c r="C277" i="33" s="1"/>
  <c r="D277" i="28"/>
  <c r="C262" i="28"/>
  <c r="C265" i="28"/>
  <c r="C265" i="33" s="1"/>
  <c r="E260" i="28"/>
  <c r="G260" i="28"/>
  <c r="G260" i="33" s="1"/>
  <c r="H260" i="28"/>
  <c r="E261" i="28"/>
  <c r="G261" i="28"/>
  <c r="H261" i="28"/>
  <c r="E259" i="28"/>
  <c r="G259" i="28"/>
  <c r="H259" i="28"/>
  <c r="G258" i="28"/>
  <c r="E253" i="28"/>
  <c r="G253" i="28"/>
  <c r="G253" i="33" s="1"/>
  <c r="H253" i="28"/>
  <c r="E254" i="28"/>
  <c r="G254" i="28"/>
  <c r="G254" i="33" s="1"/>
  <c r="H254" i="28"/>
  <c r="H254" i="33" s="1"/>
  <c r="E255" i="28"/>
  <c r="G255" i="28"/>
  <c r="H255" i="28"/>
  <c r="T289" i="28"/>
  <c r="P289" i="28"/>
  <c r="L289" i="28"/>
  <c r="H289" i="28"/>
  <c r="D289" i="28"/>
  <c r="X288" i="28"/>
  <c r="W288" i="28"/>
  <c r="U288" i="28"/>
  <c r="Q288" i="28"/>
  <c r="M288" i="28"/>
  <c r="I288" i="28"/>
  <c r="E288" i="28"/>
  <c r="X287" i="28"/>
  <c r="W287" i="28"/>
  <c r="Q287" i="28"/>
  <c r="M287" i="28"/>
  <c r="I287" i="28"/>
  <c r="E287" i="28"/>
  <c r="X286" i="28"/>
  <c r="W286" i="28"/>
  <c r="U286" i="28"/>
  <c r="Q286" i="28"/>
  <c r="M286" i="28"/>
  <c r="I286" i="28"/>
  <c r="E286" i="28"/>
  <c r="T283" i="28"/>
  <c r="P283" i="28"/>
  <c r="L283" i="28"/>
  <c r="H283" i="28"/>
  <c r="D283" i="28"/>
  <c r="X282" i="28"/>
  <c r="X281" i="28"/>
  <c r="W281" i="28"/>
  <c r="U281" i="28"/>
  <c r="Q281" i="28"/>
  <c r="M281" i="28"/>
  <c r="I281" i="28"/>
  <c r="E281" i="28"/>
  <c r="X278" i="28"/>
  <c r="W278" i="28"/>
  <c r="U278" i="28"/>
  <c r="Q278" i="28"/>
  <c r="M278" i="28"/>
  <c r="I278" i="28"/>
  <c r="E278" i="28"/>
  <c r="T274" i="28"/>
  <c r="P274" i="28"/>
  <c r="L274" i="28"/>
  <c r="H274" i="28"/>
  <c r="D274" i="28"/>
  <c r="C274" i="28"/>
  <c r="G274" i="28"/>
  <c r="X273" i="28"/>
  <c r="S273" i="28"/>
  <c r="Q273" i="28"/>
  <c r="K273" i="28"/>
  <c r="I273" i="28"/>
  <c r="E273" i="28"/>
  <c r="X272" i="28"/>
  <c r="O272" i="28"/>
  <c r="M272" i="28"/>
  <c r="I272" i="28"/>
  <c r="E272" i="28"/>
  <c r="X271" i="28"/>
  <c r="W271" i="28"/>
  <c r="U271" i="28"/>
  <c r="Q271" i="28"/>
  <c r="M271" i="28"/>
  <c r="I271" i="28"/>
  <c r="E271" i="28"/>
  <c r="H267" i="28"/>
  <c r="H267" i="33" s="1"/>
  <c r="C267" i="28"/>
  <c r="D265" i="28"/>
  <c r="D265" i="33" s="1"/>
  <c r="V263" i="28"/>
  <c r="V269" i="28" s="1"/>
  <c r="V290" i="28" s="1"/>
  <c r="R263" i="28"/>
  <c r="R269" i="28" s="1"/>
  <c r="R290" i="28" s="1"/>
  <c r="N263" i="28"/>
  <c r="N291" i="28" s="1"/>
  <c r="J263" i="28"/>
  <c r="J291" i="28" s="1"/>
  <c r="F263" i="28"/>
  <c r="F269" i="28" s="1"/>
  <c r="F290" i="28" s="1"/>
  <c r="D262" i="28"/>
  <c r="H258" i="28"/>
  <c r="H258" i="33" s="1"/>
  <c r="E183" i="23"/>
  <c r="G183" i="23"/>
  <c r="K183" i="23" s="1"/>
  <c r="H183" i="23"/>
  <c r="L183" i="23" s="1"/>
  <c r="I183" i="23"/>
  <c r="E183" i="9"/>
  <c r="G183" i="9"/>
  <c r="H183" i="9"/>
  <c r="L183" i="9" s="1"/>
  <c r="E183" i="24"/>
  <c r="G183" i="24"/>
  <c r="I183" i="24" s="1"/>
  <c r="H183" i="24"/>
  <c r="L183" i="24" s="1"/>
  <c r="K183" i="24"/>
  <c r="M183" i="24" s="1"/>
  <c r="E183" i="30"/>
  <c r="G183" i="30"/>
  <c r="I183" i="30" s="1"/>
  <c r="H183" i="30"/>
  <c r="L183" i="30" s="1"/>
  <c r="P183" i="30" s="1"/>
  <c r="T183" i="30" s="1"/>
  <c r="K183" i="30"/>
  <c r="M183" i="30" s="1"/>
  <c r="E183" i="39"/>
  <c r="G183" i="39"/>
  <c r="H183" i="39"/>
  <c r="L183" i="39" s="1"/>
  <c r="I183" i="39"/>
  <c r="K183" i="39"/>
  <c r="E183" i="38"/>
  <c r="I183" i="38"/>
  <c r="M183" i="38"/>
  <c r="Q183" i="38"/>
  <c r="S183" i="38"/>
  <c r="U183" i="38" s="1"/>
  <c r="E183" i="32"/>
  <c r="G183" i="32"/>
  <c r="K183" i="32" s="1"/>
  <c r="H183" i="32"/>
  <c r="I183" i="32"/>
  <c r="L183" i="32"/>
  <c r="U183" i="31"/>
  <c r="Q183" i="31"/>
  <c r="M183" i="31"/>
  <c r="I183" i="31"/>
  <c r="U183" i="28"/>
  <c r="Q183" i="28"/>
  <c r="M183" i="28"/>
  <c r="E183" i="28"/>
  <c r="I183" i="28"/>
  <c r="W183" i="28"/>
  <c r="X183" i="28"/>
  <c r="W183" i="31"/>
  <c r="X183" i="31"/>
  <c r="X183" i="38"/>
  <c r="C183" i="33"/>
  <c r="E183" i="33" s="1"/>
  <c r="D183" i="33"/>
  <c r="G8" i="28"/>
  <c r="D8" i="28"/>
  <c r="E8" i="28" s="1"/>
  <c r="E13" i="28"/>
  <c r="G13" i="28"/>
  <c r="K13" i="28" s="1"/>
  <c r="O13" i="28" s="1"/>
  <c r="H13" i="28"/>
  <c r="L13" i="28" s="1"/>
  <c r="P13" i="28" s="1"/>
  <c r="T13" i="28" s="1"/>
  <c r="E14" i="28"/>
  <c r="G14" i="28"/>
  <c r="H14" i="28"/>
  <c r="L14" i="28" s="1"/>
  <c r="P14" i="28" s="1"/>
  <c r="T14" i="28" s="1"/>
  <c r="E265" i="33" l="1"/>
  <c r="E307" i="33"/>
  <c r="W317" i="33"/>
  <c r="I254" i="33"/>
  <c r="E310" i="33"/>
  <c r="M317" i="33"/>
  <c r="Y317" i="33" s="1"/>
  <c r="L253" i="28"/>
  <c r="H253" i="33"/>
  <c r="W318" i="28"/>
  <c r="W298" i="28"/>
  <c r="G256" i="33"/>
  <c r="I282" i="28"/>
  <c r="G282" i="33"/>
  <c r="T303" i="28"/>
  <c r="T303" i="33" s="1"/>
  <c r="P303" i="33"/>
  <c r="X303" i="33" s="1"/>
  <c r="T297" i="28"/>
  <c r="T297" i="33" s="1"/>
  <c r="P297" i="33"/>
  <c r="E326" i="33"/>
  <c r="U273" i="28"/>
  <c r="S273" i="33"/>
  <c r="U273" i="33" s="1"/>
  <c r="G265" i="28"/>
  <c r="G265" i="33" s="1"/>
  <c r="G258" i="33"/>
  <c r="G289" i="33"/>
  <c r="E321" i="33"/>
  <c r="E323" i="33" s="1"/>
  <c r="L259" i="28"/>
  <c r="L259" i="33" s="1"/>
  <c r="H259" i="33"/>
  <c r="S297" i="33"/>
  <c r="W297" i="33" s="1"/>
  <c r="D323" i="33"/>
  <c r="C279" i="33"/>
  <c r="M302" i="33"/>
  <c r="K274" i="28"/>
  <c r="K273" i="33"/>
  <c r="K259" i="28"/>
  <c r="K259" i="33" s="1"/>
  <c r="G259" i="33"/>
  <c r="Q297" i="28"/>
  <c r="H306" i="33"/>
  <c r="H307" i="33" s="1"/>
  <c r="I261" i="28"/>
  <c r="H261" i="33"/>
  <c r="X289" i="33"/>
  <c r="K261" i="28"/>
  <c r="G261" i="33"/>
  <c r="I261" i="33" s="1"/>
  <c r="Y318" i="28"/>
  <c r="M298" i="33"/>
  <c r="K311" i="28"/>
  <c r="K310" i="28"/>
  <c r="H277" i="28"/>
  <c r="H277" i="33" s="1"/>
  <c r="H279" i="33" s="1"/>
  <c r="D277" i="33"/>
  <c r="E277" i="33" s="1"/>
  <c r="E279" i="33" s="1"/>
  <c r="L255" i="28"/>
  <c r="H255" i="33"/>
  <c r="O304" i="28"/>
  <c r="K304" i="33"/>
  <c r="M304" i="33" s="1"/>
  <c r="K255" i="28"/>
  <c r="K255" i="33" s="1"/>
  <c r="G255" i="33"/>
  <c r="L260" i="28"/>
  <c r="H260" i="33"/>
  <c r="W316" i="28"/>
  <c r="S316" i="33"/>
  <c r="E282" i="28"/>
  <c r="C282" i="33"/>
  <c r="P305" i="28"/>
  <c r="L305" i="33"/>
  <c r="P310" i="28"/>
  <c r="P304" i="33"/>
  <c r="G267" i="28"/>
  <c r="G267" i="33" s="1"/>
  <c r="I267" i="33" s="1"/>
  <c r="C267" i="33"/>
  <c r="E267" i="33" s="1"/>
  <c r="L254" i="28"/>
  <c r="Q272" i="28"/>
  <c r="O272" i="33"/>
  <c r="O311" i="28"/>
  <c r="O311" i="33" s="1"/>
  <c r="O310" i="28"/>
  <c r="X333" i="33"/>
  <c r="P321" i="28"/>
  <c r="L321" i="33"/>
  <c r="F336" i="28"/>
  <c r="O311" i="30"/>
  <c r="O310" i="30"/>
  <c r="K310" i="30"/>
  <c r="K310" i="33" s="1"/>
  <c r="M310" i="33" s="1"/>
  <c r="K311" i="30"/>
  <c r="G323" i="33"/>
  <c r="K266" i="30"/>
  <c r="K267" i="30"/>
  <c r="C291" i="30"/>
  <c r="E291" i="30" s="1"/>
  <c r="C263" i="33"/>
  <c r="C291" i="33" s="1"/>
  <c r="E291" i="33" s="1"/>
  <c r="V339" i="31"/>
  <c r="I310" i="30"/>
  <c r="C312" i="33"/>
  <c r="C313" i="33" s="1"/>
  <c r="M311" i="30"/>
  <c r="K311" i="33"/>
  <c r="W296" i="30"/>
  <c r="I252" i="33"/>
  <c r="O252" i="30"/>
  <c r="Q252" i="30" s="1"/>
  <c r="Q256" i="30" s="1"/>
  <c r="K252" i="33"/>
  <c r="I323" i="33"/>
  <c r="W299" i="33"/>
  <c r="W298" i="33"/>
  <c r="G300" i="33"/>
  <c r="I296" i="33"/>
  <c r="I300" i="33" s="1"/>
  <c r="E262" i="33"/>
  <c r="E263" i="33" s="1"/>
  <c r="I306" i="33"/>
  <c r="E327" i="33"/>
  <c r="K333" i="33"/>
  <c r="O329" i="33"/>
  <c r="M329" i="33"/>
  <c r="M333" i="33" s="1"/>
  <c r="K323" i="33"/>
  <c r="M318" i="33"/>
  <c r="G312" i="33"/>
  <c r="I309" i="33"/>
  <c r="M276" i="33"/>
  <c r="E312" i="33"/>
  <c r="D312" i="33"/>
  <c r="K289" i="33"/>
  <c r="M285" i="33"/>
  <c r="M289" i="33" s="1"/>
  <c r="C269" i="23"/>
  <c r="C290" i="23" s="1"/>
  <c r="C292" i="23" s="1"/>
  <c r="P276" i="23"/>
  <c r="L279" i="23"/>
  <c r="K333" i="23"/>
  <c r="O329" i="23"/>
  <c r="M329" i="23"/>
  <c r="O256" i="23"/>
  <c r="O267" i="23" s="1"/>
  <c r="Q267" i="23" s="1"/>
  <c r="Q252" i="23"/>
  <c r="S252" i="23"/>
  <c r="O265" i="23"/>
  <c r="S258" i="23"/>
  <c r="O262" i="23"/>
  <c r="Q258" i="23"/>
  <c r="Q255" i="23"/>
  <c r="S255" i="23"/>
  <c r="T296" i="23"/>
  <c r="P300" i="23"/>
  <c r="P311" i="23" s="1"/>
  <c r="V339" i="23"/>
  <c r="H334" i="23"/>
  <c r="H336" i="23" s="1"/>
  <c r="G268" i="23"/>
  <c r="G269" i="23" s="1"/>
  <c r="I265" i="23"/>
  <c r="I268" i="23" s="1"/>
  <c r="K268" i="23"/>
  <c r="K269" i="23" s="1"/>
  <c r="M265" i="23"/>
  <c r="M268" i="23" s="1"/>
  <c r="I256" i="23"/>
  <c r="P310" i="23"/>
  <c r="Q310" i="23" s="1"/>
  <c r="T304" i="23"/>
  <c r="T310" i="23" s="1"/>
  <c r="M263" i="23"/>
  <c r="L307" i="23"/>
  <c r="K263" i="23"/>
  <c r="K291" i="23" s="1"/>
  <c r="M291" i="23" s="1"/>
  <c r="P309" i="23"/>
  <c r="T302" i="23"/>
  <c r="P306" i="23"/>
  <c r="P307" i="23" s="1"/>
  <c r="D268" i="23"/>
  <c r="O266" i="23"/>
  <c r="S260" i="23"/>
  <c r="W260" i="23" s="1"/>
  <c r="Y260" i="23" s="1"/>
  <c r="Q260" i="23"/>
  <c r="I262" i="23"/>
  <c r="Y302" i="23"/>
  <c r="O320" i="23"/>
  <c r="K323" i="23"/>
  <c r="H323" i="23"/>
  <c r="L320" i="23"/>
  <c r="E323" i="23"/>
  <c r="X298" i="23"/>
  <c r="M306" i="23"/>
  <c r="M307" i="23" s="1"/>
  <c r="Q311" i="23"/>
  <c r="M311" i="23"/>
  <c r="M312" i="23" s="1"/>
  <c r="M313" i="23" s="1"/>
  <c r="I309" i="23"/>
  <c r="W300" i="23"/>
  <c r="G279" i="23"/>
  <c r="K276" i="23"/>
  <c r="I276" i="23"/>
  <c r="U274" i="23"/>
  <c r="Y274" i="23" s="1"/>
  <c r="S300" i="23"/>
  <c r="S311" i="23" s="1"/>
  <c r="U296" i="23"/>
  <c r="Y296" i="23"/>
  <c r="W311" i="23"/>
  <c r="I320" i="23"/>
  <c r="I323" i="23" s="1"/>
  <c r="X299" i="23"/>
  <c r="T252" i="23"/>
  <c r="P256" i="23"/>
  <c r="P267" i="23" s="1"/>
  <c r="H263" i="23"/>
  <c r="X304" i="23"/>
  <c r="Y304" i="23" s="1"/>
  <c r="C312" i="23"/>
  <c r="E310" i="23"/>
  <c r="U304" i="23"/>
  <c r="S310" i="23"/>
  <c r="U310" i="23" s="1"/>
  <c r="K312" i="23"/>
  <c r="K313" i="23" s="1"/>
  <c r="D334" i="23"/>
  <c r="D336" i="23" s="1"/>
  <c r="W299" i="23"/>
  <c r="S309" i="23"/>
  <c r="S306" i="23"/>
  <c r="U302" i="23"/>
  <c r="U306" i="23" s="1"/>
  <c r="Q304" i="23"/>
  <c r="P266" i="23"/>
  <c r="X266" i="23" s="1"/>
  <c r="T260" i="23"/>
  <c r="T266" i="23" s="1"/>
  <c r="S326" i="23"/>
  <c r="W326" i="23" s="1"/>
  <c r="Q326" i="23"/>
  <c r="O327" i="23"/>
  <c r="X261" i="23"/>
  <c r="L312" i="23"/>
  <c r="L313" i="23" s="1"/>
  <c r="M300" i="23"/>
  <c r="X302" i="23"/>
  <c r="Q303" i="23"/>
  <c r="Q253" i="23"/>
  <c r="S253" i="23"/>
  <c r="Q298" i="23"/>
  <c r="Y298" i="23" s="1"/>
  <c r="X297" i="23"/>
  <c r="W297" i="23"/>
  <c r="N339" i="23"/>
  <c r="Q302" i="23"/>
  <c r="P265" i="23"/>
  <c r="T258" i="23"/>
  <c r="P262" i="23"/>
  <c r="U298" i="23"/>
  <c r="Q300" i="23"/>
  <c r="Q318" i="23"/>
  <c r="Y318" i="23" s="1"/>
  <c r="Y316" i="23"/>
  <c r="S285" i="23"/>
  <c r="W285" i="23" s="1"/>
  <c r="Q285" i="23"/>
  <c r="Q289" i="23" s="1"/>
  <c r="O289" i="23"/>
  <c r="X260" i="23"/>
  <c r="W296" i="23"/>
  <c r="L263" i="23"/>
  <c r="S282" i="23"/>
  <c r="Q282" i="23"/>
  <c r="Q283" i="23" s="1"/>
  <c r="O283" i="23"/>
  <c r="E266" i="23"/>
  <c r="K277" i="23"/>
  <c r="I277" i="23"/>
  <c r="S259" i="23"/>
  <c r="U259" i="23" s="1"/>
  <c r="Q259" i="23"/>
  <c r="L269" i="23"/>
  <c r="L290" i="23" s="1"/>
  <c r="L292" i="23" s="1"/>
  <c r="S261" i="23"/>
  <c r="U261" i="23" s="1"/>
  <c r="Q261" i="23"/>
  <c r="R339" i="23"/>
  <c r="H268" i="23"/>
  <c r="M256" i="23"/>
  <c r="O321" i="23"/>
  <c r="M321" i="23"/>
  <c r="G313" i="23"/>
  <c r="G334" i="23" s="1"/>
  <c r="G336" i="23" s="1"/>
  <c r="Q254" i="23"/>
  <c r="S254" i="23"/>
  <c r="H269" i="9"/>
  <c r="L263" i="9"/>
  <c r="I309" i="9"/>
  <c r="I312" i="9" s="1"/>
  <c r="H263" i="9"/>
  <c r="P302" i="9"/>
  <c r="K300" i="9"/>
  <c r="K311" i="9" s="1"/>
  <c r="M311" i="9" s="1"/>
  <c r="O296" i="9"/>
  <c r="Q254" i="9"/>
  <c r="Y254" i="9" s="1"/>
  <c r="W274" i="9"/>
  <c r="G313" i="9"/>
  <c r="M302" i="9"/>
  <c r="Y255" i="9"/>
  <c r="Y253" i="9"/>
  <c r="K307" i="9"/>
  <c r="K335" i="9" s="1"/>
  <c r="M335" i="9" s="1"/>
  <c r="I262" i="9"/>
  <c r="I263" i="9" s="1"/>
  <c r="W255" i="9"/>
  <c r="L313" i="9"/>
  <c r="I300" i="9"/>
  <c r="W252" i="9"/>
  <c r="X298" i="9"/>
  <c r="Y316" i="9"/>
  <c r="Y318" i="9"/>
  <c r="P256" i="9"/>
  <c r="P267" i="9" s="1"/>
  <c r="X267" i="9" s="1"/>
  <c r="X299" i="9"/>
  <c r="Q297" i="9"/>
  <c r="U297" i="9"/>
  <c r="M274" i="9"/>
  <c r="Y274" i="9" s="1"/>
  <c r="X254" i="9"/>
  <c r="I279" i="9"/>
  <c r="C269" i="9"/>
  <c r="C290" i="9" s="1"/>
  <c r="C292" i="9" s="1"/>
  <c r="E313" i="9"/>
  <c r="S261" i="9"/>
  <c r="U261" i="9" s="1"/>
  <c r="Q261" i="9"/>
  <c r="S285" i="9"/>
  <c r="W285" i="9" s="1"/>
  <c r="Q285" i="9"/>
  <c r="O289" i="9"/>
  <c r="P266" i="9"/>
  <c r="T260" i="9"/>
  <c r="T266" i="9" s="1"/>
  <c r="E323" i="9"/>
  <c r="S256" i="9"/>
  <c r="S267" i="9" s="1"/>
  <c r="U267" i="9" s="1"/>
  <c r="U252" i="9"/>
  <c r="U256" i="9" s="1"/>
  <c r="X321" i="9"/>
  <c r="M256" i="9"/>
  <c r="Y252" i="9"/>
  <c r="K333" i="9"/>
  <c r="O329" i="9"/>
  <c r="M329" i="9"/>
  <c r="H323" i="9"/>
  <c r="L320" i="9"/>
  <c r="T296" i="9"/>
  <c r="P300" i="9"/>
  <c r="O321" i="9"/>
  <c r="M321" i="9"/>
  <c r="H334" i="9"/>
  <c r="H336" i="9" s="1"/>
  <c r="Q256" i="9"/>
  <c r="Q299" i="9"/>
  <c r="Y299" i="9" s="1"/>
  <c r="S305" i="9"/>
  <c r="U305" i="9" s="1"/>
  <c r="Q305" i="9"/>
  <c r="S282" i="9"/>
  <c r="Q282" i="9"/>
  <c r="Q283" i="9" s="1"/>
  <c r="O283" i="9"/>
  <c r="M306" i="9"/>
  <c r="I183" i="9"/>
  <c r="K277" i="9"/>
  <c r="I277" i="9"/>
  <c r="S259" i="9"/>
  <c r="U259" i="9" s="1"/>
  <c r="Q259" i="9"/>
  <c r="O309" i="9"/>
  <c r="S302" i="9"/>
  <c r="O306" i="9"/>
  <c r="Q302" i="9"/>
  <c r="Q296" i="9"/>
  <c r="O265" i="9"/>
  <c r="S258" i="9"/>
  <c r="W258" i="9" s="1"/>
  <c r="O262" i="9"/>
  <c r="Q258" i="9"/>
  <c r="K312" i="9"/>
  <c r="K313" i="9" s="1"/>
  <c r="M309" i="9"/>
  <c r="I268" i="9"/>
  <c r="O276" i="9"/>
  <c r="G323" i="9"/>
  <c r="G334" i="9" s="1"/>
  <c r="G336" i="9" s="1"/>
  <c r="K320" i="9"/>
  <c r="I320" i="9"/>
  <c r="I323" i="9" s="1"/>
  <c r="C334" i="9"/>
  <c r="C336" i="9" s="1"/>
  <c r="P265" i="9"/>
  <c r="T258" i="9"/>
  <c r="P262" i="9"/>
  <c r="K268" i="9"/>
  <c r="M265" i="9"/>
  <c r="G268" i="9"/>
  <c r="G269" i="9" s="1"/>
  <c r="G290" i="9" s="1"/>
  <c r="G292" i="9" s="1"/>
  <c r="O266" i="9"/>
  <c r="Q266" i="9" s="1"/>
  <c r="S260" i="9"/>
  <c r="W260" i="9" s="1"/>
  <c r="Y260" i="9" s="1"/>
  <c r="Q260" i="9"/>
  <c r="O310" i="9"/>
  <c r="S304" i="9"/>
  <c r="W304" i="9" s="1"/>
  <c r="Q304" i="9"/>
  <c r="S303" i="9"/>
  <c r="U303" i="9" s="1"/>
  <c r="Q303" i="9"/>
  <c r="I283" i="9"/>
  <c r="X260" i="9"/>
  <c r="P310" i="9"/>
  <c r="T304" i="9"/>
  <c r="L268" i="9"/>
  <c r="L269" i="9" s="1"/>
  <c r="M262" i="9"/>
  <c r="W254" i="9"/>
  <c r="M266" i="9"/>
  <c r="M300" i="9"/>
  <c r="Y298" i="9"/>
  <c r="I306" i="9"/>
  <c r="E266" i="9"/>
  <c r="P309" i="9"/>
  <c r="T302" i="9"/>
  <c r="P306" i="9"/>
  <c r="P307" i="9" s="1"/>
  <c r="D334" i="9"/>
  <c r="D336" i="9" s="1"/>
  <c r="K263" i="9"/>
  <c r="K291" i="9" s="1"/>
  <c r="M291" i="9" s="1"/>
  <c r="S326" i="9"/>
  <c r="Q326" i="9"/>
  <c r="Q327" i="9" s="1"/>
  <c r="O327" i="9"/>
  <c r="E268" i="9"/>
  <c r="H279" i="9"/>
  <c r="L276" i="9"/>
  <c r="D269" i="24"/>
  <c r="D290" i="24" s="1"/>
  <c r="D292" i="24" s="1"/>
  <c r="G268" i="24"/>
  <c r="I265" i="24"/>
  <c r="I268" i="24" s="1"/>
  <c r="Q256" i="24"/>
  <c r="C313" i="24"/>
  <c r="C334" i="24" s="1"/>
  <c r="C336" i="24" s="1"/>
  <c r="X321" i="24"/>
  <c r="G307" i="24"/>
  <c r="G335" i="24" s="1"/>
  <c r="I335" i="24" s="1"/>
  <c r="H312" i="24"/>
  <c r="H313" i="24" s="1"/>
  <c r="K323" i="24"/>
  <c r="O320" i="24"/>
  <c r="H323" i="24"/>
  <c r="L320" i="24"/>
  <c r="M320" i="24" s="1"/>
  <c r="Q274" i="24"/>
  <c r="K268" i="24"/>
  <c r="K269" i="24" s="1"/>
  <c r="M265" i="24"/>
  <c r="K333" i="24"/>
  <c r="O329" i="24"/>
  <c r="M329" i="24"/>
  <c r="V339" i="24"/>
  <c r="P266" i="24"/>
  <c r="T260" i="24"/>
  <c r="X299" i="24"/>
  <c r="O265" i="24"/>
  <c r="S258" i="24"/>
  <c r="O262" i="24"/>
  <c r="O263" i="24" s="1"/>
  <c r="O291" i="24" s="1"/>
  <c r="Q291" i="24" s="1"/>
  <c r="Q258" i="24"/>
  <c r="Q262" i="24" s="1"/>
  <c r="Q263" i="24" s="1"/>
  <c r="P310" i="24"/>
  <c r="T304" i="24"/>
  <c r="I256" i="24"/>
  <c r="K277" i="24"/>
  <c r="I277" i="24"/>
  <c r="D312" i="24"/>
  <c r="Q296" i="24"/>
  <c r="O300" i="24"/>
  <c r="O311" i="24" s="1"/>
  <c r="S296" i="24"/>
  <c r="W296" i="24" s="1"/>
  <c r="M262" i="24"/>
  <c r="M263" i="24" s="1"/>
  <c r="I279" i="24"/>
  <c r="I306" i="24"/>
  <c r="S303" i="24"/>
  <c r="Q303" i="24"/>
  <c r="K312" i="24"/>
  <c r="M309" i="24"/>
  <c r="S282" i="24"/>
  <c r="Q282" i="24"/>
  <c r="Q283" i="24" s="1"/>
  <c r="O283" i="24"/>
  <c r="E312" i="24"/>
  <c r="U272" i="24"/>
  <c r="U274" i="24" s="1"/>
  <c r="S274" i="24"/>
  <c r="W274" i="24" s="1"/>
  <c r="K279" i="24"/>
  <c r="O276" i="24"/>
  <c r="M276" i="24"/>
  <c r="J339" i="24"/>
  <c r="M306" i="24"/>
  <c r="M307" i="24" s="1"/>
  <c r="X298" i="24"/>
  <c r="H263" i="24"/>
  <c r="H269" i="24" s="1"/>
  <c r="H290" i="24" s="1"/>
  <c r="H292" i="24" s="1"/>
  <c r="I262" i="24"/>
  <c r="N339" i="24"/>
  <c r="I327" i="24"/>
  <c r="T296" i="24"/>
  <c r="P300" i="24"/>
  <c r="P311" i="24" s="1"/>
  <c r="K307" i="24"/>
  <c r="K335" i="24" s="1"/>
  <c r="M335" i="24" s="1"/>
  <c r="O326" i="24"/>
  <c r="O289" i="24"/>
  <c r="S285" i="24"/>
  <c r="Q285" i="24"/>
  <c r="Q289" i="24" s="1"/>
  <c r="E323" i="24"/>
  <c r="O309" i="24"/>
  <c r="S302" i="24"/>
  <c r="O306" i="24"/>
  <c r="O307" i="24" s="1"/>
  <c r="O335" i="24" s="1"/>
  <c r="Q335" i="24" s="1"/>
  <c r="Q302" i="24"/>
  <c r="I309" i="24"/>
  <c r="Q297" i="24"/>
  <c r="S297" i="24"/>
  <c r="S259" i="24"/>
  <c r="U259" i="24" s="1"/>
  <c r="Q259" i="24"/>
  <c r="O321" i="24"/>
  <c r="M321" i="24"/>
  <c r="F339" i="24"/>
  <c r="G310" i="24"/>
  <c r="E283" i="24"/>
  <c r="W255" i="24"/>
  <c r="O310" i="24"/>
  <c r="S304" i="24"/>
  <c r="Q304" i="24"/>
  <c r="G279" i="24"/>
  <c r="P276" i="24"/>
  <c r="L279" i="24"/>
  <c r="W254" i="24"/>
  <c r="M310" i="24"/>
  <c r="P309" i="24"/>
  <c r="T302" i="24"/>
  <c r="P306" i="24"/>
  <c r="O266" i="24"/>
  <c r="S260" i="24"/>
  <c r="Q260" i="24"/>
  <c r="C290" i="24"/>
  <c r="C292" i="24" s="1"/>
  <c r="Q299" i="24"/>
  <c r="S299" i="24"/>
  <c r="Q298" i="24"/>
  <c r="S298" i="24"/>
  <c r="P256" i="24"/>
  <c r="T252" i="24"/>
  <c r="L313" i="24"/>
  <c r="S305" i="24"/>
  <c r="U305" i="24" s="1"/>
  <c r="Q305" i="24"/>
  <c r="X297" i="24"/>
  <c r="E266" i="24"/>
  <c r="S261" i="24"/>
  <c r="Q261" i="24"/>
  <c r="L307" i="24"/>
  <c r="M266" i="24"/>
  <c r="P265" i="24"/>
  <c r="T258" i="24"/>
  <c r="P262" i="24"/>
  <c r="S256" i="24"/>
  <c r="S267" i="24" s="1"/>
  <c r="W267" i="24" s="1"/>
  <c r="U252" i="24"/>
  <c r="U256" i="24" s="1"/>
  <c r="P310" i="30"/>
  <c r="T304" i="30"/>
  <c r="T310" i="30" s="1"/>
  <c r="H312" i="30"/>
  <c r="H313" i="30" s="1"/>
  <c r="E266" i="30"/>
  <c r="P309" i="30"/>
  <c r="P312" i="30" s="1"/>
  <c r="T302" i="30"/>
  <c r="X302" i="30" s="1"/>
  <c r="P306" i="30"/>
  <c r="T252" i="30"/>
  <c r="T256" i="30" s="1"/>
  <c r="T267" i="30" s="1"/>
  <c r="P256" i="30"/>
  <c r="P267" i="30" s="1"/>
  <c r="X267" i="30" s="1"/>
  <c r="E327" i="30"/>
  <c r="W299" i="30"/>
  <c r="M300" i="30"/>
  <c r="V339" i="30"/>
  <c r="I256" i="30"/>
  <c r="G312" i="30"/>
  <c r="G313" i="30" s="1"/>
  <c r="G334" i="30" s="1"/>
  <c r="I309" i="30"/>
  <c r="L313" i="30"/>
  <c r="D312" i="30"/>
  <c r="S303" i="30"/>
  <c r="Q303" i="30"/>
  <c r="P265" i="30"/>
  <c r="T258" i="30"/>
  <c r="P262" i="30"/>
  <c r="P263" i="30" s="1"/>
  <c r="S260" i="30"/>
  <c r="Q260" i="30"/>
  <c r="L268" i="30"/>
  <c r="L269" i="30" s="1"/>
  <c r="E283" i="30"/>
  <c r="P266" i="30"/>
  <c r="X266" i="30" s="1"/>
  <c r="T260" i="30"/>
  <c r="T266" i="30" s="1"/>
  <c r="S282" i="30"/>
  <c r="Q282" i="30"/>
  <c r="Q283" i="30" s="1"/>
  <c r="O283" i="30"/>
  <c r="L263" i="30"/>
  <c r="S261" i="30"/>
  <c r="U261" i="30" s="1"/>
  <c r="Q261" i="30"/>
  <c r="O326" i="30"/>
  <c r="W253" i="30"/>
  <c r="G268" i="30"/>
  <c r="G269" i="30" s="1"/>
  <c r="I265" i="30"/>
  <c r="I268" i="30" s="1"/>
  <c r="H323" i="30"/>
  <c r="H323" i="33" s="1"/>
  <c r="I262" i="30"/>
  <c r="K289" i="30"/>
  <c r="O285" i="30"/>
  <c r="O285" i="33" s="1"/>
  <c r="M285" i="30"/>
  <c r="M289" i="30" s="1"/>
  <c r="Y317" i="30"/>
  <c r="E310" i="30"/>
  <c r="I306" i="30"/>
  <c r="H268" i="30"/>
  <c r="H269" i="30" s="1"/>
  <c r="O309" i="30"/>
  <c r="S302" i="30"/>
  <c r="O306" i="30"/>
  <c r="O307" i="30" s="1"/>
  <c r="Q302" i="30"/>
  <c r="Q306" i="30" s="1"/>
  <c r="Q307" i="30" s="1"/>
  <c r="X256" i="30"/>
  <c r="H263" i="30"/>
  <c r="I279" i="30"/>
  <c r="K307" i="30"/>
  <c r="S300" i="30"/>
  <c r="T296" i="30"/>
  <c r="P300" i="30"/>
  <c r="P311" i="30" s="1"/>
  <c r="O265" i="30"/>
  <c r="S258" i="30"/>
  <c r="O262" i="30"/>
  <c r="Q258" i="30"/>
  <c r="Q262" i="30" s="1"/>
  <c r="C312" i="30"/>
  <c r="K333" i="30"/>
  <c r="O329" i="30"/>
  <c r="M329" i="30"/>
  <c r="M333" i="30" s="1"/>
  <c r="M267" i="30"/>
  <c r="X304" i="30"/>
  <c r="W260" i="30"/>
  <c r="X252" i="30"/>
  <c r="K312" i="30"/>
  <c r="K313" i="30" s="1"/>
  <c r="M309" i="30"/>
  <c r="K268" i="30"/>
  <c r="M265" i="30"/>
  <c r="E323" i="30"/>
  <c r="X260" i="30"/>
  <c r="M306" i="30"/>
  <c r="C268" i="30"/>
  <c r="M262" i="30"/>
  <c r="M263" i="30" s="1"/>
  <c r="S304" i="30"/>
  <c r="Q304" i="30"/>
  <c r="I323" i="30"/>
  <c r="G279" i="30"/>
  <c r="K263" i="30"/>
  <c r="K291" i="30" s="1"/>
  <c r="M291" i="30" s="1"/>
  <c r="M310" i="30"/>
  <c r="W298" i="30"/>
  <c r="H307" i="30"/>
  <c r="X258" i="30"/>
  <c r="O320" i="33"/>
  <c r="K323" i="30"/>
  <c r="H279" i="30"/>
  <c r="W254" i="30"/>
  <c r="D268" i="30"/>
  <c r="R339" i="30"/>
  <c r="K279" i="30"/>
  <c r="S259" i="30"/>
  <c r="Q259" i="30"/>
  <c r="S305" i="30"/>
  <c r="Q305" i="30"/>
  <c r="C313" i="39"/>
  <c r="C334" i="39" s="1"/>
  <c r="C336" i="39" s="1"/>
  <c r="S256" i="39"/>
  <c r="S267" i="39" s="1"/>
  <c r="U252" i="39"/>
  <c r="U256" i="39" s="1"/>
  <c r="U274" i="39"/>
  <c r="Y274" i="39" s="1"/>
  <c r="K268" i="39"/>
  <c r="K269" i="39" s="1"/>
  <c r="K290" i="39" s="1"/>
  <c r="K292" i="39" s="1"/>
  <c r="M265" i="39"/>
  <c r="X277" i="39"/>
  <c r="H313" i="39"/>
  <c r="K277" i="39"/>
  <c r="I277" i="39"/>
  <c r="P266" i="39"/>
  <c r="T260" i="39"/>
  <c r="T266" i="39" s="1"/>
  <c r="Y316" i="39"/>
  <c r="K263" i="39"/>
  <c r="K291" i="39" s="1"/>
  <c r="M291" i="39" s="1"/>
  <c r="I289" i="39"/>
  <c r="I300" i="39"/>
  <c r="I279" i="39"/>
  <c r="O321" i="39"/>
  <c r="M321" i="39"/>
  <c r="I307" i="39"/>
  <c r="K333" i="39"/>
  <c r="O329" i="39"/>
  <c r="M329" i="39"/>
  <c r="W252" i="39"/>
  <c r="K289" i="39"/>
  <c r="O285" i="39"/>
  <c r="M285" i="39"/>
  <c r="M289" i="39" s="1"/>
  <c r="X266" i="39"/>
  <c r="S261" i="39"/>
  <c r="Q261" i="39"/>
  <c r="D334" i="39"/>
  <c r="D336" i="39" s="1"/>
  <c r="W254" i="39"/>
  <c r="Y303" i="39"/>
  <c r="G268" i="39"/>
  <c r="I265" i="39"/>
  <c r="L268" i="39"/>
  <c r="L269" i="39" s="1"/>
  <c r="M256" i="39"/>
  <c r="Y256" i="39" s="1"/>
  <c r="E323" i="39"/>
  <c r="Y273" i="39"/>
  <c r="X321" i="39"/>
  <c r="P310" i="39"/>
  <c r="Q310" i="39" s="1"/>
  <c r="T304" i="39"/>
  <c r="L307" i="39"/>
  <c r="L313" i="39" s="1"/>
  <c r="P265" i="39"/>
  <c r="P268" i="39" s="1"/>
  <c r="T258" i="39"/>
  <c r="P262" i="39"/>
  <c r="P263" i="39" s="1"/>
  <c r="W256" i="39"/>
  <c r="P309" i="39"/>
  <c r="P306" i="39"/>
  <c r="T302" i="39"/>
  <c r="W253" i="39"/>
  <c r="C290" i="39"/>
  <c r="C292" i="39" s="1"/>
  <c r="G323" i="39"/>
  <c r="I320" i="39"/>
  <c r="I323" i="39" s="1"/>
  <c r="K320" i="39"/>
  <c r="Y252" i="39"/>
  <c r="H323" i="39"/>
  <c r="L320" i="39"/>
  <c r="E266" i="39"/>
  <c r="W326" i="39"/>
  <c r="S326" i="39"/>
  <c r="Q326" i="39"/>
  <c r="O327" i="39"/>
  <c r="S309" i="39"/>
  <c r="S306" i="39"/>
  <c r="U302" i="39"/>
  <c r="K279" i="39"/>
  <c r="O276" i="39"/>
  <c r="X260" i="39"/>
  <c r="H279" i="39"/>
  <c r="L276" i="39"/>
  <c r="T296" i="39"/>
  <c r="P300" i="39"/>
  <c r="Q296" i="39"/>
  <c r="Q300" i="39" s="1"/>
  <c r="Q307" i="39" s="1"/>
  <c r="O266" i="39"/>
  <c r="S260" i="39"/>
  <c r="Q260" i="39"/>
  <c r="D268" i="39"/>
  <c r="X256" i="39"/>
  <c r="O265" i="39"/>
  <c r="S258" i="39"/>
  <c r="O262" i="39"/>
  <c r="Q258" i="39"/>
  <c r="E310" i="39"/>
  <c r="E312" i="39" s="1"/>
  <c r="W310" i="39"/>
  <c r="M266" i="39"/>
  <c r="S259" i="39"/>
  <c r="Q259" i="39"/>
  <c r="M312" i="39"/>
  <c r="M313" i="39" s="1"/>
  <c r="H307" i="39"/>
  <c r="O282" i="39"/>
  <c r="U304" i="39"/>
  <c r="S310" i="39"/>
  <c r="I309" i="39"/>
  <c r="I312" i="39" s="1"/>
  <c r="I313" i="39" s="1"/>
  <c r="I334" i="39" s="1"/>
  <c r="I336" i="39" s="1"/>
  <c r="W311" i="39"/>
  <c r="D313" i="29"/>
  <c r="D334" i="29" s="1"/>
  <c r="D336" i="29" s="1"/>
  <c r="S299" i="29"/>
  <c r="U299" i="29" s="1"/>
  <c r="Q299" i="29"/>
  <c r="E323" i="29"/>
  <c r="P265" i="29"/>
  <c r="T258" i="29"/>
  <c r="P262" i="29"/>
  <c r="K268" i="29"/>
  <c r="M265" i="29"/>
  <c r="M268" i="29" s="1"/>
  <c r="X298" i="29"/>
  <c r="S297" i="29"/>
  <c r="U297" i="29" s="1"/>
  <c r="Q297" i="29"/>
  <c r="Y297" i="29" s="1"/>
  <c r="M307" i="29"/>
  <c r="M263" i="29"/>
  <c r="K312" i="29"/>
  <c r="M309" i="29"/>
  <c r="M312" i="29" s="1"/>
  <c r="S296" i="29"/>
  <c r="O300" i="29"/>
  <c r="O311" i="29" s="1"/>
  <c r="Q296" i="29"/>
  <c r="G279" i="29"/>
  <c r="K276" i="29"/>
  <c r="I276" i="29"/>
  <c r="L268" i="29"/>
  <c r="L269" i="29" s="1"/>
  <c r="L290" i="29" s="1"/>
  <c r="L292" i="29" s="1"/>
  <c r="K263" i="29"/>
  <c r="K291" i="29" s="1"/>
  <c r="M291" i="29" s="1"/>
  <c r="W256" i="29"/>
  <c r="Q261" i="29"/>
  <c r="S261" i="29"/>
  <c r="U272" i="29"/>
  <c r="S274" i="29"/>
  <c r="I262" i="29"/>
  <c r="X304" i="29"/>
  <c r="I327" i="29"/>
  <c r="P266" i="29"/>
  <c r="T260" i="29"/>
  <c r="T252" i="29"/>
  <c r="U252" i="29" s="1"/>
  <c r="P256" i="29"/>
  <c r="P267" i="29" s="1"/>
  <c r="I306" i="29"/>
  <c r="W296" i="29"/>
  <c r="E266" i="29"/>
  <c r="W254" i="29"/>
  <c r="W255" i="29"/>
  <c r="T296" i="29"/>
  <c r="T300" i="29" s="1"/>
  <c r="T311" i="29" s="1"/>
  <c r="P300" i="29"/>
  <c r="P311" i="29" s="1"/>
  <c r="M267" i="29"/>
  <c r="X258" i="29"/>
  <c r="X299" i="29"/>
  <c r="X296" i="29"/>
  <c r="O289" i="29"/>
  <c r="S285" i="29"/>
  <c r="Q285" i="29"/>
  <c r="Q289" i="29" s="1"/>
  <c r="S305" i="29"/>
  <c r="Q305" i="29"/>
  <c r="X311" i="29"/>
  <c r="O309" i="29"/>
  <c r="S302" i="29"/>
  <c r="O306" i="29"/>
  <c r="O307" i="29" s="1"/>
  <c r="O335" i="29" s="1"/>
  <c r="Q335" i="29" s="1"/>
  <c r="Q302" i="29"/>
  <c r="Q306" i="29" s="1"/>
  <c r="K333" i="29"/>
  <c r="O329" i="29"/>
  <c r="M329" i="29"/>
  <c r="X310" i="29"/>
  <c r="P276" i="29"/>
  <c r="L279" i="29"/>
  <c r="S303" i="29"/>
  <c r="Q303" i="29"/>
  <c r="O321" i="29"/>
  <c r="M321" i="29"/>
  <c r="G312" i="29"/>
  <c r="G313" i="29" s="1"/>
  <c r="G334" i="29" s="1"/>
  <c r="G336" i="29" s="1"/>
  <c r="I309" i="29"/>
  <c r="I312" i="29" s="1"/>
  <c r="W274" i="29"/>
  <c r="W253" i="29"/>
  <c r="S298" i="29"/>
  <c r="Q298" i="29"/>
  <c r="W272" i="29"/>
  <c r="M256" i="29"/>
  <c r="H268" i="29"/>
  <c r="H323" i="29"/>
  <c r="H334" i="29" s="1"/>
  <c r="H336" i="29" s="1"/>
  <c r="L320" i="29"/>
  <c r="E283" i="29"/>
  <c r="Q259" i="29"/>
  <c r="S259" i="29"/>
  <c r="U259" i="29" s="1"/>
  <c r="O266" i="29"/>
  <c r="Q266" i="29" s="1"/>
  <c r="Q260" i="29"/>
  <c r="S260" i="29"/>
  <c r="E310" i="29"/>
  <c r="I256" i="29"/>
  <c r="G268" i="29"/>
  <c r="G269" i="29" s="1"/>
  <c r="G290" i="29" s="1"/>
  <c r="G292" i="29" s="1"/>
  <c r="I265" i="29"/>
  <c r="I268" i="29" s="1"/>
  <c r="S282" i="29"/>
  <c r="Q282" i="29"/>
  <c r="Q283" i="29" s="1"/>
  <c r="O283" i="29"/>
  <c r="M266" i="29"/>
  <c r="S326" i="29"/>
  <c r="Q326" i="29"/>
  <c r="Q327" i="29" s="1"/>
  <c r="O327" i="29"/>
  <c r="W302" i="29"/>
  <c r="C313" i="29"/>
  <c r="C334" i="29" s="1"/>
  <c r="C336" i="29" s="1"/>
  <c r="L307" i="29"/>
  <c r="C268" i="29"/>
  <c r="O320" i="29"/>
  <c r="M320" i="29"/>
  <c r="M323" i="29" s="1"/>
  <c r="K323" i="29"/>
  <c r="K277" i="29"/>
  <c r="I277" i="29"/>
  <c r="S256" i="29"/>
  <c r="S267" i="29" s="1"/>
  <c r="P309" i="29"/>
  <c r="T302" i="29"/>
  <c r="P306" i="29"/>
  <c r="P307" i="29" s="1"/>
  <c r="W326" i="29"/>
  <c r="O265" i="29"/>
  <c r="Q258" i="29"/>
  <c r="Q262" i="29" s="1"/>
  <c r="Q263" i="29" s="1"/>
  <c r="O262" i="29"/>
  <c r="O263" i="29" s="1"/>
  <c r="O291" i="29" s="1"/>
  <c r="Q291" i="29" s="1"/>
  <c r="S258" i="29"/>
  <c r="O310" i="29"/>
  <c r="Q310" i="29" s="1"/>
  <c r="S304" i="29"/>
  <c r="Q304" i="29"/>
  <c r="L312" i="29"/>
  <c r="L313" i="29" s="1"/>
  <c r="K307" i="29"/>
  <c r="K335" i="29" s="1"/>
  <c r="M335" i="29" s="1"/>
  <c r="X300" i="29"/>
  <c r="L269" i="38"/>
  <c r="W297" i="38"/>
  <c r="W274" i="38"/>
  <c r="W326" i="38"/>
  <c r="I306" i="38"/>
  <c r="Q261" i="38"/>
  <c r="S261" i="38"/>
  <c r="U261" i="38" s="1"/>
  <c r="D313" i="38"/>
  <c r="D334" i="38" s="1"/>
  <c r="D336" i="38" s="1"/>
  <c r="U272" i="38"/>
  <c r="U274" i="38" s="1"/>
  <c r="S274" i="38"/>
  <c r="G268" i="38"/>
  <c r="I265" i="38"/>
  <c r="I268" i="38" s="1"/>
  <c r="I269" i="38" s="1"/>
  <c r="I290" i="38" s="1"/>
  <c r="I292" i="38" s="1"/>
  <c r="C269" i="38"/>
  <c r="C290" i="38" s="1"/>
  <c r="C292" i="38" s="1"/>
  <c r="W272" i="38"/>
  <c r="O321" i="38"/>
  <c r="M321" i="38"/>
  <c r="Q254" i="38"/>
  <c r="S254" i="38"/>
  <c r="S298" i="38"/>
  <c r="U298" i="38" s="1"/>
  <c r="Q298" i="38"/>
  <c r="Y298" i="38" s="1"/>
  <c r="Q255" i="38"/>
  <c r="S255" i="38"/>
  <c r="M256" i="38"/>
  <c r="O320" i="38"/>
  <c r="M320" i="38"/>
  <c r="M323" i="38" s="1"/>
  <c r="K323" i="38"/>
  <c r="L263" i="38"/>
  <c r="S259" i="38"/>
  <c r="Q259" i="38"/>
  <c r="X256" i="38"/>
  <c r="D268" i="38"/>
  <c r="E327" i="38"/>
  <c r="H323" i="38"/>
  <c r="L320" i="38"/>
  <c r="S305" i="38"/>
  <c r="Q305" i="38"/>
  <c r="M306" i="38"/>
  <c r="S303" i="38"/>
  <c r="Q303" i="38"/>
  <c r="L313" i="38"/>
  <c r="Q258" i="38"/>
  <c r="O265" i="38"/>
  <c r="O262" i="38"/>
  <c r="O263" i="38" s="1"/>
  <c r="O291" i="38" s="1"/>
  <c r="Q291" i="38" s="1"/>
  <c r="S258" i="38"/>
  <c r="O266" i="38"/>
  <c r="Q266" i="38" s="1"/>
  <c r="Q260" i="38"/>
  <c r="S260" i="38"/>
  <c r="H307" i="38"/>
  <c r="H313" i="38" s="1"/>
  <c r="H334" i="38" s="1"/>
  <c r="H336" i="38" s="1"/>
  <c r="E279" i="38"/>
  <c r="K277" i="38"/>
  <c r="I277" i="38"/>
  <c r="K312" i="38"/>
  <c r="K313" i="38" s="1"/>
  <c r="M309" i="38"/>
  <c r="K268" i="38"/>
  <c r="K269" i="38" s="1"/>
  <c r="K290" i="38" s="1"/>
  <c r="K292" i="38" s="1"/>
  <c r="M265" i="38"/>
  <c r="M268" i="38" s="1"/>
  <c r="P310" i="38"/>
  <c r="T304" i="38"/>
  <c r="M310" i="38"/>
  <c r="Y272" i="38"/>
  <c r="I323" i="38"/>
  <c r="I279" i="38"/>
  <c r="M262" i="38"/>
  <c r="M274" i="38"/>
  <c r="Y274" i="38" s="1"/>
  <c r="O310" i="38"/>
  <c r="S304" i="38"/>
  <c r="Q304" i="38"/>
  <c r="L279" i="38"/>
  <c r="P276" i="38"/>
  <c r="E323" i="38"/>
  <c r="W298" i="38"/>
  <c r="O276" i="38"/>
  <c r="M276" i="38"/>
  <c r="K279" i="38"/>
  <c r="O309" i="38"/>
  <c r="S302" i="38"/>
  <c r="O306" i="38"/>
  <c r="Q302" i="38"/>
  <c r="K263" i="38"/>
  <c r="K291" i="38" s="1"/>
  <c r="M291" i="38" s="1"/>
  <c r="O282" i="38"/>
  <c r="Q299" i="38"/>
  <c r="S299" i="38"/>
  <c r="U299" i="38" s="1"/>
  <c r="S326" i="38"/>
  <c r="Q326" i="38"/>
  <c r="Q327" i="38" s="1"/>
  <c r="O327" i="38"/>
  <c r="G312" i="38"/>
  <c r="G313" i="38" s="1"/>
  <c r="G334" i="38" s="1"/>
  <c r="G336" i="38" s="1"/>
  <c r="I309" i="38"/>
  <c r="I312" i="38" s="1"/>
  <c r="G263" i="38"/>
  <c r="G291" i="38" s="1"/>
  <c r="I291" i="38" s="1"/>
  <c r="N339" i="38"/>
  <c r="P300" i="38"/>
  <c r="P311" i="38" s="1"/>
  <c r="T296" i="38"/>
  <c r="Q256" i="38"/>
  <c r="E310" i="38"/>
  <c r="E312" i="38" s="1"/>
  <c r="G307" i="38"/>
  <c r="G335" i="38" s="1"/>
  <c r="I335" i="38" s="1"/>
  <c r="R339" i="38"/>
  <c r="K289" i="38"/>
  <c r="O285" i="38"/>
  <c r="M285" i="38"/>
  <c r="E266" i="38"/>
  <c r="C312" i="38"/>
  <c r="O256" i="38"/>
  <c r="O267" i="38" s="1"/>
  <c r="Q267" i="38" s="1"/>
  <c r="X277" i="38"/>
  <c r="P266" i="38"/>
  <c r="P268" i="38" s="1"/>
  <c r="P269" i="38" s="1"/>
  <c r="T260" i="38"/>
  <c r="S296" i="38"/>
  <c r="Q296" i="38"/>
  <c r="Q300" i="38" s="1"/>
  <c r="O300" i="38"/>
  <c r="O311" i="38" s="1"/>
  <c r="H268" i="38"/>
  <c r="H269" i="38" s="1"/>
  <c r="H290" i="38" s="1"/>
  <c r="H292" i="38" s="1"/>
  <c r="E268" i="38"/>
  <c r="M300" i="38"/>
  <c r="U252" i="38"/>
  <c r="Q297" i="38"/>
  <c r="Y297" i="38" s="1"/>
  <c r="S297" i="38"/>
  <c r="U297" i="38" s="1"/>
  <c r="P309" i="38"/>
  <c r="T302" i="38"/>
  <c r="P306" i="38"/>
  <c r="O333" i="38"/>
  <c r="S329" i="38"/>
  <c r="Q329" i="38"/>
  <c r="Q333" i="38" s="1"/>
  <c r="W261" i="38"/>
  <c r="Y261" i="38" s="1"/>
  <c r="T265" i="38"/>
  <c r="L307" i="38"/>
  <c r="Y254" i="32"/>
  <c r="E323" i="32"/>
  <c r="K289" i="32"/>
  <c r="M285" i="32"/>
  <c r="O285" i="32"/>
  <c r="T302" i="32"/>
  <c r="P309" i="32"/>
  <c r="P306" i="32"/>
  <c r="S296" i="32"/>
  <c r="O300" i="32"/>
  <c r="O311" i="32" s="1"/>
  <c r="Q296" i="32"/>
  <c r="K283" i="32"/>
  <c r="O282" i="32" s="1"/>
  <c r="M282" i="32"/>
  <c r="M283" i="32" s="1"/>
  <c r="G279" i="32"/>
  <c r="I276" i="32"/>
  <c r="K276" i="32"/>
  <c r="I262" i="32"/>
  <c r="I256" i="32"/>
  <c r="M267" i="32"/>
  <c r="S329" i="32"/>
  <c r="Q329" i="32"/>
  <c r="O333" i="32"/>
  <c r="P266" i="32"/>
  <c r="T260" i="32"/>
  <c r="T266" i="32" s="1"/>
  <c r="Y274" i="32"/>
  <c r="T276" i="32"/>
  <c r="T279" i="32" s="1"/>
  <c r="P279" i="32"/>
  <c r="L313" i="32"/>
  <c r="R339" i="32"/>
  <c r="O256" i="32"/>
  <c r="O267" i="32" s="1"/>
  <c r="S252" i="32"/>
  <c r="Q252" i="32"/>
  <c r="Q256" i="32" s="1"/>
  <c r="S255" i="32"/>
  <c r="U255" i="32" s="1"/>
  <c r="Q255" i="32"/>
  <c r="W255" i="32"/>
  <c r="C269" i="32"/>
  <c r="C290" i="32" s="1"/>
  <c r="C292" i="32" s="1"/>
  <c r="X297" i="32"/>
  <c r="X260" i="32"/>
  <c r="I267" i="32"/>
  <c r="Q254" i="32"/>
  <c r="S254" i="32"/>
  <c r="U254" i="32" s="1"/>
  <c r="L268" i="32"/>
  <c r="E327" i="32"/>
  <c r="H323" i="32"/>
  <c r="L320" i="32"/>
  <c r="I320" i="32"/>
  <c r="I323" i="32" s="1"/>
  <c r="D313" i="32"/>
  <c r="D334" i="32" s="1"/>
  <c r="D336" i="32" s="1"/>
  <c r="X277" i="32"/>
  <c r="O321" i="32"/>
  <c r="M321" i="32"/>
  <c r="E268" i="32"/>
  <c r="I300" i="32"/>
  <c r="S320" i="32"/>
  <c r="P310" i="32"/>
  <c r="T304" i="32"/>
  <c r="T310" i="32" s="1"/>
  <c r="S259" i="32"/>
  <c r="U259" i="32" s="1"/>
  <c r="Q259" i="32"/>
  <c r="T252" i="32"/>
  <c r="T256" i="32" s="1"/>
  <c r="T267" i="32" s="1"/>
  <c r="P256" i="32"/>
  <c r="P267" i="32" s="1"/>
  <c r="X267" i="32" s="1"/>
  <c r="O266" i="32"/>
  <c r="Q266" i="32" s="1"/>
  <c r="S260" i="32"/>
  <c r="Q260" i="32"/>
  <c r="K277" i="32"/>
  <c r="I277" i="32"/>
  <c r="O310" i="32"/>
  <c r="Q310" i="32" s="1"/>
  <c r="Q304" i="32"/>
  <c r="S304" i="32"/>
  <c r="X259" i="32"/>
  <c r="W259" i="32"/>
  <c r="Y259" i="32" s="1"/>
  <c r="X261" i="32"/>
  <c r="Q305" i="32"/>
  <c r="S305" i="32"/>
  <c r="U305" i="32" s="1"/>
  <c r="M266" i="32"/>
  <c r="X310" i="32"/>
  <c r="H266" i="32"/>
  <c r="X299" i="32"/>
  <c r="S261" i="32"/>
  <c r="Q261" i="32"/>
  <c r="G310" i="32"/>
  <c r="L263" i="32"/>
  <c r="E312" i="32"/>
  <c r="S326" i="32"/>
  <c r="Q326" i="32"/>
  <c r="Q327" i="32" s="1"/>
  <c r="O327" i="32"/>
  <c r="M306" i="32"/>
  <c r="S298" i="32"/>
  <c r="Q298" i="32"/>
  <c r="S297" i="32"/>
  <c r="Q297" i="32"/>
  <c r="O265" i="32"/>
  <c r="S258" i="32"/>
  <c r="O262" i="32"/>
  <c r="Q258" i="32"/>
  <c r="Q262" i="32" s="1"/>
  <c r="Q263" i="32" s="1"/>
  <c r="W305" i="32"/>
  <c r="Y305" i="32" s="1"/>
  <c r="H313" i="32"/>
  <c r="H334" i="32" s="1"/>
  <c r="H336" i="32" s="1"/>
  <c r="I306" i="32"/>
  <c r="C334" i="32"/>
  <c r="C336" i="32" s="1"/>
  <c r="Q303" i="32"/>
  <c r="S303" i="32"/>
  <c r="U303" i="32" s="1"/>
  <c r="V339" i="32"/>
  <c r="M310" i="32"/>
  <c r="K268" i="32"/>
  <c r="M265" i="32"/>
  <c r="W296" i="32"/>
  <c r="G266" i="32"/>
  <c r="X304" i="32"/>
  <c r="O309" i="32"/>
  <c r="O306" i="32"/>
  <c r="O307" i="32" s="1"/>
  <c r="O335" i="32" s="1"/>
  <c r="Q335" i="32" s="1"/>
  <c r="Q302" i="32"/>
  <c r="S302" i="32"/>
  <c r="Y317" i="32"/>
  <c r="Q253" i="32"/>
  <c r="S253" i="32"/>
  <c r="M262" i="32"/>
  <c r="M263" i="32" s="1"/>
  <c r="M300" i="32"/>
  <c r="P265" i="32"/>
  <c r="P268" i="32" s="1"/>
  <c r="P269" i="32" s="1"/>
  <c r="P290" i="32" s="1"/>
  <c r="P292" i="32" s="1"/>
  <c r="P262" i="32"/>
  <c r="P263" i="32" s="1"/>
  <c r="T258" i="32"/>
  <c r="T296" i="32"/>
  <c r="T300" i="32" s="1"/>
  <c r="T311" i="32" s="1"/>
  <c r="P300" i="32"/>
  <c r="H307" i="32"/>
  <c r="Y255" i="32"/>
  <c r="K323" i="32"/>
  <c r="S299" i="32"/>
  <c r="U299" i="32" s="1"/>
  <c r="Q299" i="32"/>
  <c r="Y299" i="32" s="1"/>
  <c r="W299" i="32"/>
  <c r="K312" i="32"/>
  <c r="K313" i="32" s="1"/>
  <c r="K334" i="32" s="1"/>
  <c r="K336" i="32" s="1"/>
  <c r="M309" i="32"/>
  <c r="M312" i="32" s="1"/>
  <c r="L279" i="32"/>
  <c r="X279" i="32" s="1"/>
  <c r="L307" i="32"/>
  <c r="K263" i="32"/>
  <c r="K291" i="32" s="1"/>
  <c r="M291" i="32" s="1"/>
  <c r="M311" i="32"/>
  <c r="X252" i="32"/>
  <c r="X304" i="31"/>
  <c r="W303" i="31"/>
  <c r="Y303" i="31" s="1"/>
  <c r="I307" i="31"/>
  <c r="Q321" i="31"/>
  <c r="H323" i="31"/>
  <c r="L320" i="31"/>
  <c r="K277" i="31"/>
  <c r="I277" i="31"/>
  <c r="H310" i="31"/>
  <c r="E266" i="31"/>
  <c r="C268" i="31"/>
  <c r="O260" i="31"/>
  <c r="M260" i="31"/>
  <c r="K266" i="31"/>
  <c r="M266" i="31" s="1"/>
  <c r="O255" i="31"/>
  <c r="M255" i="31"/>
  <c r="S303" i="31"/>
  <c r="U303" i="31" s="1"/>
  <c r="Q303" i="31"/>
  <c r="O254" i="31"/>
  <c r="M254" i="31"/>
  <c r="M306" i="31"/>
  <c r="M321" i="31"/>
  <c r="Y321" i="31" s="1"/>
  <c r="O253" i="31"/>
  <c r="M253" i="31"/>
  <c r="O259" i="31"/>
  <c r="M259" i="31"/>
  <c r="L268" i="31"/>
  <c r="L269" i="31" s="1"/>
  <c r="X321" i="31"/>
  <c r="P300" i="31"/>
  <c r="P311" i="31" s="1"/>
  <c r="T296" i="31"/>
  <c r="O309" i="31"/>
  <c r="S302" i="31"/>
  <c r="O306" i="31"/>
  <c r="Q302" i="31"/>
  <c r="S282" i="31"/>
  <c r="Q282" i="31"/>
  <c r="Q283" i="31" s="1"/>
  <c r="O283" i="31"/>
  <c r="W302" i="31"/>
  <c r="Y285" i="31"/>
  <c r="K312" i="31"/>
  <c r="K313" i="31" s="1"/>
  <c r="M309" i="31"/>
  <c r="M312" i="31" s="1"/>
  <c r="S329" i="31"/>
  <c r="Q329" i="31"/>
  <c r="O333" i="31"/>
  <c r="C312" i="31"/>
  <c r="E310" i="31"/>
  <c r="S305" i="31"/>
  <c r="Q305" i="31"/>
  <c r="P309" i="31"/>
  <c r="T302" i="31"/>
  <c r="P306" i="31"/>
  <c r="M300" i="31"/>
  <c r="H269" i="31"/>
  <c r="H290" i="31" s="1"/>
  <c r="H292" i="31" s="1"/>
  <c r="O320" i="31"/>
  <c r="M320" i="31"/>
  <c r="M323" i="31" s="1"/>
  <c r="K323" i="31"/>
  <c r="M326" i="31"/>
  <c r="K327" i="31"/>
  <c r="O326" i="31" s="1"/>
  <c r="M311" i="31"/>
  <c r="X277" i="31"/>
  <c r="P310" i="31"/>
  <c r="T304" i="31"/>
  <c r="T310" i="31" s="1"/>
  <c r="I310" i="31"/>
  <c r="O261" i="31"/>
  <c r="M261" i="31"/>
  <c r="I256" i="31"/>
  <c r="L312" i="31"/>
  <c r="L313" i="31" s="1"/>
  <c r="S296" i="31"/>
  <c r="O300" i="31"/>
  <c r="Q296" i="31"/>
  <c r="Q300" i="31" s="1"/>
  <c r="T258" i="31"/>
  <c r="X258" i="31" s="1"/>
  <c r="P262" i="31"/>
  <c r="P263" i="31" s="1"/>
  <c r="P265" i="31"/>
  <c r="E323" i="31"/>
  <c r="D269" i="31"/>
  <c r="D290" i="31" s="1"/>
  <c r="D292" i="31" s="1"/>
  <c r="G268" i="31"/>
  <c r="G269" i="31" s="1"/>
  <c r="G290" i="31" s="1"/>
  <c r="G292" i="31" s="1"/>
  <c r="I265" i="31"/>
  <c r="Y289" i="31"/>
  <c r="X252" i="31"/>
  <c r="I279" i="31"/>
  <c r="Y316" i="31"/>
  <c r="W282" i="31"/>
  <c r="G263" i="31"/>
  <c r="G291" i="31" s="1"/>
  <c r="I291" i="31" s="1"/>
  <c r="H307" i="31"/>
  <c r="O310" i="31"/>
  <c r="Q310" i="31" s="1"/>
  <c r="S304" i="31"/>
  <c r="Q304" i="31"/>
  <c r="H312" i="31"/>
  <c r="I309" i="31"/>
  <c r="M276" i="31"/>
  <c r="K279" i="31"/>
  <c r="O276" i="31"/>
  <c r="X305" i="31"/>
  <c r="K265" i="31"/>
  <c r="O258" i="31"/>
  <c r="M258" i="31"/>
  <c r="K262" i="31"/>
  <c r="W297" i="31"/>
  <c r="P266" i="31"/>
  <c r="T260" i="31"/>
  <c r="I300" i="31"/>
  <c r="I320" i="31"/>
  <c r="I323" i="31" s="1"/>
  <c r="X256" i="31"/>
  <c r="O252" i="31"/>
  <c r="K256" i="31"/>
  <c r="M252" i="31"/>
  <c r="W299" i="31"/>
  <c r="D334" i="31"/>
  <c r="D336" i="31" s="1"/>
  <c r="H279" i="31"/>
  <c r="L276" i="31"/>
  <c r="E279" i="31"/>
  <c r="E313" i="28"/>
  <c r="E334" i="28" s="1"/>
  <c r="O321" i="28"/>
  <c r="O321" i="33" s="1"/>
  <c r="M321" i="28"/>
  <c r="M323" i="28" s="1"/>
  <c r="G312" i="28"/>
  <c r="G313" i="28" s="1"/>
  <c r="I309" i="28"/>
  <c r="T304" i="28"/>
  <c r="P323" i="28"/>
  <c r="I323" i="28"/>
  <c r="Y316" i="28"/>
  <c r="L323" i="28"/>
  <c r="P299" i="28"/>
  <c r="P299" i="33" s="1"/>
  <c r="Q299" i="33" s="1"/>
  <c r="M299" i="28"/>
  <c r="P298" i="28"/>
  <c r="P298" i="33" s="1"/>
  <c r="Q298" i="33" s="1"/>
  <c r="M298" i="28"/>
  <c r="O305" i="28"/>
  <c r="O305" i="33" s="1"/>
  <c r="M305" i="28"/>
  <c r="I300" i="28"/>
  <c r="O303" i="28"/>
  <c r="O303" i="33" s="1"/>
  <c r="Q303" i="33" s="1"/>
  <c r="M303" i="28"/>
  <c r="K306" i="28"/>
  <c r="M302" i="28"/>
  <c r="O302" i="28"/>
  <c r="O302" i="33" s="1"/>
  <c r="K309" i="28"/>
  <c r="K309" i="33" s="1"/>
  <c r="O326" i="28"/>
  <c r="O326" i="33" s="1"/>
  <c r="Q326" i="33" s="1"/>
  <c r="Q327" i="33" s="1"/>
  <c r="I306" i="28"/>
  <c r="D313" i="28"/>
  <c r="D334" i="28" s="1"/>
  <c r="D336" i="28" s="1"/>
  <c r="Q304" i="28"/>
  <c r="S300" i="28"/>
  <c r="O333" i="28"/>
  <c r="L300" i="28"/>
  <c r="L311" i="28" s="1"/>
  <c r="L311" i="33" s="1"/>
  <c r="L312" i="33" s="1"/>
  <c r="C313" i="28"/>
  <c r="W299" i="28"/>
  <c r="L306" i="28"/>
  <c r="P302" i="28"/>
  <c r="P302" i="33" s="1"/>
  <c r="L309" i="28"/>
  <c r="L309" i="33" s="1"/>
  <c r="H307" i="28"/>
  <c r="H310" i="33"/>
  <c r="X297" i="28"/>
  <c r="W297" i="28"/>
  <c r="Y271" i="28"/>
  <c r="I260" i="28"/>
  <c r="I254" i="28"/>
  <c r="I255" i="28"/>
  <c r="I253" i="28"/>
  <c r="I259" i="28"/>
  <c r="K254" i="28"/>
  <c r="X274" i="28"/>
  <c r="S272" i="28"/>
  <c r="W273" i="28"/>
  <c r="C289" i="28"/>
  <c r="K260" i="28"/>
  <c r="L261" i="28"/>
  <c r="O259" i="28"/>
  <c r="O259" i="33" s="1"/>
  <c r="E283" i="28"/>
  <c r="H262" i="28"/>
  <c r="I258" i="28"/>
  <c r="X289" i="28"/>
  <c r="K258" i="28"/>
  <c r="K258" i="33" s="1"/>
  <c r="M258" i="33" s="1"/>
  <c r="Y278" i="28"/>
  <c r="K282" i="28"/>
  <c r="F291" i="28"/>
  <c r="F292" i="28" s="1"/>
  <c r="E274" i="28"/>
  <c r="I283" i="28"/>
  <c r="V291" i="28"/>
  <c r="V292" i="28" s="1"/>
  <c r="C279" i="28"/>
  <c r="X283" i="28"/>
  <c r="D279" i="28"/>
  <c r="G283" i="28"/>
  <c r="K253" i="28"/>
  <c r="K253" i="33" s="1"/>
  <c r="N269" i="28"/>
  <c r="N290" i="28" s="1"/>
  <c r="N292" i="28" s="1"/>
  <c r="E289" i="28"/>
  <c r="M273" i="28"/>
  <c r="Y273" i="28" s="1"/>
  <c r="Y286" i="28"/>
  <c r="Y288" i="28"/>
  <c r="I267" i="28"/>
  <c r="M289" i="28"/>
  <c r="K289" i="28"/>
  <c r="E256" i="28"/>
  <c r="C256" i="28"/>
  <c r="C266" i="28" s="1"/>
  <c r="C268" i="28" s="1"/>
  <c r="E277" i="28"/>
  <c r="X14" i="28"/>
  <c r="I274" i="28"/>
  <c r="D256" i="28"/>
  <c r="J269" i="28"/>
  <c r="J290" i="28" s="1"/>
  <c r="J292" i="28" s="1"/>
  <c r="G277" i="28"/>
  <c r="G277" i="33" s="1"/>
  <c r="G289" i="28"/>
  <c r="G256" i="28"/>
  <c r="G266" i="28" s="1"/>
  <c r="G266" i="33" s="1"/>
  <c r="G268" i="33" s="1"/>
  <c r="O274" i="28"/>
  <c r="U287" i="28"/>
  <c r="Y287" i="28" s="1"/>
  <c r="R291" i="28"/>
  <c r="R292" i="28" s="1"/>
  <c r="E258" i="28"/>
  <c r="I13" i="28"/>
  <c r="L277" i="28"/>
  <c r="G262" i="28"/>
  <c r="H265" i="28"/>
  <c r="H265" i="33" s="1"/>
  <c r="I265" i="33" s="1"/>
  <c r="C283" i="28"/>
  <c r="L258" i="28"/>
  <c r="L258" i="33" s="1"/>
  <c r="E267" i="28"/>
  <c r="Y281" i="28"/>
  <c r="I289" i="28"/>
  <c r="K14" i="28"/>
  <c r="I14" i="28"/>
  <c r="P183" i="23"/>
  <c r="T183" i="23" s="1"/>
  <c r="M183" i="23"/>
  <c r="O183" i="23"/>
  <c r="P183" i="9"/>
  <c r="T183" i="9" s="1"/>
  <c r="K183" i="9"/>
  <c r="P183" i="24"/>
  <c r="T183" i="24" s="1"/>
  <c r="O183" i="24"/>
  <c r="O183" i="30"/>
  <c r="X183" i="30"/>
  <c r="P183" i="39"/>
  <c r="T183" i="39" s="1"/>
  <c r="X183" i="39"/>
  <c r="H183" i="33"/>
  <c r="O183" i="39"/>
  <c r="M183" i="39"/>
  <c r="L183" i="33"/>
  <c r="Y183" i="38"/>
  <c r="W183" i="38"/>
  <c r="M183" i="32"/>
  <c r="O183" i="32"/>
  <c r="K183" i="33"/>
  <c r="P183" i="32"/>
  <c r="G183" i="33"/>
  <c r="Y183" i="31"/>
  <c r="Y183" i="28"/>
  <c r="Q13" i="28"/>
  <c r="X13" i="28"/>
  <c r="H8" i="28"/>
  <c r="L8" i="28" s="1"/>
  <c r="P8" i="28" s="1"/>
  <c r="T8" i="28" s="1"/>
  <c r="M13" i="28"/>
  <c r="K8" i="28"/>
  <c r="S13" i="28"/>
  <c r="M309" i="33" l="1"/>
  <c r="M306" i="28"/>
  <c r="H262" i="33"/>
  <c r="X303" i="28"/>
  <c r="I259" i="33"/>
  <c r="Q305" i="33"/>
  <c r="O255" i="28"/>
  <c r="O255" i="33" s="1"/>
  <c r="U272" i="28"/>
  <c r="Y272" i="28" s="1"/>
  <c r="S272" i="33"/>
  <c r="G334" i="28"/>
  <c r="G335" i="28"/>
  <c r="I335" i="28" s="1"/>
  <c r="O327" i="33"/>
  <c r="P254" i="28"/>
  <c r="L254" i="33"/>
  <c r="O304" i="33"/>
  <c r="Q304" i="33" s="1"/>
  <c r="Q306" i="33" s="1"/>
  <c r="S304" i="28"/>
  <c r="K283" i="28"/>
  <c r="O282" i="28" s="1"/>
  <c r="K282" i="33"/>
  <c r="M254" i="28"/>
  <c r="K254" i="33"/>
  <c r="P255" i="28"/>
  <c r="L255" i="33"/>
  <c r="M255" i="33" s="1"/>
  <c r="M255" i="28"/>
  <c r="P300" i="33"/>
  <c r="D279" i="33"/>
  <c r="I258" i="33"/>
  <c r="G262" i="33"/>
  <c r="G263" i="33" s="1"/>
  <c r="G291" i="33" s="1"/>
  <c r="I291" i="33" s="1"/>
  <c r="H256" i="33"/>
  <c r="H263" i="33" s="1"/>
  <c r="I277" i="33"/>
  <c r="I279" i="33" s="1"/>
  <c r="G279" i="33"/>
  <c r="C334" i="28"/>
  <c r="C336" i="28" s="1"/>
  <c r="C335" i="28"/>
  <c r="E335" i="28" s="1"/>
  <c r="E336" i="28" s="1"/>
  <c r="M259" i="33"/>
  <c r="P253" i="28"/>
  <c r="L253" i="33"/>
  <c r="Q302" i="33"/>
  <c r="M310" i="28"/>
  <c r="W310" i="28"/>
  <c r="W273" i="33"/>
  <c r="K274" i="33"/>
  <c r="M273" i="33"/>
  <c r="T310" i="28"/>
  <c r="X310" i="28" s="1"/>
  <c r="T304" i="33"/>
  <c r="X304" i="33" s="1"/>
  <c r="M321" i="33"/>
  <c r="T321" i="28"/>
  <c r="P321" i="33"/>
  <c r="Q321" i="33" s="1"/>
  <c r="T305" i="28"/>
  <c r="T305" i="33" s="1"/>
  <c r="P305" i="33"/>
  <c r="L306" i="33"/>
  <c r="L307" i="33" s="1"/>
  <c r="S311" i="28"/>
  <c r="S310" i="28"/>
  <c r="E282" i="33"/>
  <c r="E283" i="33" s="1"/>
  <c r="C283" i="33"/>
  <c r="I260" i="33"/>
  <c r="M253" i="33"/>
  <c r="Q297" i="33"/>
  <c r="X297" i="33"/>
  <c r="M305" i="33"/>
  <c r="M306" i="33" s="1"/>
  <c r="X304" i="28"/>
  <c r="P259" i="28"/>
  <c r="U316" i="33"/>
  <c r="S318" i="33"/>
  <c r="W318" i="33" s="1"/>
  <c r="W316" i="33"/>
  <c r="P261" i="28"/>
  <c r="L261" i="33"/>
  <c r="M259" i="28"/>
  <c r="Q310" i="28"/>
  <c r="O261" i="28"/>
  <c r="K261" i="33"/>
  <c r="M261" i="33" s="1"/>
  <c r="K306" i="33"/>
  <c r="U297" i="33"/>
  <c r="P277" i="28"/>
  <c r="P277" i="33" s="1"/>
  <c r="P279" i="33" s="1"/>
  <c r="L277" i="33"/>
  <c r="L279" i="33" s="1"/>
  <c r="P310" i="33"/>
  <c r="O274" i="33"/>
  <c r="Q272" i="33"/>
  <c r="P260" i="28"/>
  <c r="L260" i="33"/>
  <c r="L262" i="33" s="1"/>
  <c r="U297" i="28"/>
  <c r="Y297" i="28" s="1"/>
  <c r="I282" i="33"/>
  <c r="I283" i="33" s="1"/>
  <c r="G283" i="33"/>
  <c r="O260" i="28"/>
  <c r="O260" i="33" s="1"/>
  <c r="K260" i="33"/>
  <c r="K262" i="33" s="1"/>
  <c r="I255" i="33"/>
  <c r="I253" i="33"/>
  <c r="H334" i="30"/>
  <c r="H336" i="30" s="1"/>
  <c r="G335" i="30"/>
  <c r="I335" i="30" s="1"/>
  <c r="I312" i="30"/>
  <c r="S311" i="30"/>
  <c r="S310" i="30"/>
  <c r="G336" i="30"/>
  <c r="C334" i="33"/>
  <c r="C335" i="33"/>
  <c r="E335" i="33" s="1"/>
  <c r="I310" i="33"/>
  <c r="H312" i="33"/>
  <c r="H313" i="33" s="1"/>
  <c r="H334" i="33" s="1"/>
  <c r="H336" i="33" s="1"/>
  <c r="S311" i="33"/>
  <c r="W300" i="28"/>
  <c r="G290" i="30"/>
  <c r="G292" i="30" s="1"/>
  <c r="M266" i="30"/>
  <c r="C266" i="33"/>
  <c r="K334" i="30"/>
  <c r="K335" i="30"/>
  <c r="M335" i="30" s="1"/>
  <c r="X310" i="30"/>
  <c r="Q310" i="30"/>
  <c r="O310" i="33"/>
  <c r="Q310" i="33" s="1"/>
  <c r="M268" i="30"/>
  <c r="M269" i="30" s="1"/>
  <c r="Q263" i="30"/>
  <c r="M252" i="33"/>
  <c r="O252" i="33"/>
  <c r="S252" i="30"/>
  <c r="O256" i="30"/>
  <c r="G307" i="33"/>
  <c r="M296" i="33"/>
  <c r="M300" i="33" s="1"/>
  <c r="K300" i="33"/>
  <c r="I312" i="33"/>
  <c r="G269" i="33"/>
  <c r="I307" i="33"/>
  <c r="D313" i="33"/>
  <c r="D334" i="33" s="1"/>
  <c r="D336" i="33" s="1"/>
  <c r="L323" i="33"/>
  <c r="W276" i="33"/>
  <c r="Q276" i="33"/>
  <c r="M320" i="33"/>
  <c r="O323" i="33"/>
  <c r="X296" i="33"/>
  <c r="Q329" i="33"/>
  <c r="Q333" i="33" s="1"/>
  <c r="O333" i="33"/>
  <c r="L313" i="33"/>
  <c r="E313" i="33"/>
  <c r="E334" i="33" s="1"/>
  <c r="Q285" i="33"/>
  <c r="O289" i="33"/>
  <c r="O277" i="23"/>
  <c r="M277" i="23"/>
  <c r="U307" i="23"/>
  <c r="I263" i="23"/>
  <c r="M269" i="23"/>
  <c r="Q265" i="23"/>
  <c r="O268" i="23"/>
  <c r="S307" i="23"/>
  <c r="S335" i="23" s="1"/>
  <c r="U335" i="23" s="1"/>
  <c r="W306" i="23"/>
  <c r="W307" i="23" s="1"/>
  <c r="W335" i="23" s="1"/>
  <c r="Y335" i="23" s="1"/>
  <c r="S256" i="23"/>
  <c r="S267" i="23" s="1"/>
  <c r="U252" i="23"/>
  <c r="W252" i="23"/>
  <c r="O263" i="23"/>
  <c r="O291" i="23" s="1"/>
  <c r="Q291" i="23" s="1"/>
  <c r="U254" i="23"/>
  <c r="Y254" i="23" s="1"/>
  <c r="W254" i="23"/>
  <c r="S265" i="23"/>
  <c r="S262" i="23"/>
  <c r="S263" i="23" s="1"/>
  <c r="S291" i="23" s="1"/>
  <c r="U291" i="23" s="1"/>
  <c r="U258" i="23"/>
  <c r="W258" i="23"/>
  <c r="U253" i="23"/>
  <c r="Y253" i="23" s="1"/>
  <c r="W253" i="23"/>
  <c r="S312" i="23"/>
  <c r="S313" i="23" s="1"/>
  <c r="U309" i="23"/>
  <c r="W309" i="23"/>
  <c r="I312" i="23"/>
  <c r="I313" i="23" s="1"/>
  <c r="I334" i="23" s="1"/>
  <c r="I336" i="23" s="1"/>
  <c r="U260" i="23"/>
  <c r="S266" i="23"/>
  <c r="U266" i="23" s="1"/>
  <c r="Q256" i="23"/>
  <c r="Y252" i="23"/>
  <c r="S321" i="23"/>
  <c r="U321" i="23" s="1"/>
  <c r="Q321" i="23"/>
  <c r="Y321" i="23" s="1"/>
  <c r="D269" i="23"/>
  <c r="D290" i="23" s="1"/>
  <c r="D292" i="23" s="1"/>
  <c r="X310" i="23"/>
  <c r="M333" i="23"/>
  <c r="E268" i="23"/>
  <c r="P263" i="23"/>
  <c r="G290" i="23"/>
  <c r="G292" i="23" s="1"/>
  <c r="S329" i="23"/>
  <c r="Q329" i="23"/>
  <c r="Q333" i="23" s="1"/>
  <c r="O333" i="23"/>
  <c r="K279" i="23"/>
  <c r="K290" i="23" s="1"/>
  <c r="K292" i="23" s="1"/>
  <c r="O276" i="23"/>
  <c r="M276" i="23"/>
  <c r="S283" i="23"/>
  <c r="W283" i="23" s="1"/>
  <c r="U282" i="23"/>
  <c r="U283" i="23" s="1"/>
  <c r="Y283" i="23" s="1"/>
  <c r="W282" i="23"/>
  <c r="T265" i="23"/>
  <c r="T262" i="23"/>
  <c r="X258" i="23"/>
  <c r="Y300" i="23"/>
  <c r="T306" i="23"/>
  <c r="T309" i="23"/>
  <c r="U285" i="23"/>
  <c r="S289" i="23"/>
  <c r="H269" i="23"/>
  <c r="H290" i="23" s="1"/>
  <c r="H292" i="23" s="1"/>
  <c r="P268" i="23"/>
  <c r="K334" i="23"/>
  <c r="K336" i="23" s="1"/>
  <c r="P312" i="23"/>
  <c r="Q309" i="23"/>
  <c r="Q312" i="23" s="1"/>
  <c r="Q313" i="23" s="1"/>
  <c r="W256" i="23"/>
  <c r="W261" i="23"/>
  <c r="Y261" i="23" s="1"/>
  <c r="T256" i="23"/>
  <c r="T267" i="23" s="1"/>
  <c r="X267" i="23" s="1"/>
  <c r="X252" i="23"/>
  <c r="W267" i="23"/>
  <c r="Q306" i="23"/>
  <c r="Q307" i="23" s="1"/>
  <c r="Y307" i="23" s="1"/>
  <c r="Y306" i="23"/>
  <c r="U300" i="23"/>
  <c r="P320" i="23"/>
  <c r="L323" i="23"/>
  <c r="T300" i="23"/>
  <c r="X296" i="23"/>
  <c r="T276" i="23"/>
  <c r="P279" i="23"/>
  <c r="S320" i="23"/>
  <c r="Q320" i="23"/>
  <c r="O323" i="23"/>
  <c r="O334" i="23" s="1"/>
  <c r="O336" i="23" s="1"/>
  <c r="W320" i="23"/>
  <c r="Q266" i="23"/>
  <c r="Y266" i="23" s="1"/>
  <c r="Q327" i="23"/>
  <c r="W310" i="23"/>
  <c r="U255" i="23"/>
  <c r="Y255" i="23" s="1"/>
  <c r="W255" i="23"/>
  <c r="W289" i="23"/>
  <c r="S327" i="23"/>
  <c r="W327" i="23" s="1"/>
  <c r="U326" i="23"/>
  <c r="U327" i="23" s="1"/>
  <c r="Y310" i="23"/>
  <c r="E312" i="23"/>
  <c r="C313" i="23"/>
  <c r="C334" i="23" s="1"/>
  <c r="C336" i="23" s="1"/>
  <c r="W312" i="23"/>
  <c r="W313" i="23" s="1"/>
  <c r="I279" i="23"/>
  <c r="M320" i="23"/>
  <c r="M323" i="23" s="1"/>
  <c r="M334" i="23" s="1"/>
  <c r="M336" i="23" s="1"/>
  <c r="Q262" i="23"/>
  <c r="W259" i="23"/>
  <c r="Y259" i="23" s="1"/>
  <c r="H290" i="9"/>
  <c r="H292" i="9" s="1"/>
  <c r="X256" i="9"/>
  <c r="Y256" i="9"/>
  <c r="K269" i="9"/>
  <c r="P263" i="9"/>
  <c r="Y297" i="9"/>
  <c r="Q267" i="9"/>
  <c r="Y267" i="9" s="1"/>
  <c r="S296" i="9"/>
  <c r="S300" i="9" s="1"/>
  <c r="S311" i="9" s="1"/>
  <c r="O300" i="9"/>
  <c r="W296" i="9"/>
  <c r="I269" i="9"/>
  <c r="Q310" i="9"/>
  <c r="M312" i="9"/>
  <c r="Y327" i="9"/>
  <c r="W305" i="9"/>
  <c r="Y305" i="9" s="1"/>
  <c r="Q265" i="9"/>
  <c r="O268" i="9"/>
  <c r="O277" i="9"/>
  <c r="M277" i="9"/>
  <c r="W259" i="9"/>
  <c r="Y259" i="9" s="1"/>
  <c r="W303" i="9"/>
  <c r="Y303" i="9" s="1"/>
  <c r="W256" i="9"/>
  <c r="K279" i="9"/>
  <c r="P276" i="9"/>
  <c r="L279" i="9"/>
  <c r="L290" i="9" s="1"/>
  <c r="L292" i="9" s="1"/>
  <c r="T310" i="9"/>
  <c r="X310" i="9" s="1"/>
  <c r="X304" i="9"/>
  <c r="Y304" i="9" s="1"/>
  <c r="M276" i="9"/>
  <c r="S321" i="9"/>
  <c r="U321" i="9" s="1"/>
  <c r="Q321" i="9"/>
  <c r="E334" i="9"/>
  <c r="E336" i="9" s="1"/>
  <c r="Q300" i="9"/>
  <c r="S276" i="9"/>
  <c r="W276" i="9"/>
  <c r="Q306" i="9"/>
  <c r="M307" i="9"/>
  <c r="P311" i="9"/>
  <c r="X300" i="9"/>
  <c r="I307" i="9"/>
  <c r="S265" i="9"/>
  <c r="S262" i="9"/>
  <c r="S263" i="9" s="1"/>
  <c r="S291" i="9" s="1"/>
  <c r="U291" i="9" s="1"/>
  <c r="U258" i="9"/>
  <c r="P268" i="9"/>
  <c r="P269" i="9" s="1"/>
  <c r="S327" i="9"/>
  <c r="W327" i="9" s="1"/>
  <c r="U326" i="9"/>
  <c r="U327" i="9" s="1"/>
  <c r="W326" i="9"/>
  <c r="U304" i="9"/>
  <c r="S310" i="9"/>
  <c r="O320" i="9"/>
  <c r="M320" i="9"/>
  <c r="K323" i="9"/>
  <c r="T306" i="9"/>
  <c r="T307" i="9" s="1"/>
  <c r="T309" i="9"/>
  <c r="X302" i="9"/>
  <c r="W267" i="9"/>
  <c r="S266" i="9"/>
  <c r="U260" i="9"/>
  <c r="I290" i="9"/>
  <c r="I292" i="9" s="1"/>
  <c r="O307" i="9"/>
  <c r="O335" i="9" s="1"/>
  <c r="Q335" i="9" s="1"/>
  <c r="T300" i="9"/>
  <c r="T311" i="9" s="1"/>
  <c r="U296" i="9"/>
  <c r="X296" i="9"/>
  <c r="X266" i="9"/>
  <c r="O263" i="9"/>
  <c r="O291" i="9" s="1"/>
  <c r="Q291" i="9" s="1"/>
  <c r="P312" i="9"/>
  <c r="W310" i="9"/>
  <c r="S309" i="9"/>
  <c r="S306" i="9"/>
  <c r="S307" i="9" s="1"/>
  <c r="S335" i="9" s="1"/>
  <c r="U335" i="9" s="1"/>
  <c r="U302" i="9"/>
  <c r="U306" i="9" s="1"/>
  <c r="P320" i="9"/>
  <c r="L323" i="9"/>
  <c r="W261" i="9"/>
  <c r="Y261" i="9" s="1"/>
  <c r="W302" i="9"/>
  <c r="Q262" i="9"/>
  <c r="Q263" i="9" s="1"/>
  <c r="Q309" i="9"/>
  <c r="K290" i="9"/>
  <c r="K292" i="9" s="1"/>
  <c r="U285" i="9"/>
  <c r="U289" i="9" s="1"/>
  <c r="S289" i="9"/>
  <c r="T265" i="9"/>
  <c r="T268" i="9" s="1"/>
  <c r="T262" i="9"/>
  <c r="T263" i="9" s="1"/>
  <c r="X258" i="9"/>
  <c r="Y258" i="9" s="1"/>
  <c r="M263" i="9"/>
  <c r="M333" i="9"/>
  <c r="W289" i="9"/>
  <c r="E269" i="9"/>
  <c r="E290" i="9" s="1"/>
  <c r="E292" i="9" s="1"/>
  <c r="M268" i="9"/>
  <c r="K334" i="9"/>
  <c r="K336" i="9" s="1"/>
  <c r="X262" i="9"/>
  <c r="X263" i="9" s="1"/>
  <c r="S283" i="9"/>
  <c r="W283" i="9" s="1"/>
  <c r="U282" i="9"/>
  <c r="W282" i="9"/>
  <c r="S329" i="9"/>
  <c r="Q329" i="9"/>
  <c r="Q333" i="9" s="1"/>
  <c r="O333" i="9"/>
  <c r="W329" i="9"/>
  <c r="Q289" i="9"/>
  <c r="Y321" i="24"/>
  <c r="X311" i="24"/>
  <c r="M323" i="24"/>
  <c r="X266" i="24"/>
  <c r="Q309" i="24"/>
  <c r="O312" i="24"/>
  <c r="O313" i="24" s="1"/>
  <c r="O334" i="24" s="1"/>
  <c r="O336" i="24" s="1"/>
  <c r="I307" i="24"/>
  <c r="P263" i="24"/>
  <c r="T256" i="24"/>
  <c r="T267" i="24" s="1"/>
  <c r="X252" i="24"/>
  <c r="S321" i="24"/>
  <c r="U321" i="24" s="1"/>
  <c r="Q321" i="24"/>
  <c r="T300" i="24"/>
  <c r="T311" i="24" s="1"/>
  <c r="X296" i="24"/>
  <c r="S265" i="24"/>
  <c r="S262" i="24"/>
  <c r="U258" i="24"/>
  <c r="W258" i="24"/>
  <c r="Y258" i="24" s="1"/>
  <c r="S320" i="24"/>
  <c r="Q320" i="24"/>
  <c r="Q323" i="24" s="1"/>
  <c r="O323" i="24"/>
  <c r="I269" i="24"/>
  <c r="I290" i="24" s="1"/>
  <c r="I292" i="24" s="1"/>
  <c r="T265" i="24"/>
  <c r="T268" i="24" s="1"/>
  <c r="T262" i="24"/>
  <c r="X258" i="24"/>
  <c r="P267" i="24"/>
  <c r="T276" i="24"/>
  <c r="T279" i="24" s="1"/>
  <c r="P279" i="24"/>
  <c r="X279" i="24" s="1"/>
  <c r="X276" i="24"/>
  <c r="X300" i="24"/>
  <c r="L290" i="24"/>
  <c r="L292" i="24" s="1"/>
  <c r="Q265" i="24"/>
  <c r="O268" i="24"/>
  <c r="O269" i="24" s="1"/>
  <c r="G269" i="24"/>
  <c r="G290" i="24" s="1"/>
  <c r="G292" i="24" s="1"/>
  <c r="P268" i="24"/>
  <c r="U298" i="24"/>
  <c r="Y298" i="24" s="1"/>
  <c r="W298" i="24"/>
  <c r="I310" i="24"/>
  <c r="G312" i="24"/>
  <c r="E313" i="24"/>
  <c r="E334" i="24" s="1"/>
  <c r="E336" i="24" s="1"/>
  <c r="S300" i="24"/>
  <c r="S311" i="24" s="1"/>
  <c r="U311" i="24" s="1"/>
  <c r="U296" i="24"/>
  <c r="T266" i="24"/>
  <c r="X260" i="24"/>
  <c r="H334" i="24"/>
  <c r="H336" i="24" s="1"/>
  <c r="U303" i="24"/>
  <c r="W303" i="24"/>
  <c r="Y303" i="24" s="1"/>
  <c r="U267" i="24"/>
  <c r="U299" i="24"/>
  <c r="W299" i="24"/>
  <c r="I263" i="24"/>
  <c r="Q311" i="24"/>
  <c r="S309" i="24"/>
  <c r="S306" i="24"/>
  <c r="S307" i="24" s="1"/>
  <c r="S335" i="24" s="1"/>
  <c r="U335" i="24" s="1"/>
  <c r="U302" i="24"/>
  <c r="W302" i="24"/>
  <c r="Y302" i="24" s="1"/>
  <c r="Y299" i="24"/>
  <c r="U297" i="24"/>
  <c r="Y297" i="24" s="1"/>
  <c r="W297" i="24"/>
  <c r="X262" i="24"/>
  <c r="Q300" i="24"/>
  <c r="Y272" i="24"/>
  <c r="U304" i="24"/>
  <c r="S310" i="24"/>
  <c r="W310" i="24" s="1"/>
  <c r="W304" i="24"/>
  <c r="S283" i="24"/>
  <c r="W283" i="24" s="1"/>
  <c r="U282" i="24"/>
  <c r="U283" i="24" s="1"/>
  <c r="W282" i="24"/>
  <c r="D313" i="24"/>
  <c r="D334" i="24" s="1"/>
  <c r="D336" i="24" s="1"/>
  <c r="M333" i="24"/>
  <c r="W305" i="24"/>
  <c r="Y305" i="24" s="1"/>
  <c r="P320" i="24"/>
  <c r="L323" i="24"/>
  <c r="L334" i="24" s="1"/>
  <c r="L336" i="24" s="1"/>
  <c r="U261" i="24"/>
  <c r="W261" i="24"/>
  <c r="Y261" i="24" s="1"/>
  <c r="Q310" i="24"/>
  <c r="W256" i="24"/>
  <c r="S329" i="24"/>
  <c r="Q329" i="24"/>
  <c r="Q333" i="24" s="1"/>
  <c r="O333" i="24"/>
  <c r="U260" i="24"/>
  <c r="S266" i="24"/>
  <c r="W260" i="24"/>
  <c r="E268" i="24"/>
  <c r="W259" i="24"/>
  <c r="Y259" i="24" s="1"/>
  <c r="S326" i="24"/>
  <c r="W326" i="24" s="1"/>
  <c r="Q326" i="24"/>
  <c r="O327" i="24"/>
  <c r="Q266" i="24"/>
  <c r="W266" i="24"/>
  <c r="Y283" i="24"/>
  <c r="I312" i="24"/>
  <c r="I313" i="24" s="1"/>
  <c r="I334" i="24" s="1"/>
  <c r="I336" i="24" s="1"/>
  <c r="U285" i="24"/>
  <c r="S289" i="24"/>
  <c r="W289" i="24" s="1"/>
  <c r="M312" i="24"/>
  <c r="M313" i="24" s="1"/>
  <c r="O277" i="24"/>
  <c r="M277" i="24"/>
  <c r="W285" i="24"/>
  <c r="P307" i="24"/>
  <c r="K313" i="24"/>
  <c r="K334" i="24" s="1"/>
  <c r="K336" i="24" s="1"/>
  <c r="Y252" i="24"/>
  <c r="M268" i="24"/>
  <c r="M269" i="24" s="1"/>
  <c r="W321" i="24"/>
  <c r="T306" i="24"/>
  <c r="T309" i="24"/>
  <c r="X302" i="24"/>
  <c r="M279" i="24"/>
  <c r="Y256" i="24"/>
  <c r="K290" i="24"/>
  <c r="K292" i="24" s="1"/>
  <c r="P312" i="24"/>
  <c r="P313" i="24" s="1"/>
  <c r="W300" i="24"/>
  <c r="Q306" i="24"/>
  <c r="S276" i="24"/>
  <c r="Q276" i="24"/>
  <c r="T310" i="24"/>
  <c r="X310" i="24" s="1"/>
  <c r="X304" i="24"/>
  <c r="Y274" i="24"/>
  <c r="S265" i="30"/>
  <c r="S262" i="30"/>
  <c r="U258" i="30"/>
  <c r="U262" i="30" s="1"/>
  <c r="W258" i="30"/>
  <c r="Y258" i="30" s="1"/>
  <c r="K269" i="30"/>
  <c r="K290" i="30" s="1"/>
  <c r="Q265" i="30"/>
  <c r="E268" i="30"/>
  <c r="C313" i="30"/>
  <c r="D269" i="30"/>
  <c r="D290" i="30" s="1"/>
  <c r="D292" i="30" s="1"/>
  <c r="M312" i="30"/>
  <c r="Q311" i="30"/>
  <c r="E312" i="30"/>
  <c r="T300" i="30"/>
  <c r="T311" i="30" s="1"/>
  <c r="X296" i="30"/>
  <c r="S285" i="30"/>
  <c r="S285" i="33" s="1"/>
  <c r="W285" i="33" s="1"/>
  <c r="Q285" i="30"/>
  <c r="Q289" i="30" s="1"/>
  <c r="O289" i="30"/>
  <c r="Y282" i="30"/>
  <c r="L279" i="30"/>
  <c r="L290" i="30" s="1"/>
  <c r="L292" i="30" s="1"/>
  <c r="U296" i="30"/>
  <c r="S326" i="30"/>
  <c r="Q326" i="30"/>
  <c r="O327" i="30"/>
  <c r="W326" i="30"/>
  <c r="U311" i="30"/>
  <c r="W311" i="30"/>
  <c r="S309" i="30"/>
  <c r="S306" i="30"/>
  <c r="S307" i="30" s="1"/>
  <c r="U302" i="30"/>
  <c r="W302" i="30"/>
  <c r="Y302" i="30" s="1"/>
  <c r="Y260" i="30"/>
  <c r="X300" i="30"/>
  <c r="Q309" i="30"/>
  <c r="O312" i="30"/>
  <c r="O313" i="30" s="1"/>
  <c r="I263" i="30"/>
  <c r="I269" i="30" s="1"/>
  <c r="I290" i="30" s="1"/>
  <c r="I292" i="30" s="1"/>
  <c r="U303" i="30"/>
  <c r="W303" i="30"/>
  <c r="Y303" i="30" s="1"/>
  <c r="D313" i="30"/>
  <c r="D334" i="30" s="1"/>
  <c r="D336" i="30" s="1"/>
  <c r="U304" i="30"/>
  <c r="S310" i="33"/>
  <c r="W304" i="30"/>
  <c r="Y304" i="30" s="1"/>
  <c r="U260" i="30"/>
  <c r="S283" i="30"/>
  <c r="W283" i="30" s="1"/>
  <c r="U282" i="30"/>
  <c r="U283" i="30" s="1"/>
  <c r="Y283" i="30" s="1"/>
  <c r="W282" i="30"/>
  <c r="U305" i="30"/>
  <c r="W305" i="30"/>
  <c r="Y305" i="30" s="1"/>
  <c r="M323" i="30"/>
  <c r="S320" i="33"/>
  <c r="O323" i="30"/>
  <c r="W261" i="30"/>
  <c r="Y261" i="30" s="1"/>
  <c r="H290" i="30"/>
  <c r="H292" i="30" s="1"/>
  <c r="W300" i="30"/>
  <c r="U259" i="30"/>
  <c r="W259" i="30"/>
  <c r="Y259" i="30" s="1"/>
  <c r="C269" i="30"/>
  <c r="C290" i="30" s="1"/>
  <c r="C292" i="30" s="1"/>
  <c r="L323" i="30"/>
  <c r="T265" i="30"/>
  <c r="T262" i="30"/>
  <c r="S329" i="30"/>
  <c r="S329" i="33" s="1"/>
  <c r="Q329" i="30"/>
  <c r="O333" i="30"/>
  <c r="P268" i="30"/>
  <c r="P269" i="30" s="1"/>
  <c r="W329" i="30"/>
  <c r="T309" i="30"/>
  <c r="T312" i="30" s="1"/>
  <c r="X312" i="30" s="1"/>
  <c r="T306" i="30"/>
  <c r="M307" i="30"/>
  <c r="I307" i="30"/>
  <c r="W265" i="30"/>
  <c r="P307" i="30"/>
  <c r="P313" i="30" s="1"/>
  <c r="E313" i="39"/>
  <c r="E334" i="39" s="1"/>
  <c r="E336" i="39" s="1"/>
  <c r="T300" i="39"/>
  <c r="T311" i="39" s="1"/>
  <c r="U311" i="39" s="1"/>
  <c r="U296" i="39"/>
  <c r="U300" i="39" s="1"/>
  <c r="Y300" i="39" s="1"/>
  <c r="X296" i="39"/>
  <c r="M263" i="39"/>
  <c r="U259" i="39"/>
  <c r="W259" i="39"/>
  <c r="Y259" i="39" s="1"/>
  <c r="P276" i="39"/>
  <c r="L279" i="39"/>
  <c r="P320" i="39"/>
  <c r="L323" i="39"/>
  <c r="T265" i="39"/>
  <c r="T262" i="39"/>
  <c r="T263" i="39" s="1"/>
  <c r="Q262" i="39"/>
  <c r="M276" i="39"/>
  <c r="O320" i="39"/>
  <c r="M320" i="39"/>
  <c r="K323" i="39"/>
  <c r="K334" i="39" s="1"/>
  <c r="K336" i="39" s="1"/>
  <c r="P269" i="39"/>
  <c r="L290" i="39"/>
  <c r="L292" i="39" s="1"/>
  <c r="U261" i="39"/>
  <c r="W261" i="39"/>
  <c r="Y261" i="39" s="1"/>
  <c r="X258" i="39"/>
  <c r="O263" i="39"/>
  <c r="O291" i="39" s="1"/>
  <c r="Q291" i="39" s="1"/>
  <c r="S276" i="39"/>
  <c r="Q276" i="39"/>
  <c r="O279" i="39"/>
  <c r="W276" i="39"/>
  <c r="U267" i="39"/>
  <c r="Y267" i="39" s="1"/>
  <c r="W267" i="39"/>
  <c r="S265" i="39"/>
  <c r="S262" i="39"/>
  <c r="S263" i="39" s="1"/>
  <c r="S291" i="39" s="1"/>
  <c r="U291" i="39" s="1"/>
  <c r="U258" i="39"/>
  <c r="O268" i="39"/>
  <c r="Q265" i="39"/>
  <c r="U306" i="39"/>
  <c r="T310" i="39"/>
  <c r="X310" i="39" s="1"/>
  <c r="X304" i="39"/>
  <c r="Y304" i="39" s="1"/>
  <c r="G334" i="39"/>
  <c r="G336" i="39" s="1"/>
  <c r="S285" i="39"/>
  <c r="Q285" i="39"/>
  <c r="Q289" i="39" s="1"/>
  <c r="O289" i="39"/>
  <c r="H290" i="39"/>
  <c r="H292" i="39" s="1"/>
  <c r="D269" i="39"/>
  <c r="D290" i="39" s="1"/>
  <c r="D292" i="39" s="1"/>
  <c r="S312" i="39"/>
  <c r="W309" i="39"/>
  <c r="I268" i="39"/>
  <c r="I269" i="39" s="1"/>
  <c r="I290" i="39" s="1"/>
  <c r="I292" i="39" s="1"/>
  <c r="M268" i="39"/>
  <c r="W265" i="39"/>
  <c r="S266" i="39"/>
  <c r="U266" i="39" s="1"/>
  <c r="U260" i="39"/>
  <c r="W260" i="39"/>
  <c r="Y260" i="39" s="1"/>
  <c r="Q327" i="39"/>
  <c r="T306" i="39"/>
  <c r="T309" i="39"/>
  <c r="U309" i="39" s="1"/>
  <c r="X302" i="39"/>
  <c r="Y302" i="39" s="1"/>
  <c r="G269" i="39"/>
  <c r="G290" i="39" s="1"/>
  <c r="G292" i="39" s="1"/>
  <c r="S321" i="39"/>
  <c r="U321" i="39" s="1"/>
  <c r="Q321" i="39"/>
  <c r="Y321" i="39" s="1"/>
  <c r="S282" i="39"/>
  <c r="Q282" i="39"/>
  <c r="O283" i="39"/>
  <c r="W282" i="39"/>
  <c r="Q266" i="39"/>
  <c r="Y266" i="39" s="1"/>
  <c r="W266" i="39"/>
  <c r="S327" i="39"/>
  <c r="W327" i="39" s="1"/>
  <c r="U326" i="39"/>
  <c r="U327" i="39" s="1"/>
  <c r="P307" i="39"/>
  <c r="X306" i="39"/>
  <c r="M333" i="39"/>
  <c r="S307" i="39"/>
  <c r="S335" i="39" s="1"/>
  <c r="U335" i="39" s="1"/>
  <c r="W306" i="39"/>
  <c r="W307" i="39" s="1"/>
  <c r="W335" i="39" s="1"/>
  <c r="Y335" i="39" s="1"/>
  <c r="Q309" i="39"/>
  <c r="Y309" i="39" s="1"/>
  <c r="S329" i="39"/>
  <c r="Q329" i="39"/>
  <c r="Q333" i="39" s="1"/>
  <c r="O333" i="39"/>
  <c r="O277" i="39"/>
  <c r="M277" i="39"/>
  <c r="P311" i="39"/>
  <c r="E268" i="39"/>
  <c r="H334" i="39"/>
  <c r="H336" i="39" s="1"/>
  <c r="W258" i="39"/>
  <c r="Y258" i="39" s="1"/>
  <c r="U256" i="29"/>
  <c r="Y252" i="29"/>
  <c r="C269" i="29"/>
  <c r="C290" i="29" s="1"/>
  <c r="C292" i="29" s="1"/>
  <c r="U285" i="29"/>
  <c r="S289" i="29"/>
  <c r="W289" i="29" s="1"/>
  <c r="W285" i="29"/>
  <c r="U261" i="29"/>
  <c r="W261" i="29"/>
  <c r="Y261" i="29" s="1"/>
  <c r="M333" i="29"/>
  <c r="I279" i="29"/>
  <c r="P312" i="29"/>
  <c r="P313" i="29" s="1"/>
  <c r="X309" i="29"/>
  <c r="T266" i="29"/>
  <c r="X266" i="29" s="1"/>
  <c r="X260" i="29"/>
  <c r="O276" i="29"/>
  <c r="M276" i="29"/>
  <c r="M279" i="29" s="1"/>
  <c r="K279" i="29"/>
  <c r="M269" i="29"/>
  <c r="S266" i="29"/>
  <c r="U260" i="29"/>
  <c r="Q267" i="29"/>
  <c r="S309" i="29"/>
  <c r="S306" i="29"/>
  <c r="U302" i="29"/>
  <c r="K269" i="29"/>
  <c r="T306" i="29"/>
  <c r="T307" i="29" s="1"/>
  <c r="T309" i="29"/>
  <c r="T312" i="29" s="1"/>
  <c r="W267" i="29"/>
  <c r="S327" i="29"/>
  <c r="W327" i="29" s="1"/>
  <c r="U326" i="29"/>
  <c r="U327" i="29" s="1"/>
  <c r="Y327" i="29" s="1"/>
  <c r="Q309" i="29"/>
  <c r="O312" i="29"/>
  <c r="W299" i="29"/>
  <c r="P263" i="29"/>
  <c r="X262" i="29"/>
  <c r="W260" i="29"/>
  <c r="Y256" i="29"/>
  <c r="L334" i="29"/>
  <c r="L336" i="29" s="1"/>
  <c r="T256" i="29"/>
  <c r="T267" i="29" s="1"/>
  <c r="X267" i="29" s="1"/>
  <c r="X252" i="29"/>
  <c r="U304" i="29"/>
  <c r="S310" i="29"/>
  <c r="W304" i="29"/>
  <c r="Y304" i="29" s="1"/>
  <c r="W262" i="29"/>
  <c r="W263" i="29" s="1"/>
  <c r="W291" i="29" s="1"/>
  <c r="Y291" i="29" s="1"/>
  <c r="W297" i="29"/>
  <c r="T265" i="29"/>
  <c r="T262" i="29"/>
  <c r="O277" i="29"/>
  <c r="M277" i="29"/>
  <c r="W259" i="29"/>
  <c r="Y259" i="29" s="1"/>
  <c r="Q300" i="29"/>
  <c r="P268" i="29"/>
  <c r="P269" i="29" s="1"/>
  <c r="X302" i="29"/>
  <c r="Y302" i="29" s="1"/>
  <c r="E268" i="29"/>
  <c r="S265" i="29"/>
  <c r="S262" i="29"/>
  <c r="S263" i="29" s="1"/>
  <c r="S291" i="29" s="1"/>
  <c r="U291" i="29" s="1"/>
  <c r="U258" i="29"/>
  <c r="W258" i="29"/>
  <c r="Y258" i="29" s="1"/>
  <c r="P320" i="29"/>
  <c r="L323" i="29"/>
  <c r="S321" i="29"/>
  <c r="U321" i="29" s="1"/>
  <c r="Q321" i="29"/>
  <c r="Y321" i="29" s="1"/>
  <c r="W321" i="29"/>
  <c r="U305" i="29"/>
  <c r="W305" i="29"/>
  <c r="Y305" i="29" s="1"/>
  <c r="I263" i="29"/>
  <c r="Q311" i="29"/>
  <c r="I307" i="29"/>
  <c r="S300" i="29"/>
  <c r="U296" i="29"/>
  <c r="U298" i="29"/>
  <c r="Y298" i="29" s="1"/>
  <c r="W298" i="29"/>
  <c r="S283" i="29"/>
  <c r="W283" i="29" s="1"/>
  <c r="U282" i="29"/>
  <c r="W282" i="29"/>
  <c r="U303" i="29"/>
  <c r="W303" i="29"/>
  <c r="Y303" i="29" s="1"/>
  <c r="Y272" i="29"/>
  <c r="U274" i="29"/>
  <c r="Y274" i="29" s="1"/>
  <c r="X312" i="29"/>
  <c r="Q265" i="29"/>
  <c r="O268" i="29"/>
  <c r="O269" i="29" s="1"/>
  <c r="H269" i="29"/>
  <c r="H290" i="29" s="1"/>
  <c r="H292" i="29" s="1"/>
  <c r="K313" i="29"/>
  <c r="K334" i="29" s="1"/>
  <c r="K336" i="29" s="1"/>
  <c r="E312" i="29"/>
  <c r="S329" i="29"/>
  <c r="Q329" i="29"/>
  <c r="Q333" i="29" s="1"/>
  <c r="O333" i="29"/>
  <c r="S320" i="29"/>
  <c r="Q320" i="29"/>
  <c r="Q323" i="29" s="1"/>
  <c r="O323" i="29"/>
  <c r="M313" i="29"/>
  <c r="M334" i="29" s="1"/>
  <c r="M336" i="29" s="1"/>
  <c r="I269" i="29"/>
  <c r="I290" i="29" s="1"/>
  <c r="I292" i="29" s="1"/>
  <c r="T276" i="29"/>
  <c r="P279" i="29"/>
  <c r="W266" i="29"/>
  <c r="Y299" i="29"/>
  <c r="E313" i="38"/>
  <c r="E334" i="38" s="1"/>
  <c r="E336" i="38" s="1"/>
  <c r="Y255" i="38"/>
  <c r="W327" i="38"/>
  <c r="X276" i="38"/>
  <c r="Y266" i="38"/>
  <c r="Q309" i="38"/>
  <c r="O312" i="38"/>
  <c r="M289" i="38"/>
  <c r="S266" i="38"/>
  <c r="U266" i="38" s="1"/>
  <c r="U260" i="38"/>
  <c r="W260" i="38"/>
  <c r="I307" i="38"/>
  <c r="U329" i="38"/>
  <c r="U333" i="38" s="1"/>
  <c r="Y333" i="38" s="1"/>
  <c r="S333" i="38"/>
  <c r="W333" i="38" s="1"/>
  <c r="W329" i="38"/>
  <c r="L323" i="38"/>
  <c r="P320" i="38"/>
  <c r="U255" i="38"/>
  <c r="W255" i="38"/>
  <c r="G269" i="38"/>
  <c r="G290" i="38" s="1"/>
  <c r="G292" i="38" s="1"/>
  <c r="E269" i="38"/>
  <c r="E290" i="38" s="1"/>
  <c r="E292" i="38" s="1"/>
  <c r="Q311" i="38"/>
  <c r="Q265" i="38"/>
  <c r="O268" i="38"/>
  <c r="O269" i="38" s="1"/>
  <c r="Q262" i="38"/>
  <c r="T309" i="38"/>
  <c r="T306" i="38"/>
  <c r="T276" i="38"/>
  <c r="T279" i="38" s="1"/>
  <c r="P279" i="38"/>
  <c r="X279" i="38" s="1"/>
  <c r="M312" i="38"/>
  <c r="W299" i="38"/>
  <c r="S285" i="38"/>
  <c r="Q285" i="38"/>
  <c r="Q289" i="38" s="1"/>
  <c r="O289" i="38"/>
  <c r="W285" i="38"/>
  <c r="S300" i="38"/>
  <c r="S311" i="38" s="1"/>
  <c r="U311" i="38" s="1"/>
  <c r="U296" i="38"/>
  <c r="P312" i="38"/>
  <c r="T266" i="38"/>
  <c r="X266" i="38" s="1"/>
  <c r="X260" i="38"/>
  <c r="Y299" i="38"/>
  <c r="K334" i="38"/>
  <c r="K336" i="38" s="1"/>
  <c r="L334" i="38"/>
  <c r="L336" i="38" s="1"/>
  <c r="L290" i="38"/>
  <c r="L292" i="38" s="1"/>
  <c r="D269" i="38"/>
  <c r="D290" i="38" s="1"/>
  <c r="D292" i="38" s="1"/>
  <c r="W296" i="38"/>
  <c r="S276" i="38"/>
  <c r="Q276" i="38"/>
  <c r="O279" i="38"/>
  <c r="W276" i="38"/>
  <c r="S327" i="38"/>
  <c r="U326" i="38"/>
  <c r="U327" i="38" s="1"/>
  <c r="Y327" i="38" s="1"/>
  <c r="T300" i="38"/>
  <c r="T311" i="38" s="1"/>
  <c r="X296" i="38"/>
  <c r="S282" i="38"/>
  <c r="W282" i="38" s="1"/>
  <c r="Q282" i="38"/>
  <c r="O283" i="38"/>
  <c r="S310" i="38"/>
  <c r="U304" i="38"/>
  <c r="W304" i="38"/>
  <c r="Y304" i="38" s="1"/>
  <c r="O277" i="38"/>
  <c r="M277" i="38"/>
  <c r="U303" i="38"/>
  <c r="W303" i="38"/>
  <c r="Y303" i="38" s="1"/>
  <c r="Y329" i="38"/>
  <c r="S320" i="38"/>
  <c r="Q320" i="38"/>
  <c r="O323" i="38"/>
  <c r="S265" i="38"/>
  <c r="S262" i="38"/>
  <c r="W262" i="38" s="1"/>
  <c r="U258" i="38"/>
  <c r="W258" i="38"/>
  <c r="Y258" i="38" s="1"/>
  <c r="X311" i="38"/>
  <c r="Q310" i="38"/>
  <c r="M307" i="38"/>
  <c r="U254" i="38"/>
  <c r="Y254" i="38" s="1"/>
  <c r="W254" i="38"/>
  <c r="Q306" i="38"/>
  <c r="Q307" i="38" s="1"/>
  <c r="X309" i="38"/>
  <c r="U305" i="38"/>
  <c r="W305" i="38"/>
  <c r="Y305" i="38" s="1"/>
  <c r="P307" i="38"/>
  <c r="X306" i="38"/>
  <c r="X307" i="38" s="1"/>
  <c r="Y252" i="38"/>
  <c r="C313" i="38"/>
  <c r="C334" i="38" s="1"/>
  <c r="C336" i="38" s="1"/>
  <c r="O307" i="38"/>
  <c r="O335" i="38" s="1"/>
  <c r="Q335" i="38" s="1"/>
  <c r="U259" i="38"/>
  <c r="W259" i="38"/>
  <c r="Y259" i="38" s="1"/>
  <c r="X302" i="38"/>
  <c r="X265" i="38"/>
  <c r="T310" i="38"/>
  <c r="X310" i="38" s="1"/>
  <c r="X304" i="38"/>
  <c r="T262" i="38"/>
  <c r="S256" i="38"/>
  <c r="S267" i="38" s="1"/>
  <c r="S309" i="38"/>
  <c r="S306" i="38"/>
  <c r="W306" i="38" s="1"/>
  <c r="U302" i="38"/>
  <c r="W302" i="38"/>
  <c r="M263" i="38"/>
  <c r="S321" i="38"/>
  <c r="Q321" i="38"/>
  <c r="X300" i="38"/>
  <c r="S266" i="32"/>
  <c r="U266" i="32" s="1"/>
  <c r="U260" i="32"/>
  <c r="P312" i="32"/>
  <c r="X309" i="32"/>
  <c r="T265" i="32"/>
  <c r="T262" i="32"/>
  <c r="T263" i="32" s="1"/>
  <c r="I307" i="32"/>
  <c r="W254" i="32"/>
  <c r="S256" i="32"/>
  <c r="U252" i="32"/>
  <c r="Y252" i="32"/>
  <c r="T306" i="32"/>
  <c r="T307" i="32" s="1"/>
  <c r="T309" i="32"/>
  <c r="T312" i="32" s="1"/>
  <c r="T313" i="32" s="1"/>
  <c r="X302" i="32"/>
  <c r="Q267" i="32"/>
  <c r="S285" i="32"/>
  <c r="Q285" i="32"/>
  <c r="Q289" i="32" s="1"/>
  <c r="O289" i="32"/>
  <c r="I266" i="32"/>
  <c r="G268" i="32"/>
  <c r="W266" i="32"/>
  <c r="S327" i="32"/>
  <c r="W327" i="32" s="1"/>
  <c r="U326" i="32"/>
  <c r="U327" i="32" s="1"/>
  <c r="S321" i="32"/>
  <c r="U321" i="32" s="1"/>
  <c r="Q321" i="32"/>
  <c r="Y321" i="32" s="1"/>
  <c r="I263" i="32"/>
  <c r="M289" i="32"/>
  <c r="M268" i="32"/>
  <c r="M269" i="32" s="1"/>
  <c r="U253" i="32"/>
  <c r="Y253" i="32" s="1"/>
  <c r="W253" i="32"/>
  <c r="S265" i="32"/>
  <c r="S262" i="32"/>
  <c r="S263" i="32" s="1"/>
  <c r="S291" i="32" s="1"/>
  <c r="U291" i="32" s="1"/>
  <c r="U258" i="32"/>
  <c r="U262" i="32" s="1"/>
  <c r="W258" i="32"/>
  <c r="Q265" i="32"/>
  <c r="O268" i="32"/>
  <c r="O269" i="32" s="1"/>
  <c r="U304" i="32"/>
  <c r="S310" i="32"/>
  <c r="U310" i="32" s="1"/>
  <c r="X296" i="32"/>
  <c r="E313" i="32"/>
  <c r="E334" i="32" s="1"/>
  <c r="E336" i="32" s="1"/>
  <c r="P320" i="32"/>
  <c r="L323" i="32"/>
  <c r="M320" i="32"/>
  <c r="X276" i="32"/>
  <c r="I310" i="32"/>
  <c r="W310" i="32"/>
  <c r="G312" i="32"/>
  <c r="S309" i="32"/>
  <c r="U302" i="32"/>
  <c r="S306" i="32"/>
  <c r="W302" i="32"/>
  <c r="Y302" i="32" s="1"/>
  <c r="U297" i="32"/>
  <c r="Y297" i="32" s="1"/>
  <c r="W297" i="32"/>
  <c r="O323" i="32"/>
  <c r="S282" i="32"/>
  <c r="Q282" i="32"/>
  <c r="Q283" i="32" s="1"/>
  <c r="O283" i="32"/>
  <c r="W260" i="32"/>
  <c r="Y260" i="32" s="1"/>
  <c r="M313" i="32"/>
  <c r="Q306" i="32"/>
  <c r="U261" i="32"/>
  <c r="W261" i="32"/>
  <c r="Y261" i="32" s="1"/>
  <c r="W303" i="32"/>
  <c r="Y303" i="32" s="1"/>
  <c r="O263" i="32"/>
  <c r="O291" i="32" s="1"/>
  <c r="Q291" i="32" s="1"/>
  <c r="I279" i="32"/>
  <c r="U298" i="32"/>
  <c r="Y298" i="32" s="1"/>
  <c r="W298" i="32"/>
  <c r="O277" i="32"/>
  <c r="M277" i="32"/>
  <c r="S323" i="32"/>
  <c r="W320" i="32"/>
  <c r="Y327" i="32"/>
  <c r="Q300" i="32"/>
  <c r="Q309" i="32"/>
  <c r="O312" i="32"/>
  <c r="O313" i="32" s="1"/>
  <c r="O334" i="32" s="1"/>
  <c r="O336" i="32" s="1"/>
  <c r="M307" i="32"/>
  <c r="Y326" i="32"/>
  <c r="W321" i="32"/>
  <c r="W304" i="32"/>
  <c r="Y304" i="32" s="1"/>
  <c r="X266" i="32"/>
  <c r="H268" i="32"/>
  <c r="L269" i="32"/>
  <c r="L290" i="32" s="1"/>
  <c r="L292" i="32" s="1"/>
  <c r="Q333" i="32"/>
  <c r="S300" i="32"/>
  <c r="U296" i="32"/>
  <c r="W326" i="32"/>
  <c r="O276" i="32"/>
  <c r="K279" i="32"/>
  <c r="M276" i="32"/>
  <c r="K269" i="32"/>
  <c r="K290" i="32" s="1"/>
  <c r="K292" i="32" s="1"/>
  <c r="P311" i="32"/>
  <c r="X311" i="32" s="1"/>
  <c r="X300" i="32"/>
  <c r="X256" i="32"/>
  <c r="E269" i="32"/>
  <c r="E290" i="32" s="1"/>
  <c r="E292" i="32" s="1"/>
  <c r="W252" i="32"/>
  <c r="U329" i="32"/>
  <c r="U333" i="32" s="1"/>
  <c r="S333" i="32"/>
  <c r="W333" i="32" s="1"/>
  <c r="W329" i="32"/>
  <c r="P307" i="32"/>
  <c r="X306" i="32"/>
  <c r="X258" i="32"/>
  <c r="S300" i="31"/>
  <c r="S311" i="31" s="1"/>
  <c r="U311" i="31" s="1"/>
  <c r="U296" i="31"/>
  <c r="W296" i="31"/>
  <c r="M313" i="31"/>
  <c r="M334" i="31" s="1"/>
  <c r="M336" i="31" s="1"/>
  <c r="O266" i="31"/>
  <c r="Q266" i="31" s="1"/>
  <c r="S260" i="31"/>
  <c r="Q260" i="31"/>
  <c r="T300" i="31"/>
  <c r="T311" i="31" s="1"/>
  <c r="X311" i="31" s="1"/>
  <c r="X296" i="31"/>
  <c r="S276" i="31"/>
  <c r="W276" i="31"/>
  <c r="Q261" i="31"/>
  <c r="S261" i="31"/>
  <c r="U261" i="31" s="1"/>
  <c r="W261" i="31"/>
  <c r="Y261" i="31" s="1"/>
  <c r="K334" i="31"/>
  <c r="K336" i="31" s="1"/>
  <c r="C269" i="31"/>
  <c r="C290" i="31" s="1"/>
  <c r="C292" i="31" s="1"/>
  <c r="K267" i="31"/>
  <c r="O311" i="31"/>
  <c r="S255" i="31"/>
  <c r="U255" i="31" s="1"/>
  <c r="Q255" i="31"/>
  <c r="W255" i="31"/>
  <c r="I268" i="31"/>
  <c r="I312" i="31"/>
  <c r="I313" i="31" s="1"/>
  <c r="I334" i="31" s="1"/>
  <c r="I336" i="31" s="1"/>
  <c r="H313" i="31"/>
  <c r="H334" i="31" s="1"/>
  <c r="H336" i="31" s="1"/>
  <c r="P307" i="31"/>
  <c r="I263" i="31"/>
  <c r="Q259" i="31"/>
  <c r="S259" i="31"/>
  <c r="U259" i="31" s="1"/>
  <c r="W259" i="31"/>
  <c r="Y259" i="31" s="1"/>
  <c r="E268" i="31"/>
  <c r="S252" i="31"/>
  <c r="O256" i="31"/>
  <c r="O267" i="31" s="1"/>
  <c r="Q267" i="31" s="1"/>
  <c r="Q252" i="31"/>
  <c r="W252" i="31"/>
  <c r="T266" i="31"/>
  <c r="X266" i="31" s="1"/>
  <c r="X260" i="31"/>
  <c r="S253" i="31"/>
  <c r="U253" i="31" s="1"/>
  <c r="Q253" i="31"/>
  <c r="Y253" i="31" s="1"/>
  <c r="L334" i="31"/>
  <c r="L336" i="31" s="1"/>
  <c r="U304" i="31"/>
  <c r="S310" i="31"/>
  <c r="U310" i="31" s="1"/>
  <c r="P312" i="31"/>
  <c r="X310" i="31"/>
  <c r="U305" i="31"/>
  <c r="W305" i="31"/>
  <c r="Y305" i="31" s="1"/>
  <c r="S283" i="31"/>
  <c r="W283" i="31" s="1"/>
  <c r="U282" i="31"/>
  <c r="S320" i="31"/>
  <c r="W320" i="31" s="1"/>
  <c r="Q320" i="31"/>
  <c r="Q323" i="31" s="1"/>
  <c r="O323" i="31"/>
  <c r="L279" i="31"/>
  <c r="L290" i="31" s="1"/>
  <c r="L292" i="31" s="1"/>
  <c r="P276" i="31"/>
  <c r="W310" i="31"/>
  <c r="Q306" i="31"/>
  <c r="Q307" i="31" s="1"/>
  <c r="M307" i="31"/>
  <c r="O277" i="31"/>
  <c r="O279" i="31" s="1"/>
  <c r="M277" i="31"/>
  <c r="U329" i="31"/>
  <c r="U333" i="31" s="1"/>
  <c r="S333" i="31"/>
  <c r="W333" i="31" s="1"/>
  <c r="W335" i="31" s="1"/>
  <c r="Y335" i="31" s="1"/>
  <c r="W329" i="31"/>
  <c r="T306" i="31"/>
  <c r="T307" i="31" s="1"/>
  <c r="T309" i="31"/>
  <c r="T312" i="31" s="1"/>
  <c r="T313" i="31" s="1"/>
  <c r="X302" i="31"/>
  <c r="Y302" i="31" s="1"/>
  <c r="K263" i="31"/>
  <c r="K291" i="31" s="1"/>
  <c r="M291" i="31" s="1"/>
  <c r="P268" i="31"/>
  <c r="Y310" i="31"/>
  <c r="E312" i="31"/>
  <c r="O307" i="31"/>
  <c r="Y255" i="31"/>
  <c r="X300" i="31"/>
  <c r="M262" i="31"/>
  <c r="C313" i="31"/>
  <c r="C334" i="31" s="1"/>
  <c r="C336" i="31" s="1"/>
  <c r="S309" i="31"/>
  <c r="S306" i="31"/>
  <c r="U302" i="31"/>
  <c r="U306" i="31" s="1"/>
  <c r="S254" i="31"/>
  <c r="Q254" i="31"/>
  <c r="O265" i="31"/>
  <c r="Q258" i="31"/>
  <c r="Q262" i="31" s="1"/>
  <c r="O262" i="31"/>
  <c r="S258" i="31"/>
  <c r="W258" i="31"/>
  <c r="Y258" i="31" s="1"/>
  <c r="T262" i="31"/>
  <c r="T263" i="31" s="1"/>
  <c r="T265" i="31"/>
  <c r="S326" i="31"/>
  <c r="Q326" i="31"/>
  <c r="Q327" i="31" s="1"/>
  <c r="O327" i="31"/>
  <c r="Q309" i="31"/>
  <c r="O312" i="31"/>
  <c r="O313" i="31" s="1"/>
  <c r="W304" i="31"/>
  <c r="Y304" i="31" s="1"/>
  <c r="M256" i="31"/>
  <c r="M265" i="31"/>
  <c r="M327" i="31"/>
  <c r="Q333" i="31"/>
  <c r="Y329" i="31"/>
  <c r="P320" i="31"/>
  <c r="L323" i="31"/>
  <c r="P300" i="28"/>
  <c r="P311" i="28" s="1"/>
  <c r="Q311" i="28" s="1"/>
  <c r="S333" i="28"/>
  <c r="W333" i="28" s="1"/>
  <c r="U333" i="28"/>
  <c r="Q333" i="28"/>
  <c r="Y333" i="28" s="1"/>
  <c r="S303" i="28"/>
  <c r="S303" i="33" s="1"/>
  <c r="U303" i="33" s="1"/>
  <c r="Q303" i="28"/>
  <c r="H312" i="28"/>
  <c r="T299" i="28"/>
  <c r="T299" i="33" s="1"/>
  <c r="U299" i="33" s="1"/>
  <c r="Y299" i="33" s="1"/>
  <c r="Q299" i="28"/>
  <c r="K307" i="28"/>
  <c r="T298" i="28"/>
  <c r="Q298" i="28"/>
  <c r="W311" i="28"/>
  <c r="M311" i="28"/>
  <c r="S321" i="28"/>
  <c r="Q321" i="28"/>
  <c r="L312" i="28"/>
  <c r="S305" i="28"/>
  <c r="Q305" i="28"/>
  <c r="P306" i="28"/>
  <c r="P309" i="28"/>
  <c r="P309" i="33" s="1"/>
  <c r="T302" i="28"/>
  <c r="T302" i="33" s="1"/>
  <c r="X302" i="33" s="1"/>
  <c r="O323" i="28"/>
  <c r="L307" i="28"/>
  <c r="I307" i="28"/>
  <c r="S326" i="28"/>
  <c r="Q326" i="28"/>
  <c r="O327" i="28"/>
  <c r="O306" i="28"/>
  <c r="O307" i="28" s="1"/>
  <c r="Q302" i="28"/>
  <c r="O309" i="28"/>
  <c r="O309" i="33" s="1"/>
  <c r="Q309" i="33" s="1"/>
  <c r="S302" i="28"/>
  <c r="S302" i="33" s="1"/>
  <c r="U302" i="33" s="1"/>
  <c r="T323" i="28"/>
  <c r="X323" i="28" s="1"/>
  <c r="M300" i="28"/>
  <c r="M307" i="28" s="1"/>
  <c r="K312" i="28"/>
  <c r="M309" i="28"/>
  <c r="K262" i="28"/>
  <c r="M260" i="28"/>
  <c r="W272" i="28"/>
  <c r="U274" i="28"/>
  <c r="D263" i="28"/>
  <c r="D266" i="28"/>
  <c r="O254" i="28"/>
  <c r="S274" i="28"/>
  <c r="W274" i="28" s="1"/>
  <c r="I8" i="28"/>
  <c r="M274" i="28"/>
  <c r="Q274" i="28"/>
  <c r="M282" i="28"/>
  <c r="M283" i="28" s="1"/>
  <c r="O283" i="28"/>
  <c r="Q282" i="28"/>
  <c r="Q283" i="28" s="1"/>
  <c r="G279" i="28"/>
  <c r="M261" i="28"/>
  <c r="Q260" i="28"/>
  <c r="S260" i="28"/>
  <c r="W260" i="28" s="1"/>
  <c r="Q261" i="28"/>
  <c r="Q259" i="28"/>
  <c r="S259" i="28"/>
  <c r="I262" i="28"/>
  <c r="M253" i="28"/>
  <c r="K256" i="28"/>
  <c r="K267" i="28" s="1"/>
  <c r="K265" i="28"/>
  <c r="K265" i="33" s="1"/>
  <c r="M265" i="33" s="1"/>
  <c r="O258" i="28"/>
  <c r="O253" i="28"/>
  <c r="H279" i="28"/>
  <c r="L279" i="28"/>
  <c r="Q255" i="28"/>
  <c r="S255" i="28"/>
  <c r="S255" i="33" s="1"/>
  <c r="K266" i="28"/>
  <c r="K266" i="33" s="1"/>
  <c r="P258" i="28"/>
  <c r="P258" i="33" s="1"/>
  <c r="L262" i="28"/>
  <c r="L265" i="28"/>
  <c r="L265" i="33" s="1"/>
  <c r="G268" i="28"/>
  <c r="L266" i="28"/>
  <c r="L266" i="33" s="1"/>
  <c r="G263" i="28"/>
  <c r="G291" i="28" s="1"/>
  <c r="E265" i="28"/>
  <c r="M258" i="28"/>
  <c r="E262" i="28"/>
  <c r="K277" i="28"/>
  <c r="K277" i="33" s="1"/>
  <c r="I277" i="28"/>
  <c r="I265" i="28"/>
  <c r="M14" i="28"/>
  <c r="O14" i="28"/>
  <c r="C263" i="28"/>
  <c r="H256" i="28"/>
  <c r="H266" i="28" s="1"/>
  <c r="O289" i="28"/>
  <c r="Q289" i="28"/>
  <c r="T277" i="28"/>
  <c r="E279" i="28"/>
  <c r="Q183" i="23"/>
  <c r="S183" i="23"/>
  <c r="X183" i="23"/>
  <c r="M183" i="9"/>
  <c r="O183" i="9"/>
  <c r="O183" i="33" s="1"/>
  <c r="X183" i="9"/>
  <c r="Q183" i="24"/>
  <c r="S183" i="24"/>
  <c r="X183" i="24"/>
  <c r="I183" i="33"/>
  <c r="Q183" i="30"/>
  <c r="S183" i="30"/>
  <c r="M183" i="33"/>
  <c r="Q183" i="39"/>
  <c r="Y183" i="39" s="1"/>
  <c r="S183" i="39"/>
  <c r="U183" i="39" s="1"/>
  <c r="W183" i="39"/>
  <c r="Q183" i="32"/>
  <c r="S183" i="32"/>
  <c r="T183" i="32"/>
  <c r="T183" i="33" s="1"/>
  <c r="P183" i="33"/>
  <c r="W183" i="32"/>
  <c r="X183" i="32"/>
  <c r="X183" i="33" s="1"/>
  <c r="X8" i="28"/>
  <c r="O8" i="28"/>
  <c r="M8" i="28"/>
  <c r="W13" i="28"/>
  <c r="Y13" i="28" s="1"/>
  <c r="U13" i="28"/>
  <c r="T310" i="33" l="1"/>
  <c r="X310" i="33" s="1"/>
  <c r="I256" i="33"/>
  <c r="E336" i="33"/>
  <c r="M254" i="33"/>
  <c r="M266" i="33"/>
  <c r="X305" i="28"/>
  <c r="X305" i="33"/>
  <c r="W326" i="28"/>
  <c r="S326" i="33"/>
  <c r="U298" i="28"/>
  <c r="Y298" i="28" s="1"/>
  <c r="T298" i="33"/>
  <c r="T306" i="33"/>
  <c r="T260" i="28"/>
  <c r="T260" i="33" s="1"/>
  <c r="P260" i="33"/>
  <c r="Q260" i="33" s="1"/>
  <c r="G336" i="28"/>
  <c r="Q274" i="33"/>
  <c r="Y316" i="33"/>
  <c r="U318" i="33"/>
  <c r="Y318" i="33" s="1"/>
  <c r="T255" i="28"/>
  <c r="T255" i="33" s="1"/>
  <c r="U255" i="33" s="1"/>
  <c r="P255" i="33"/>
  <c r="Q255" i="33" s="1"/>
  <c r="X255" i="28"/>
  <c r="X255" i="33" s="1"/>
  <c r="W272" i="33"/>
  <c r="U272" i="33"/>
  <c r="U274" i="33" s="1"/>
  <c r="S274" i="33"/>
  <c r="W274" i="33" s="1"/>
  <c r="T259" i="28"/>
  <c r="U259" i="28" s="1"/>
  <c r="P259" i="33"/>
  <c r="S260" i="33"/>
  <c r="G290" i="33"/>
  <c r="G292" i="33" s="1"/>
  <c r="D6" i="34" s="1"/>
  <c r="T321" i="33"/>
  <c r="X321" i="33" s="1"/>
  <c r="X321" i="28"/>
  <c r="W303" i="33"/>
  <c r="Y303" i="33" s="1"/>
  <c r="M307" i="33"/>
  <c r="Y297" i="33"/>
  <c r="X299" i="33"/>
  <c r="S253" i="28"/>
  <c r="S253" i="33" s="1"/>
  <c r="O253" i="33"/>
  <c r="M274" i="33"/>
  <c r="Y273" i="33"/>
  <c r="M282" i="33"/>
  <c r="M283" i="33" s="1"/>
  <c r="K283" i="33"/>
  <c r="O306" i="33"/>
  <c r="T253" i="28"/>
  <c r="T253" i="33" s="1"/>
  <c r="P253" i="33"/>
  <c r="X253" i="28"/>
  <c r="X253" i="33" s="1"/>
  <c r="S258" i="28"/>
  <c r="S258" i="33" s="1"/>
  <c r="O258" i="33"/>
  <c r="M260" i="33"/>
  <c r="M262" i="33" s="1"/>
  <c r="I262" i="33"/>
  <c r="I263" i="33" s="1"/>
  <c r="S282" i="28"/>
  <c r="O282" i="33"/>
  <c r="M277" i="33"/>
  <c r="M279" i="33" s="1"/>
  <c r="K279" i="33"/>
  <c r="X298" i="28"/>
  <c r="U305" i="28"/>
  <c r="S305" i="33"/>
  <c r="W302" i="33"/>
  <c r="Y302" i="33" s="1"/>
  <c r="S304" i="33"/>
  <c r="U304" i="28"/>
  <c r="P306" i="33"/>
  <c r="P307" i="33" s="1"/>
  <c r="Q300" i="28"/>
  <c r="O261" i="33"/>
  <c r="S261" i="28"/>
  <c r="W304" i="28"/>
  <c r="Y304" i="28" s="1"/>
  <c r="Q306" i="28"/>
  <c r="U321" i="28"/>
  <c r="U323" i="28" s="1"/>
  <c r="S321" i="33"/>
  <c r="S323" i="33" s="1"/>
  <c r="W323" i="33" s="1"/>
  <c r="K256" i="33"/>
  <c r="K263" i="33" s="1"/>
  <c r="K291" i="33" s="1"/>
  <c r="M291" i="33" s="1"/>
  <c r="U310" i="28"/>
  <c r="Y310" i="28" s="1"/>
  <c r="M256" i="33"/>
  <c r="T254" i="28"/>
  <c r="T254" i="33" s="1"/>
  <c r="P254" i="33"/>
  <c r="X254" i="28"/>
  <c r="X254" i="33" s="1"/>
  <c r="Y321" i="28"/>
  <c r="X277" i="28"/>
  <c r="T277" i="33"/>
  <c r="S259" i="33"/>
  <c r="Q254" i="28"/>
  <c r="O254" i="33"/>
  <c r="T261" i="28"/>
  <c r="P261" i="33"/>
  <c r="L256" i="33"/>
  <c r="L263" i="33" s="1"/>
  <c r="C334" i="30"/>
  <c r="C335" i="30"/>
  <c r="E335" i="30" s="1"/>
  <c r="C336" i="33"/>
  <c r="C7" i="34" s="1"/>
  <c r="P312" i="28"/>
  <c r="L313" i="28"/>
  <c r="L334" i="28" s="1"/>
  <c r="L336" i="28" s="1"/>
  <c r="P311" i="33"/>
  <c r="P312" i="33" s="1"/>
  <c r="P313" i="33" s="1"/>
  <c r="I312" i="28"/>
  <c r="I313" i="28" s="1"/>
  <c r="I334" i="28" s="1"/>
  <c r="I336" i="28" s="1"/>
  <c r="O267" i="30"/>
  <c r="O266" i="30"/>
  <c r="O263" i="30"/>
  <c r="O291" i="30" s="1"/>
  <c r="Q291" i="30" s="1"/>
  <c r="I266" i="28"/>
  <c r="H266" i="33"/>
  <c r="E266" i="28"/>
  <c r="D266" i="33"/>
  <c r="E266" i="33" s="1"/>
  <c r="E268" i="33" s="1"/>
  <c r="E269" i="33" s="1"/>
  <c r="E290" i="33" s="1"/>
  <c r="E292" i="33" s="1"/>
  <c r="C268" i="33"/>
  <c r="C269" i="33" s="1"/>
  <c r="C290" i="33" s="1"/>
  <c r="C292" i="33" s="1"/>
  <c r="C6" i="34" s="1"/>
  <c r="Y333" i="31"/>
  <c r="O334" i="30"/>
  <c r="O335" i="30"/>
  <c r="Q335" i="30" s="1"/>
  <c r="K336" i="30"/>
  <c r="K292" i="30"/>
  <c r="X311" i="30"/>
  <c r="Q312" i="30"/>
  <c r="Q313" i="30" s="1"/>
  <c r="S252" i="33"/>
  <c r="S256" i="30"/>
  <c r="U252" i="30"/>
  <c r="S263" i="30"/>
  <c r="S291" i="30" s="1"/>
  <c r="U291" i="30" s="1"/>
  <c r="W252" i="30"/>
  <c r="W252" i="33" s="1"/>
  <c r="Q252" i="33"/>
  <c r="I313" i="33"/>
  <c r="I334" i="33" s="1"/>
  <c r="G313" i="33"/>
  <c r="K307" i="33"/>
  <c r="O300" i="33"/>
  <c r="Q296" i="33"/>
  <c r="Q300" i="33" s="1"/>
  <c r="Q320" i="33"/>
  <c r="Q323" i="33" s="1"/>
  <c r="W320" i="33"/>
  <c r="Q289" i="33"/>
  <c r="U321" i="33"/>
  <c r="Y321" i="33" s="1"/>
  <c r="W321" i="33"/>
  <c r="T323" i="33"/>
  <c r="P323" i="33"/>
  <c r="U285" i="33"/>
  <c r="U289" i="33" s="1"/>
  <c r="S289" i="33"/>
  <c r="W289" i="33" s="1"/>
  <c r="U329" i="33"/>
  <c r="S333" i="33"/>
  <c r="W333" i="33" s="1"/>
  <c r="W329" i="33"/>
  <c r="X276" i="33"/>
  <c r="U310" i="33"/>
  <c r="Y310" i="33" s="1"/>
  <c r="W310" i="33"/>
  <c r="M323" i="33"/>
  <c r="L334" i="33"/>
  <c r="L336" i="33" s="1"/>
  <c r="U276" i="33"/>
  <c r="Q323" i="23"/>
  <c r="Q334" i="23" s="1"/>
  <c r="Q336" i="23" s="1"/>
  <c r="T263" i="23"/>
  <c r="X256" i="23"/>
  <c r="S268" i="23"/>
  <c r="U265" i="23"/>
  <c r="E313" i="23"/>
  <c r="E334" i="23" s="1"/>
  <c r="E336" i="23" s="1"/>
  <c r="U320" i="23"/>
  <c r="U323" i="23" s="1"/>
  <c r="S323" i="23"/>
  <c r="S334" i="23" s="1"/>
  <c r="S336" i="23" s="1"/>
  <c r="T268" i="23"/>
  <c r="T269" i="23" s="1"/>
  <c r="T290" i="23" s="1"/>
  <c r="T292" i="23" s="1"/>
  <c r="X262" i="23"/>
  <c r="X263" i="23" s="1"/>
  <c r="P313" i="23"/>
  <c r="Y309" i="23"/>
  <c r="S277" i="23"/>
  <c r="U277" i="23" s="1"/>
  <c r="Q277" i="23"/>
  <c r="Y277" i="23" s="1"/>
  <c r="W277" i="23"/>
  <c r="W266" i="23"/>
  <c r="T311" i="23"/>
  <c r="X300" i="23"/>
  <c r="Y282" i="23"/>
  <c r="Y329" i="23"/>
  <c r="U256" i="23"/>
  <c r="Y256" i="23" s="1"/>
  <c r="L334" i="23"/>
  <c r="L336" i="23" s="1"/>
  <c r="Y333" i="23"/>
  <c r="U267" i="23"/>
  <c r="Y267" i="23" s="1"/>
  <c r="E269" i="23"/>
  <c r="E290" i="23" s="1"/>
  <c r="E292" i="23" s="1"/>
  <c r="T320" i="23"/>
  <c r="T323" i="23" s="1"/>
  <c r="P323" i="23"/>
  <c r="X323" i="23" s="1"/>
  <c r="X265" i="23"/>
  <c r="M279" i="23"/>
  <c r="I269" i="23"/>
  <c r="I290" i="23" s="1"/>
  <c r="I292" i="23" s="1"/>
  <c r="X279" i="23"/>
  <c r="P269" i="23"/>
  <c r="P290" i="23" s="1"/>
  <c r="P292" i="23" s="1"/>
  <c r="S276" i="23"/>
  <c r="Q276" i="23"/>
  <c r="O279" i="23"/>
  <c r="U329" i="23"/>
  <c r="U333" i="23" s="1"/>
  <c r="S333" i="23"/>
  <c r="W262" i="23"/>
  <c r="W263" i="23" s="1"/>
  <c r="W291" i="23" s="1"/>
  <c r="Y291" i="23" s="1"/>
  <c r="W265" i="23"/>
  <c r="T279" i="23"/>
  <c r="X276" i="23"/>
  <c r="Q263" i="23"/>
  <c r="Y323" i="23"/>
  <c r="Y327" i="23"/>
  <c r="U289" i="23"/>
  <c r="Y289" i="23" s="1"/>
  <c r="Y285" i="23"/>
  <c r="W329" i="23"/>
  <c r="O269" i="23"/>
  <c r="Y326" i="23"/>
  <c r="X309" i="23"/>
  <c r="W333" i="23"/>
  <c r="Y258" i="23"/>
  <c r="Q268" i="23"/>
  <c r="T307" i="23"/>
  <c r="X306" i="23"/>
  <c r="W321" i="23"/>
  <c r="U262" i="23"/>
  <c r="M290" i="23"/>
  <c r="M292" i="23" s="1"/>
  <c r="O311" i="9"/>
  <c r="W300" i="9"/>
  <c r="M313" i="9"/>
  <c r="Y326" i="9"/>
  <c r="O269" i="9"/>
  <c r="U311" i="9"/>
  <c r="W321" i="9"/>
  <c r="X265" i="9"/>
  <c r="Y321" i="9"/>
  <c r="U266" i="9"/>
  <c r="Y266" i="9" s="1"/>
  <c r="W266" i="9"/>
  <c r="U262" i="9"/>
  <c r="X268" i="9"/>
  <c r="X269" i="9" s="1"/>
  <c r="T269" i="9"/>
  <c r="S312" i="9"/>
  <c r="S313" i="9" s="1"/>
  <c r="U309" i="9"/>
  <c r="U312" i="9" s="1"/>
  <c r="M269" i="9"/>
  <c r="S268" i="9"/>
  <c r="S269" i="9" s="1"/>
  <c r="U265" i="9"/>
  <c r="T320" i="9"/>
  <c r="T323" i="9" s="1"/>
  <c r="P323" i="9"/>
  <c r="X320" i="9"/>
  <c r="Q268" i="9"/>
  <c r="U283" i="9"/>
  <c r="Y283" i="9" s="1"/>
  <c r="Y282" i="9"/>
  <c r="S277" i="9"/>
  <c r="U277" i="9" s="1"/>
  <c r="Q277" i="9"/>
  <c r="Y277" i="9" s="1"/>
  <c r="W309" i="9"/>
  <c r="W262" i="9"/>
  <c r="W263" i="9" s="1"/>
  <c r="W291" i="9" s="1"/>
  <c r="Y291" i="9" s="1"/>
  <c r="Q311" i="9"/>
  <c r="Y311" i="9" s="1"/>
  <c r="X311" i="9"/>
  <c r="X323" i="9"/>
  <c r="L334" i="9"/>
  <c r="L336" i="9" s="1"/>
  <c r="Y285" i="9"/>
  <c r="M323" i="9"/>
  <c r="M334" i="9" s="1"/>
  <c r="M336" i="9" s="1"/>
  <c r="T312" i="9"/>
  <c r="T313" i="9" s="1"/>
  <c r="T334" i="9" s="1"/>
  <c r="T336" i="9" s="1"/>
  <c r="X309" i="9"/>
  <c r="I313" i="9"/>
  <c r="I334" i="9" s="1"/>
  <c r="I336" i="9" s="1"/>
  <c r="Y289" i="9"/>
  <c r="S320" i="9"/>
  <c r="Q320" i="9"/>
  <c r="Q323" i="9" s="1"/>
  <c r="O323" i="9"/>
  <c r="Q307" i="9"/>
  <c r="X306" i="9"/>
  <c r="X307" i="9" s="1"/>
  <c r="U310" i="9"/>
  <c r="Y310" i="9" s="1"/>
  <c r="T276" i="9"/>
  <c r="U276" i="9" s="1"/>
  <c r="U279" i="9" s="1"/>
  <c r="P279" i="9"/>
  <c r="P313" i="9"/>
  <c r="M279" i="9"/>
  <c r="U300" i="9"/>
  <c r="Y300" i="9" s="1"/>
  <c r="Y296" i="9"/>
  <c r="O279" i="9"/>
  <c r="O290" i="9" s="1"/>
  <c r="O292" i="9" s="1"/>
  <c r="U307" i="9"/>
  <c r="Y306" i="9"/>
  <c r="W265" i="9"/>
  <c r="Y302" i="9"/>
  <c r="Q276" i="9"/>
  <c r="U329" i="9"/>
  <c r="S333" i="9"/>
  <c r="W333" i="9" s="1"/>
  <c r="W306" i="9"/>
  <c r="W307" i="9" s="1"/>
  <c r="W335" i="9" s="1"/>
  <c r="Y335" i="9" s="1"/>
  <c r="X320" i="24"/>
  <c r="S277" i="24"/>
  <c r="U277" i="24" s="1"/>
  <c r="Q277" i="24"/>
  <c r="Y277" i="24" s="1"/>
  <c r="W277" i="24"/>
  <c r="Y260" i="24"/>
  <c r="W268" i="24"/>
  <c r="W269" i="24" s="1"/>
  <c r="W290" i="24" s="1"/>
  <c r="W292" i="24" s="1"/>
  <c r="M334" i="24"/>
  <c r="M336" i="24" s="1"/>
  <c r="U266" i="24"/>
  <c r="Y266" i="24" s="1"/>
  <c r="W306" i="24"/>
  <c r="W307" i="24" s="1"/>
  <c r="W335" i="24" s="1"/>
  <c r="Y335" i="24" s="1"/>
  <c r="Y300" i="24"/>
  <c r="U289" i="24"/>
  <c r="Y289" i="24" s="1"/>
  <c r="Y285" i="24"/>
  <c r="U320" i="24"/>
  <c r="U323" i="24" s="1"/>
  <c r="Y323" i="24" s="1"/>
  <c r="S323" i="24"/>
  <c r="W323" i="24" s="1"/>
  <c r="W320" i="24"/>
  <c r="Q312" i="24"/>
  <c r="W333" i="24"/>
  <c r="U306" i="24"/>
  <c r="U300" i="24"/>
  <c r="Y296" i="24"/>
  <c r="T307" i="24"/>
  <c r="X306" i="24"/>
  <c r="X307" i="24" s="1"/>
  <c r="U309" i="24"/>
  <c r="Y309" i="24" s="1"/>
  <c r="S312" i="24"/>
  <c r="S313" i="24" s="1"/>
  <c r="S263" i="24"/>
  <c r="S291" i="24" s="1"/>
  <c r="U291" i="24" s="1"/>
  <c r="W262" i="24"/>
  <c r="W263" i="24" s="1"/>
  <c r="W291" i="24" s="1"/>
  <c r="Y291" i="24" s="1"/>
  <c r="U265" i="24"/>
  <c r="S268" i="24"/>
  <c r="O290" i="24"/>
  <c r="O292" i="24" s="1"/>
  <c r="U262" i="24"/>
  <c r="U329" i="24"/>
  <c r="S333" i="24"/>
  <c r="W329" i="24"/>
  <c r="M290" i="24"/>
  <c r="M292" i="24" s="1"/>
  <c r="W311" i="24"/>
  <c r="W327" i="24"/>
  <c r="Y311" i="24"/>
  <c r="G313" i="24"/>
  <c r="G334" i="24" s="1"/>
  <c r="G336" i="24" s="1"/>
  <c r="W312" i="24"/>
  <c r="X323" i="24"/>
  <c r="O279" i="24"/>
  <c r="W279" i="24" s="1"/>
  <c r="Q327" i="24"/>
  <c r="Y304" i="24"/>
  <c r="X256" i="24"/>
  <c r="Q279" i="24"/>
  <c r="S327" i="24"/>
  <c r="U326" i="24"/>
  <c r="U327" i="24" s="1"/>
  <c r="U310" i="24"/>
  <c r="Y310" i="24" s="1"/>
  <c r="W265" i="24"/>
  <c r="X267" i="24"/>
  <c r="Q267" i="24"/>
  <c r="Y267" i="24" s="1"/>
  <c r="U276" i="24"/>
  <c r="S279" i="24"/>
  <c r="W276" i="24"/>
  <c r="Y282" i="24"/>
  <c r="X265" i="24"/>
  <c r="Y320" i="24"/>
  <c r="T312" i="24"/>
  <c r="X309" i="24"/>
  <c r="Q307" i="24"/>
  <c r="W309" i="24"/>
  <c r="T263" i="24"/>
  <c r="T269" i="24" s="1"/>
  <c r="T290" i="24" s="1"/>
  <c r="T292" i="24" s="1"/>
  <c r="P334" i="24"/>
  <c r="P336" i="24" s="1"/>
  <c r="E269" i="24"/>
  <c r="E290" i="24" s="1"/>
  <c r="E292" i="24" s="1"/>
  <c r="T320" i="24"/>
  <c r="T323" i="24" s="1"/>
  <c r="P323" i="24"/>
  <c r="X263" i="24"/>
  <c r="P269" i="24"/>
  <c r="P290" i="24" s="1"/>
  <c r="P292" i="24" s="1"/>
  <c r="X268" i="24"/>
  <c r="T263" i="30"/>
  <c r="X262" i="30"/>
  <c r="X263" i="30" s="1"/>
  <c r="U323" i="30"/>
  <c r="S323" i="30"/>
  <c r="W323" i="30" s="1"/>
  <c r="S312" i="30"/>
  <c r="U309" i="30"/>
  <c r="Y309" i="30" s="1"/>
  <c r="W309" i="30"/>
  <c r="T323" i="30"/>
  <c r="P323" i="30"/>
  <c r="P334" i="30" s="1"/>
  <c r="P336" i="30" s="1"/>
  <c r="U265" i="30"/>
  <c r="X309" i="30"/>
  <c r="U285" i="30"/>
  <c r="S289" i="30"/>
  <c r="W289" i="30" s="1"/>
  <c r="E269" i="30"/>
  <c r="E290" i="30" s="1"/>
  <c r="E292" i="30" s="1"/>
  <c r="Y262" i="30"/>
  <c r="M279" i="30"/>
  <c r="W306" i="30"/>
  <c r="W307" i="30" s="1"/>
  <c r="L334" i="30"/>
  <c r="L336" i="30" s="1"/>
  <c r="O279" i="30"/>
  <c r="T279" i="30"/>
  <c r="P279" i="30"/>
  <c r="T307" i="30"/>
  <c r="T313" i="30" s="1"/>
  <c r="T334" i="30" s="1"/>
  <c r="T336" i="30" s="1"/>
  <c r="X306" i="30"/>
  <c r="X307" i="30" s="1"/>
  <c r="X313" i="30" s="1"/>
  <c r="W262" i="30"/>
  <c r="W327" i="30"/>
  <c r="Q279" i="30"/>
  <c r="T268" i="30"/>
  <c r="X265" i="30"/>
  <c r="Q327" i="30"/>
  <c r="S327" i="30"/>
  <c r="U326" i="30"/>
  <c r="U327" i="30" s="1"/>
  <c r="E313" i="30"/>
  <c r="E334" i="30" s="1"/>
  <c r="E336" i="30" s="1"/>
  <c r="W285" i="30"/>
  <c r="I313" i="30"/>
  <c r="I334" i="30" s="1"/>
  <c r="I336" i="30" s="1"/>
  <c r="U300" i="30"/>
  <c r="Y300" i="30" s="1"/>
  <c r="Y296" i="30"/>
  <c r="Q333" i="30"/>
  <c r="Y311" i="30"/>
  <c r="Y265" i="30"/>
  <c r="Q323" i="30"/>
  <c r="U329" i="30"/>
  <c r="U333" i="30" s="1"/>
  <c r="S333" i="30"/>
  <c r="W333" i="30" s="1"/>
  <c r="U310" i="30"/>
  <c r="Y310" i="30" s="1"/>
  <c r="W310" i="30"/>
  <c r="U306" i="30"/>
  <c r="M313" i="30"/>
  <c r="M334" i="30" s="1"/>
  <c r="M336" i="30" s="1"/>
  <c r="Q311" i="39"/>
  <c r="Y311" i="39" s="1"/>
  <c r="X311" i="39"/>
  <c r="Y326" i="39"/>
  <c r="W289" i="39"/>
  <c r="M323" i="39"/>
  <c r="Q279" i="39"/>
  <c r="Q263" i="39"/>
  <c r="W321" i="39"/>
  <c r="S320" i="39"/>
  <c r="Q320" i="39"/>
  <c r="Q323" i="39" s="1"/>
  <c r="O323" i="39"/>
  <c r="O334" i="39" s="1"/>
  <c r="O336" i="39" s="1"/>
  <c r="S277" i="39"/>
  <c r="U277" i="39" s="1"/>
  <c r="Q277" i="39"/>
  <c r="W277" i="39"/>
  <c r="U329" i="39"/>
  <c r="U333" i="39" s="1"/>
  <c r="S333" i="39"/>
  <c r="W333" i="39" s="1"/>
  <c r="Q283" i="39"/>
  <c r="Y283" i="39" s="1"/>
  <c r="Y282" i="39"/>
  <c r="M269" i="39"/>
  <c r="W262" i="39"/>
  <c r="W263" i="39" s="1"/>
  <c r="W291" i="39" s="1"/>
  <c r="Y291" i="39" s="1"/>
  <c r="T268" i="39"/>
  <c r="X265" i="39"/>
  <c r="U307" i="39"/>
  <c r="Y307" i="39" s="1"/>
  <c r="Y306" i="39"/>
  <c r="P312" i="39"/>
  <c r="Q268" i="39"/>
  <c r="Q269" i="39" s="1"/>
  <c r="Y277" i="39"/>
  <c r="Q312" i="39"/>
  <c r="Y296" i="39"/>
  <c r="O269" i="39"/>
  <c r="O290" i="39" s="1"/>
  <c r="O292" i="39" s="1"/>
  <c r="U310" i="39"/>
  <c r="Y310" i="39" s="1"/>
  <c r="T320" i="39"/>
  <c r="P323" i="39"/>
  <c r="M279" i="39"/>
  <c r="W329" i="39"/>
  <c r="Y329" i="39"/>
  <c r="S313" i="39"/>
  <c r="W312" i="39"/>
  <c r="W313" i="39" s="1"/>
  <c r="U262" i="39"/>
  <c r="U263" i="39" s="1"/>
  <c r="Y263" i="39" s="1"/>
  <c r="X262" i="39"/>
  <c r="X263" i="39" s="1"/>
  <c r="Y333" i="39"/>
  <c r="T276" i="39"/>
  <c r="T279" i="39" s="1"/>
  <c r="P279" i="39"/>
  <c r="X279" i="39" s="1"/>
  <c r="L334" i="39"/>
  <c r="L336" i="39" s="1"/>
  <c r="U285" i="39"/>
  <c r="U289" i="39" s="1"/>
  <c r="Y289" i="39" s="1"/>
  <c r="S289" i="39"/>
  <c r="W285" i="39"/>
  <c r="S283" i="39"/>
  <c r="W283" i="39" s="1"/>
  <c r="U282" i="39"/>
  <c r="U283" i="39" s="1"/>
  <c r="E269" i="39"/>
  <c r="E290" i="39" s="1"/>
  <c r="E292" i="39" s="1"/>
  <c r="T312" i="39"/>
  <c r="T313" i="39" s="1"/>
  <c r="X309" i="39"/>
  <c r="X307" i="39"/>
  <c r="T307" i="39"/>
  <c r="U265" i="39"/>
  <c r="S268" i="39"/>
  <c r="S269" i="39" s="1"/>
  <c r="X300" i="39"/>
  <c r="Y327" i="39"/>
  <c r="U310" i="29"/>
  <c r="Y310" i="29" s="1"/>
  <c r="W310" i="29"/>
  <c r="Q268" i="29"/>
  <c r="Q269" i="29" s="1"/>
  <c r="U265" i="29"/>
  <c r="U268" i="29" s="1"/>
  <c r="S268" i="29"/>
  <c r="S269" i="29" s="1"/>
  <c r="U267" i="29"/>
  <c r="Y267" i="29" s="1"/>
  <c r="T279" i="29"/>
  <c r="X279" i="29" s="1"/>
  <c r="X276" i="29"/>
  <c r="S276" i="29"/>
  <c r="Q276" i="29"/>
  <c r="O279" i="29"/>
  <c r="W276" i="29"/>
  <c r="E269" i="29"/>
  <c r="E290" i="29" s="1"/>
  <c r="E292" i="29" s="1"/>
  <c r="T313" i="29"/>
  <c r="U289" i="29"/>
  <c r="Y289" i="29" s="1"/>
  <c r="Y285" i="29"/>
  <c r="W268" i="29"/>
  <c r="W269" i="29" s="1"/>
  <c r="P290" i="29"/>
  <c r="P292" i="29" s="1"/>
  <c r="K290" i="29"/>
  <c r="K292" i="29" s="1"/>
  <c r="P334" i="29"/>
  <c r="P336" i="29" s="1"/>
  <c r="U320" i="29"/>
  <c r="U323" i="29" s="1"/>
  <c r="Y323" i="29" s="1"/>
  <c r="S323" i="29"/>
  <c r="X306" i="29"/>
  <c r="X307" i="29" s="1"/>
  <c r="X313" i="29" s="1"/>
  <c r="Y260" i="29"/>
  <c r="U306" i="29"/>
  <c r="U262" i="29"/>
  <c r="X263" i="29"/>
  <c r="S307" i="29"/>
  <c r="S335" i="29" s="1"/>
  <c r="U335" i="29" s="1"/>
  <c r="W306" i="29"/>
  <c r="W307" i="29" s="1"/>
  <c r="W335" i="29" s="1"/>
  <c r="Y335" i="29" s="1"/>
  <c r="U329" i="29"/>
  <c r="U333" i="29" s="1"/>
  <c r="S333" i="29"/>
  <c r="W333" i="29" s="1"/>
  <c r="W329" i="29"/>
  <c r="U283" i="29"/>
  <c r="Y283" i="29" s="1"/>
  <c r="Y282" i="29"/>
  <c r="U309" i="29"/>
  <c r="S311" i="29"/>
  <c r="W300" i="29"/>
  <c r="E313" i="29"/>
  <c r="E334" i="29" s="1"/>
  <c r="E336" i="29" s="1"/>
  <c r="S277" i="29"/>
  <c r="U277" i="29" s="1"/>
  <c r="Q277" i="29"/>
  <c r="Y277" i="29" s="1"/>
  <c r="W277" i="29"/>
  <c r="Q307" i="29"/>
  <c r="W320" i="29"/>
  <c r="W265" i="29"/>
  <c r="T263" i="29"/>
  <c r="O313" i="29"/>
  <c r="O334" i="29" s="1"/>
  <c r="O336" i="29" s="1"/>
  <c r="U266" i="29"/>
  <c r="Y266" i="29" s="1"/>
  <c r="W309" i="29"/>
  <c r="W323" i="29"/>
  <c r="Y326" i="29"/>
  <c r="X256" i="29"/>
  <c r="T268" i="29"/>
  <c r="X265" i="29"/>
  <c r="Q312" i="29"/>
  <c r="Y333" i="29"/>
  <c r="O290" i="29"/>
  <c r="O292" i="29" s="1"/>
  <c r="U300" i="29"/>
  <c r="Y300" i="29" s="1"/>
  <c r="Y296" i="29"/>
  <c r="T320" i="29"/>
  <c r="P323" i="29"/>
  <c r="I313" i="29"/>
  <c r="I334" i="29" s="1"/>
  <c r="I336" i="29" s="1"/>
  <c r="M290" i="29"/>
  <c r="M292" i="29" s="1"/>
  <c r="S323" i="38"/>
  <c r="W323" i="38" s="1"/>
  <c r="M279" i="38"/>
  <c r="Q263" i="38"/>
  <c r="Y262" i="38"/>
  <c r="T268" i="38"/>
  <c r="U321" i="38"/>
  <c r="Y321" i="38" s="1"/>
  <c r="W321" i="38"/>
  <c r="U300" i="38"/>
  <c r="Y300" i="38" s="1"/>
  <c r="Y296" i="38"/>
  <c r="O290" i="38"/>
  <c r="O292" i="38" s="1"/>
  <c r="U276" i="38"/>
  <c r="Y276" i="38" s="1"/>
  <c r="M269" i="38"/>
  <c r="Y302" i="38"/>
  <c r="S277" i="38"/>
  <c r="U277" i="38" s="1"/>
  <c r="Q277" i="38"/>
  <c r="Y277" i="38" s="1"/>
  <c r="U306" i="38"/>
  <c r="W311" i="38"/>
  <c r="Y260" i="38"/>
  <c r="S307" i="38"/>
  <c r="S335" i="38" s="1"/>
  <c r="U335" i="38" s="1"/>
  <c r="Y311" i="38"/>
  <c r="S312" i="38"/>
  <c r="U309" i="38"/>
  <c r="W309" i="38"/>
  <c r="U310" i="38"/>
  <c r="Y310" i="38" s="1"/>
  <c r="W310" i="38"/>
  <c r="W320" i="38"/>
  <c r="Y326" i="38"/>
  <c r="I313" i="38"/>
  <c r="I334" i="38" s="1"/>
  <c r="I336" i="38" s="1"/>
  <c r="P313" i="38"/>
  <c r="P334" i="38" s="1"/>
  <c r="P336" i="38" s="1"/>
  <c r="W300" i="38"/>
  <c r="W307" i="38" s="1"/>
  <c r="W335" i="38" s="1"/>
  <c r="Y335" i="38" s="1"/>
  <c r="U285" i="38"/>
  <c r="U289" i="38" s="1"/>
  <c r="Y289" i="38" s="1"/>
  <c r="S289" i="38"/>
  <c r="W289" i="38" s="1"/>
  <c r="P290" i="38"/>
  <c r="P292" i="38" s="1"/>
  <c r="W266" i="38"/>
  <c r="U256" i="38"/>
  <c r="Y256" i="38" s="1"/>
  <c r="U262" i="38"/>
  <c r="M313" i="38"/>
  <c r="M334" i="38" s="1"/>
  <c r="M336" i="38" s="1"/>
  <c r="U267" i="38"/>
  <c r="Y267" i="38" s="1"/>
  <c r="W267" i="38"/>
  <c r="Q283" i="38"/>
  <c r="T263" i="38"/>
  <c r="X262" i="38"/>
  <c r="X263" i="38" s="1"/>
  <c r="S283" i="38"/>
  <c r="W283" i="38" s="1"/>
  <c r="U282" i="38"/>
  <c r="U283" i="38" s="1"/>
  <c r="T307" i="38"/>
  <c r="O313" i="38"/>
  <c r="O334" i="38" s="1"/>
  <c r="O336" i="38" s="1"/>
  <c r="Q268" i="38"/>
  <c r="S263" i="38"/>
  <c r="S291" i="38" s="1"/>
  <c r="U291" i="38" s="1"/>
  <c r="U265" i="38"/>
  <c r="S268" i="38"/>
  <c r="S269" i="38" s="1"/>
  <c r="W265" i="38"/>
  <c r="Q323" i="38"/>
  <c r="W256" i="38"/>
  <c r="W263" i="38" s="1"/>
  <c r="W291" i="38" s="1"/>
  <c r="Y291" i="38" s="1"/>
  <c r="T312" i="38"/>
  <c r="T313" i="38" s="1"/>
  <c r="T320" i="38"/>
  <c r="T323" i="38" s="1"/>
  <c r="P323" i="38"/>
  <c r="Q312" i="38"/>
  <c r="U300" i="32"/>
  <c r="Y300" i="32" s="1"/>
  <c r="Y296" i="32"/>
  <c r="S311" i="32"/>
  <c r="W300" i="32"/>
  <c r="Y309" i="32"/>
  <c r="Y310" i="32"/>
  <c r="I312" i="32"/>
  <c r="G269" i="32"/>
  <c r="G290" i="32" s="1"/>
  <c r="G292" i="32" s="1"/>
  <c r="Y329" i="32"/>
  <c r="Q307" i="32"/>
  <c r="U265" i="32"/>
  <c r="I268" i="32"/>
  <c r="Y266" i="32"/>
  <c r="Y333" i="32"/>
  <c r="M323" i="32"/>
  <c r="M334" i="32" s="1"/>
  <c r="M336" i="32" s="1"/>
  <c r="P323" i="32"/>
  <c r="T320" i="32"/>
  <c r="Q320" i="32"/>
  <c r="Q323" i="32" s="1"/>
  <c r="X320" i="32"/>
  <c r="Y277" i="32"/>
  <c r="S277" i="32"/>
  <c r="U277" i="32" s="1"/>
  <c r="Q277" i="32"/>
  <c r="W277" i="32"/>
  <c r="W323" i="32"/>
  <c r="U285" i="32"/>
  <c r="U289" i="32" s="1"/>
  <c r="S289" i="32"/>
  <c r="W289" i="32" s="1"/>
  <c r="W285" i="32"/>
  <c r="Y282" i="32"/>
  <c r="L334" i="32"/>
  <c r="L336" i="32" s="1"/>
  <c r="Y289" i="32"/>
  <c r="X262" i="32"/>
  <c r="X263" i="32" s="1"/>
  <c r="T268" i="32"/>
  <c r="T269" i="32" s="1"/>
  <c r="T290" i="32" s="1"/>
  <c r="T292" i="32" s="1"/>
  <c r="X265" i="32"/>
  <c r="P313" i="32"/>
  <c r="P334" i="32" s="1"/>
  <c r="P336" i="32" s="1"/>
  <c r="X312" i="32"/>
  <c r="X313" i="32" s="1"/>
  <c r="Y262" i="32"/>
  <c r="M279" i="32"/>
  <c r="S283" i="32"/>
  <c r="U282" i="32"/>
  <c r="U283" i="32" s="1"/>
  <c r="W282" i="32"/>
  <c r="Q311" i="32"/>
  <c r="S307" i="32"/>
  <c r="S335" i="32" s="1"/>
  <c r="U335" i="32" s="1"/>
  <c r="W306" i="32"/>
  <c r="W307" i="32" s="1"/>
  <c r="W335" i="32" s="1"/>
  <c r="Y335" i="32" s="1"/>
  <c r="W265" i="32"/>
  <c r="H269" i="32"/>
  <c r="H290" i="32" s="1"/>
  <c r="H292" i="32" s="1"/>
  <c r="M290" i="32"/>
  <c r="M292" i="32" s="1"/>
  <c r="S276" i="32"/>
  <c r="Q276" i="32"/>
  <c r="Q279" i="32" s="1"/>
  <c r="O279" i="32"/>
  <c r="W262" i="32"/>
  <c r="W263" i="32" s="1"/>
  <c r="W291" i="32" s="1"/>
  <c r="Y291" i="32" s="1"/>
  <c r="U306" i="32"/>
  <c r="U307" i="32" s="1"/>
  <c r="Y307" i="32" s="1"/>
  <c r="O290" i="32"/>
  <c r="O292" i="32" s="1"/>
  <c r="X307" i="32"/>
  <c r="U309" i="32"/>
  <c r="S312" i="32"/>
  <c r="Q268" i="32"/>
  <c r="Q269" i="32" s="1"/>
  <c r="Q290" i="32" s="1"/>
  <c r="Q292" i="32" s="1"/>
  <c r="U256" i="32"/>
  <c r="Y256" i="32" s="1"/>
  <c r="W283" i="32"/>
  <c r="Y283" i="32"/>
  <c r="W309" i="32"/>
  <c r="G313" i="32"/>
  <c r="G334" i="32" s="1"/>
  <c r="G336" i="32" s="1"/>
  <c r="Y258" i="32"/>
  <c r="S267" i="32"/>
  <c r="W256" i="32"/>
  <c r="X312" i="31"/>
  <c r="X313" i="31" s="1"/>
  <c r="U260" i="31"/>
  <c r="S266" i="31"/>
  <c r="U266" i="31" s="1"/>
  <c r="Y266" i="31" s="1"/>
  <c r="U283" i="31"/>
  <c r="Y283" i="31" s="1"/>
  <c r="Y282" i="31"/>
  <c r="M279" i="31"/>
  <c r="T334" i="31"/>
  <c r="T336" i="31" s="1"/>
  <c r="T268" i="31"/>
  <c r="T269" i="31" s="1"/>
  <c r="X265" i="31"/>
  <c r="M263" i="31"/>
  <c r="S327" i="31"/>
  <c r="W327" i="31" s="1"/>
  <c r="U326" i="31"/>
  <c r="U327" i="31" s="1"/>
  <c r="Y326" i="31"/>
  <c r="U300" i="31"/>
  <c r="Y300" i="31" s="1"/>
  <c r="Y296" i="31"/>
  <c r="Q256" i="31"/>
  <c r="S265" i="31"/>
  <c r="S262" i="31"/>
  <c r="S263" i="31" s="1"/>
  <c r="S291" i="31" s="1"/>
  <c r="U291" i="31" s="1"/>
  <c r="U258" i="31"/>
  <c r="U262" i="31" s="1"/>
  <c r="O263" i="31"/>
  <c r="O291" i="31" s="1"/>
  <c r="Q291" i="31" s="1"/>
  <c r="S256" i="31"/>
  <c r="S267" i="31" s="1"/>
  <c r="U267" i="31" s="1"/>
  <c r="U252" i="31"/>
  <c r="I269" i="31"/>
  <c r="I290" i="31" s="1"/>
  <c r="I292" i="31" s="1"/>
  <c r="M267" i="31"/>
  <c r="Y267" i="31" s="1"/>
  <c r="W267" i="31"/>
  <c r="S312" i="31"/>
  <c r="U309" i="31"/>
  <c r="U312" i="31" s="1"/>
  <c r="W309" i="31"/>
  <c r="T320" i="31"/>
  <c r="T323" i="31" s="1"/>
  <c r="P323" i="31"/>
  <c r="X323" i="31" s="1"/>
  <c r="X320" i="31"/>
  <c r="W253" i="31"/>
  <c r="E269" i="31"/>
  <c r="E290" i="31" s="1"/>
  <c r="E292" i="31" s="1"/>
  <c r="K268" i="31"/>
  <c r="Q265" i="31"/>
  <c r="O268" i="31"/>
  <c r="Q276" i="31"/>
  <c r="M268" i="31"/>
  <c r="M269" i="31" s="1"/>
  <c r="Y252" i="31"/>
  <c r="X279" i="31"/>
  <c r="S307" i="31"/>
  <c r="W306" i="31"/>
  <c r="W307" i="31" s="1"/>
  <c r="Y327" i="31"/>
  <c r="Y306" i="31"/>
  <c r="S277" i="31"/>
  <c r="U277" i="31" s="1"/>
  <c r="Q277" i="31"/>
  <c r="Y277" i="31" s="1"/>
  <c r="W277" i="31"/>
  <c r="E313" i="31"/>
  <c r="E334" i="31" s="1"/>
  <c r="E336" i="31" s="1"/>
  <c r="X262" i="31"/>
  <c r="X263" i="31" s="1"/>
  <c r="P269" i="31"/>
  <c r="X268" i="31"/>
  <c r="X269" i="31" s="1"/>
  <c r="X306" i="31"/>
  <c r="X307" i="31" s="1"/>
  <c r="X309" i="31"/>
  <c r="W300" i="31"/>
  <c r="S323" i="31"/>
  <c r="W323" i="31" s="1"/>
  <c r="P313" i="31"/>
  <c r="P334" i="31" s="1"/>
  <c r="P336" i="31" s="1"/>
  <c r="Q311" i="31"/>
  <c r="Y311" i="31" s="1"/>
  <c r="W311" i="31"/>
  <c r="W260" i="31"/>
  <c r="Y260" i="31" s="1"/>
  <c r="W326" i="31"/>
  <c r="O334" i="31"/>
  <c r="O336" i="31" s="1"/>
  <c r="U254" i="31"/>
  <c r="Y254" i="31" s="1"/>
  <c r="W254" i="31"/>
  <c r="T276" i="31"/>
  <c r="T279" i="31" s="1"/>
  <c r="P279" i="31"/>
  <c r="W256" i="31"/>
  <c r="S306" i="28"/>
  <c r="S307" i="28" s="1"/>
  <c r="U302" i="28"/>
  <c r="S309" i="28"/>
  <c r="S309" i="33" s="1"/>
  <c r="U309" i="33" s="1"/>
  <c r="C269" i="28"/>
  <c r="C290" i="28" s="1"/>
  <c r="C291" i="28"/>
  <c r="E291" i="28" s="1"/>
  <c r="Q309" i="28"/>
  <c r="Q312" i="28" s="1"/>
  <c r="O312" i="28"/>
  <c r="O313" i="28" s="1"/>
  <c r="P307" i="28"/>
  <c r="P313" i="28" s="1"/>
  <c r="P334" i="28" s="1"/>
  <c r="P336" i="28" s="1"/>
  <c r="S323" i="28"/>
  <c r="W323" i="28" s="1"/>
  <c r="T306" i="28"/>
  <c r="T309" i="28"/>
  <c r="T309" i="33" s="1"/>
  <c r="X309" i="33" s="1"/>
  <c r="X302" i="28"/>
  <c r="W305" i="28"/>
  <c r="Y305" i="28" s="1"/>
  <c r="S327" i="28"/>
  <c r="W327" i="28" s="1"/>
  <c r="U326" i="28"/>
  <c r="U327" i="28" s="1"/>
  <c r="X309" i="28"/>
  <c r="W321" i="28"/>
  <c r="U299" i="28"/>
  <c r="Y299" i="28" s="1"/>
  <c r="X299" i="28"/>
  <c r="T300" i="28"/>
  <c r="T311" i="28" s="1"/>
  <c r="T311" i="33" s="1"/>
  <c r="U303" i="28"/>
  <c r="W303" i="28"/>
  <c r="Y303" i="28" s="1"/>
  <c r="M312" i="28"/>
  <c r="M313" i="28" s="1"/>
  <c r="M334" i="28" s="1"/>
  <c r="H313" i="28"/>
  <c r="H334" i="28" s="1"/>
  <c r="H336" i="28" s="1"/>
  <c r="X306" i="28"/>
  <c r="W302" i="28"/>
  <c r="Q327" i="28"/>
  <c r="K313" i="28"/>
  <c r="Q323" i="28"/>
  <c r="Y323" i="28" s="1"/>
  <c r="S254" i="28"/>
  <c r="S254" i="33" s="1"/>
  <c r="U254" i="33" s="1"/>
  <c r="Y274" i="28"/>
  <c r="Q253" i="28"/>
  <c r="K263" i="28"/>
  <c r="K291" i="28" s="1"/>
  <c r="I279" i="28"/>
  <c r="O262" i="28"/>
  <c r="M265" i="28"/>
  <c r="W259" i="28"/>
  <c r="M262" i="28"/>
  <c r="O256" i="28"/>
  <c r="O267" i="28" s="1"/>
  <c r="O265" i="28"/>
  <c r="O265" i="33" s="1"/>
  <c r="S265" i="28"/>
  <c r="S265" i="33" s="1"/>
  <c r="U253" i="28"/>
  <c r="W253" i="28"/>
  <c r="W253" i="33" s="1"/>
  <c r="U255" i="28"/>
  <c r="Y255" i="28" s="1"/>
  <c r="W255" i="28"/>
  <c r="W255" i="33" s="1"/>
  <c r="I256" i="28"/>
  <c r="L256" i="28"/>
  <c r="L267" i="28" s="1"/>
  <c r="L267" i="33" s="1"/>
  <c r="L268" i="33" s="1"/>
  <c r="M256" i="28"/>
  <c r="S289" i="28"/>
  <c r="W289" i="28" s="1"/>
  <c r="H263" i="28"/>
  <c r="P262" i="28"/>
  <c r="P265" i="28"/>
  <c r="P265" i="33" s="1"/>
  <c r="T258" i="28"/>
  <c r="T258" i="33" s="1"/>
  <c r="Q258" i="28"/>
  <c r="D268" i="28"/>
  <c r="M277" i="28"/>
  <c r="K279" i="28"/>
  <c r="O277" i="28"/>
  <c r="O277" i="33" s="1"/>
  <c r="E263" i="28"/>
  <c r="P266" i="28"/>
  <c r="P266" i="33" s="1"/>
  <c r="Q14" i="28"/>
  <c r="S14" i="28"/>
  <c r="U14" i="28" s="1"/>
  <c r="O266" i="28"/>
  <c r="M266" i="28"/>
  <c r="G269" i="28"/>
  <c r="U183" i="23"/>
  <c r="Y183" i="23" s="1"/>
  <c r="W183" i="23"/>
  <c r="Q183" i="9"/>
  <c r="S183" i="9"/>
  <c r="S183" i="33" s="1"/>
  <c r="U183" i="33" s="1"/>
  <c r="Y183" i="24"/>
  <c r="U183" i="24"/>
  <c r="W183" i="24"/>
  <c r="U183" i="30"/>
  <c r="W183" i="30"/>
  <c r="Y183" i="30"/>
  <c r="Q183" i="33"/>
  <c r="U183" i="32"/>
  <c r="Y183" i="32"/>
  <c r="S8" i="28"/>
  <c r="Q8" i="28"/>
  <c r="U260" i="28" l="1"/>
  <c r="S256" i="28"/>
  <c r="S267" i="28" s="1"/>
  <c r="X306" i="33"/>
  <c r="W306" i="28"/>
  <c r="W307" i="28" s="1"/>
  <c r="Y253" i="28"/>
  <c r="Q253" i="33"/>
  <c r="U253" i="33"/>
  <c r="W309" i="28"/>
  <c r="Q307" i="28"/>
  <c r="Y255" i="33"/>
  <c r="Q254" i="33"/>
  <c r="Y254" i="33" s="1"/>
  <c r="X300" i="28"/>
  <c r="X307" i="28" s="1"/>
  <c r="S262" i="28"/>
  <c r="Q282" i="33"/>
  <c r="O283" i="33"/>
  <c r="X259" i="33"/>
  <c r="Q259" i="33"/>
  <c r="W259" i="33"/>
  <c r="W282" i="28"/>
  <c r="S282" i="33"/>
  <c r="S283" i="28"/>
  <c r="W283" i="28" s="1"/>
  <c r="U282" i="28"/>
  <c r="X259" i="28"/>
  <c r="Y259" i="28" s="1"/>
  <c r="T259" i="33"/>
  <c r="U259" i="33" s="1"/>
  <c r="X260" i="33"/>
  <c r="W254" i="28"/>
  <c r="W254" i="33" s="1"/>
  <c r="K334" i="28"/>
  <c r="K335" i="28"/>
  <c r="M335" i="28" s="1"/>
  <c r="M336" i="28" s="1"/>
  <c r="W261" i="28"/>
  <c r="S261" i="33"/>
  <c r="S262" i="33" s="1"/>
  <c r="U261" i="28"/>
  <c r="X277" i="33"/>
  <c r="T279" i="33"/>
  <c r="X279" i="33" s="1"/>
  <c r="Q261" i="33"/>
  <c r="U298" i="33"/>
  <c r="Y298" i="33" s="1"/>
  <c r="X298" i="33"/>
  <c r="T300" i="33"/>
  <c r="U254" i="28"/>
  <c r="Y254" i="28" s="1"/>
  <c r="Y302" i="28"/>
  <c r="Q265" i="33"/>
  <c r="Q258" i="33"/>
  <c r="O262" i="33"/>
  <c r="O263" i="33" s="1"/>
  <c r="O291" i="33" s="1"/>
  <c r="Q291" i="33" s="1"/>
  <c r="W258" i="33"/>
  <c r="S327" i="33"/>
  <c r="W327" i="33" s="1"/>
  <c r="U326" i="33"/>
  <c r="W326" i="33"/>
  <c r="U258" i="33"/>
  <c r="W265" i="33"/>
  <c r="S306" i="33"/>
  <c r="W306" i="33" s="1"/>
  <c r="U304" i="33"/>
  <c r="W304" i="33"/>
  <c r="Y304" i="33" s="1"/>
  <c r="P256" i="33"/>
  <c r="M263" i="33"/>
  <c r="T256" i="33"/>
  <c r="M263" i="28"/>
  <c r="X258" i="33"/>
  <c r="Y272" i="33"/>
  <c r="T312" i="33"/>
  <c r="U305" i="33"/>
  <c r="W305" i="33"/>
  <c r="Y305" i="33" s="1"/>
  <c r="Y274" i="33"/>
  <c r="Q277" i="33"/>
  <c r="Q279" i="33" s="1"/>
  <c r="O279" i="33"/>
  <c r="O334" i="28"/>
  <c r="O335" i="28"/>
  <c r="Q335" i="28" s="1"/>
  <c r="W309" i="33"/>
  <c r="P262" i="33"/>
  <c r="Q313" i="28"/>
  <c r="L269" i="33"/>
  <c r="L290" i="33" s="1"/>
  <c r="L292" i="33" s="1"/>
  <c r="O256" i="33"/>
  <c r="T261" i="33"/>
  <c r="T262" i="33" s="1"/>
  <c r="T263" i="33" s="1"/>
  <c r="X261" i="28"/>
  <c r="Y261" i="28" s="1"/>
  <c r="U260" i="33"/>
  <c r="W260" i="33"/>
  <c r="Y260" i="33" s="1"/>
  <c r="X260" i="28"/>
  <c r="Y260" i="28" s="1"/>
  <c r="Y323" i="30"/>
  <c r="C336" i="30"/>
  <c r="G334" i="33"/>
  <c r="G335" i="33"/>
  <c r="I335" i="33" s="1"/>
  <c r="I336" i="33" s="1"/>
  <c r="S267" i="30"/>
  <c r="S266" i="30"/>
  <c r="O266" i="33"/>
  <c r="Q266" i="30"/>
  <c r="D268" i="33"/>
  <c r="D269" i="33" s="1"/>
  <c r="D290" i="33" s="1"/>
  <c r="D292" i="33" s="1"/>
  <c r="K268" i="28"/>
  <c r="K269" i="28" s="1"/>
  <c r="K267" i="33"/>
  <c r="H268" i="33"/>
  <c r="H269" i="33" s="1"/>
  <c r="H290" i="33" s="1"/>
  <c r="H292" i="33" s="1"/>
  <c r="I266" i="33"/>
  <c r="I268" i="33" s="1"/>
  <c r="I269" i="33" s="1"/>
  <c r="I290" i="33" s="1"/>
  <c r="I292" i="33" s="1"/>
  <c r="X279" i="30"/>
  <c r="P290" i="30"/>
  <c r="P292" i="30" s="1"/>
  <c r="O336" i="30"/>
  <c r="Q256" i="33"/>
  <c r="U256" i="30"/>
  <c r="Y252" i="30"/>
  <c r="S267" i="33"/>
  <c r="U267" i="30"/>
  <c r="S256" i="33"/>
  <c r="U252" i="33"/>
  <c r="U256" i="33" s="1"/>
  <c r="W256" i="30"/>
  <c r="W263" i="30" s="1"/>
  <c r="W291" i="30" s="1"/>
  <c r="Y291" i="30" s="1"/>
  <c r="S268" i="30"/>
  <c r="S269" i="30" s="1"/>
  <c r="O267" i="33"/>
  <c r="Q267" i="30"/>
  <c r="Q268" i="30" s="1"/>
  <c r="W267" i="30"/>
  <c r="O268" i="30"/>
  <c r="O269" i="30" s="1"/>
  <c r="O290" i="30" s="1"/>
  <c r="X323" i="33"/>
  <c r="S300" i="33"/>
  <c r="W300" i="33" s="1"/>
  <c r="W296" i="33"/>
  <c r="U296" i="33"/>
  <c r="O307" i="33"/>
  <c r="Y296" i="33"/>
  <c r="M311" i="33"/>
  <c r="M312" i="33" s="1"/>
  <c r="M313" i="33" s="1"/>
  <c r="M334" i="33" s="1"/>
  <c r="K312" i="33"/>
  <c r="K313" i="33" s="1"/>
  <c r="Q307" i="33"/>
  <c r="Y285" i="33"/>
  <c r="Y289" i="33"/>
  <c r="Y309" i="33"/>
  <c r="X311" i="33"/>
  <c r="X312" i="33"/>
  <c r="X320" i="33"/>
  <c r="P334" i="33"/>
  <c r="P336" i="33" s="1"/>
  <c r="Y276" i="33"/>
  <c r="U333" i="33"/>
  <c r="Y333" i="33" s="1"/>
  <c r="Y329" i="33"/>
  <c r="U320" i="33"/>
  <c r="U323" i="33" s="1"/>
  <c r="Y323" i="33" s="1"/>
  <c r="O290" i="23"/>
  <c r="O292" i="23" s="1"/>
  <c r="U263" i="23"/>
  <c r="Y263" i="23" s="1"/>
  <c r="Y262" i="23"/>
  <c r="U268" i="23"/>
  <c r="U269" i="23" s="1"/>
  <c r="W279" i="23"/>
  <c r="X307" i="23"/>
  <c r="X311" i="23"/>
  <c r="U311" i="23"/>
  <c r="S269" i="23"/>
  <c r="S290" i="23" s="1"/>
  <c r="S292" i="23" s="1"/>
  <c r="W268" i="23"/>
  <c r="W269" i="23" s="1"/>
  <c r="W290" i="23" s="1"/>
  <c r="W292" i="23" s="1"/>
  <c r="Q279" i="23"/>
  <c r="Y279" i="23" s="1"/>
  <c r="U276" i="23"/>
  <c r="U279" i="23" s="1"/>
  <c r="S279" i="23"/>
  <c r="W276" i="23"/>
  <c r="X268" i="23"/>
  <c r="X269" i="23" s="1"/>
  <c r="X290" i="23" s="1"/>
  <c r="X292" i="23" s="1"/>
  <c r="Y265" i="23"/>
  <c r="X320" i="23"/>
  <c r="Q269" i="23"/>
  <c r="W323" i="23"/>
  <c r="W334" i="23" s="1"/>
  <c r="W336" i="23" s="1"/>
  <c r="Y268" i="23"/>
  <c r="Y320" i="23"/>
  <c r="T312" i="23"/>
  <c r="P334" i="23"/>
  <c r="P336" i="23" s="1"/>
  <c r="Y276" i="9"/>
  <c r="Y307" i="9"/>
  <c r="Y309" i="9"/>
  <c r="X312" i="9"/>
  <c r="X313" i="9" s="1"/>
  <c r="U268" i="9"/>
  <c r="S279" i="9"/>
  <c r="P334" i="9"/>
  <c r="P336" i="9" s="1"/>
  <c r="M290" i="9"/>
  <c r="M292" i="9" s="1"/>
  <c r="O312" i="9"/>
  <c r="O313" i="9" s="1"/>
  <c r="O334" i="9" s="1"/>
  <c r="O336" i="9" s="1"/>
  <c r="W311" i="9"/>
  <c r="W323" i="9"/>
  <c r="S290" i="9"/>
  <c r="S292" i="9" s="1"/>
  <c r="U313" i="9"/>
  <c r="W268" i="9"/>
  <c r="W269" i="9" s="1"/>
  <c r="T290" i="9"/>
  <c r="T292" i="9" s="1"/>
  <c r="X334" i="9"/>
  <c r="X336" i="9" s="1"/>
  <c r="U263" i="9"/>
  <c r="Y263" i="9" s="1"/>
  <c r="Y262" i="9"/>
  <c r="Q312" i="9"/>
  <c r="P290" i="9"/>
  <c r="P292" i="9" s="1"/>
  <c r="U320" i="9"/>
  <c r="U323" i="9" s="1"/>
  <c r="Y323" i="9" s="1"/>
  <c r="S323" i="9"/>
  <c r="S334" i="9" s="1"/>
  <c r="S336" i="9" s="1"/>
  <c r="W320" i="9"/>
  <c r="U333" i="9"/>
  <c r="Y333" i="9" s="1"/>
  <c r="Y329" i="9"/>
  <c r="T279" i="9"/>
  <c r="X279" i="9" s="1"/>
  <c r="X290" i="9" s="1"/>
  <c r="X292" i="9" s="1"/>
  <c r="X276" i="9"/>
  <c r="Y265" i="9"/>
  <c r="W279" i="9"/>
  <c r="Q269" i="9"/>
  <c r="Y268" i="9"/>
  <c r="Y269" i="9" s="1"/>
  <c r="Q279" i="9"/>
  <c r="Y279" i="9" s="1"/>
  <c r="W277" i="9"/>
  <c r="U307" i="24"/>
  <c r="Y307" i="24" s="1"/>
  <c r="Y306" i="24"/>
  <c r="T313" i="24"/>
  <c r="T334" i="24" s="1"/>
  <c r="T336" i="24" s="1"/>
  <c r="U333" i="24"/>
  <c r="Y333" i="24" s="1"/>
  <c r="Y329" i="24"/>
  <c r="X312" i="24"/>
  <c r="X313" i="24" s="1"/>
  <c r="X334" i="24" s="1"/>
  <c r="X336" i="24" s="1"/>
  <c r="U263" i="24"/>
  <c r="Y263" i="24" s="1"/>
  <c r="Y262" i="24"/>
  <c r="Y327" i="24"/>
  <c r="S269" i="24"/>
  <c r="S290" i="24" s="1"/>
  <c r="S292" i="24" s="1"/>
  <c r="Q313" i="24"/>
  <c r="Q334" i="24" s="1"/>
  <c r="Q336" i="24" s="1"/>
  <c r="X269" i="24"/>
  <c r="X290" i="24" s="1"/>
  <c r="X292" i="24" s="1"/>
  <c r="U268" i="24"/>
  <c r="U269" i="24" s="1"/>
  <c r="Y326" i="24"/>
  <c r="U279" i="24"/>
  <c r="Y279" i="24" s="1"/>
  <c r="Y276" i="24"/>
  <c r="W313" i="24"/>
  <c r="W334" i="24" s="1"/>
  <c r="W336" i="24" s="1"/>
  <c r="Q268" i="24"/>
  <c r="S334" i="24"/>
  <c r="S336" i="24" s="1"/>
  <c r="U312" i="24"/>
  <c r="Y265" i="24"/>
  <c r="Q334" i="30"/>
  <c r="Q336" i="30" s="1"/>
  <c r="U289" i="30"/>
  <c r="Y289" i="30" s="1"/>
  <c r="Y285" i="30"/>
  <c r="S313" i="30"/>
  <c r="W312" i="30"/>
  <c r="W313" i="30" s="1"/>
  <c r="U312" i="30"/>
  <c r="Y329" i="30"/>
  <c r="Y333" i="30"/>
  <c r="S279" i="30"/>
  <c r="W279" i="30" s="1"/>
  <c r="Y326" i="30"/>
  <c r="Y327" i="30"/>
  <c r="U307" i="30"/>
  <c r="Y307" i="30" s="1"/>
  <c r="Y306" i="30"/>
  <c r="M290" i="30"/>
  <c r="M292" i="30" s="1"/>
  <c r="X323" i="30"/>
  <c r="X334" i="30" s="1"/>
  <c r="X336" i="30" s="1"/>
  <c r="T269" i="30"/>
  <c r="T290" i="30" s="1"/>
  <c r="T292" i="30" s="1"/>
  <c r="X268" i="30"/>
  <c r="X269" i="30" s="1"/>
  <c r="X290" i="30" s="1"/>
  <c r="X292" i="30" s="1"/>
  <c r="M334" i="39"/>
  <c r="M336" i="39" s="1"/>
  <c r="P290" i="39"/>
  <c r="P292" i="39" s="1"/>
  <c r="W268" i="39"/>
  <c r="W269" i="39" s="1"/>
  <c r="U268" i="39"/>
  <c r="U269" i="39" s="1"/>
  <c r="Y265" i="39"/>
  <c r="Y285" i="39"/>
  <c r="Q313" i="39"/>
  <c r="Q334" i="39" s="1"/>
  <c r="Q336" i="39" s="1"/>
  <c r="Y312" i="39"/>
  <c r="Y313" i="39" s="1"/>
  <c r="T323" i="39"/>
  <c r="X323" i="39" s="1"/>
  <c r="X320" i="39"/>
  <c r="S334" i="39"/>
  <c r="S336" i="39" s="1"/>
  <c r="Q290" i="39"/>
  <c r="Q292" i="39" s="1"/>
  <c r="P313" i="39"/>
  <c r="P334" i="39" s="1"/>
  <c r="P336" i="39" s="1"/>
  <c r="X312" i="39"/>
  <c r="X313" i="39" s="1"/>
  <c r="U320" i="39"/>
  <c r="S323" i="39"/>
  <c r="W323" i="39" s="1"/>
  <c r="W334" i="39" s="1"/>
  <c r="W336" i="39" s="1"/>
  <c r="U312" i="39"/>
  <c r="U313" i="39" s="1"/>
  <c r="X276" i="39"/>
  <c r="S279" i="39"/>
  <c r="W279" i="39" s="1"/>
  <c r="U276" i="39"/>
  <c r="T269" i="39"/>
  <c r="T290" i="39" s="1"/>
  <c r="T292" i="39" s="1"/>
  <c r="X268" i="39"/>
  <c r="X269" i="39" s="1"/>
  <c r="X290" i="39" s="1"/>
  <c r="X292" i="39" s="1"/>
  <c r="Y262" i="39"/>
  <c r="W320" i="39"/>
  <c r="M290" i="39"/>
  <c r="M292" i="39" s="1"/>
  <c r="Y320" i="29"/>
  <c r="T269" i="29"/>
  <c r="T290" i="29" s="1"/>
  <c r="T292" i="29" s="1"/>
  <c r="X268" i="29"/>
  <c r="X269" i="29" s="1"/>
  <c r="X290" i="29" s="1"/>
  <c r="X292" i="29" s="1"/>
  <c r="U263" i="29"/>
  <c r="Y263" i="29" s="1"/>
  <c r="Y262" i="29"/>
  <c r="Y265" i="29"/>
  <c r="T334" i="29"/>
  <c r="T336" i="29" s="1"/>
  <c r="Q290" i="29"/>
  <c r="Q292" i="29" s="1"/>
  <c r="U307" i="29"/>
  <c r="Y307" i="29" s="1"/>
  <c r="Y306" i="29"/>
  <c r="Y268" i="29"/>
  <c r="U311" i="29"/>
  <c r="Y311" i="29" s="1"/>
  <c r="W311" i="29"/>
  <c r="Q313" i="29"/>
  <c r="Q334" i="29" s="1"/>
  <c r="Q336" i="29" s="1"/>
  <c r="Y329" i="29"/>
  <c r="U312" i="29"/>
  <c r="Y309" i="29"/>
  <c r="S312" i="29"/>
  <c r="Q279" i="29"/>
  <c r="T323" i="29"/>
  <c r="X323" i="29" s="1"/>
  <c r="X334" i="29" s="1"/>
  <c r="X336" i="29" s="1"/>
  <c r="X320" i="29"/>
  <c r="U276" i="29"/>
  <c r="S279" i="29"/>
  <c r="W279" i="29" s="1"/>
  <c r="W290" i="29" s="1"/>
  <c r="W292" i="29" s="1"/>
  <c r="X320" i="38"/>
  <c r="X323" i="38"/>
  <c r="Y283" i="38"/>
  <c r="W277" i="38"/>
  <c r="X312" i="38"/>
  <c r="X313" i="38" s="1"/>
  <c r="X334" i="38" s="1"/>
  <c r="X336" i="38" s="1"/>
  <c r="U268" i="38"/>
  <c r="Y268" i="38" s="1"/>
  <c r="Q279" i="38"/>
  <c r="Y279" i="38" s="1"/>
  <c r="U320" i="38"/>
  <c r="T334" i="38"/>
  <c r="T336" i="38" s="1"/>
  <c r="S290" i="38"/>
  <c r="S292" i="38" s="1"/>
  <c r="W268" i="38"/>
  <c r="W269" i="38" s="1"/>
  <c r="W290" i="38" s="1"/>
  <c r="W292" i="38" s="1"/>
  <c r="M290" i="38"/>
  <c r="M292" i="38" s="1"/>
  <c r="T269" i="38"/>
  <c r="T290" i="38" s="1"/>
  <c r="T292" i="38" s="1"/>
  <c r="X268" i="38"/>
  <c r="X269" i="38" s="1"/>
  <c r="X290" i="38" s="1"/>
  <c r="X292" i="38" s="1"/>
  <c r="Y265" i="38"/>
  <c r="S279" i="38"/>
  <c r="W279" i="38" s="1"/>
  <c r="U307" i="38"/>
  <c r="Y307" i="38" s="1"/>
  <c r="Y306" i="38"/>
  <c r="Q269" i="38"/>
  <c r="Y285" i="38"/>
  <c r="U279" i="38"/>
  <c r="Y282" i="38"/>
  <c r="U312" i="38"/>
  <c r="U313" i="38" s="1"/>
  <c r="Y309" i="38"/>
  <c r="Q313" i="38"/>
  <c r="Q334" i="38" s="1"/>
  <c r="Q336" i="38" s="1"/>
  <c r="Y312" i="38"/>
  <c r="Y313" i="38" s="1"/>
  <c r="U263" i="38"/>
  <c r="Y263" i="38" s="1"/>
  <c r="S313" i="38"/>
  <c r="S334" i="38" s="1"/>
  <c r="S336" i="38" s="1"/>
  <c r="W312" i="38"/>
  <c r="W313" i="38" s="1"/>
  <c r="W334" i="38" s="1"/>
  <c r="W336" i="38" s="1"/>
  <c r="I313" i="32"/>
  <c r="I334" i="32" s="1"/>
  <c r="I336" i="32" s="1"/>
  <c r="T323" i="32"/>
  <c r="T334" i="32" s="1"/>
  <c r="T336" i="32" s="1"/>
  <c r="U320" i="32"/>
  <c r="U263" i="32"/>
  <c r="Y263" i="32" s="1"/>
  <c r="Y311" i="32"/>
  <c r="S313" i="32"/>
  <c r="S334" i="32" s="1"/>
  <c r="S336" i="32" s="1"/>
  <c r="U311" i="32"/>
  <c r="U312" i="32" s="1"/>
  <c r="U313" i="32" s="1"/>
  <c r="W311" i="32"/>
  <c r="Y285" i="32"/>
  <c r="I269" i="32"/>
  <c r="I290" i="32" s="1"/>
  <c r="I292" i="32" s="1"/>
  <c r="U267" i="32"/>
  <c r="Y267" i="32" s="1"/>
  <c r="W267" i="32"/>
  <c r="U268" i="32"/>
  <c r="Y265" i="32"/>
  <c r="Q312" i="32"/>
  <c r="Q313" i="32" s="1"/>
  <c r="Q334" i="32" s="1"/>
  <c r="Q336" i="32" s="1"/>
  <c r="U276" i="32"/>
  <c r="U279" i="32" s="1"/>
  <c r="Y279" i="32" s="1"/>
  <c r="S279" i="32"/>
  <c r="W279" i="32" s="1"/>
  <c r="Y276" i="32"/>
  <c r="S268" i="32"/>
  <c r="W276" i="32"/>
  <c r="W312" i="32"/>
  <c r="W313" i="32" s="1"/>
  <c r="W334" i="32" s="1"/>
  <c r="W336" i="32" s="1"/>
  <c r="Y306" i="32"/>
  <c r="X268" i="32"/>
  <c r="X269" i="32" s="1"/>
  <c r="X290" i="32" s="1"/>
  <c r="X292" i="32" s="1"/>
  <c r="X334" i="31"/>
  <c r="X336" i="31" s="1"/>
  <c r="S268" i="31"/>
  <c r="S269" i="31" s="1"/>
  <c r="U265" i="31"/>
  <c r="U268" i="31" s="1"/>
  <c r="W265" i="31"/>
  <c r="U320" i="31"/>
  <c r="S313" i="31"/>
  <c r="S334" i="31" s="1"/>
  <c r="S336" i="31" s="1"/>
  <c r="W312" i="31"/>
  <c r="W313" i="31" s="1"/>
  <c r="W334" i="31" s="1"/>
  <c r="W336" i="31" s="1"/>
  <c r="M290" i="31"/>
  <c r="M292" i="31" s="1"/>
  <c r="Q279" i="31"/>
  <c r="Y279" i="31" s="1"/>
  <c r="Y276" i="31"/>
  <c r="S279" i="31"/>
  <c r="W279" i="31" s="1"/>
  <c r="X276" i="31"/>
  <c r="U263" i="31"/>
  <c r="Y256" i="31"/>
  <c r="X290" i="31"/>
  <c r="X292" i="31" s="1"/>
  <c r="O269" i="31"/>
  <c r="O290" i="31" s="1"/>
  <c r="O292" i="31" s="1"/>
  <c r="U276" i="31"/>
  <c r="U279" i="31" s="1"/>
  <c r="U307" i="31"/>
  <c r="Y307" i="31" s="1"/>
  <c r="Q263" i="31"/>
  <c r="Q268" i="31"/>
  <c r="Q269" i="31" s="1"/>
  <c r="Y265" i="31"/>
  <c r="Y262" i="31"/>
  <c r="U313" i="31"/>
  <c r="K269" i="31"/>
  <c r="K290" i="31" s="1"/>
  <c r="K292" i="31" s="1"/>
  <c r="W268" i="31"/>
  <c r="U256" i="31"/>
  <c r="W262" i="31"/>
  <c r="W263" i="31" s="1"/>
  <c r="W291" i="31" s="1"/>
  <c r="Y291" i="31" s="1"/>
  <c r="P290" i="31"/>
  <c r="P292" i="31" s="1"/>
  <c r="Q312" i="31"/>
  <c r="W266" i="31"/>
  <c r="Y268" i="31"/>
  <c r="T290" i="31"/>
  <c r="T292" i="31" s="1"/>
  <c r="Y309" i="31"/>
  <c r="U300" i="28"/>
  <c r="Y300" i="28" s="1"/>
  <c r="X311" i="28"/>
  <c r="U311" i="28"/>
  <c r="Y311" i="28" s="1"/>
  <c r="Y327" i="28"/>
  <c r="Y326" i="28"/>
  <c r="Q334" i="28"/>
  <c r="S312" i="28"/>
  <c r="U309" i="28"/>
  <c r="Y309" i="28"/>
  <c r="U306" i="28"/>
  <c r="T312" i="28"/>
  <c r="T307" i="28"/>
  <c r="O268" i="28"/>
  <c r="O263" i="28"/>
  <c r="O291" i="28" s="1"/>
  <c r="M267" i="28"/>
  <c r="M268" i="28" s="1"/>
  <c r="M269" i="28" s="1"/>
  <c r="C292" i="28"/>
  <c r="M291" i="28"/>
  <c r="W265" i="28"/>
  <c r="W258" i="28"/>
  <c r="K290" i="28"/>
  <c r="Q262" i="28"/>
  <c r="W256" i="28"/>
  <c r="P279" i="28"/>
  <c r="S263" i="28"/>
  <c r="S291" i="28" s="1"/>
  <c r="U289" i="28"/>
  <c r="Y289" i="28" s="1"/>
  <c r="H268" i="28"/>
  <c r="H269" i="28" s="1"/>
  <c r="H290" i="28" s="1"/>
  <c r="H292" i="28" s="1"/>
  <c r="I268" i="28"/>
  <c r="Q265" i="28"/>
  <c r="W267" i="28"/>
  <c r="Q266" i="28"/>
  <c r="D269" i="28"/>
  <c r="D290" i="28" s="1"/>
  <c r="D292" i="28" s="1"/>
  <c r="T262" i="28"/>
  <c r="T265" i="28"/>
  <c r="X258" i="28"/>
  <c r="U258" i="28"/>
  <c r="I263" i="28"/>
  <c r="L268" i="28"/>
  <c r="I291" i="28"/>
  <c r="G290" i="28"/>
  <c r="L263" i="28"/>
  <c r="E268" i="28"/>
  <c r="W14" i="28"/>
  <c r="Y14" i="28" s="1"/>
  <c r="T266" i="28"/>
  <c r="P256" i="28"/>
  <c r="P267" i="28" s="1"/>
  <c r="Q256" i="28"/>
  <c r="S266" i="28"/>
  <c r="S268" i="28" s="1"/>
  <c r="Q277" i="28"/>
  <c r="S277" i="28"/>
  <c r="S277" i="33" s="1"/>
  <c r="W277" i="33" s="1"/>
  <c r="O279" i="28"/>
  <c r="M279" i="28"/>
  <c r="W262" i="28"/>
  <c r="Y183" i="9"/>
  <c r="U183" i="9"/>
  <c r="W183" i="9"/>
  <c r="W183" i="33" s="1"/>
  <c r="Y183" i="33" s="1"/>
  <c r="U8" i="28"/>
  <c r="W8" i="28"/>
  <c r="Y8" i="28" s="1"/>
  <c r="K336" i="28" l="1"/>
  <c r="Y253" i="33"/>
  <c r="U306" i="33"/>
  <c r="Y306" i="33" s="1"/>
  <c r="W261" i="33"/>
  <c r="Y259" i="33"/>
  <c r="U283" i="28"/>
  <c r="Y283" i="28" s="1"/>
  <c r="Y282" i="28"/>
  <c r="S283" i="33"/>
  <c r="W283" i="33" s="1"/>
  <c r="U282" i="33"/>
  <c r="U283" i="33" s="1"/>
  <c r="Y283" i="33" s="1"/>
  <c r="O336" i="28"/>
  <c r="W307" i="33"/>
  <c r="U327" i="33"/>
  <c r="Y327" i="33" s="1"/>
  <c r="Y326" i="33"/>
  <c r="U261" i="33"/>
  <c r="U262" i="33" s="1"/>
  <c r="U263" i="33" s="1"/>
  <c r="Y263" i="33" s="1"/>
  <c r="T307" i="33"/>
  <c r="T313" i="33" s="1"/>
  <c r="T334" i="33" s="1"/>
  <c r="T336" i="33" s="1"/>
  <c r="X300" i="33"/>
  <c r="X307" i="33" s="1"/>
  <c r="X313" i="33" s="1"/>
  <c r="X334" i="33" s="1"/>
  <c r="X336" i="33" s="1"/>
  <c r="J7" i="34" s="1"/>
  <c r="W282" i="33"/>
  <c r="Y258" i="33"/>
  <c r="W262" i="33"/>
  <c r="Q283" i="33"/>
  <c r="U265" i="28"/>
  <c r="T265" i="33"/>
  <c r="X261" i="33"/>
  <c r="Y261" i="33" s="1"/>
  <c r="Q262" i="33"/>
  <c r="Q336" i="28"/>
  <c r="P263" i="33"/>
  <c r="X262" i="33"/>
  <c r="X256" i="33"/>
  <c r="Q263" i="33"/>
  <c r="U277" i="33"/>
  <c r="S279" i="33"/>
  <c r="W279" i="33" s="1"/>
  <c r="X266" i="28"/>
  <c r="T266" i="33"/>
  <c r="X266" i="33" s="1"/>
  <c r="U312" i="28"/>
  <c r="Y312" i="28" s="1"/>
  <c r="U300" i="33"/>
  <c r="U307" i="33" s="1"/>
  <c r="Y307" i="33" s="1"/>
  <c r="K334" i="33"/>
  <c r="K335" i="33"/>
  <c r="M335" i="33" s="1"/>
  <c r="M336" i="33" s="1"/>
  <c r="G336" i="33"/>
  <c r="D7" i="34" s="1"/>
  <c r="Q266" i="33"/>
  <c r="S266" i="33"/>
  <c r="U266" i="33" s="1"/>
  <c r="W266" i="30"/>
  <c r="U266" i="30"/>
  <c r="Y266" i="30" s="1"/>
  <c r="M290" i="28"/>
  <c r="M292" i="28" s="1"/>
  <c r="Q267" i="28"/>
  <c r="Q268" i="28" s="1"/>
  <c r="P267" i="33"/>
  <c r="Q267" i="33" s="1"/>
  <c r="Q268" i="33" s="1"/>
  <c r="Q269" i="33" s="1"/>
  <c r="Q290" i="33" s="1"/>
  <c r="Q292" i="33" s="1"/>
  <c r="Y256" i="33"/>
  <c r="K268" i="33"/>
  <c r="K269" i="33" s="1"/>
  <c r="K290" i="33" s="1"/>
  <c r="K292" i="33" s="1"/>
  <c r="E6" i="34" s="1"/>
  <c r="M267" i="33"/>
  <c r="M268" i="33" s="1"/>
  <c r="M269" i="33" s="1"/>
  <c r="M290" i="33" s="1"/>
  <c r="M292" i="33" s="1"/>
  <c r="W263" i="28"/>
  <c r="W291" i="28" s="1"/>
  <c r="Y291" i="28" s="1"/>
  <c r="S334" i="30"/>
  <c r="S335" i="30"/>
  <c r="U335" i="30" s="1"/>
  <c r="W334" i="30"/>
  <c r="W335" i="30"/>
  <c r="Y335" i="30" s="1"/>
  <c r="O292" i="30"/>
  <c r="Y267" i="30"/>
  <c r="O268" i="33"/>
  <c r="W267" i="33"/>
  <c r="S263" i="33"/>
  <c r="Y256" i="30"/>
  <c r="U263" i="30"/>
  <c r="Y263" i="30" s="1"/>
  <c r="W268" i="30"/>
  <c r="W269" i="30" s="1"/>
  <c r="W290" i="30" s="1"/>
  <c r="W292" i="30" s="1"/>
  <c r="W256" i="33"/>
  <c r="Y252" i="33"/>
  <c r="Q269" i="30"/>
  <c r="Q290" i="30" s="1"/>
  <c r="Q292" i="30" s="1"/>
  <c r="O312" i="33"/>
  <c r="O313" i="33" s="1"/>
  <c r="Q311" i="33"/>
  <c r="Q312" i="33" s="1"/>
  <c r="Q313" i="33" s="1"/>
  <c r="Q334" i="33" s="1"/>
  <c r="S307" i="33"/>
  <c r="Y300" i="33"/>
  <c r="Y320" i="33"/>
  <c r="Y276" i="23"/>
  <c r="T313" i="23"/>
  <c r="T334" i="23" s="1"/>
  <c r="T336" i="23" s="1"/>
  <c r="X312" i="23"/>
  <c r="X313" i="23" s="1"/>
  <c r="X334" i="23" s="1"/>
  <c r="X336" i="23" s="1"/>
  <c r="Y311" i="23"/>
  <c r="U312" i="23"/>
  <c r="Y269" i="23"/>
  <c r="Y290" i="23" s="1"/>
  <c r="Y292" i="23" s="1"/>
  <c r="Q290" i="23"/>
  <c r="Q292" i="23" s="1"/>
  <c r="U290" i="23"/>
  <c r="U292" i="23" s="1"/>
  <c r="W312" i="9"/>
  <c r="W313" i="9" s="1"/>
  <c r="W334" i="9" s="1"/>
  <c r="W336" i="9" s="1"/>
  <c r="Q313" i="9"/>
  <c r="Q334" i="9" s="1"/>
  <c r="Q336" i="9" s="1"/>
  <c r="Y312" i="9"/>
  <c r="Y313" i="9" s="1"/>
  <c r="Y334" i="9" s="1"/>
  <c r="Y336" i="9" s="1"/>
  <c r="Y290" i="9"/>
  <c r="Y292" i="9" s="1"/>
  <c r="Q290" i="9"/>
  <c r="Q292" i="9" s="1"/>
  <c r="W290" i="9"/>
  <c r="W292" i="9" s="1"/>
  <c r="Y320" i="9"/>
  <c r="U334" i="9"/>
  <c r="U336" i="9" s="1"/>
  <c r="U269" i="9"/>
  <c r="U290" i="9" s="1"/>
  <c r="U292" i="9" s="1"/>
  <c r="U290" i="24"/>
  <c r="U292" i="24" s="1"/>
  <c r="U313" i="24"/>
  <c r="U334" i="24" s="1"/>
  <c r="U336" i="24" s="1"/>
  <c r="Q269" i="24"/>
  <c r="Q290" i="24" s="1"/>
  <c r="Q292" i="24" s="1"/>
  <c r="Y268" i="24"/>
  <c r="Y269" i="24" s="1"/>
  <c r="Y290" i="24" s="1"/>
  <c r="Y292" i="24" s="1"/>
  <c r="Y312" i="24"/>
  <c r="Y313" i="24" s="1"/>
  <c r="Y334" i="24" s="1"/>
  <c r="Y336" i="24" s="1"/>
  <c r="U313" i="30"/>
  <c r="U334" i="30" s="1"/>
  <c r="U336" i="30" s="1"/>
  <c r="Y312" i="30"/>
  <c r="Y313" i="30" s="1"/>
  <c r="Y334" i="30" s="1"/>
  <c r="Y336" i="30" s="1"/>
  <c r="U279" i="30"/>
  <c r="S290" i="30"/>
  <c r="U279" i="39"/>
  <c r="Y279" i="39" s="1"/>
  <c r="Y276" i="39"/>
  <c r="T334" i="39"/>
  <c r="T336" i="39" s="1"/>
  <c r="U290" i="39"/>
  <c r="U292" i="39" s="1"/>
  <c r="Y268" i="39"/>
  <c r="Y269" i="39" s="1"/>
  <c r="Y290" i="39" s="1"/>
  <c r="Y292" i="39" s="1"/>
  <c r="S290" i="39"/>
  <c r="S292" i="39" s="1"/>
  <c r="W290" i="39"/>
  <c r="W292" i="39" s="1"/>
  <c r="U323" i="39"/>
  <c r="Y323" i="39" s="1"/>
  <c r="Y334" i="39" s="1"/>
  <c r="Y336" i="39" s="1"/>
  <c r="Y320" i="39"/>
  <c r="X334" i="39"/>
  <c r="X336" i="39" s="1"/>
  <c r="U269" i="29"/>
  <c r="S290" i="29"/>
  <c r="S292" i="29" s="1"/>
  <c r="S313" i="29"/>
  <c r="S334" i="29" s="1"/>
  <c r="S336" i="29" s="1"/>
  <c r="W312" i="29"/>
  <c r="W313" i="29" s="1"/>
  <c r="W334" i="29" s="1"/>
  <c r="W336" i="29" s="1"/>
  <c r="U313" i="29"/>
  <c r="U334" i="29" s="1"/>
  <c r="U336" i="29" s="1"/>
  <c r="Y269" i="29"/>
  <c r="Y312" i="29"/>
  <c r="Y313" i="29" s="1"/>
  <c r="Y334" i="29" s="1"/>
  <c r="Y336" i="29" s="1"/>
  <c r="U279" i="29"/>
  <c r="Y279" i="29" s="1"/>
  <c r="Y276" i="29"/>
  <c r="Y269" i="38"/>
  <c r="Y290" i="38" s="1"/>
  <c r="Y292" i="38" s="1"/>
  <c r="U323" i="38"/>
  <c r="Y323" i="38" s="1"/>
  <c r="Y320" i="38"/>
  <c r="Q290" i="38"/>
  <c r="Q292" i="38" s="1"/>
  <c r="U334" i="38"/>
  <c r="U336" i="38" s="1"/>
  <c r="Y334" i="38"/>
  <c r="Y336" i="38" s="1"/>
  <c r="U269" i="38"/>
  <c r="U290" i="38" s="1"/>
  <c r="U292" i="38" s="1"/>
  <c r="U323" i="32"/>
  <c r="Y323" i="32" s="1"/>
  <c r="Y320" i="32"/>
  <c r="S269" i="32"/>
  <c r="S290" i="32" s="1"/>
  <c r="S292" i="32" s="1"/>
  <c r="W268" i="32"/>
  <c r="W269" i="32" s="1"/>
  <c r="W290" i="32" s="1"/>
  <c r="W292" i="32" s="1"/>
  <c r="U269" i="32"/>
  <c r="U290" i="32" s="1"/>
  <c r="U292" i="32" s="1"/>
  <c r="Y312" i="32"/>
  <c r="Y313" i="32" s="1"/>
  <c r="Y334" i="32" s="1"/>
  <c r="Y336" i="32" s="1"/>
  <c r="Y268" i="32"/>
  <c r="Y269" i="32" s="1"/>
  <c r="Y290" i="32" s="1"/>
  <c r="Y292" i="32" s="1"/>
  <c r="X323" i="32"/>
  <c r="X334" i="32" s="1"/>
  <c r="X336" i="32" s="1"/>
  <c r="U323" i="31"/>
  <c r="Y323" i="31" s="1"/>
  <c r="Y320" i="31"/>
  <c r="Q290" i="31"/>
  <c r="Q292" i="31" s="1"/>
  <c r="W269" i="31"/>
  <c r="W290" i="31" s="1"/>
  <c r="W292" i="31" s="1"/>
  <c r="Y263" i="31"/>
  <c r="Y269" i="31" s="1"/>
  <c r="Y290" i="31" s="1"/>
  <c r="Y292" i="31" s="1"/>
  <c r="U269" i="31"/>
  <c r="U290" i="31" s="1"/>
  <c r="U292" i="31" s="1"/>
  <c r="S290" i="31"/>
  <c r="S292" i="31" s="1"/>
  <c r="U334" i="31"/>
  <c r="U336" i="31" s="1"/>
  <c r="Q313" i="31"/>
  <c r="Q334" i="31" s="1"/>
  <c r="Q336" i="31" s="1"/>
  <c r="Y312" i="31"/>
  <c r="Y313" i="31" s="1"/>
  <c r="Y334" i="31" s="1"/>
  <c r="Y336" i="31" s="1"/>
  <c r="T313" i="28"/>
  <c r="T334" i="28" s="1"/>
  <c r="T336" i="28" s="1"/>
  <c r="X312" i="28"/>
  <c r="X313" i="28" s="1"/>
  <c r="X334" i="28" s="1"/>
  <c r="X336" i="28" s="1"/>
  <c r="U307" i="28"/>
  <c r="Y307" i="28" s="1"/>
  <c r="Y306" i="28"/>
  <c r="S313" i="28"/>
  <c r="W312" i="28"/>
  <c r="W313" i="28" s="1"/>
  <c r="O269" i="28"/>
  <c r="O290" i="28" s="1"/>
  <c r="K292" i="28"/>
  <c r="G292" i="28"/>
  <c r="Q279" i="28"/>
  <c r="Q291" i="28"/>
  <c r="Q263" i="28"/>
  <c r="Y258" i="28"/>
  <c r="T279" i="28"/>
  <c r="X279" i="28" s="1"/>
  <c r="U262" i="28"/>
  <c r="Y262" i="28" s="1"/>
  <c r="X265" i="28"/>
  <c r="L269" i="28"/>
  <c r="L290" i="28" s="1"/>
  <c r="L292" i="28" s="1"/>
  <c r="S269" i="28"/>
  <c r="P263" i="28"/>
  <c r="Y265" i="28"/>
  <c r="P268" i="28"/>
  <c r="I269" i="28"/>
  <c r="I290" i="28" s="1"/>
  <c r="I292" i="28" s="1"/>
  <c r="T256" i="28"/>
  <c r="T267" i="28" s="1"/>
  <c r="W268" i="28"/>
  <c r="W269" i="28" s="1"/>
  <c r="U277" i="28"/>
  <c r="S279" i="28"/>
  <c r="W279" i="28" s="1"/>
  <c r="W277" i="28"/>
  <c r="E269" i="28"/>
  <c r="E290" i="28" s="1"/>
  <c r="E292" i="28" s="1"/>
  <c r="U266" i="28"/>
  <c r="Y266" i="28" s="1"/>
  <c r="W266" i="28"/>
  <c r="X262" i="28"/>
  <c r="X263" i="33" l="1"/>
  <c r="Y262" i="33"/>
  <c r="U265" i="33"/>
  <c r="Y265" i="33" s="1"/>
  <c r="X265" i="33"/>
  <c r="Y282" i="33"/>
  <c r="Y277" i="33"/>
  <c r="U279" i="33"/>
  <c r="Y279" i="33" s="1"/>
  <c r="W334" i="28"/>
  <c r="W335" i="28"/>
  <c r="Y335" i="28" s="1"/>
  <c r="S334" i="28"/>
  <c r="S335" i="28"/>
  <c r="U335" i="28" s="1"/>
  <c r="W263" i="33"/>
  <c r="W291" i="33" s="1"/>
  <c r="Y291" i="33" s="1"/>
  <c r="Y313" i="28"/>
  <c r="Y334" i="28" s="1"/>
  <c r="Y336" i="28" s="1"/>
  <c r="U313" i="28"/>
  <c r="U334" i="28" s="1"/>
  <c r="U336" i="28" s="1"/>
  <c r="O334" i="33"/>
  <c r="O335" i="33"/>
  <c r="Q335" i="33" s="1"/>
  <c r="Q336" i="33" s="1"/>
  <c r="K336" i="33"/>
  <c r="E7" i="34" s="1"/>
  <c r="W266" i="33"/>
  <c r="Y266" i="33"/>
  <c r="S268" i="33"/>
  <c r="W268" i="33" s="1"/>
  <c r="U268" i="30"/>
  <c r="Y268" i="30" s="1"/>
  <c r="Y269" i="30" s="1"/>
  <c r="U267" i="28"/>
  <c r="Y267" i="28" s="1"/>
  <c r="T267" i="33"/>
  <c r="P268" i="33"/>
  <c r="X267" i="33"/>
  <c r="S336" i="30"/>
  <c r="W336" i="30"/>
  <c r="S292" i="30"/>
  <c r="S291" i="33"/>
  <c r="U291" i="33" s="1"/>
  <c r="S269" i="33"/>
  <c r="S290" i="33" s="1"/>
  <c r="S292" i="33" s="1"/>
  <c r="G6" i="34" s="1"/>
  <c r="U269" i="30"/>
  <c r="U290" i="30" s="1"/>
  <c r="U292" i="30" s="1"/>
  <c r="O269" i="33"/>
  <c r="O290" i="33" s="1"/>
  <c r="O292" i="33" s="1"/>
  <c r="F6" i="34" s="1"/>
  <c r="S312" i="33"/>
  <c r="U311" i="33"/>
  <c r="W311" i="33"/>
  <c r="U313" i="23"/>
  <c r="U334" i="23" s="1"/>
  <c r="U336" i="23" s="1"/>
  <c r="Y312" i="23"/>
  <c r="Y313" i="23" s="1"/>
  <c r="Y334" i="23" s="1"/>
  <c r="Y336" i="23" s="1"/>
  <c r="Y279" i="30"/>
  <c r="U334" i="39"/>
  <c r="U336" i="39" s="1"/>
  <c r="Y290" i="29"/>
  <c r="Y292" i="29" s="1"/>
  <c r="U290" i="29"/>
  <c r="U292" i="29" s="1"/>
  <c r="U334" i="32"/>
  <c r="U336" i="32" s="1"/>
  <c r="X267" i="28"/>
  <c r="O292" i="28"/>
  <c r="Q269" i="28"/>
  <c r="Q290" i="28" s="1"/>
  <c r="Q292" i="28" s="1"/>
  <c r="P269" i="28"/>
  <c r="P290" i="28" s="1"/>
  <c r="P292" i="28" s="1"/>
  <c r="W290" i="28"/>
  <c r="U279" i="28"/>
  <c r="Y279" i="28" s="1"/>
  <c r="Y277" i="28"/>
  <c r="X256" i="28"/>
  <c r="X263" i="28" s="1"/>
  <c r="S290" i="28"/>
  <c r="U291" i="28"/>
  <c r="T263" i="28"/>
  <c r="U256" i="28"/>
  <c r="W269" i="33" l="1"/>
  <c r="S336" i="28"/>
  <c r="W336" i="28"/>
  <c r="O336" i="33"/>
  <c r="F7" i="34" s="1"/>
  <c r="Y290" i="30"/>
  <c r="Y292" i="30" s="1"/>
  <c r="P269" i="33"/>
  <c r="P290" i="33" s="1"/>
  <c r="P292" i="33" s="1"/>
  <c r="T268" i="33"/>
  <c r="T269" i="33" s="1"/>
  <c r="T290" i="33" s="1"/>
  <c r="T292" i="33" s="1"/>
  <c r="U267" i="33"/>
  <c r="W290" i="33"/>
  <c r="W292" i="33" s="1"/>
  <c r="H6" i="34"/>
  <c r="Y311" i="33"/>
  <c r="U312" i="33"/>
  <c r="S313" i="33"/>
  <c r="W312" i="33"/>
  <c r="W313" i="33" s="1"/>
  <c r="W292" i="28"/>
  <c r="S292" i="28"/>
  <c r="Y256" i="28"/>
  <c r="U263" i="28"/>
  <c r="Y263" i="28" s="1"/>
  <c r="T268" i="28"/>
  <c r="S334" i="33" l="1"/>
  <c r="S335" i="33"/>
  <c r="U335" i="33" s="1"/>
  <c r="W334" i="33"/>
  <c r="W335" i="33"/>
  <c r="Y335" i="33" s="1"/>
  <c r="U268" i="33"/>
  <c r="Y267" i="33"/>
  <c r="X268" i="33"/>
  <c r="X269" i="33" s="1"/>
  <c r="X290" i="33" s="1"/>
  <c r="X292" i="33" s="1"/>
  <c r="J6" i="34" s="1"/>
  <c r="Y312" i="33"/>
  <c r="Y313" i="33" s="1"/>
  <c r="Y334" i="33" s="1"/>
  <c r="Y336" i="33" s="1"/>
  <c r="U313" i="33"/>
  <c r="U334" i="33" s="1"/>
  <c r="U336" i="33" s="1"/>
  <c r="U268" i="28"/>
  <c r="T269" i="28"/>
  <c r="T290" i="28" s="1"/>
  <c r="T292" i="28" s="1"/>
  <c r="X268" i="28"/>
  <c r="X269" i="28" s="1"/>
  <c r="X290" i="28" s="1"/>
  <c r="X292" i="28" s="1"/>
  <c r="W336" i="33" l="1"/>
  <c r="S336" i="33"/>
  <c r="G7" i="34" s="1"/>
  <c r="H7" i="34" s="1"/>
  <c r="Y268" i="33"/>
  <c r="Y269" i="33" s="1"/>
  <c r="Y290" i="33" s="1"/>
  <c r="Y292" i="33" s="1"/>
  <c r="U269" i="33"/>
  <c r="U290" i="33" s="1"/>
  <c r="U292" i="33" s="1"/>
  <c r="U269" i="28"/>
  <c r="U290" i="28" s="1"/>
  <c r="U292" i="28" s="1"/>
  <c r="Y268" i="28"/>
  <c r="Y269" i="28" s="1"/>
  <c r="Y290" i="28" s="1"/>
  <c r="Y292" i="28" s="1"/>
  <c r="D33" i="31" l="1"/>
  <c r="D200" i="28"/>
  <c r="G184" i="28"/>
  <c r="K184" i="28" s="1"/>
  <c r="K200" i="28" s="1"/>
  <c r="H184" i="28"/>
  <c r="L184" i="28" s="1"/>
  <c r="S182" i="28"/>
  <c r="H182" i="28"/>
  <c r="I182" i="28" s="1"/>
  <c r="E182" i="28"/>
  <c r="S181" i="28"/>
  <c r="K181" i="28"/>
  <c r="H181" i="28"/>
  <c r="L181" i="28" s="1"/>
  <c r="E181" i="28"/>
  <c r="W182" i="28" l="1"/>
  <c r="O184" i="28"/>
  <c r="W181" i="28"/>
  <c r="H200" i="28"/>
  <c r="E33" i="31"/>
  <c r="M184" i="28"/>
  <c r="P184" i="28"/>
  <c r="T184" i="28" s="1"/>
  <c r="H185" i="28"/>
  <c r="L185" i="28" s="1"/>
  <c r="Q184" i="28"/>
  <c r="E184" i="28"/>
  <c r="G185" i="28"/>
  <c r="I184" i="28"/>
  <c r="E185" i="28"/>
  <c r="X184" i="28"/>
  <c r="P181" i="28"/>
  <c r="I181" i="28"/>
  <c r="M181" i="28"/>
  <c r="L182" i="28"/>
  <c r="S184" i="28" l="1"/>
  <c r="O200" i="28"/>
  <c r="K185" i="28"/>
  <c r="O185" i="28" s="1"/>
  <c r="S185" i="28" s="1"/>
  <c r="G199" i="28"/>
  <c r="G99" i="28"/>
  <c r="I185" i="28"/>
  <c r="P182" i="28"/>
  <c r="P200" i="28" s="1"/>
  <c r="L200" i="28"/>
  <c r="M185" i="28"/>
  <c r="P185" i="28"/>
  <c r="W185" i="28"/>
  <c r="Q182" i="28"/>
  <c r="M182" i="28"/>
  <c r="T181" i="28"/>
  <c r="U181" i="28" s="1"/>
  <c r="Q181" i="28"/>
  <c r="W184" i="28" l="1"/>
  <c r="Y184" i="28" s="1"/>
  <c r="S200" i="28"/>
  <c r="U184" i="28"/>
  <c r="K99" i="28"/>
  <c r="T182" i="28"/>
  <c r="X182" i="28" s="1"/>
  <c r="Y181" i="28"/>
  <c r="U182" i="28"/>
  <c r="Y182" i="28" s="1"/>
  <c r="T200" i="28"/>
  <c r="T185" i="28"/>
  <c r="U185" i="28" s="1"/>
  <c r="Q185" i="28"/>
  <c r="X181" i="28"/>
  <c r="H188" i="28"/>
  <c r="L188" i="28" s="1"/>
  <c r="C201" i="28"/>
  <c r="O115" i="28" l="1"/>
  <c r="O99" i="28"/>
  <c r="O119" i="28" s="1"/>
  <c r="X185" i="28"/>
  <c r="Y185" i="28" s="1"/>
  <c r="I188" i="28"/>
  <c r="P188" i="28"/>
  <c r="T188" i="28" s="1"/>
  <c r="E188" i="28"/>
  <c r="S115" i="28" l="1"/>
  <c r="S99" i="28"/>
  <c r="S119" i="28" s="1"/>
  <c r="M188" i="28"/>
  <c r="X188" i="28"/>
  <c r="W119" i="28" l="1"/>
  <c r="Q188" i="28"/>
  <c r="U188" i="28" l="1"/>
  <c r="W188" i="28"/>
  <c r="Y188" i="28" s="1"/>
  <c r="H101" i="28" l="1"/>
  <c r="H120" i="28" s="1"/>
  <c r="I120" i="28" s="1"/>
  <c r="E101" i="28"/>
  <c r="O101" i="28" l="1"/>
  <c r="L101" i="28"/>
  <c r="I101" i="28"/>
  <c r="O120" i="28" l="1"/>
  <c r="S101" i="28"/>
  <c r="S120" i="28" s="1"/>
  <c r="P101" i="28"/>
  <c r="L120" i="28"/>
  <c r="M120" i="28" s="1"/>
  <c r="Q101" i="28"/>
  <c r="M101" i="28"/>
  <c r="W101" i="28"/>
  <c r="K66" i="38"/>
  <c r="K67" i="38"/>
  <c r="G67" i="38"/>
  <c r="X68" i="38"/>
  <c r="C68" i="38"/>
  <c r="E68" i="38"/>
  <c r="Y68" i="38" s="1"/>
  <c r="I68" i="38"/>
  <c r="M68" i="38"/>
  <c r="O68" i="38"/>
  <c r="Q68" i="38"/>
  <c r="S68" i="38"/>
  <c r="U68" i="38" s="1"/>
  <c r="W68" i="38"/>
  <c r="T101" i="28" l="1"/>
  <c r="P120" i="28"/>
  <c r="Q120" i="28"/>
  <c r="W120" i="28"/>
  <c r="X40" i="32"/>
  <c r="U40" i="32"/>
  <c r="Q40" i="32"/>
  <c r="M40" i="32"/>
  <c r="I40" i="32"/>
  <c r="W40" i="32"/>
  <c r="T120" i="28" l="1"/>
  <c r="U120" i="28" s="1"/>
  <c r="Y120" i="28" s="1"/>
  <c r="U101" i="28"/>
  <c r="X101" i="28"/>
  <c r="Y101" i="28" s="1"/>
  <c r="E40" i="32"/>
  <c r="Y40" i="32" s="1"/>
  <c r="H69" i="24"/>
  <c r="G69" i="24"/>
  <c r="E69" i="24"/>
  <c r="H6" i="31"/>
  <c r="L6" i="31" s="1"/>
  <c r="P6" i="31" s="1"/>
  <c r="T6" i="31" s="1"/>
  <c r="C7" i="9"/>
  <c r="C6" i="9"/>
  <c r="X120" i="28" l="1"/>
  <c r="I69" i="24"/>
  <c r="K69" i="24"/>
  <c r="L69" i="24"/>
  <c r="P69" i="24" s="1"/>
  <c r="O69" i="24" l="1"/>
  <c r="M69" i="24"/>
  <c r="X69" i="24"/>
  <c r="Q69" i="24" l="1"/>
  <c r="U69" i="24" l="1"/>
  <c r="Y69" i="24" s="1"/>
  <c r="W69" i="24"/>
  <c r="S239" i="28" l="1"/>
  <c r="S163" i="28"/>
  <c r="S72" i="28"/>
  <c r="K61" i="30" l="1"/>
  <c r="H61" i="30"/>
  <c r="E61" i="30"/>
  <c r="H18" i="30"/>
  <c r="L18" i="30" s="1"/>
  <c r="P18" i="30" s="1"/>
  <c r="T18" i="30" s="1"/>
  <c r="E18" i="30"/>
  <c r="O61" i="30" l="1"/>
  <c r="I61" i="30"/>
  <c r="L61" i="30"/>
  <c r="P61" i="30" s="1"/>
  <c r="T61" i="30" s="1"/>
  <c r="X18" i="30"/>
  <c r="I18" i="30"/>
  <c r="K18" i="30"/>
  <c r="E33" i="30"/>
  <c r="G33" i="30"/>
  <c r="I33" i="30" s="1"/>
  <c r="H33" i="30"/>
  <c r="L33" i="30"/>
  <c r="P33" i="30"/>
  <c r="T33" i="30" s="1"/>
  <c r="X33" i="30" s="1"/>
  <c r="K52" i="24"/>
  <c r="O52" i="24" s="1"/>
  <c r="S52" i="24" s="1"/>
  <c r="G66" i="23"/>
  <c r="K66" i="23" s="1"/>
  <c r="O66" i="23" s="1"/>
  <c r="S66" i="23" s="1"/>
  <c r="K33" i="30" l="1"/>
  <c r="X61" i="30"/>
  <c r="Q61" i="30"/>
  <c r="S61" i="30"/>
  <c r="U61" i="30" s="1"/>
  <c r="M61" i="30"/>
  <c r="W61" i="30"/>
  <c r="O18" i="30"/>
  <c r="M18" i="30"/>
  <c r="O33" i="30" l="1"/>
  <c r="M33" i="30"/>
  <c r="Y61" i="30"/>
  <c r="S18" i="30"/>
  <c r="Q18" i="30"/>
  <c r="Q33" i="30" l="1"/>
  <c r="S33" i="30"/>
  <c r="U18" i="30"/>
  <c r="W18" i="30"/>
  <c r="Y18" i="30" s="1"/>
  <c r="U33" i="30" l="1"/>
  <c r="Y33" i="30" s="1"/>
  <c r="W33" i="30"/>
  <c r="H189" i="28"/>
  <c r="I189" i="28" s="1"/>
  <c r="E189" i="28"/>
  <c r="C198" i="28"/>
  <c r="S201" i="28"/>
  <c r="O201" i="28"/>
  <c r="H191" i="28"/>
  <c r="L191" i="28" s="1"/>
  <c r="P191" i="28" s="1"/>
  <c r="T191" i="28" s="1"/>
  <c r="G191" i="28"/>
  <c r="D191" i="28"/>
  <c r="H104" i="28"/>
  <c r="L104" i="28" s="1"/>
  <c r="P104" i="28" s="1"/>
  <c r="T104" i="28" s="1"/>
  <c r="G104" i="28"/>
  <c r="K104" i="28" s="1"/>
  <c r="O104" i="28" s="1"/>
  <c r="D104" i="28"/>
  <c r="H18" i="28"/>
  <c r="G18" i="28"/>
  <c r="D18" i="28"/>
  <c r="E18" i="28" s="1"/>
  <c r="X73" i="23"/>
  <c r="W73" i="23"/>
  <c r="U73" i="23"/>
  <c r="Q73" i="23"/>
  <c r="M73" i="23"/>
  <c r="I73" i="23"/>
  <c r="E73" i="23"/>
  <c r="Y73" i="23" s="1"/>
  <c r="X219" i="9"/>
  <c r="C219" i="9"/>
  <c r="X143" i="9"/>
  <c r="C143" i="9"/>
  <c r="C54" i="9"/>
  <c r="D51" i="28"/>
  <c r="H51" i="28" s="1"/>
  <c r="L51" i="28" s="1"/>
  <c r="P51" i="28" s="1"/>
  <c r="T51" i="28" s="1"/>
  <c r="C51" i="28"/>
  <c r="G51" i="28" s="1"/>
  <c r="D219" i="28"/>
  <c r="C219" i="28"/>
  <c r="X67" i="30"/>
  <c r="W67" i="30"/>
  <c r="U67" i="30"/>
  <c r="Q67" i="30"/>
  <c r="M67" i="30"/>
  <c r="I67" i="30"/>
  <c r="E67" i="30"/>
  <c r="H219" i="32"/>
  <c r="G219" i="32"/>
  <c r="E219" i="32"/>
  <c r="H188" i="32"/>
  <c r="G188" i="32"/>
  <c r="E188" i="32"/>
  <c r="H157" i="32"/>
  <c r="G157" i="32"/>
  <c r="K157" i="32" s="1"/>
  <c r="E157" i="32"/>
  <c r="H143" i="32"/>
  <c r="L143" i="32" s="1"/>
  <c r="P143" i="32" s="1"/>
  <c r="T143" i="32" s="1"/>
  <c r="G143" i="32"/>
  <c r="I143" i="32" s="1"/>
  <c r="E143" i="32"/>
  <c r="H101" i="32"/>
  <c r="G101" i="32"/>
  <c r="K101" i="32" s="1"/>
  <c r="E101" i="32"/>
  <c r="I18" i="28" l="1"/>
  <c r="E51" i="28"/>
  <c r="Y67" i="30"/>
  <c r="X104" i="28"/>
  <c r="E104" i="28"/>
  <c r="X51" i="28"/>
  <c r="L189" i="28"/>
  <c r="P189" i="28" s="1"/>
  <c r="T189" i="28" s="1"/>
  <c r="K189" i="28"/>
  <c r="X191" i="28"/>
  <c r="I191" i="28"/>
  <c r="K191" i="28"/>
  <c r="E191" i="28"/>
  <c r="S104" i="28"/>
  <c r="U104" i="28" s="1"/>
  <c r="Q104" i="28"/>
  <c r="I104" i="28"/>
  <c r="M104" i="28"/>
  <c r="K18" i="28"/>
  <c r="L18" i="28"/>
  <c r="P18" i="28" s="1"/>
  <c r="T18" i="28" s="1"/>
  <c r="G219" i="9"/>
  <c r="E219" i="9"/>
  <c r="E143" i="9"/>
  <c r="G143" i="9"/>
  <c r="K51" i="28"/>
  <c r="I51" i="28"/>
  <c r="I219" i="32"/>
  <c r="L219" i="32"/>
  <c r="P219" i="32" s="1"/>
  <c r="T219" i="32" s="1"/>
  <c r="K219" i="32"/>
  <c r="K188" i="32"/>
  <c r="L188" i="32"/>
  <c r="P188" i="32" s="1"/>
  <c r="T188" i="32" s="1"/>
  <c r="I188" i="32"/>
  <c r="O157" i="32"/>
  <c r="I157" i="32"/>
  <c r="L157" i="32"/>
  <c r="P157" i="32" s="1"/>
  <c r="T157" i="32" s="1"/>
  <c r="K143" i="32"/>
  <c r="X143" i="32"/>
  <c r="O101" i="32"/>
  <c r="I101" i="32"/>
  <c r="L101" i="32"/>
  <c r="P101" i="32" s="1"/>
  <c r="T101" i="32" s="1"/>
  <c r="W104" i="28" l="1"/>
  <c r="Y104" i="28" s="1"/>
  <c r="X189" i="28"/>
  <c r="O189" i="28"/>
  <c r="M189" i="28"/>
  <c r="O191" i="28"/>
  <c r="M191" i="28"/>
  <c r="O18" i="28"/>
  <c r="M18" i="28"/>
  <c r="X18" i="28"/>
  <c r="I219" i="9"/>
  <c r="K219" i="9"/>
  <c r="K143" i="9"/>
  <c r="I143" i="9"/>
  <c r="O51" i="28"/>
  <c r="M51" i="28"/>
  <c r="O219" i="32"/>
  <c r="M219" i="32"/>
  <c r="X219" i="32"/>
  <c r="M188" i="32"/>
  <c r="O188" i="32"/>
  <c r="X188" i="32"/>
  <c r="X157" i="32"/>
  <c r="Q157" i="32"/>
  <c r="S157" i="32"/>
  <c r="U157" i="32" s="1"/>
  <c r="M157" i="32"/>
  <c r="Y157" i="32" s="1"/>
  <c r="M143" i="32"/>
  <c r="O143" i="32"/>
  <c r="M101" i="32"/>
  <c r="X101" i="32"/>
  <c r="S101" i="32"/>
  <c r="Q101" i="32"/>
  <c r="S189" i="28" l="1"/>
  <c r="Q189" i="28"/>
  <c r="S191" i="28"/>
  <c r="Q191" i="28"/>
  <c r="S18" i="28"/>
  <c r="Q18" i="28"/>
  <c r="O219" i="9"/>
  <c r="M219" i="9"/>
  <c r="O143" i="9"/>
  <c r="M143" i="9"/>
  <c r="S51" i="28"/>
  <c r="Q51" i="28"/>
  <c r="S219" i="32"/>
  <c r="Q219" i="32"/>
  <c r="Q188" i="32"/>
  <c r="S188" i="32"/>
  <c r="W157" i="32"/>
  <c r="S143" i="32"/>
  <c r="U143" i="32" s="1"/>
  <c r="Y143" i="32" s="1"/>
  <c r="Q143" i="32"/>
  <c r="U101" i="32"/>
  <c r="Y101" i="32" s="1"/>
  <c r="W101" i="32"/>
  <c r="U189" i="28" l="1"/>
  <c r="W189" i="28"/>
  <c r="Y189" i="28" s="1"/>
  <c r="U191" i="28"/>
  <c r="W191" i="28"/>
  <c r="Y191" i="28" s="1"/>
  <c r="U18" i="28"/>
  <c r="W18" i="28"/>
  <c r="Y18" i="28" s="1"/>
  <c r="S219" i="9"/>
  <c r="U219" i="9" s="1"/>
  <c r="Q219" i="9"/>
  <c r="W219" i="9"/>
  <c r="S143" i="9"/>
  <c r="U143" i="9" s="1"/>
  <c r="Q143" i="9"/>
  <c r="W143" i="9"/>
  <c r="U51" i="28"/>
  <c r="Y51" i="28" s="1"/>
  <c r="W51" i="28"/>
  <c r="U219" i="32"/>
  <c r="Y219" i="32" s="1"/>
  <c r="W219" i="32"/>
  <c r="U188" i="32"/>
  <c r="Y188" i="32" s="1"/>
  <c r="W188" i="32"/>
  <c r="W143" i="32"/>
  <c r="Y143" i="9" l="1"/>
  <c r="Y219" i="9"/>
  <c r="X39" i="32"/>
  <c r="U39" i="32"/>
  <c r="Q39" i="32"/>
  <c r="M39" i="32"/>
  <c r="C39" i="32"/>
  <c r="G39" i="32" s="1"/>
  <c r="K192" i="28"/>
  <c r="H192" i="28"/>
  <c r="E192" i="28"/>
  <c r="K105" i="28"/>
  <c r="H105" i="28"/>
  <c r="E105" i="28"/>
  <c r="K22" i="28"/>
  <c r="H22" i="28"/>
  <c r="L22" i="28" s="1"/>
  <c r="P22" i="28" s="1"/>
  <c r="T22" i="28" s="1"/>
  <c r="E22" i="28"/>
  <c r="X235" i="28"/>
  <c r="W235" i="28"/>
  <c r="U235" i="28"/>
  <c r="Q235" i="28"/>
  <c r="M235" i="28"/>
  <c r="I235" i="28"/>
  <c r="E235" i="28"/>
  <c r="X68" i="28"/>
  <c r="W68" i="28"/>
  <c r="U68" i="28"/>
  <c r="Q68" i="28"/>
  <c r="M68" i="28"/>
  <c r="I68" i="28"/>
  <c r="E68" i="28"/>
  <c r="X159" i="28"/>
  <c r="W159" i="28"/>
  <c r="U159" i="28"/>
  <c r="Q159" i="28"/>
  <c r="M159" i="28"/>
  <c r="I159" i="28"/>
  <c r="E159" i="28"/>
  <c r="K68" i="31"/>
  <c r="O68" i="31" s="1"/>
  <c r="S68" i="31" s="1"/>
  <c r="X65" i="31"/>
  <c r="W65" i="31"/>
  <c r="U65" i="31"/>
  <c r="Q65" i="31"/>
  <c r="M65" i="31"/>
  <c r="I65" i="31"/>
  <c r="E65" i="31"/>
  <c r="Y65" i="31" s="1"/>
  <c r="X66" i="31"/>
  <c r="W66" i="31"/>
  <c r="U66" i="31"/>
  <c r="Q66" i="31"/>
  <c r="M66" i="31"/>
  <c r="I66" i="31"/>
  <c r="E66" i="31"/>
  <c r="Y66" i="31" s="1"/>
  <c r="Y235" i="28" l="1"/>
  <c r="Y159" i="28"/>
  <c r="Y68" i="28"/>
  <c r="I39" i="32"/>
  <c r="W39" i="32"/>
  <c r="E39" i="32"/>
  <c r="Y39" i="32" s="1"/>
  <c r="L192" i="28"/>
  <c r="P192" i="28" s="1"/>
  <c r="T192" i="28" s="1"/>
  <c r="I192" i="28"/>
  <c r="M192" i="28"/>
  <c r="O192" i="28"/>
  <c r="I105" i="28"/>
  <c r="L105" i="28"/>
  <c r="P105" i="28" s="1"/>
  <c r="T105" i="28" s="1"/>
  <c r="M105" i="28"/>
  <c r="O105" i="28"/>
  <c r="I22" i="28"/>
  <c r="M22" i="28"/>
  <c r="X22" i="28"/>
  <c r="O22" i="28"/>
  <c r="S192" i="28" l="1"/>
  <c r="U192" i="28" s="1"/>
  <c r="Q192" i="28"/>
  <c r="X192" i="28"/>
  <c r="S105" i="28"/>
  <c r="U105" i="28" s="1"/>
  <c r="Q105" i="28"/>
  <c r="X105" i="28"/>
  <c r="S22" i="28"/>
  <c r="U22" i="28" s="1"/>
  <c r="Q22" i="28"/>
  <c r="W22" i="28"/>
  <c r="Y22" i="28" s="1"/>
  <c r="W105" i="28" l="1"/>
  <c r="Y105" i="28" s="1"/>
  <c r="W192" i="28"/>
  <c r="Y192" i="28" s="1"/>
  <c r="K230" i="28" l="1"/>
  <c r="G231" i="28"/>
  <c r="E220" i="28" l="1"/>
  <c r="H219" i="28"/>
  <c r="L219" i="28" s="1"/>
  <c r="G219" i="28"/>
  <c r="H190" i="28"/>
  <c r="E190" i="28"/>
  <c r="H180" i="28"/>
  <c r="X239" i="28"/>
  <c r="W239" i="28"/>
  <c r="U239" i="28"/>
  <c r="Q239" i="28"/>
  <c r="M239" i="28"/>
  <c r="I239" i="28"/>
  <c r="E239" i="28"/>
  <c r="X238" i="28"/>
  <c r="W238" i="28"/>
  <c r="U238" i="28"/>
  <c r="Q238" i="28"/>
  <c r="M238" i="28"/>
  <c r="I238" i="28"/>
  <c r="E238" i="28"/>
  <c r="X237" i="28"/>
  <c r="C237" i="28"/>
  <c r="G237" i="28" s="1"/>
  <c r="X236" i="28"/>
  <c r="W236" i="28"/>
  <c r="U236" i="28"/>
  <c r="Q236" i="28"/>
  <c r="M236" i="28"/>
  <c r="I236" i="28"/>
  <c r="E236" i="28"/>
  <c r="X234" i="28"/>
  <c r="W234" i="28"/>
  <c r="U234" i="28"/>
  <c r="Q234" i="28"/>
  <c r="M234" i="28"/>
  <c r="I234" i="28"/>
  <c r="E234" i="28"/>
  <c r="X233" i="28"/>
  <c r="W233" i="28"/>
  <c r="U233" i="28"/>
  <c r="Q233" i="28"/>
  <c r="M233" i="28"/>
  <c r="I233" i="28"/>
  <c r="E233" i="28"/>
  <c r="X163" i="28"/>
  <c r="W163" i="28"/>
  <c r="U163" i="28"/>
  <c r="Q163" i="28"/>
  <c r="M163" i="28"/>
  <c r="I163" i="28"/>
  <c r="E163" i="28"/>
  <c r="X162" i="28"/>
  <c r="W162" i="28"/>
  <c r="U162" i="28"/>
  <c r="Q162" i="28"/>
  <c r="M162" i="28"/>
  <c r="I162" i="28"/>
  <c r="E162" i="28"/>
  <c r="X160" i="28"/>
  <c r="W160" i="28"/>
  <c r="U160" i="28"/>
  <c r="Q160" i="28"/>
  <c r="M160" i="28"/>
  <c r="I160" i="28"/>
  <c r="E160" i="28"/>
  <c r="X158" i="28"/>
  <c r="W158" i="28"/>
  <c r="U158" i="28"/>
  <c r="Q158" i="28"/>
  <c r="M158" i="28"/>
  <c r="I158" i="28"/>
  <c r="E158" i="28"/>
  <c r="X157" i="28"/>
  <c r="W157" i="28"/>
  <c r="U157" i="28"/>
  <c r="Q157" i="28"/>
  <c r="M157" i="28"/>
  <c r="I157" i="28"/>
  <c r="E157" i="28"/>
  <c r="H144" i="28"/>
  <c r="G144" i="28"/>
  <c r="H143" i="33"/>
  <c r="C102" i="33"/>
  <c r="C18" i="33"/>
  <c r="C21" i="33"/>
  <c r="D21" i="33"/>
  <c r="C22" i="33"/>
  <c r="D22" i="33"/>
  <c r="D23" i="33"/>
  <c r="D24" i="33"/>
  <c r="D25" i="33"/>
  <c r="C34" i="33"/>
  <c r="D34" i="33"/>
  <c r="C35" i="33"/>
  <c r="D35" i="33"/>
  <c r="T29" i="33"/>
  <c r="P29" i="33"/>
  <c r="L29" i="33"/>
  <c r="H29" i="33"/>
  <c r="D29" i="33"/>
  <c r="C29" i="33"/>
  <c r="C40" i="33"/>
  <c r="D40" i="33"/>
  <c r="G40" i="33"/>
  <c r="H40" i="33"/>
  <c r="K40" i="33"/>
  <c r="L40" i="33"/>
  <c r="O40" i="33"/>
  <c r="P40" i="33"/>
  <c r="S40" i="33"/>
  <c r="T40" i="33"/>
  <c r="D41" i="33"/>
  <c r="H41" i="33"/>
  <c r="L41" i="33"/>
  <c r="P41" i="33"/>
  <c r="T41" i="33"/>
  <c r="C42" i="33"/>
  <c r="D42" i="33"/>
  <c r="G42" i="33"/>
  <c r="H42" i="33"/>
  <c r="K42" i="33"/>
  <c r="L42" i="33"/>
  <c r="O42" i="33"/>
  <c r="P42" i="33"/>
  <c r="S42" i="33"/>
  <c r="T42" i="33"/>
  <c r="C43" i="33"/>
  <c r="D43" i="33"/>
  <c r="G43" i="33"/>
  <c r="H43" i="33"/>
  <c r="K43" i="33"/>
  <c r="L43" i="33"/>
  <c r="O43" i="33"/>
  <c r="P43" i="33"/>
  <c r="S43" i="33"/>
  <c r="T43" i="33"/>
  <c r="C44" i="33"/>
  <c r="D44" i="33"/>
  <c r="G44" i="33"/>
  <c r="H44" i="33"/>
  <c r="K44" i="33"/>
  <c r="L44" i="33"/>
  <c r="O44" i="33"/>
  <c r="P44" i="33"/>
  <c r="S44" i="33"/>
  <c r="T44" i="33"/>
  <c r="C45" i="33"/>
  <c r="D45" i="33"/>
  <c r="G45" i="33"/>
  <c r="H45" i="33"/>
  <c r="K45" i="33"/>
  <c r="L45" i="33"/>
  <c r="O45" i="33"/>
  <c r="P45" i="33"/>
  <c r="S45" i="33"/>
  <c r="T45" i="33"/>
  <c r="C46" i="33"/>
  <c r="D46" i="33"/>
  <c r="G46" i="33"/>
  <c r="H46" i="33"/>
  <c r="K46" i="33"/>
  <c r="L46" i="33"/>
  <c r="O46" i="33"/>
  <c r="P46" i="33"/>
  <c r="S46" i="33"/>
  <c r="T46" i="33"/>
  <c r="C47" i="33"/>
  <c r="D47" i="33"/>
  <c r="G47" i="33"/>
  <c r="H47" i="33"/>
  <c r="K47" i="33"/>
  <c r="L47" i="33"/>
  <c r="O47" i="33"/>
  <c r="P47" i="33"/>
  <c r="S47" i="33"/>
  <c r="T47" i="33"/>
  <c r="C48" i="33"/>
  <c r="D48" i="33"/>
  <c r="G48" i="33"/>
  <c r="H48" i="33"/>
  <c r="K48" i="33"/>
  <c r="L48" i="33"/>
  <c r="O48" i="33"/>
  <c r="P48" i="33"/>
  <c r="S48" i="33"/>
  <c r="T48" i="33"/>
  <c r="C53" i="33"/>
  <c r="D53" i="33"/>
  <c r="H53" i="33"/>
  <c r="L53" i="33"/>
  <c r="P53" i="33"/>
  <c r="T53" i="33"/>
  <c r="C54" i="33"/>
  <c r="D54" i="33"/>
  <c r="H54" i="33"/>
  <c r="L54" i="33"/>
  <c r="P54" i="33"/>
  <c r="T54" i="33"/>
  <c r="C55" i="33"/>
  <c r="D55" i="33"/>
  <c r="H55" i="33"/>
  <c r="L55" i="33"/>
  <c r="P55" i="33"/>
  <c r="T55" i="33"/>
  <c r="C56" i="33"/>
  <c r="D56" i="33"/>
  <c r="G56" i="33"/>
  <c r="H56" i="33"/>
  <c r="K56" i="33"/>
  <c r="L56" i="33"/>
  <c r="O56" i="33"/>
  <c r="P56" i="33"/>
  <c r="S56" i="33"/>
  <c r="T56" i="33"/>
  <c r="C60" i="33"/>
  <c r="D60" i="33"/>
  <c r="H60" i="33"/>
  <c r="L60" i="33"/>
  <c r="P60" i="33"/>
  <c r="T60" i="33"/>
  <c r="D61" i="33"/>
  <c r="H61" i="33"/>
  <c r="L61" i="33"/>
  <c r="P61" i="33"/>
  <c r="T61" i="33"/>
  <c r="D62" i="33"/>
  <c r="D66" i="33"/>
  <c r="H66" i="33"/>
  <c r="D67" i="33"/>
  <c r="H67" i="33"/>
  <c r="C68" i="33"/>
  <c r="D68" i="33"/>
  <c r="C69" i="33"/>
  <c r="D69" i="33"/>
  <c r="H69" i="33"/>
  <c r="L69" i="33"/>
  <c r="P69" i="33"/>
  <c r="T69" i="33"/>
  <c r="D70" i="33"/>
  <c r="H70" i="33"/>
  <c r="L70" i="33"/>
  <c r="P70" i="33"/>
  <c r="T70" i="33"/>
  <c r="D71" i="33"/>
  <c r="H71" i="33"/>
  <c r="L71" i="33"/>
  <c r="P71" i="33"/>
  <c r="T71" i="33"/>
  <c r="D72" i="33"/>
  <c r="H72" i="33"/>
  <c r="L72" i="33"/>
  <c r="P72" i="33"/>
  <c r="T72" i="33"/>
  <c r="C73" i="33"/>
  <c r="D73" i="33"/>
  <c r="H73" i="33"/>
  <c r="L73" i="33"/>
  <c r="P73" i="33"/>
  <c r="T73" i="33"/>
  <c r="C74" i="33"/>
  <c r="D74" i="33"/>
  <c r="G74" i="33"/>
  <c r="H74" i="33"/>
  <c r="K74" i="33"/>
  <c r="L74" i="33"/>
  <c r="P74" i="33"/>
  <c r="T74" i="33"/>
  <c r="C75" i="33"/>
  <c r="D75" i="33"/>
  <c r="H75" i="33"/>
  <c r="L75" i="33"/>
  <c r="P75" i="33"/>
  <c r="T75" i="33"/>
  <c r="D76" i="33"/>
  <c r="H76" i="33"/>
  <c r="L76" i="33"/>
  <c r="P76" i="33"/>
  <c r="T76" i="33"/>
  <c r="C77" i="33"/>
  <c r="D77" i="33"/>
  <c r="G77" i="33"/>
  <c r="H77" i="33"/>
  <c r="K77" i="33"/>
  <c r="L77" i="33"/>
  <c r="O77" i="33"/>
  <c r="P77" i="33"/>
  <c r="T77" i="33"/>
  <c r="C78" i="33"/>
  <c r="D78" i="33"/>
  <c r="G78" i="33"/>
  <c r="H78" i="33"/>
  <c r="K78" i="33"/>
  <c r="L78" i="33"/>
  <c r="O78" i="33"/>
  <c r="P78" i="33"/>
  <c r="S78" i="33"/>
  <c r="T78" i="33"/>
  <c r="C79" i="33"/>
  <c r="D79" i="33"/>
  <c r="G79" i="33"/>
  <c r="H79" i="33"/>
  <c r="K79" i="33"/>
  <c r="L79" i="33"/>
  <c r="O79" i="33"/>
  <c r="P79" i="33"/>
  <c r="S79" i="33"/>
  <c r="T79" i="33"/>
  <c r="C80" i="33"/>
  <c r="D80" i="33"/>
  <c r="G80" i="33"/>
  <c r="H80" i="33"/>
  <c r="K80" i="33"/>
  <c r="L80" i="33"/>
  <c r="O80" i="33"/>
  <c r="P80" i="33"/>
  <c r="S80" i="33"/>
  <c r="T80" i="33"/>
  <c r="C81" i="33"/>
  <c r="D81" i="33"/>
  <c r="G81" i="33"/>
  <c r="H81" i="33"/>
  <c r="K81" i="33"/>
  <c r="L81" i="33"/>
  <c r="O81" i="33"/>
  <c r="P81" i="33"/>
  <c r="S81" i="33"/>
  <c r="T81" i="33"/>
  <c r="C82" i="33"/>
  <c r="D82" i="33"/>
  <c r="G82" i="33"/>
  <c r="H82" i="33"/>
  <c r="K82" i="33"/>
  <c r="L82" i="33"/>
  <c r="O82" i="33"/>
  <c r="P82" i="33"/>
  <c r="S82" i="33"/>
  <c r="T82" i="33"/>
  <c r="C83" i="33"/>
  <c r="D83" i="33"/>
  <c r="G83" i="33"/>
  <c r="H83" i="33"/>
  <c r="K83" i="33"/>
  <c r="L83" i="33"/>
  <c r="O83" i="33"/>
  <c r="P83" i="33"/>
  <c r="S83" i="33"/>
  <c r="T83" i="33"/>
  <c r="C84" i="33"/>
  <c r="D84" i="33"/>
  <c r="G84" i="33"/>
  <c r="H84" i="33"/>
  <c r="K84" i="33"/>
  <c r="L84" i="33"/>
  <c r="O84" i="33"/>
  <c r="P84" i="33"/>
  <c r="S84" i="33"/>
  <c r="T84" i="33"/>
  <c r="D93" i="33"/>
  <c r="C94" i="33"/>
  <c r="D94" i="33"/>
  <c r="C95" i="33"/>
  <c r="D95" i="33"/>
  <c r="C96" i="33"/>
  <c r="D96" i="33"/>
  <c r="C97" i="33"/>
  <c r="D97" i="33"/>
  <c r="C98" i="33"/>
  <c r="D98" i="33"/>
  <c r="D102" i="33"/>
  <c r="C103" i="33"/>
  <c r="C104" i="33"/>
  <c r="D104" i="33"/>
  <c r="C105" i="33"/>
  <c r="D105" i="33"/>
  <c r="C106" i="33"/>
  <c r="D106" i="33"/>
  <c r="C107" i="33"/>
  <c r="D107" i="33"/>
  <c r="D108" i="33"/>
  <c r="C109" i="33"/>
  <c r="D109" i="33"/>
  <c r="C110" i="33"/>
  <c r="D110" i="33"/>
  <c r="C111" i="33"/>
  <c r="D111" i="33"/>
  <c r="D116" i="33"/>
  <c r="D117" i="33"/>
  <c r="C122" i="33"/>
  <c r="D122" i="33"/>
  <c r="G122" i="33"/>
  <c r="H122" i="33"/>
  <c r="K122" i="33"/>
  <c r="L122" i="33"/>
  <c r="O122" i="33"/>
  <c r="P122" i="33"/>
  <c r="S122" i="33"/>
  <c r="T122" i="33"/>
  <c r="W122" i="33"/>
  <c r="W124" i="33" s="1"/>
  <c r="X122" i="33"/>
  <c r="C123" i="33"/>
  <c r="D123" i="33"/>
  <c r="C128" i="33"/>
  <c r="D128" i="33"/>
  <c r="G128" i="33"/>
  <c r="H128" i="33"/>
  <c r="K128" i="33"/>
  <c r="L128" i="33"/>
  <c r="O128" i="33"/>
  <c r="P128" i="33"/>
  <c r="S128" i="33"/>
  <c r="T128" i="33"/>
  <c r="C129" i="33"/>
  <c r="D129" i="33"/>
  <c r="G129" i="33"/>
  <c r="H129" i="33"/>
  <c r="K129" i="33"/>
  <c r="L129" i="33"/>
  <c r="O129" i="33"/>
  <c r="P129" i="33"/>
  <c r="S129" i="33"/>
  <c r="T129" i="33"/>
  <c r="C130" i="33"/>
  <c r="D130" i="33"/>
  <c r="G130" i="33"/>
  <c r="H130" i="33"/>
  <c r="K130" i="33"/>
  <c r="L130" i="33"/>
  <c r="O130" i="33"/>
  <c r="P130" i="33"/>
  <c r="S130" i="33"/>
  <c r="T130" i="33"/>
  <c r="C131" i="33"/>
  <c r="D131" i="33"/>
  <c r="G131" i="33"/>
  <c r="H131" i="33"/>
  <c r="K131" i="33"/>
  <c r="L131" i="33"/>
  <c r="O131" i="33"/>
  <c r="P131" i="33"/>
  <c r="S131" i="33"/>
  <c r="T131" i="33"/>
  <c r="C132" i="33"/>
  <c r="D132" i="33"/>
  <c r="G132" i="33"/>
  <c r="H132" i="33"/>
  <c r="K132" i="33"/>
  <c r="L132" i="33"/>
  <c r="O132" i="33"/>
  <c r="P132" i="33"/>
  <c r="S132" i="33"/>
  <c r="T132" i="33"/>
  <c r="C133" i="33"/>
  <c r="D133" i="33"/>
  <c r="G133" i="33"/>
  <c r="H133" i="33"/>
  <c r="K133" i="33"/>
  <c r="L133" i="33"/>
  <c r="O133" i="33"/>
  <c r="P133" i="33"/>
  <c r="S133" i="33"/>
  <c r="T133" i="33"/>
  <c r="C134" i="33"/>
  <c r="D134" i="33"/>
  <c r="G134" i="33"/>
  <c r="H134" i="33"/>
  <c r="K134" i="33"/>
  <c r="L134" i="33"/>
  <c r="O134" i="33"/>
  <c r="P134" i="33"/>
  <c r="S134" i="33"/>
  <c r="T134" i="33"/>
  <c r="C135" i="33"/>
  <c r="D135" i="33"/>
  <c r="G135" i="33"/>
  <c r="H135" i="33"/>
  <c r="K135" i="33"/>
  <c r="L135" i="33"/>
  <c r="O135" i="33"/>
  <c r="P135" i="33"/>
  <c r="S135" i="33"/>
  <c r="T135" i="33"/>
  <c r="C136" i="33"/>
  <c r="D136" i="33"/>
  <c r="G136" i="33"/>
  <c r="H136" i="33"/>
  <c r="K136" i="33"/>
  <c r="L136" i="33"/>
  <c r="O136" i="33"/>
  <c r="P136" i="33"/>
  <c r="S136" i="33"/>
  <c r="T136" i="33"/>
  <c r="C137" i="33"/>
  <c r="D137" i="33"/>
  <c r="G137" i="33"/>
  <c r="H137" i="33"/>
  <c r="K137" i="33"/>
  <c r="L137" i="33"/>
  <c r="O137" i="33"/>
  <c r="P137" i="33"/>
  <c r="S137" i="33"/>
  <c r="T137" i="33"/>
  <c r="C138" i="33"/>
  <c r="D138" i="33"/>
  <c r="G138" i="33"/>
  <c r="H138" i="33"/>
  <c r="K138" i="33"/>
  <c r="L138" i="33"/>
  <c r="O138" i="33"/>
  <c r="P138" i="33"/>
  <c r="S138" i="33"/>
  <c r="T138" i="33"/>
  <c r="C139" i="33"/>
  <c r="D139" i="33"/>
  <c r="G139" i="33"/>
  <c r="H139" i="33"/>
  <c r="K139" i="33"/>
  <c r="L139" i="33"/>
  <c r="O139" i="33"/>
  <c r="P139" i="33"/>
  <c r="S139" i="33"/>
  <c r="T139" i="33"/>
  <c r="C140" i="33"/>
  <c r="D140" i="33"/>
  <c r="G140" i="33"/>
  <c r="H140" i="33"/>
  <c r="K140" i="33"/>
  <c r="L140" i="33"/>
  <c r="O140" i="33"/>
  <c r="P140" i="33"/>
  <c r="S140" i="33"/>
  <c r="T140" i="33"/>
  <c r="D144" i="33"/>
  <c r="C145" i="33"/>
  <c r="E145" i="33" s="1"/>
  <c r="D145" i="33"/>
  <c r="G145" i="33"/>
  <c r="H145" i="33"/>
  <c r="K145" i="33"/>
  <c r="L145" i="33"/>
  <c r="O145" i="33"/>
  <c r="P145" i="33"/>
  <c r="S145" i="33"/>
  <c r="T145" i="33"/>
  <c r="C146" i="33"/>
  <c r="D146" i="33"/>
  <c r="G146" i="33"/>
  <c r="H146" i="33"/>
  <c r="K146" i="33"/>
  <c r="L146" i="33"/>
  <c r="O146" i="33"/>
  <c r="Q146" i="33" s="1"/>
  <c r="P146" i="33"/>
  <c r="S146" i="33"/>
  <c r="T146" i="33"/>
  <c r="C147" i="33"/>
  <c r="D147" i="33"/>
  <c r="G147" i="33"/>
  <c r="H147" i="33"/>
  <c r="K147" i="33"/>
  <c r="L147" i="33"/>
  <c r="O147" i="33"/>
  <c r="P147" i="33"/>
  <c r="S147" i="33"/>
  <c r="T147" i="33"/>
  <c r="C148" i="33"/>
  <c r="D148" i="33"/>
  <c r="G148" i="33"/>
  <c r="I148" i="33" s="1"/>
  <c r="H148" i="33"/>
  <c r="K148" i="33"/>
  <c r="L148" i="33"/>
  <c r="O148" i="33"/>
  <c r="P148" i="33"/>
  <c r="S148" i="33"/>
  <c r="T148" i="33"/>
  <c r="D152" i="33"/>
  <c r="H152" i="33"/>
  <c r="L152" i="33"/>
  <c r="P152" i="33"/>
  <c r="T152" i="33"/>
  <c r="C153" i="33"/>
  <c r="D153" i="33"/>
  <c r="H153" i="33"/>
  <c r="L153" i="33"/>
  <c r="P153" i="33"/>
  <c r="T153" i="33"/>
  <c r="C154" i="33"/>
  <c r="D154" i="33"/>
  <c r="H154" i="33"/>
  <c r="L154" i="33"/>
  <c r="P154" i="33"/>
  <c r="T154" i="33"/>
  <c r="D158" i="33"/>
  <c r="H158" i="33"/>
  <c r="L158" i="33"/>
  <c r="P158" i="33"/>
  <c r="T158" i="33"/>
  <c r="C159" i="33"/>
  <c r="D159" i="33"/>
  <c r="H159" i="33"/>
  <c r="L159" i="33"/>
  <c r="P159" i="33"/>
  <c r="T159" i="33"/>
  <c r="D160" i="33"/>
  <c r="H160" i="33"/>
  <c r="L160" i="33"/>
  <c r="P160" i="33"/>
  <c r="T160" i="33"/>
  <c r="D161" i="33"/>
  <c r="H161" i="33"/>
  <c r="L161" i="33"/>
  <c r="P161" i="33"/>
  <c r="T161" i="33"/>
  <c r="C162" i="33"/>
  <c r="D162" i="33"/>
  <c r="G162" i="33"/>
  <c r="H162" i="33"/>
  <c r="L162" i="33"/>
  <c r="P162" i="33"/>
  <c r="T162" i="33"/>
  <c r="C163" i="33"/>
  <c r="D163" i="33"/>
  <c r="G163" i="33"/>
  <c r="H163" i="33"/>
  <c r="L163" i="33"/>
  <c r="O163" i="33"/>
  <c r="P163" i="33"/>
  <c r="S163" i="33"/>
  <c r="T163" i="33"/>
  <c r="C164" i="33"/>
  <c r="D164" i="33"/>
  <c r="G164" i="33"/>
  <c r="H164" i="33"/>
  <c r="K164" i="33"/>
  <c r="L164" i="33"/>
  <c r="O164" i="33"/>
  <c r="P164" i="33"/>
  <c r="S164" i="33"/>
  <c r="T164" i="33"/>
  <c r="C165" i="33"/>
  <c r="D165" i="33"/>
  <c r="G165" i="33"/>
  <c r="H165" i="33"/>
  <c r="K165" i="33"/>
  <c r="L165" i="33"/>
  <c r="O165" i="33"/>
  <c r="P165" i="33"/>
  <c r="S165" i="33"/>
  <c r="T165" i="33"/>
  <c r="C166" i="33"/>
  <c r="D166" i="33"/>
  <c r="G166" i="33"/>
  <c r="H166" i="33"/>
  <c r="K166" i="33"/>
  <c r="L166" i="33"/>
  <c r="P166" i="33"/>
  <c r="T166" i="33"/>
  <c r="C167" i="33"/>
  <c r="D167" i="33"/>
  <c r="G167" i="33"/>
  <c r="H167" i="33"/>
  <c r="K167" i="33"/>
  <c r="L167" i="33"/>
  <c r="O167" i="33"/>
  <c r="P167" i="33"/>
  <c r="S167" i="33"/>
  <c r="T167" i="33"/>
  <c r="C168" i="33"/>
  <c r="D168" i="33"/>
  <c r="G168" i="33"/>
  <c r="H168" i="33"/>
  <c r="K168" i="33"/>
  <c r="L168" i="33"/>
  <c r="O168" i="33"/>
  <c r="P168" i="33"/>
  <c r="S168" i="33"/>
  <c r="T168" i="33"/>
  <c r="C169" i="33"/>
  <c r="D169" i="33"/>
  <c r="G169" i="33"/>
  <c r="H169" i="33"/>
  <c r="K169" i="33"/>
  <c r="L169" i="33"/>
  <c r="O169" i="33"/>
  <c r="P169" i="33"/>
  <c r="S169" i="33"/>
  <c r="T169" i="33"/>
  <c r="C170" i="33"/>
  <c r="D170" i="33"/>
  <c r="G170" i="33"/>
  <c r="H170" i="33"/>
  <c r="K170" i="33"/>
  <c r="L170" i="33"/>
  <c r="O170" i="33"/>
  <c r="P170" i="33"/>
  <c r="S170" i="33"/>
  <c r="T170" i="33"/>
  <c r="C171" i="33"/>
  <c r="D171" i="33"/>
  <c r="G171" i="33"/>
  <c r="H171" i="33"/>
  <c r="K171" i="33"/>
  <c r="L171" i="33"/>
  <c r="O171" i="33"/>
  <c r="P171" i="33"/>
  <c r="S171" i="33"/>
  <c r="T171" i="33"/>
  <c r="C172" i="33"/>
  <c r="D172" i="33"/>
  <c r="G172" i="33"/>
  <c r="H172" i="33"/>
  <c r="K172" i="33"/>
  <c r="L172" i="33"/>
  <c r="O172" i="33"/>
  <c r="P172" i="33"/>
  <c r="S172" i="33"/>
  <c r="T172" i="33"/>
  <c r="C182" i="33"/>
  <c r="D182" i="33"/>
  <c r="C184" i="33"/>
  <c r="D184" i="33"/>
  <c r="C185" i="33"/>
  <c r="D185" i="33"/>
  <c r="D189" i="33"/>
  <c r="C190" i="33"/>
  <c r="D190" i="33"/>
  <c r="D191" i="33"/>
  <c r="C192" i="33"/>
  <c r="D192" i="33"/>
  <c r="C193" i="33"/>
  <c r="D193" i="33"/>
  <c r="C194" i="33"/>
  <c r="D194" i="33"/>
  <c r="C208" i="33"/>
  <c r="D208" i="33"/>
  <c r="G208" i="33"/>
  <c r="H208" i="33"/>
  <c r="K208" i="33"/>
  <c r="L208" i="33"/>
  <c r="P208" i="33"/>
  <c r="T208" i="33"/>
  <c r="C209" i="33"/>
  <c r="D209" i="33"/>
  <c r="G209" i="33"/>
  <c r="H209" i="33"/>
  <c r="L209" i="33"/>
  <c r="O209" i="33"/>
  <c r="P209" i="33"/>
  <c r="T209" i="33"/>
  <c r="C210" i="33"/>
  <c r="D210" i="33"/>
  <c r="H210" i="33"/>
  <c r="K210" i="33"/>
  <c r="L210" i="33"/>
  <c r="O210" i="33"/>
  <c r="P210" i="33"/>
  <c r="S210" i="33"/>
  <c r="T210" i="33"/>
  <c r="C211" i="33"/>
  <c r="D211" i="33"/>
  <c r="G211" i="33"/>
  <c r="H211" i="33"/>
  <c r="K211" i="33"/>
  <c r="L211" i="33"/>
  <c r="P211" i="33"/>
  <c r="T211" i="33"/>
  <c r="C212" i="33"/>
  <c r="D212" i="33"/>
  <c r="G212" i="33"/>
  <c r="H212" i="33"/>
  <c r="K212" i="33"/>
  <c r="L212" i="33"/>
  <c r="P212" i="33"/>
  <c r="T212" i="33"/>
  <c r="C213" i="33"/>
  <c r="D213" i="33"/>
  <c r="G213" i="33"/>
  <c r="H213" i="33"/>
  <c r="K213" i="33"/>
  <c r="L213" i="33"/>
  <c r="O213" i="33"/>
  <c r="P213" i="33"/>
  <c r="S213" i="33"/>
  <c r="T213" i="33"/>
  <c r="C214" i="33"/>
  <c r="D214" i="33"/>
  <c r="G214" i="33"/>
  <c r="H214" i="33"/>
  <c r="K214" i="33"/>
  <c r="L214" i="33"/>
  <c r="O214" i="33"/>
  <c r="P214" i="33"/>
  <c r="S214" i="33"/>
  <c r="T214" i="33"/>
  <c r="C215" i="33"/>
  <c r="D215" i="33"/>
  <c r="G215" i="33"/>
  <c r="H215" i="33"/>
  <c r="K215" i="33"/>
  <c r="L215" i="33"/>
  <c r="O215" i="33"/>
  <c r="P215" i="33"/>
  <c r="S215" i="33"/>
  <c r="T215" i="33"/>
  <c r="C216" i="33"/>
  <c r="D216" i="33"/>
  <c r="G216" i="33"/>
  <c r="H216" i="33"/>
  <c r="K216" i="33"/>
  <c r="L216" i="33"/>
  <c r="O216" i="33"/>
  <c r="P216" i="33"/>
  <c r="S216" i="33"/>
  <c r="T216" i="33"/>
  <c r="D220" i="33"/>
  <c r="C221" i="33"/>
  <c r="D221" i="33"/>
  <c r="G221" i="33"/>
  <c r="H221" i="33"/>
  <c r="K221" i="33"/>
  <c r="L221" i="33"/>
  <c r="O221" i="33"/>
  <c r="P221" i="33"/>
  <c r="S221" i="33"/>
  <c r="T221" i="33"/>
  <c r="C222" i="33"/>
  <c r="D222" i="33"/>
  <c r="G222" i="33"/>
  <c r="H222" i="33"/>
  <c r="K222" i="33"/>
  <c r="L222" i="33"/>
  <c r="O222" i="33"/>
  <c r="P222" i="33"/>
  <c r="S222" i="33"/>
  <c r="T222" i="33"/>
  <c r="C223" i="33"/>
  <c r="D223" i="33"/>
  <c r="G223" i="33"/>
  <c r="H223" i="33"/>
  <c r="K223" i="33"/>
  <c r="L223" i="33"/>
  <c r="O223" i="33"/>
  <c r="P223" i="33"/>
  <c r="S223" i="33"/>
  <c r="T223" i="33"/>
  <c r="C224" i="33"/>
  <c r="D224" i="33"/>
  <c r="G224" i="33"/>
  <c r="H224" i="33"/>
  <c r="K224" i="33"/>
  <c r="L224" i="33"/>
  <c r="O224" i="33"/>
  <c r="P224" i="33"/>
  <c r="S224" i="33"/>
  <c r="T224" i="33"/>
  <c r="D228" i="33"/>
  <c r="H228" i="33"/>
  <c r="L228" i="33"/>
  <c r="P228" i="33"/>
  <c r="T228" i="33"/>
  <c r="C229" i="33"/>
  <c r="D229" i="33"/>
  <c r="H229" i="33"/>
  <c r="L229" i="33"/>
  <c r="P229" i="33"/>
  <c r="T229" i="33"/>
  <c r="C230" i="33"/>
  <c r="D230" i="33"/>
  <c r="H230" i="33"/>
  <c r="L230" i="33"/>
  <c r="P230" i="33"/>
  <c r="T230" i="33"/>
  <c r="D234" i="33"/>
  <c r="H234" i="33"/>
  <c r="L234" i="33"/>
  <c r="P234" i="33"/>
  <c r="T234" i="33"/>
  <c r="C235" i="33"/>
  <c r="D235" i="33"/>
  <c r="G235" i="33"/>
  <c r="H235" i="33"/>
  <c r="K235" i="33"/>
  <c r="L235" i="33"/>
  <c r="O235" i="33"/>
  <c r="P235" i="33"/>
  <c r="S235" i="33"/>
  <c r="T235" i="33"/>
  <c r="C236" i="33"/>
  <c r="D236" i="33"/>
  <c r="G236" i="33"/>
  <c r="H236" i="33"/>
  <c r="K236" i="33"/>
  <c r="L236" i="33"/>
  <c r="P236" i="33"/>
  <c r="S236" i="33"/>
  <c r="T236" i="33"/>
  <c r="D237" i="33"/>
  <c r="H237" i="33"/>
  <c r="L237" i="33"/>
  <c r="P237" i="33"/>
  <c r="T237" i="33"/>
  <c r="C238" i="33"/>
  <c r="D238" i="33"/>
  <c r="G238" i="33"/>
  <c r="H238" i="33"/>
  <c r="K238" i="33"/>
  <c r="L238" i="33"/>
  <c r="O238" i="33"/>
  <c r="P238" i="33"/>
  <c r="S238" i="33"/>
  <c r="T238" i="33"/>
  <c r="C239" i="33"/>
  <c r="D239" i="33"/>
  <c r="G239" i="33"/>
  <c r="H239" i="33"/>
  <c r="K239" i="33"/>
  <c r="L239" i="33"/>
  <c r="O239" i="33"/>
  <c r="P239" i="33"/>
  <c r="S239" i="33"/>
  <c r="T239" i="33"/>
  <c r="C240" i="33"/>
  <c r="D240" i="33"/>
  <c r="G240" i="33"/>
  <c r="H240" i="33"/>
  <c r="K240" i="33"/>
  <c r="L240" i="33"/>
  <c r="O240" i="33"/>
  <c r="P240" i="33"/>
  <c r="S240" i="33"/>
  <c r="T240" i="33"/>
  <c r="C241" i="33"/>
  <c r="D241" i="33"/>
  <c r="G241" i="33"/>
  <c r="H241" i="33"/>
  <c r="K241" i="33"/>
  <c r="L241" i="33"/>
  <c r="O241" i="33"/>
  <c r="P241" i="33"/>
  <c r="S241" i="33"/>
  <c r="T241" i="33"/>
  <c r="C242" i="33"/>
  <c r="D242" i="33"/>
  <c r="G242" i="33"/>
  <c r="H242" i="33"/>
  <c r="K242" i="33"/>
  <c r="L242" i="33"/>
  <c r="O242" i="33"/>
  <c r="P242" i="33"/>
  <c r="S242" i="33"/>
  <c r="T242" i="33"/>
  <c r="C243" i="33"/>
  <c r="D243" i="33"/>
  <c r="G243" i="33"/>
  <c r="H243" i="33"/>
  <c r="K243" i="33"/>
  <c r="L243" i="33"/>
  <c r="O243" i="33"/>
  <c r="P243" i="33"/>
  <c r="S243" i="33"/>
  <c r="T243" i="33"/>
  <c r="C244" i="33"/>
  <c r="D244" i="33"/>
  <c r="G244" i="33"/>
  <c r="H244" i="33"/>
  <c r="K244" i="33"/>
  <c r="L244" i="33"/>
  <c r="O244" i="33"/>
  <c r="P244" i="33"/>
  <c r="S244" i="33"/>
  <c r="T244" i="33"/>
  <c r="T233" i="33"/>
  <c r="P233" i="33"/>
  <c r="L233" i="33"/>
  <c r="H233" i="33"/>
  <c r="D233" i="33"/>
  <c r="T227" i="33"/>
  <c r="P227" i="33"/>
  <c r="L227" i="33"/>
  <c r="H227" i="33"/>
  <c r="D227" i="33"/>
  <c r="D219" i="33"/>
  <c r="C219" i="33"/>
  <c r="T207" i="33"/>
  <c r="S207" i="33"/>
  <c r="P207" i="33"/>
  <c r="O207" i="33"/>
  <c r="L207" i="33"/>
  <c r="K207" i="33"/>
  <c r="H207" i="33"/>
  <c r="G207" i="33"/>
  <c r="D207" i="33"/>
  <c r="C207" i="33"/>
  <c r="D203" i="33"/>
  <c r="D188" i="33"/>
  <c r="C188" i="33"/>
  <c r="D180" i="33"/>
  <c r="T157" i="33"/>
  <c r="P157" i="33"/>
  <c r="L157" i="33"/>
  <c r="H157" i="33"/>
  <c r="D157" i="33"/>
  <c r="C157" i="33"/>
  <c r="T151" i="33"/>
  <c r="P151" i="33"/>
  <c r="L151" i="33"/>
  <c r="H151" i="33"/>
  <c r="D151" i="33"/>
  <c r="D143" i="33"/>
  <c r="C143" i="33"/>
  <c r="T127" i="33"/>
  <c r="S127" i="33"/>
  <c r="P127" i="33"/>
  <c r="O127" i="33"/>
  <c r="L127" i="33"/>
  <c r="K127" i="33"/>
  <c r="H127" i="33"/>
  <c r="G127" i="33"/>
  <c r="D127" i="33"/>
  <c r="P115" i="33"/>
  <c r="L115" i="33"/>
  <c r="H115" i="33"/>
  <c r="D115" i="33"/>
  <c r="D101" i="33"/>
  <c r="D92" i="33"/>
  <c r="T65" i="33"/>
  <c r="P65" i="33"/>
  <c r="L65" i="33"/>
  <c r="H65" i="33"/>
  <c r="D65" i="33"/>
  <c r="T59" i="33"/>
  <c r="P59" i="33"/>
  <c r="L59" i="33"/>
  <c r="H59" i="33"/>
  <c r="D59" i="33"/>
  <c r="T51" i="33"/>
  <c r="P51" i="33"/>
  <c r="L51" i="33"/>
  <c r="H51" i="33"/>
  <c r="D51" i="33"/>
  <c r="T39" i="33"/>
  <c r="S39" i="33"/>
  <c r="U39" i="33" s="1"/>
  <c r="P39" i="33"/>
  <c r="O39" i="33"/>
  <c r="L39" i="33"/>
  <c r="K39" i="33"/>
  <c r="H39" i="33"/>
  <c r="G39" i="33"/>
  <c r="D39" i="33"/>
  <c r="C39" i="33"/>
  <c r="D8" i="33"/>
  <c r="C10" i="33"/>
  <c r="D10" i="33"/>
  <c r="C11" i="33"/>
  <c r="D11" i="33"/>
  <c r="D12" i="33"/>
  <c r="C13" i="33"/>
  <c r="D13" i="33"/>
  <c r="C14" i="33"/>
  <c r="D14" i="33"/>
  <c r="X235" i="31"/>
  <c r="U235" i="31"/>
  <c r="Y235" i="31" s="1"/>
  <c r="Q235" i="31"/>
  <c r="M235" i="31"/>
  <c r="K235" i="31"/>
  <c r="W235" i="31" s="1"/>
  <c r="I235" i="31"/>
  <c r="E235" i="31"/>
  <c r="X234" i="31"/>
  <c r="M234" i="31"/>
  <c r="I234" i="31"/>
  <c r="E234" i="31"/>
  <c r="X233" i="31"/>
  <c r="G233" i="31"/>
  <c r="E233" i="31"/>
  <c r="X157" i="31"/>
  <c r="G157" i="31"/>
  <c r="G157" i="33" s="1"/>
  <c r="E157" i="31"/>
  <c r="X220" i="31"/>
  <c r="U220" i="31"/>
  <c r="Q220" i="31"/>
  <c r="M220" i="31"/>
  <c r="I220" i="31"/>
  <c r="W220" i="31"/>
  <c r="X144" i="31"/>
  <c r="U144" i="31"/>
  <c r="Q144" i="31"/>
  <c r="M144" i="31"/>
  <c r="I144" i="31"/>
  <c r="X52" i="31"/>
  <c r="U52" i="31"/>
  <c r="Q52" i="31"/>
  <c r="M52" i="31"/>
  <c r="I52" i="31"/>
  <c r="E52" i="31"/>
  <c r="W52" i="31"/>
  <c r="X73" i="31"/>
  <c r="E73" i="31"/>
  <c r="X72" i="31"/>
  <c r="W72" i="31"/>
  <c r="U72" i="31"/>
  <c r="Q72" i="31"/>
  <c r="M72" i="31"/>
  <c r="I72" i="31"/>
  <c r="E72" i="31"/>
  <c r="X71" i="31"/>
  <c r="E71" i="31"/>
  <c r="X70" i="31"/>
  <c r="W70" i="31"/>
  <c r="U70" i="31"/>
  <c r="Q70" i="31"/>
  <c r="M70" i="31"/>
  <c r="I70" i="31"/>
  <c r="E70" i="31"/>
  <c r="U68" i="31"/>
  <c r="Q68" i="31"/>
  <c r="M68" i="31"/>
  <c r="I68" i="31"/>
  <c r="E68" i="31"/>
  <c r="W68" i="31"/>
  <c r="U67" i="31"/>
  <c r="Q67" i="31"/>
  <c r="M67" i="31"/>
  <c r="I67" i="31"/>
  <c r="E67" i="31"/>
  <c r="X68" i="32"/>
  <c r="G68" i="32"/>
  <c r="E68" i="32"/>
  <c r="C66" i="33"/>
  <c r="C181" i="29"/>
  <c r="C93" i="29"/>
  <c r="C93" i="33" s="1"/>
  <c r="E93" i="33" s="1"/>
  <c r="X69" i="30"/>
  <c r="E69" i="30"/>
  <c r="X68" i="30"/>
  <c r="W68" i="30"/>
  <c r="U68" i="30"/>
  <c r="Q68" i="30"/>
  <c r="M68" i="30"/>
  <c r="Y68" i="30" s="1"/>
  <c r="I68" i="30"/>
  <c r="E68" i="30"/>
  <c r="G51" i="30"/>
  <c r="I70" i="39"/>
  <c r="E70" i="39"/>
  <c r="G69" i="39"/>
  <c r="E69" i="39"/>
  <c r="G68" i="39"/>
  <c r="K68" i="39" s="1"/>
  <c r="O68" i="39" s="1"/>
  <c r="E68" i="39"/>
  <c r="G67" i="39"/>
  <c r="I67" i="39" s="1"/>
  <c r="E67" i="39"/>
  <c r="E66" i="39"/>
  <c r="G18" i="39"/>
  <c r="X55" i="24"/>
  <c r="E55" i="24"/>
  <c r="X54" i="24"/>
  <c r="W54" i="24"/>
  <c r="U54" i="24"/>
  <c r="Q54" i="24"/>
  <c r="M54" i="24"/>
  <c r="I54" i="24"/>
  <c r="E54" i="24"/>
  <c r="Y54" i="24" s="1"/>
  <c r="Q52" i="24"/>
  <c r="M52" i="24"/>
  <c r="H188" i="9"/>
  <c r="L188" i="9" s="1"/>
  <c r="P188" i="9" s="1"/>
  <c r="T188" i="9" s="1"/>
  <c r="D181" i="33"/>
  <c r="X54" i="9"/>
  <c r="H68" i="9"/>
  <c r="L68" i="9" s="1"/>
  <c r="G68" i="9"/>
  <c r="G19" i="9"/>
  <c r="G18" i="9"/>
  <c r="K18" i="9" s="1"/>
  <c r="D17" i="9"/>
  <c r="H17" i="9" s="1"/>
  <c r="L17" i="9" s="1"/>
  <c r="P17" i="9" s="1"/>
  <c r="T17" i="9" s="1"/>
  <c r="C17" i="9"/>
  <c r="G17" i="9" s="1"/>
  <c r="X75" i="23"/>
  <c r="U75" i="23"/>
  <c r="Q75" i="23"/>
  <c r="M75" i="23"/>
  <c r="I75" i="23"/>
  <c r="E75" i="23"/>
  <c r="Q66" i="23"/>
  <c r="M66" i="23"/>
  <c r="I66" i="23"/>
  <c r="E17" i="23"/>
  <c r="G108" i="28"/>
  <c r="K108" i="28" s="1"/>
  <c r="O108" i="28" s="1"/>
  <c r="S108" i="28" s="1"/>
  <c r="C108" i="28"/>
  <c r="C108" i="33" s="1"/>
  <c r="G106" i="28"/>
  <c r="H103" i="28"/>
  <c r="L103" i="28" s="1"/>
  <c r="G103" i="28"/>
  <c r="E103" i="28"/>
  <c r="X70" i="28"/>
  <c r="C70" i="28"/>
  <c r="C70" i="33" s="1"/>
  <c r="X69" i="28"/>
  <c r="W69" i="28"/>
  <c r="U69" i="28"/>
  <c r="Q69" i="28"/>
  <c r="M69" i="28"/>
  <c r="I69" i="28"/>
  <c r="E69" i="28"/>
  <c r="X67" i="28"/>
  <c r="W67" i="28"/>
  <c r="U67" i="28"/>
  <c r="Q67" i="28"/>
  <c r="M67" i="28"/>
  <c r="I67" i="28"/>
  <c r="E67" i="28"/>
  <c r="X66" i="28"/>
  <c r="W66" i="28"/>
  <c r="U66" i="28"/>
  <c r="Q66" i="28"/>
  <c r="M66" i="28"/>
  <c r="I66" i="28"/>
  <c r="E66" i="28"/>
  <c r="C62" i="33"/>
  <c r="D52" i="33"/>
  <c r="C52" i="33"/>
  <c r="G19" i="28"/>
  <c r="S19" i="28" s="1"/>
  <c r="G17" i="28"/>
  <c r="G10" i="28"/>
  <c r="G9" i="28"/>
  <c r="K9" i="28" s="1"/>
  <c r="D6" i="28"/>
  <c r="H20" i="28"/>
  <c r="G20" i="28"/>
  <c r="C72" i="33"/>
  <c r="U72" i="28"/>
  <c r="Q72" i="28"/>
  <c r="M72" i="28"/>
  <c r="I72" i="28"/>
  <c r="L52" i="9"/>
  <c r="K52" i="9"/>
  <c r="H8" i="9"/>
  <c r="L8" i="9" s="1"/>
  <c r="P8" i="9" s="1"/>
  <c r="T8" i="9" s="1"/>
  <c r="K229" i="29"/>
  <c r="K61" i="29"/>
  <c r="O61" i="29" s="1"/>
  <c r="S61" i="29" s="1"/>
  <c r="G153" i="33"/>
  <c r="G188" i="9"/>
  <c r="K188" i="9" s="1"/>
  <c r="O188" i="9" s="1"/>
  <c r="S188" i="9" s="1"/>
  <c r="H181" i="9"/>
  <c r="L181" i="9" s="1"/>
  <c r="P181" i="9" s="1"/>
  <c r="T181" i="9" s="1"/>
  <c r="H202" i="28"/>
  <c r="H201" i="28"/>
  <c r="H198" i="28"/>
  <c r="D202" i="28"/>
  <c r="D202" i="33" s="1"/>
  <c r="D201" i="28"/>
  <c r="D198" i="28"/>
  <c r="D198" i="33" s="1"/>
  <c r="K17" i="32"/>
  <c r="O17" i="32" s="1"/>
  <c r="G17" i="29"/>
  <c r="C71" i="33"/>
  <c r="C49" i="23"/>
  <c r="C26" i="23"/>
  <c r="C33" i="23" s="1"/>
  <c r="C36" i="23" s="1"/>
  <c r="G17" i="23"/>
  <c r="G20" i="9"/>
  <c r="G7" i="9"/>
  <c r="H6" i="9"/>
  <c r="L6" i="9" s="1"/>
  <c r="P6" i="9" s="1"/>
  <c r="T6" i="9" s="1"/>
  <c r="G6" i="9"/>
  <c r="G8" i="9"/>
  <c r="K8" i="9" s="1"/>
  <c r="C8" i="33"/>
  <c r="G7" i="29"/>
  <c r="K7" i="29" s="1"/>
  <c r="T33" i="38"/>
  <c r="P33" i="38"/>
  <c r="L33" i="38"/>
  <c r="H33" i="38"/>
  <c r="G33" i="28" l="1"/>
  <c r="E109" i="33"/>
  <c r="I168" i="33"/>
  <c r="E98" i="33"/>
  <c r="I69" i="39"/>
  <c r="U134" i="33"/>
  <c r="I133" i="33"/>
  <c r="I122" i="33"/>
  <c r="C237" i="33"/>
  <c r="E137" i="33"/>
  <c r="E110" i="33"/>
  <c r="U164" i="33"/>
  <c r="I40" i="33"/>
  <c r="M42" i="33"/>
  <c r="Q136" i="33"/>
  <c r="E70" i="28"/>
  <c r="C161" i="33"/>
  <c r="E161" i="33" s="1"/>
  <c r="Y69" i="28"/>
  <c r="U48" i="33"/>
  <c r="K19" i="28"/>
  <c r="O19" i="28" s="1"/>
  <c r="E42" i="33"/>
  <c r="Y162" i="28"/>
  <c r="G70" i="28"/>
  <c r="K70" i="28" s="1"/>
  <c r="I48" i="33"/>
  <c r="Q46" i="33"/>
  <c r="E237" i="28"/>
  <c r="Y160" i="28"/>
  <c r="Y238" i="28"/>
  <c r="E34" i="33"/>
  <c r="Y234" i="28"/>
  <c r="M83" i="33"/>
  <c r="U81" i="33"/>
  <c r="I80" i="33"/>
  <c r="Q78" i="33"/>
  <c r="Q207" i="33"/>
  <c r="M211" i="33"/>
  <c r="U172" i="33"/>
  <c r="I171" i="33"/>
  <c r="Q169" i="33"/>
  <c r="E168" i="33"/>
  <c r="M74" i="33"/>
  <c r="G75" i="33"/>
  <c r="I75" i="33" s="1"/>
  <c r="W75" i="23"/>
  <c r="Q48" i="33"/>
  <c r="M39" i="33"/>
  <c r="Q221" i="33"/>
  <c r="Y75" i="23"/>
  <c r="Q243" i="33"/>
  <c r="M240" i="33"/>
  <c r="E224" i="33"/>
  <c r="D6" i="33"/>
  <c r="D17" i="33"/>
  <c r="E207" i="33"/>
  <c r="C144" i="33"/>
  <c r="E144" i="33" s="1"/>
  <c r="E74" i="33"/>
  <c r="E72" i="33"/>
  <c r="E40" i="33"/>
  <c r="M127" i="33"/>
  <c r="Q172" i="33"/>
  <c r="E13" i="33"/>
  <c r="M131" i="33"/>
  <c r="U129" i="33"/>
  <c r="I68" i="39"/>
  <c r="K67" i="39"/>
  <c r="O229" i="29"/>
  <c r="K229" i="33"/>
  <c r="M229" i="33" s="1"/>
  <c r="M243" i="33"/>
  <c r="Q238" i="33"/>
  <c r="K153" i="29"/>
  <c r="G229" i="33"/>
  <c r="I229" i="33" s="1"/>
  <c r="Q127" i="33"/>
  <c r="G68" i="33"/>
  <c r="M207" i="33"/>
  <c r="Q210" i="33"/>
  <c r="Q84" i="33"/>
  <c r="M81" i="33"/>
  <c r="I45" i="33"/>
  <c r="E21" i="33"/>
  <c r="U131" i="33"/>
  <c r="M215" i="33"/>
  <c r="I137" i="33"/>
  <c r="U207" i="33"/>
  <c r="U135" i="33"/>
  <c r="U133" i="33"/>
  <c r="I157" i="31"/>
  <c r="I208" i="33"/>
  <c r="Q82" i="33"/>
  <c r="E81" i="33"/>
  <c r="C220" i="33"/>
  <c r="E220" i="33" s="1"/>
  <c r="Y72" i="31"/>
  <c r="Y52" i="31"/>
  <c r="U82" i="33"/>
  <c r="E221" i="33"/>
  <c r="E106" i="33"/>
  <c r="E220" i="31"/>
  <c r="Y220" i="31" s="1"/>
  <c r="I224" i="33"/>
  <c r="I147" i="33"/>
  <c r="Q215" i="33"/>
  <c r="Y70" i="31"/>
  <c r="W144" i="31"/>
  <c r="I212" i="33"/>
  <c r="M242" i="33"/>
  <c r="M132" i="33"/>
  <c r="U130" i="33"/>
  <c r="E107" i="33"/>
  <c r="E60" i="33"/>
  <c r="K144" i="28"/>
  <c r="K144" i="33" s="1"/>
  <c r="G144" i="33"/>
  <c r="L144" i="28"/>
  <c r="L144" i="33" s="1"/>
  <c r="H144" i="33"/>
  <c r="Q134" i="33"/>
  <c r="I244" i="33"/>
  <c r="Q242" i="33"/>
  <c r="Q224" i="33"/>
  <c r="E223" i="33"/>
  <c r="M221" i="33"/>
  <c r="E216" i="33"/>
  <c r="E144" i="28"/>
  <c r="U147" i="33"/>
  <c r="I128" i="33"/>
  <c r="I74" i="33"/>
  <c r="M47" i="33"/>
  <c r="Q42" i="33"/>
  <c r="E164" i="33"/>
  <c r="Q214" i="33"/>
  <c r="I146" i="33"/>
  <c r="E133" i="33"/>
  <c r="I46" i="33"/>
  <c r="Q44" i="33"/>
  <c r="U47" i="33"/>
  <c r="Y236" i="28"/>
  <c r="I167" i="33"/>
  <c r="E43" i="33"/>
  <c r="E95" i="33"/>
  <c r="I81" i="33"/>
  <c r="Q79" i="33"/>
  <c r="E78" i="33"/>
  <c r="Y239" i="28"/>
  <c r="E236" i="33"/>
  <c r="U168" i="33"/>
  <c r="U137" i="33"/>
  <c r="Q239" i="33"/>
  <c r="I84" i="33"/>
  <c r="Y66" i="28"/>
  <c r="E14" i="33"/>
  <c r="E97" i="33"/>
  <c r="Y233" i="28"/>
  <c r="Y157" i="28"/>
  <c r="Y158" i="28"/>
  <c r="E244" i="33"/>
  <c r="I211" i="33"/>
  <c r="E182" i="33"/>
  <c r="I170" i="33"/>
  <c r="Q168" i="33"/>
  <c r="E167" i="33"/>
  <c r="M165" i="33"/>
  <c r="Q137" i="33"/>
  <c r="E136" i="33"/>
  <c r="U132" i="33"/>
  <c r="I131" i="33"/>
  <c r="Q129" i="33"/>
  <c r="E111" i="33"/>
  <c r="E84" i="33"/>
  <c r="M82" i="33"/>
  <c r="Q56" i="33"/>
  <c r="U222" i="33"/>
  <c r="M140" i="33"/>
  <c r="Q39" i="33"/>
  <c r="U244" i="33"/>
  <c r="I243" i="33"/>
  <c r="Q241" i="33"/>
  <c r="E240" i="33"/>
  <c r="U223" i="33"/>
  <c r="I222" i="33"/>
  <c r="Q213" i="33"/>
  <c r="M210" i="33"/>
  <c r="E171" i="33"/>
  <c r="U167" i="33"/>
  <c r="I166" i="33"/>
  <c r="Q164" i="33"/>
  <c r="E153" i="33"/>
  <c r="E140" i="33"/>
  <c r="U136" i="33"/>
  <c r="E132" i="33"/>
  <c r="M130" i="33"/>
  <c r="I83" i="33"/>
  <c r="Q81" i="33"/>
  <c r="M78" i="33"/>
  <c r="E62" i="33"/>
  <c r="I207" i="33"/>
  <c r="Q244" i="33"/>
  <c r="E193" i="33"/>
  <c r="I169" i="33"/>
  <c r="Q167" i="33"/>
  <c r="M48" i="33"/>
  <c r="Q43" i="33"/>
  <c r="M43" i="33"/>
  <c r="M244" i="33"/>
  <c r="I172" i="33"/>
  <c r="E148" i="33"/>
  <c r="E138" i="33"/>
  <c r="Q131" i="33"/>
  <c r="E130" i="33"/>
  <c r="E159" i="33"/>
  <c r="E105" i="33"/>
  <c r="E213" i="33"/>
  <c r="E29" i="33"/>
  <c r="E211" i="33"/>
  <c r="E237" i="33"/>
  <c r="M235" i="33"/>
  <c r="E165" i="33"/>
  <c r="M147" i="33"/>
  <c r="U145" i="33"/>
  <c r="Q140" i="33"/>
  <c r="E139" i="33"/>
  <c r="M137" i="33"/>
  <c r="Q132" i="33"/>
  <c r="M129" i="33"/>
  <c r="E94" i="33"/>
  <c r="U83" i="33"/>
  <c r="I82" i="33"/>
  <c r="Q80" i="33"/>
  <c r="E79" i="33"/>
  <c r="M77" i="33"/>
  <c r="M56" i="33"/>
  <c r="Q47" i="33"/>
  <c r="M44" i="33"/>
  <c r="U42" i="33"/>
  <c r="Q171" i="33"/>
  <c r="U241" i="33"/>
  <c r="Q135" i="33"/>
  <c r="E134" i="33"/>
  <c r="I129" i="33"/>
  <c r="M80" i="33"/>
  <c r="U78" i="33"/>
  <c r="I214" i="33"/>
  <c r="E230" i="33"/>
  <c r="I153" i="33"/>
  <c r="Q148" i="33"/>
  <c r="E147" i="33"/>
  <c r="I140" i="33"/>
  <c r="Q138" i="33"/>
  <c r="M135" i="33"/>
  <c r="E77" i="33"/>
  <c r="E56" i="33"/>
  <c r="E54" i="33"/>
  <c r="M148" i="33"/>
  <c r="U146" i="33"/>
  <c r="Q133" i="33"/>
  <c r="E122" i="33"/>
  <c r="E80" i="33"/>
  <c r="E243" i="33"/>
  <c r="M241" i="33"/>
  <c r="U239" i="33"/>
  <c r="I238" i="33"/>
  <c r="Q223" i="33"/>
  <c r="E215" i="33"/>
  <c r="M213" i="33"/>
  <c r="U170" i="33"/>
  <c r="E166" i="33"/>
  <c r="U46" i="33"/>
  <c r="I42" i="33"/>
  <c r="I165" i="33"/>
  <c r="M223" i="33"/>
  <c r="U221" i="33"/>
  <c r="M216" i="33"/>
  <c r="I213" i="33"/>
  <c r="Q170" i="33"/>
  <c r="M167" i="33"/>
  <c r="U165" i="33"/>
  <c r="I164" i="33"/>
  <c r="E162" i="33"/>
  <c r="M79" i="33"/>
  <c r="U56" i="33"/>
  <c r="I242" i="33"/>
  <c r="E39" i="33"/>
  <c r="I139" i="33"/>
  <c r="E10" i="33"/>
  <c r="E241" i="33"/>
  <c r="M239" i="33"/>
  <c r="E222" i="33"/>
  <c r="E170" i="33"/>
  <c r="M168" i="33"/>
  <c r="U163" i="33"/>
  <c r="U139" i="33"/>
  <c r="I135" i="33"/>
  <c r="I132" i="33"/>
  <c r="E129" i="33"/>
  <c r="E75" i="33"/>
  <c r="I79" i="33"/>
  <c r="I47" i="33"/>
  <c r="E44" i="33"/>
  <c r="U240" i="33"/>
  <c r="E108" i="33"/>
  <c r="M45" i="33"/>
  <c r="U43" i="33"/>
  <c r="E22" i="33"/>
  <c r="E35" i="33"/>
  <c r="U127" i="33"/>
  <c r="M169" i="33"/>
  <c r="Q40" i="33"/>
  <c r="M172" i="33"/>
  <c r="E123" i="33"/>
  <c r="M214" i="33"/>
  <c r="E83" i="33"/>
  <c r="I77" i="33"/>
  <c r="M40" i="33"/>
  <c r="I43" i="33"/>
  <c r="E131" i="33"/>
  <c r="U122" i="33"/>
  <c r="U216" i="33"/>
  <c r="U213" i="33"/>
  <c r="M212" i="33"/>
  <c r="U45" i="33"/>
  <c r="I44" i="33"/>
  <c r="Q145" i="33"/>
  <c r="M145" i="33"/>
  <c r="D245" i="33"/>
  <c r="I163" i="33"/>
  <c r="I138" i="33"/>
  <c r="Q222" i="33"/>
  <c r="U171" i="33"/>
  <c r="M139" i="33"/>
  <c r="I215" i="33"/>
  <c r="E214" i="33"/>
  <c r="U148" i="33"/>
  <c r="U140" i="33"/>
  <c r="E135" i="33"/>
  <c r="M122" i="33"/>
  <c r="Q216" i="33"/>
  <c r="Q240" i="33"/>
  <c r="I221" i="33"/>
  <c r="I216" i="33"/>
  <c r="E190" i="33"/>
  <c r="E184" i="33"/>
  <c r="Q165" i="33"/>
  <c r="M164" i="33"/>
  <c r="Q147" i="33"/>
  <c r="M146" i="33"/>
  <c r="U128" i="33"/>
  <c r="E71" i="33"/>
  <c r="E53" i="33"/>
  <c r="E47" i="33"/>
  <c r="U44" i="33"/>
  <c r="E229" i="33"/>
  <c r="U224" i="33"/>
  <c r="M222" i="33"/>
  <c r="M170" i="33"/>
  <c r="I145" i="33"/>
  <c r="M133" i="33"/>
  <c r="Q128" i="33"/>
  <c r="M84" i="33"/>
  <c r="U242" i="33"/>
  <c r="E169" i="33"/>
  <c r="E52" i="33"/>
  <c r="E48" i="33"/>
  <c r="I240" i="33"/>
  <c r="M208" i="33"/>
  <c r="M171" i="33"/>
  <c r="E146" i="33"/>
  <c r="M134" i="33"/>
  <c r="M128" i="33"/>
  <c r="E82" i="33"/>
  <c r="U79" i="33"/>
  <c r="Q77" i="33"/>
  <c r="Q45" i="33"/>
  <c r="I39" i="33"/>
  <c r="E157" i="33"/>
  <c r="U214" i="33"/>
  <c r="E194" i="33"/>
  <c r="M166" i="33"/>
  <c r="I134" i="33"/>
  <c r="U80" i="33"/>
  <c r="U40" i="33"/>
  <c r="U243" i="33"/>
  <c r="I241" i="33"/>
  <c r="M224" i="33"/>
  <c r="I223" i="33"/>
  <c r="U215" i="33"/>
  <c r="Q209" i="33"/>
  <c r="U138" i="33"/>
  <c r="M136" i="33"/>
  <c r="Q130" i="33"/>
  <c r="E104" i="33"/>
  <c r="E70" i="33"/>
  <c r="U169" i="33"/>
  <c r="M46" i="33"/>
  <c r="I127" i="33"/>
  <c r="E242" i="33"/>
  <c r="U236" i="33"/>
  <c r="U210" i="33"/>
  <c r="I209" i="33"/>
  <c r="E172" i="33"/>
  <c r="Q163" i="33"/>
  <c r="I162" i="33"/>
  <c r="I136" i="33"/>
  <c r="I78" i="33"/>
  <c r="E212" i="33"/>
  <c r="E209" i="33"/>
  <c r="Q139" i="33"/>
  <c r="M138" i="33"/>
  <c r="I130" i="33"/>
  <c r="Q122" i="33"/>
  <c r="U84" i="33"/>
  <c r="E73" i="33"/>
  <c r="I56" i="33"/>
  <c r="E55" i="33"/>
  <c r="E45" i="33"/>
  <c r="Q83" i="33"/>
  <c r="E46" i="33"/>
  <c r="Y67" i="28"/>
  <c r="O52" i="9"/>
  <c r="E66" i="33"/>
  <c r="P68" i="9"/>
  <c r="L68" i="33"/>
  <c r="H68" i="33"/>
  <c r="E68" i="33"/>
  <c r="E69" i="33"/>
  <c r="E8" i="33"/>
  <c r="O73" i="33"/>
  <c r="Q73" i="33" s="1"/>
  <c r="M73" i="31"/>
  <c r="K73" i="33"/>
  <c r="M73" i="33" s="1"/>
  <c r="G73" i="33"/>
  <c r="I73" i="33" s="1"/>
  <c r="I239" i="33"/>
  <c r="Y163" i="28"/>
  <c r="E96" i="33"/>
  <c r="M70" i="39"/>
  <c r="I71" i="31"/>
  <c r="G69" i="33"/>
  <c r="I69" i="33" s="1"/>
  <c r="E102" i="33"/>
  <c r="E143" i="33"/>
  <c r="E219" i="33"/>
  <c r="K68" i="9"/>
  <c r="U235" i="33"/>
  <c r="P245" i="33"/>
  <c r="E11" i="33"/>
  <c r="Y68" i="31"/>
  <c r="E154" i="33"/>
  <c r="E210" i="33"/>
  <c r="E208" i="33"/>
  <c r="K219" i="28"/>
  <c r="I219" i="28"/>
  <c r="P219" i="28"/>
  <c r="L219" i="33"/>
  <c r="G220" i="28"/>
  <c r="H219" i="33"/>
  <c r="H220" i="28"/>
  <c r="E219" i="28"/>
  <c r="I190" i="28"/>
  <c r="C189" i="33"/>
  <c r="E189" i="33" s="1"/>
  <c r="K190" i="28"/>
  <c r="L190" i="28"/>
  <c r="E188" i="33"/>
  <c r="C191" i="33"/>
  <c r="E191" i="33" s="1"/>
  <c r="E192" i="33"/>
  <c r="L180" i="28"/>
  <c r="M180" i="28" s="1"/>
  <c r="E185" i="33"/>
  <c r="E180" i="28"/>
  <c r="I180" i="28"/>
  <c r="E238" i="33"/>
  <c r="I237" i="28"/>
  <c r="Q235" i="33"/>
  <c r="K237" i="28"/>
  <c r="L245" i="33"/>
  <c r="H245" i="33"/>
  <c r="U238" i="33"/>
  <c r="I235" i="33"/>
  <c r="I236" i="33"/>
  <c r="E235" i="33"/>
  <c r="M238" i="33"/>
  <c r="E163" i="33"/>
  <c r="I157" i="33"/>
  <c r="I144" i="28"/>
  <c r="E128" i="33"/>
  <c r="M236" i="33"/>
  <c r="T245" i="33"/>
  <c r="E239" i="33"/>
  <c r="I233" i="31"/>
  <c r="Q234" i="31"/>
  <c r="K233" i="31"/>
  <c r="K157" i="31"/>
  <c r="K157" i="33" s="1"/>
  <c r="M157" i="33" s="1"/>
  <c r="E144" i="31"/>
  <c r="Y144" i="31" s="1"/>
  <c r="Y67" i="31"/>
  <c r="W67" i="31"/>
  <c r="I73" i="31"/>
  <c r="I68" i="32"/>
  <c r="K68" i="32"/>
  <c r="I69" i="30"/>
  <c r="K51" i="30"/>
  <c r="I51" i="30"/>
  <c r="E51" i="30"/>
  <c r="S68" i="39"/>
  <c r="Q68" i="39"/>
  <c r="M66" i="39"/>
  <c r="O66" i="39"/>
  <c r="I66" i="39"/>
  <c r="M68" i="39"/>
  <c r="E54" i="9"/>
  <c r="G54" i="9"/>
  <c r="G54" i="33" s="1"/>
  <c r="I54" i="33" s="1"/>
  <c r="H17" i="23"/>
  <c r="L17" i="23" s="1"/>
  <c r="P17" i="23" s="1"/>
  <c r="T17" i="23" s="1"/>
  <c r="P103" i="28"/>
  <c r="T103" i="28" s="1"/>
  <c r="I103" i="28"/>
  <c r="K103" i="28"/>
  <c r="E8" i="9"/>
  <c r="K17" i="29"/>
  <c r="H17" i="29"/>
  <c r="E17" i="29"/>
  <c r="K18" i="39"/>
  <c r="K17" i="23"/>
  <c r="K17" i="9"/>
  <c r="I17" i="9"/>
  <c r="E18" i="9"/>
  <c r="H18" i="9"/>
  <c r="L18" i="9" s="1"/>
  <c r="P18" i="9" s="1"/>
  <c r="T18" i="9" s="1"/>
  <c r="O18" i="9"/>
  <c r="K19" i="9"/>
  <c r="K20" i="9"/>
  <c r="E17" i="9"/>
  <c r="H20" i="9"/>
  <c r="L20" i="9" s="1"/>
  <c r="P20" i="9" s="1"/>
  <c r="T20" i="9" s="1"/>
  <c r="I6" i="9"/>
  <c r="K6" i="9"/>
  <c r="K7" i="9"/>
  <c r="D7" i="9"/>
  <c r="E6" i="9"/>
  <c r="X8" i="9"/>
  <c r="O8" i="9"/>
  <c r="M8" i="9"/>
  <c r="I8" i="9"/>
  <c r="H62" i="28"/>
  <c r="L62" i="28" s="1"/>
  <c r="T35" i="28"/>
  <c r="T34" i="28"/>
  <c r="S35" i="28"/>
  <c r="S34" i="28"/>
  <c r="P35" i="28"/>
  <c r="P34" i="28"/>
  <c r="L35" i="28"/>
  <c r="L34" i="28"/>
  <c r="K35" i="28"/>
  <c r="K34" i="28"/>
  <c r="O35" i="28"/>
  <c r="O34" i="28"/>
  <c r="H35" i="28"/>
  <c r="H34" i="28"/>
  <c r="G35" i="28"/>
  <c r="G34" i="28"/>
  <c r="D31" i="28"/>
  <c r="D30" i="28"/>
  <c r="C17" i="28"/>
  <c r="K23" i="28"/>
  <c r="K30" i="28" s="1"/>
  <c r="K20" i="28"/>
  <c r="O20" i="28" s="1"/>
  <c r="K202" i="28" l="1"/>
  <c r="K198" i="28"/>
  <c r="G55" i="33"/>
  <c r="I55" i="33" s="1"/>
  <c r="K55" i="24"/>
  <c r="S55" i="24" s="1"/>
  <c r="I17" i="23"/>
  <c r="Q73" i="31"/>
  <c r="W73" i="31"/>
  <c r="I70" i="28"/>
  <c r="P144" i="28"/>
  <c r="P144" i="33" s="1"/>
  <c r="M144" i="28"/>
  <c r="O144" i="28"/>
  <c r="S144" i="28" s="1"/>
  <c r="W144" i="28" s="1"/>
  <c r="G70" i="33"/>
  <c r="I70" i="33" s="1"/>
  <c r="W35" i="28"/>
  <c r="X34" i="28"/>
  <c r="X35" i="28"/>
  <c r="W34" i="28"/>
  <c r="E20" i="9"/>
  <c r="I68" i="33"/>
  <c r="H19" i="9"/>
  <c r="L19" i="9" s="1"/>
  <c r="P19" i="9" s="1"/>
  <c r="T19" i="9" s="1"/>
  <c r="D19" i="33"/>
  <c r="O67" i="39"/>
  <c r="M67" i="39"/>
  <c r="M69" i="39"/>
  <c r="I144" i="33"/>
  <c r="K153" i="33"/>
  <c r="M153" i="33" s="1"/>
  <c r="O153" i="29"/>
  <c r="S229" i="29"/>
  <c r="S229" i="33" s="1"/>
  <c r="U229" i="33" s="1"/>
  <c r="O229" i="33"/>
  <c r="Q229" i="33" s="1"/>
  <c r="U234" i="31"/>
  <c r="Y234" i="31" s="1"/>
  <c r="C33" i="28"/>
  <c r="C17" i="33"/>
  <c r="E17" i="33" s="1"/>
  <c r="D31" i="33"/>
  <c r="C23" i="33"/>
  <c r="E23" i="33" s="1"/>
  <c r="P62" i="28"/>
  <c r="H18" i="39"/>
  <c r="I18" i="39" s="1"/>
  <c r="D18" i="33"/>
  <c r="E18" i="33" s="1"/>
  <c r="I18" i="9"/>
  <c r="M18" i="9"/>
  <c r="M144" i="33"/>
  <c r="T68" i="9"/>
  <c r="T68" i="33" s="1"/>
  <c r="P68" i="33"/>
  <c r="H7" i="9"/>
  <c r="L7" i="9" s="1"/>
  <c r="P7" i="9" s="1"/>
  <c r="T7" i="9" s="1"/>
  <c r="D7" i="33"/>
  <c r="E7" i="9"/>
  <c r="S73" i="33"/>
  <c r="U73" i="33" s="1"/>
  <c r="K70" i="33"/>
  <c r="M70" i="33" s="1"/>
  <c r="O68" i="9"/>
  <c r="L220" i="28"/>
  <c r="H220" i="33"/>
  <c r="K220" i="28"/>
  <c r="G220" i="33"/>
  <c r="I220" i="28"/>
  <c r="T219" i="28"/>
  <c r="T219" i="33" s="1"/>
  <c r="P219" i="33"/>
  <c r="X219" i="28"/>
  <c r="O219" i="28"/>
  <c r="M219" i="28"/>
  <c r="L201" i="28"/>
  <c r="L198" i="28"/>
  <c r="L202" i="28"/>
  <c r="P190" i="28"/>
  <c r="O190" i="28"/>
  <c r="M190" i="28"/>
  <c r="P180" i="28"/>
  <c r="O237" i="28"/>
  <c r="M237" i="28"/>
  <c r="L143" i="33"/>
  <c r="O233" i="31"/>
  <c r="M233" i="31"/>
  <c r="W234" i="31"/>
  <c r="O157" i="31"/>
  <c r="O157" i="33" s="1"/>
  <c r="Q157" i="33" s="1"/>
  <c r="M157" i="31"/>
  <c r="M71" i="31"/>
  <c r="O68" i="32"/>
  <c r="M68" i="32"/>
  <c r="M69" i="30"/>
  <c r="O51" i="30"/>
  <c r="M51" i="30"/>
  <c r="S66" i="39"/>
  <c r="Q66" i="39"/>
  <c r="E18" i="39"/>
  <c r="K55" i="33"/>
  <c r="M55" i="33" s="1"/>
  <c r="I55" i="24"/>
  <c r="K54" i="9"/>
  <c r="K54" i="33" s="1"/>
  <c r="M54" i="33" s="1"/>
  <c r="I54" i="9"/>
  <c r="E19" i="9"/>
  <c r="X103" i="28"/>
  <c r="O103" i="28"/>
  <c r="M103" i="28"/>
  <c r="O70" i="28"/>
  <c r="M70" i="28"/>
  <c r="L17" i="29"/>
  <c r="M17" i="29" s="1"/>
  <c r="O17" i="29"/>
  <c r="I17" i="29"/>
  <c r="O18" i="39"/>
  <c r="O17" i="23"/>
  <c r="M17" i="23"/>
  <c r="O19" i="9"/>
  <c r="Q18" i="9"/>
  <c r="S18" i="9"/>
  <c r="O20" i="9"/>
  <c r="M20" i="9"/>
  <c r="I20" i="9"/>
  <c r="O17" i="9"/>
  <c r="M17" i="9"/>
  <c r="O6" i="9"/>
  <c r="M6" i="9"/>
  <c r="O7" i="9"/>
  <c r="S8" i="9"/>
  <c r="U8" i="9" s="1"/>
  <c r="Q8" i="9"/>
  <c r="O9" i="28"/>
  <c r="O10" i="28"/>
  <c r="G11" i="28"/>
  <c r="K11" i="28" s="1"/>
  <c r="O11" i="28" s="1"/>
  <c r="S11" i="28" s="1"/>
  <c r="H10" i="28"/>
  <c r="H11" i="28"/>
  <c r="H12" i="28"/>
  <c r="H6" i="28"/>
  <c r="H7" i="28"/>
  <c r="O202" i="28" l="1"/>
  <c r="O198" i="28"/>
  <c r="U73" i="31"/>
  <c r="Y73" i="31" s="1"/>
  <c r="O144" i="33"/>
  <c r="Q144" i="33" s="1"/>
  <c r="T144" i="28"/>
  <c r="T144" i="33" s="1"/>
  <c r="W8" i="9"/>
  <c r="Y8" i="9"/>
  <c r="M19" i="9"/>
  <c r="I19" i="9"/>
  <c r="I7" i="9"/>
  <c r="M7" i="9"/>
  <c r="Q144" i="28"/>
  <c r="S69" i="39"/>
  <c r="Q69" i="39"/>
  <c r="S67" i="39"/>
  <c r="Q67" i="39"/>
  <c r="O153" i="33"/>
  <c r="Q153" i="33" s="1"/>
  <c r="S153" i="29"/>
  <c r="T62" i="28"/>
  <c r="L18" i="39"/>
  <c r="I220" i="33"/>
  <c r="O70" i="33"/>
  <c r="Q70" i="33" s="1"/>
  <c r="Q70" i="39"/>
  <c r="S68" i="9"/>
  <c r="W11" i="28"/>
  <c r="S219" i="28"/>
  <c r="Q219" i="28"/>
  <c r="W219" i="28"/>
  <c r="O220" i="28"/>
  <c r="M220" i="28"/>
  <c r="K220" i="33"/>
  <c r="P220" i="28"/>
  <c r="L220" i="33"/>
  <c r="P198" i="28"/>
  <c r="P201" i="28"/>
  <c r="S190" i="28"/>
  <c r="Q190" i="28"/>
  <c r="T190" i="28"/>
  <c r="X190" i="28" s="1"/>
  <c r="P202" i="28"/>
  <c r="T180" i="28"/>
  <c r="Q180" i="28"/>
  <c r="W180" i="28"/>
  <c r="S237" i="28"/>
  <c r="Q237" i="28"/>
  <c r="U144" i="28"/>
  <c r="P143" i="33"/>
  <c r="S233" i="31"/>
  <c r="Q233" i="31"/>
  <c r="W233" i="31"/>
  <c r="S157" i="31"/>
  <c r="Q157" i="31"/>
  <c r="Q71" i="31"/>
  <c r="S68" i="32"/>
  <c r="U68" i="32" s="1"/>
  <c r="Q68" i="32"/>
  <c r="U69" i="30"/>
  <c r="Q69" i="30"/>
  <c r="S51" i="30"/>
  <c r="Q51" i="30"/>
  <c r="S144" i="33"/>
  <c r="O55" i="33"/>
  <c r="Q55" i="33" s="1"/>
  <c r="M55" i="24"/>
  <c r="O54" i="9"/>
  <c r="O54" i="33" s="1"/>
  <c r="Q54" i="33" s="1"/>
  <c r="M54" i="9"/>
  <c r="S103" i="28"/>
  <c r="U103" i="28" s="1"/>
  <c r="Q103" i="28"/>
  <c r="Y103" i="28" s="1"/>
  <c r="W103" i="28"/>
  <c r="S70" i="28"/>
  <c r="U70" i="28" s="1"/>
  <c r="Q70" i="28"/>
  <c r="L7" i="28"/>
  <c r="L6" i="28"/>
  <c r="P6" i="28" s="1"/>
  <c r="T6" i="28" s="1"/>
  <c r="S10" i="28"/>
  <c r="S9" i="28"/>
  <c r="P17" i="29"/>
  <c r="Q17" i="29" s="1"/>
  <c r="S17" i="29"/>
  <c r="S18" i="39"/>
  <c r="S17" i="23"/>
  <c r="Q17" i="23"/>
  <c r="S20" i="9"/>
  <c r="Q20" i="9"/>
  <c r="S17" i="9"/>
  <c r="Q17" i="9"/>
  <c r="Q19" i="9"/>
  <c r="S19" i="9"/>
  <c r="S7" i="9"/>
  <c r="Q7" i="9"/>
  <c r="Q6" i="9"/>
  <c r="S6" i="9"/>
  <c r="W190" i="28" l="1"/>
  <c r="S202" i="28"/>
  <c r="S198" i="28"/>
  <c r="X144" i="28"/>
  <c r="U144" i="33"/>
  <c r="Y144" i="28"/>
  <c r="W68" i="32"/>
  <c r="Y68" i="32"/>
  <c r="Y69" i="30"/>
  <c r="S70" i="33"/>
  <c r="U70" i="33" s="1"/>
  <c r="W70" i="28"/>
  <c r="U233" i="31"/>
  <c r="Y233" i="31" s="1"/>
  <c r="U157" i="31"/>
  <c r="Y157" i="31" s="1"/>
  <c r="S157" i="33"/>
  <c r="U157" i="33" s="1"/>
  <c r="Y70" i="28"/>
  <c r="P18" i="39"/>
  <c r="M18" i="39"/>
  <c r="X180" i="28"/>
  <c r="P7" i="28"/>
  <c r="T7" i="28" s="1"/>
  <c r="U71" i="31"/>
  <c r="Y71" i="31" s="1"/>
  <c r="W71" i="31"/>
  <c r="O220" i="33"/>
  <c r="S220" i="28"/>
  <c r="W220" i="28" s="1"/>
  <c r="Q220" i="28"/>
  <c r="P220" i="33"/>
  <c r="T220" i="28"/>
  <c r="T220" i="33" s="1"/>
  <c r="M220" i="33"/>
  <c r="U219" i="28"/>
  <c r="Y219" i="28" s="1"/>
  <c r="T198" i="28"/>
  <c r="T201" i="28"/>
  <c r="T202" i="28"/>
  <c r="U190" i="28"/>
  <c r="Y190" i="28" s="1"/>
  <c r="U180" i="28"/>
  <c r="Y180" i="28" s="1"/>
  <c r="U237" i="28"/>
  <c r="Y237" i="28" s="1"/>
  <c r="W237" i="28"/>
  <c r="T143" i="33"/>
  <c r="W157" i="31"/>
  <c r="W69" i="30"/>
  <c r="W55" i="24"/>
  <c r="Q55" i="24"/>
  <c r="S54" i="9"/>
  <c r="Q54" i="9"/>
  <c r="W54" i="9"/>
  <c r="X6" i="28"/>
  <c r="W10" i="28"/>
  <c r="T17" i="29"/>
  <c r="X220" i="28" l="1"/>
  <c r="U55" i="24"/>
  <c r="S55" i="33"/>
  <c r="U55" i="33" s="1"/>
  <c r="Y55" i="24"/>
  <c r="T18" i="39"/>
  <c r="Q18" i="39"/>
  <c r="U54" i="9"/>
  <c r="Y54" i="9" s="1"/>
  <c r="S54" i="33"/>
  <c r="U54" i="33" s="1"/>
  <c r="S220" i="33"/>
  <c r="U220" i="33" s="1"/>
  <c r="U220" i="28"/>
  <c r="Y220" i="28" s="1"/>
  <c r="Q220" i="33"/>
  <c r="X7" i="28" l="1"/>
  <c r="D9" i="28" l="1"/>
  <c r="D9" i="33" l="1"/>
  <c r="H9" i="28"/>
  <c r="L9" i="28" s="1"/>
  <c r="P9" i="28" s="1"/>
  <c r="T9" i="28" s="1"/>
  <c r="X249" i="33"/>
  <c r="X9" i="28" l="1"/>
  <c r="Y177" i="33"/>
  <c r="D121" i="33" l="1"/>
  <c r="U29" i="28"/>
  <c r="Q29" i="28"/>
  <c r="M29" i="28"/>
  <c r="I35" i="28"/>
  <c r="I29" i="28"/>
  <c r="I20" i="28"/>
  <c r="I11" i="28"/>
  <c r="I10" i="28"/>
  <c r="H17" i="28"/>
  <c r="H19" i="28"/>
  <c r="H23" i="28"/>
  <c r="G24" i="28"/>
  <c r="H24" i="28"/>
  <c r="G25" i="28"/>
  <c r="H25" i="28"/>
  <c r="I34" i="28"/>
  <c r="E34" i="28"/>
  <c r="E35" i="28"/>
  <c r="E11" i="28"/>
  <c r="H33" i="28" l="1"/>
  <c r="I25" i="28"/>
  <c r="G31" i="28"/>
  <c r="I23" i="28"/>
  <c r="H30" i="28"/>
  <c r="I19" i="28"/>
  <c r="H31" i="28"/>
  <c r="I24" i="28"/>
  <c r="I17" i="28"/>
  <c r="Y122" i="33" l="1"/>
  <c r="D231" i="33"/>
  <c r="D155" i="33"/>
  <c r="H141" i="33"/>
  <c r="D63" i="33"/>
  <c r="P231" i="33"/>
  <c r="T141" i="33"/>
  <c r="L155" i="33"/>
  <c r="D99" i="33"/>
  <c r="K141" i="33"/>
  <c r="H155" i="33"/>
  <c r="D49" i="33"/>
  <c r="G141" i="33"/>
  <c r="L141" i="33"/>
  <c r="O141" i="33"/>
  <c r="T49" i="33"/>
  <c r="P141" i="33"/>
  <c r="P49" i="33"/>
  <c r="D173" i="33"/>
  <c r="P173" i="33"/>
  <c r="D217" i="33"/>
  <c r="H49" i="33"/>
  <c r="S141" i="33"/>
  <c r="T155" i="33"/>
  <c r="H217" i="33"/>
  <c r="P155" i="33"/>
  <c r="T173" i="33"/>
  <c r="T217" i="33"/>
  <c r="H173" i="33"/>
  <c r="L173" i="33"/>
  <c r="H231" i="33"/>
  <c r="T231" i="33"/>
  <c r="L217" i="33"/>
  <c r="L231" i="33"/>
  <c r="L49" i="33"/>
  <c r="P217" i="33"/>
  <c r="I141" i="33" l="1"/>
  <c r="M141" i="33"/>
  <c r="Q141" i="33"/>
  <c r="U141" i="33"/>
  <c r="X211" i="28" l="1"/>
  <c r="O211" i="28"/>
  <c r="O211" i="33" s="1"/>
  <c r="Q211" i="33" s="1"/>
  <c r="M211" i="28"/>
  <c r="I211" i="28" l="1"/>
  <c r="E10" i="28"/>
  <c r="S211" i="28"/>
  <c r="S211" i="33" s="1"/>
  <c r="U211" i="33" s="1"/>
  <c r="Q211" i="28"/>
  <c r="E211" i="28"/>
  <c r="L10" i="28"/>
  <c r="U211" i="28" l="1"/>
  <c r="D85" i="33"/>
  <c r="M10" i="28"/>
  <c r="Y211" i="28"/>
  <c r="W211" i="28"/>
  <c r="P10" i="28"/>
  <c r="Q10" i="28" s="1"/>
  <c r="T10" i="28" l="1"/>
  <c r="U10" i="28" s="1"/>
  <c r="X10" i="28" l="1"/>
  <c r="Y10" i="28" s="1"/>
  <c r="D141" i="33"/>
  <c r="S180" i="30"/>
  <c r="O166" i="28" l="1"/>
  <c r="O166" i="33" s="1"/>
  <c r="Q166" i="33" s="1"/>
  <c r="S166" i="28" l="1"/>
  <c r="S166" i="33" s="1"/>
  <c r="U166" i="33" s="1"/>
  <c r="H52" i="28" l="1"/>
  <c r="H52" i="33" s="1"/>
  <c r="L52" i="28" l="1"/>
  <c r="L52" i="33" s="1"/>
  <c r="P52" i="28" l="1"/>
  <c r="C6" i="28"/>
  <c r="C7" i="39"/>
  <c r="C6" i="33" l="1"/>
  <c r="C7" i="33"/>
  <c r="E7" i="33" s="1"/>
  <c r="G7" i="28"/>
  <c r="G6" i="28"/>
  <c r="E19" i="28"/>
  <c r="E7" i="28"/>
  <c r="T52" i="28"/>
  <c r="D15" i="28"/>
  <c r="D32" i="28" s="1"/>
  <c r="E6" i="28"/>
  <c r="K6" i="28" l="1"/>
  <c r="O6" i="28" s="1"/>
  <c r="S6" i="28" s="1"/>
  <c r="K7" i="28"/>
  <c r="O7" i="28" s="1"/>
  <c r="Q7" i="28" s="1"/>
  <c r="H26" i="28"/>
  <c r="H15" i="28"/>
  <c r="I6" i="28"/>
  <c r="I26" i="28"/>
  <c r="G26" i="28"/>
  <c r="I33" i="28"/>
  <c r="I7" i="28"/>
  <c r="M7" i="28" l="1"/>
  <c r="W6" i="28"/>
  <c r="S7" i="28"/>
  <c r="U7" i="28" s="1"/>
  <c r="H32" i="28"/>
  <c r="M6" i="28"/>
  <c r="C195" i="33"/>
  <c r="H27" i="28"/>
  <c r="W7" i="28" l="1"/>
  <c r="Y7" i="28" s="1"/>
  <c r="Q6" i="28"/>
  <c r="U6" i="28" l="1"/>
  <c r="Y6" i="28" l="1"/>
  <c r="D57" i="33"/>
  <c r="X236" i="31"/>
  <c r="U236" i="31"/>
  <c r="M236" i="31"/>
  <c r="E236" i="31"/>
  <c r="X161" i="31"/>
  <c r="C158" i="23"/>
  <c r="O236" i="31" l="1"/>
  <c r="H57" i="33"/>
  <c r="G237" i="33"/>
  <c r="I236" i="31"/>
  <c r="W236" i="31"/>
  <c r="E161" i="31"/>
  <c r="G161" i="31"/>
  <c r="G161" i="33" s="1"/>
  <c r="I161" i="33" s="1"/>
  <c r="I237" i="33" l="1"/>
  <c r="Q236" i="31"/>
  <c r="Y236" i="31" s="1"/>
  <c r="O236" i="33"/>
  <c r="P52" i="9"/>
  <c r="L57" i="33"/>
  <c r="I161" i="31"/>
  <c r="K161" i="31"/>
  <c r="K161" i="33" s="1"/>
  <c r="M161" i="33" s="1"/>
  <c r="O237" i="33" l="1"/>
  <c r="Q237" i="33" s="1"/>
  <c r="K237" i="33"/>
  <c r="Q236" i="33"/>
  <c r="T52" i="33"/>
  <c r="P52" i="33"/>
  <c r="O161" i="31"/>
  <c r="O161" i="33" s="1"/>
  <c r="Q161" i="33" s="1"/>
  <c r="M161" i="31"/>
  <c r="S237" i="33" l="1"/>
  <c r="M237" i="33"/>
  <c r="T57" i="33"/>
  <c r="P57" i="33"/>
  <c r="Q161" i="31"/>
  <c r="S161" i="31"/>
  <c r="S161" i="33" s="1"/>
  <c r="U161" i="33" s="1"/>
  <c r="U237" i="33" l="1"/>
  <c r="U161" i="31"/>
  <c r="Y161" i="31" s="1"/>
  <c r="W161" i="31"/>
  <c r="D225" i="33" l="1"/>
  <c r="S20" i="28"/>
  <c r="D20" i="28"/>
  <c r="D15" i="33"/>
  <c r="G8" i="30"/>
  <c r="K8" i="30" s="1"/>
  <c r="O8" i="30" s="1"/>
  <c r="S8" i="30" s="1"/>
  <c r="H7" i="39"/>
  <c r="G7" i="39"/>
  <c r="I7" i="39" s="1"/>
  <c r="E7" i="39"/>
  <c r="H8" i="30"/>
  <c r="L8" i="30" s="1"/>
  <c r="E8" i="30"/>
  <c r="X234" i="29"/>
  <c r="G234" i="33"/>
  <c r="I234" i="33" s="1"/>
  <c r="C234" i="29"/>
  <c r="E234" i="29" s="1"/>
  <c r="C160" i="29"/>
  <c r="C160" i="33" s="1"/>
  <c r="E160" i="33" s="1"/>
  <c r="G160" i="33"/>
  <c r="I160" i="33" s="1"/>
  <c r="X229" i="29"/>
  <c r="E229" i="29"/>
  <c r="X153" i="29"/>
  <c r="U153" i="29"/>
  <c r="Q153" i="29"/>
  <c r="M153" i="29"/>
  <c r="I153" i="29"/>
  <c r="E153" i="29"/>
  <c r="O212" i="28"/>
  <c r="O212" i="33" s="1"/>
  <c r="Q212" i="33" s="1"/>
  <c r="G52" i="28"/>
  <c r="G52" i="33" s="1"/>
  <c r="I52" i="33" s="1"/>
  <c r="O74" i="28"/>
  <c r="O74" i="33" s="1"/>
  <c r="Q74" i="33" s="1"/>
  <c r="D20" i="33" l="1"/>
  <c r="D33" i="28"/>
  <c r="W20" i="28"/>
  <c r="U229" i="29"/>
  <c r="D149" i="33"/>
  <c r="Q229" i="29"/>
  <c r="E20" i="28"/>
  <c r="I234" i="29"/>
  <c r="M229" i="29"/>
  <c r="E23" i="28"/>
  <c r="I8" i="30"/>
  <c r="W229" i="29"/>
  <c r="I229" i="29"/>
  <c r="K7" i="39"/>
  <c r="L7" i="39"/>
  <c r="P7" i="39" s="1"/>
  <c r="T7" i="39" s="1"/>
  <c r="P8" i="30"/>
  <c r="T8" i="30" s="1"/>
  <c r="K234" i="33"/>
  <c r="M234" i="33" s="1"/>
  <c r="Y153" i="29"/>
  <c r="W153" i="29"/>
  <c r="D99" i="28"/>
  <c r="D119" i="28" s="1"/>
  <c r="C19" i="33"/>
  <c r="E19" i="33" s="1"/>
  <c r="E119" i="28" l="1"/>
  <c r="C12" i="33"/>
  <c r="E12" i="33" s="1"/>
  <c r="G12" i="28"/>
  <c r="H149" i="33"/>
  <c r="X7" i="39"/>
  <c r="E12" i="28"/>
  <c r="Y229" i="29"/>
  <c r="O7" i="39"/>
  <c r="M7" i="39"/>
  <c r="X8" i="30"/>
  <c r="M8" i="30"/>
  <c r="M234" i="29"/>
  <c r="O234" i="29"/>
  <c r="O234" i="33" s="1"/>
  <c r="Q234" i="33" s="1"/>
  <c r="L12" i="28"/>
  <c r="G15" i="28" l="1"/>
  <c r="G32" i="28" s="1"/>
  <c r="K12" i="28"/>
  <c r="I12" i="28"/>
  <c r="L149" i="33"/>
  <c r="P12" i="28"/>
  <c r="S7" i="39"/>
  <c r="U7" i="39" s="1"/>
  <c r="Q7" i="39"/>
  <c r="U8" i="30"/>
  <c r="Q8" i="30"/>
  <c r="Y8" i="30" s="1"/>
  <c r="Q234" i="29"/>
  <c r="S234" i="29"/>
  <c r="S234" i="33" s="1"/>
  <c r="U234" i="33" s="1"/>
  <c r="O12" i="28" l="1"/>
  <c r="S12" i="28" s="1"/>
  <c r="W12" i="28"/>
  <c r="M12" i="28"/>
  <c r="U234" i="29"/>
  <c r="T149" i="33"/>
  <c r="P149" i="33"/>
  <c r="T12" i="28"/>
  <c r="X12" i="28" s="1"/>
  <c r="Y12" i="28" s="1"/>
  <c r="W234" i="29"/>
  <c r="Y234" i="29"/>
  <c r="Y7" i="39"/>
  <c r="W7" i="39"/>
  <c r="W8" i="30"/>
  <c r="Q12" i="28" l="1"/>
  <c r="H106" i="28"/>
  <c r="U12" i="28" l="1"/>
  <c r="C181" i="33" l="1"/>
  <c r="E181" i="33" s="1"/>
  <c r="C92" i="33" l="1"/>
  <c r="E92" i="33" s="1"/>
  <c r="E99" i="33" s="1"/>
  <c r="S93" i="30"/>
  <c r="C99" i="33" l="1"/>
  <c r="H93" i="30"/>
  <c r="E93" i="30"/>
  <c r="G6" i="30"/>
  <c r="K6" i="30" s="1"/>
  <c r="C233" i="33"/>
  <c r="E233" i="33" s="1"/>
  <c r="C158" i="29"/>
  <c r="C158" i="33" s="1"/>
  <c r="E158" i="33" s="1"/>
  <c r="C65" i="29"/>
  <c r="C65" i="33" s="1"/>
  <c r="E65" i="33" s="1"/>
  <c r="E69" i="38"/>
  <c r="I69" i="38"/>
  <c r="M69" i="38"/>
  <c r="Q69" i="38"/>
  <c r="U69" i="38"/>
  <c r="W69" i="38"/>
  <c r="X69" i="38"/>
  <c r="C127" i="28"/>
  <c r="C127" i="33" s="1"/>
  <c r="E127" i="33" s="1"/>
  <c r="G76" i="28"/>
  <c r="G76" i="33" s="1"/>
  <c r="I76" i="33" s="1"/>
  <c r="C76" i="28"/>
  <c r="C76" i="33" s="1"/>
  <c r="E76" i="33" s="1"/>
  <c r="S25" i="28"/>
  <c r="S31" i="28" s="1"/>
  <c r="O25" i="28"/>
  <c r="O31" i="28" s="1"/>
  <c r="C25" i="28"/>
  <c r="C25" i="33" l="1"/>
  <c r="E25" i="33" s="1"/>
  <c r="C31" i="28"/>
  <c r="E141" i="33"/>
  <c r="C141" i="33"/>
  <c r="O6" i="30"/>
  <c r="S6" i="30" s="1"/>
  <c r="E25" i="28"/>
  <c r="G210" i="28"/>
  <c r="G210" i="33" s="1"/>
  <c r="I210" i="33" s="1"/>
  <c r="I93" i="30"/>
  <c r="Y69" i="38"/>
  <c r="K93" i="30"/>
  <c r="L93" i="30"/>
  <c r="P93" i="30" s="1"/>
  <c r="T93" i="30" s="1"/>
  <c r="I217" i="33" l="1"/>
  <c r="C217" i="33"/>
  <c r="E217" i="33"/>
  <c r="G217" i="33"/>
  <c r="X93" i="30"/>
  <c r="M93" i="30"/>
  <c r="C67" i="23"/>
  <c r="C180" i="9"/>
  <c r="C180" i="33" s="1"/>
  <c r="E180" i="33" s="1"/>
  <c r="C101" i="39"/>
  <c r="C101" i="33" s="1"/>
  <c r="E101" i="33" s="1"/>
  <c r="C20" i="39"/>
  <c r="C20" i="33" s="1"/>
  <c r="E20" i="33" s="1"/>
  <c r="C227" i="29"/>
  <c r="G181" i="29"/>
  <c r="H181" i="29"/>
  <c r="C151" i="29"/>
  <c r="G93" i="29"/>
  <c r="H93" i="29"/>
  <c r="G67" i="23" l="1"/>
  <c r="K67" i="23" s="1"/>
  <c r="O67" i="23" s="1"/>
  <c r="S67" i="23" s="1"/>
  <c r="C67" i="33"/>
  <c r="E67" i="33" s="1"/>
  <c r="C112" i="33"/>
  <c r="C113" i="33" s="1"/>
  <c r="D195" i="33"/>
  <c r="E195" i="33"/>
  <c r="G151" i="29"/>
  <c r="K151" i="29" s="1"/>
  <c r="O151" i="29" s="1"/>
  <c r="S151" i="29" s="1"/>
  <c r="G227" i="29"/>
  <c r="I93" i="29"/>
  <c r="E181" i="29"/>
  <c r="E93" i="29"/>
  <c r="U93" i="30"/>
  <c r="Q93" i="30"/>
  <c r="I181" i="29"/>
  <c r="K181" i="29"/>
  <c r="L181" i="29"/>
  <c r="P181" i="29" s="1"/>
  <c r="T181" i="29" s="1"/>
  <c r="X181" i="29" s="1"/>
  <c r="K93" i="29"/>
  <c r="L93" i="29"/>
  <c r="P93" i="29" s="1"/>
  <c r="T93" i="29" s="1"/>
  <c r="C59" i="33"/>
  <c r="E59" i="33" s="1"/>
  <c r="G31" i="29"/>
  <c r="H7" i="29"/>
  <c r="C234" i="32"/>
  <c r="C234" i="33" s="1"/>
  <c r="Y93" i="30" l="1"/>
  <c r="C245" i="33"/>
  <c r="E234" i="33"/>
  <c r="E245" i="33" s="1"/>
  <c r="K227" i="29"/>
  <c r="W93" i="30"/>
  <c r="M181" i="29"/>
  <c r="O181" i="29"/>
  <c r="M93" i="29"/>
  <c r="O93" i="29"/>
  <c r="X93" i="29"/>
  <c r="E7" i="29"/>
  <c r="I7" i="29"/>
  <c r="L7" i="29"/>
  <c r="P7" i="29" s="1"/>
  <c r="T7" i="29" s="1"/>
  <c r="C41" i="32"/>
  <c r="C41" i="33" s="1"/>
  <c r="E41" i="33" s="1"/>
  <c r="S181" i="29" l="1"/>
  <c r="E225" i="33"/>
  <c r="C225" i="33"/>
  <c r="O227" i="29"/>
  <c r="Q181" i="29"/>
  <c r="Q93" i="29"/>
  <c r="S93" i="29"/>
  <c r="X7" i="29"/>
  <c r="O7" i="29"/>
  <c r="M7" i="29"/>
  <c r="S227" i="29" l="1"/>
  <c r="U181" i="29"/>
  <c r="Y181" i="29" s="1"/>
  <c r="U93" i="29"/>
  <c r="W181" i="29"/>
  <c r="Y93" i="29"/>
  <c r="W93" i="29"/>
  <c r="S7" i="29"/>
  <c r="W7" i="29" s="1"/>
  <c r="Q7" i="29"/>
  <c r="U7" i="29" l="1"/>
  <c r="Y7" i="29" s="1"/>
  <c r="C227" i="31"/>
  <c r="C227" i="33" s="1"/>
  <c r="E227" i="33" s="1"/>
  <c r="C151" i="31"/>
  <c r="C151" i="33" s="1"/>
  <c r="E151" i="33" s="1"/>
  <c r="C61" i="31"/>
  <c r="C61" i="33" s="1"/>
  <c r="E61" i="33" s="1"/>
  <c r="E181" i="9"/>
  <c r="C51" i="33"/>
  <c r="E51" i="33" s="1"/>
  <c r="X66" i="24"/>
  <c r="U66" i="24"/>
  <c r="Q66" i="24"/>
  <c r="M66" i="24"/>
  <c r="I66" i="24"/>
  <c r="E66" i="24"/>
  <c r="C9" i="33" l="1"/>
  <c r="E9" i="33" s="1"/>
  <c r="W9" i="28"/>
  <c r="E63" i="33"/>
  <c r="C63" i="33"/>
  <c r="E9" i="28"/>
  <c r="K51" i="31"/>
  <c r="O51" i="31" s="1"/>
  <c r="C186" i="33"/>
  <c r="C196" i="33" s="1"/>
  <c r="E6" i="33"/>
  <c r="G181" i="9"/>
  <c r="Y66" i="24"/>
  <c r="W66" i="24"/>
  <c r="Y9" i="28" l="1"/>
  <c r="W15" i="28"/>
  <c r="E57" i="33"/>
  <c r="C57" i="33"/>
  <c r="I9" i="28"/>
  <c r="I15" i="28" s="1"/>
  <c r="I27" i="28" s="1"/>
  <c r="E15" i="33"/>
  <c r="C15" i="33"/>
  <c r="X181" i="9"/>
  <c r="K181" i="9"/>
  <c r="I181" i="9"/>
  <c r="G27" i="28" l="1"/>
  <c r="M181" i="9"/>
  <c r="O181" i="9"/>
  <c r="I32" i="28" l="1"/>
  <c r="Q181" i="9"/>
  <c r="S181" i="9"/>
  <c r="U181" i="9" s="1"/>
  <c r="Y181" i="9" l="1"/>
  <c r="W181" i="9"/>
  <c r="S212" i="28" l="1"/>
  <c r="S212" i="33" s="1"/>
  <c r="U212" i="33" s="1"/>
  <c r="S209" i="28"/>
  <c r="S209" i="33" s="1"/>
  <c r="U209" i="33" s="1"/>
  <c r="K209" i="28"/>
  <c r="K209" i="33" s="1"/>
  <c r="M209" i="33" s="1"/>
  <c r="M217" i="33" l="1"/>
  <c r="K217" i="33"/>
  <c r="E49" i="33" l="1"/>
  <c r="C49" i="33"/>
  <c r="H18" i="23" l="1"/>
  <c r="L18" i="23" s="1"/>
  <c r="P18" i="23" s="1"/>
  <c r="T18" i="23" s="1"/>
  <c r="H19" i="23"/>
  <c r="L19" i="23" s="1"/>
  <c r="P19" i="23" s="1"/>
  <c r="T19" i="23" s="1"/>
  <c r="H20" i="23"/>
  <c r="L20" i="23" s="1"/>
  <c r="P20" i="23" s="1"/>
  <c r="T20" i="23" s="1"/>
  <c r="H21" i="23"/>
  <c r="L21" i="23" s="1"/>
  <c r="P21" i="23" s="1"/>
  <c r="T21" i="23" s="1"/>
  <c r="H22" i="23"/>
  <c r="L22" i="23" s="1"/>
  <c r="P22" i="23" s="1"/>
  <c r="T22" i="23" s="1"/>
  <c r="H23" i="23"/>
  <c r="L23" i="23" s="1"/>
  <c r="P23" i="23" s="1"/>
  <c r="T23" i="23" s="1"/>
  <c r="H24" i="23"/>
  <c r="L24" i="23" s="1"/>
  <c r="P24" i="23" s="1"/>
  <c r="T24" i="23" s="1"/>
  <c r="H25" i="23"/>
  <c r="L25" i="23" s="1"/>
  <c r="P25" i="23" s="1"/>
  <c r="T25" i="23" s="1"/>
  <c r="G18" i="23"/>
  <c r="K18" i="23" s="1"/>
  <c r="O18" i="23" s="1"/>
  <c r="S18" i="23" s="1"/>
  <c r="G19" i="23"/>
  <c r="K19" i="23" s="1"/>
  <c r="O19" i="23" s="1"/>
  <c r="S19" i="23" s="1"/>
  <c r="G20" i="23"/>
  <c r="K20" i="23" s="1"/>
  <c r="O20" i="23" s="1"/>
  <c r="S20" i="23" s="1"/>
  <c r="G21" i="23"/>
  <c r="K21" i="23" s="1"/>
  <c r="O21" i="23" s="1"/>
  <c r="S21" i="23" s="1"/>
  <c r="G22" i="23"/>
  <c r="K22" i="23" s="1"/>
  <c r="O22" i="23" s="1"/>
  <c r="S22" i="23" s="1"/>
  <c r="G23" i="23"/>
  <c r="K23" i="23" s="1"/>
  <c r="O23" i="23" s="1"/>
  <c r="S23" i="23" s="1"/>
  <c r="G24" i="23"/>
  <c r="K24" i="23" s="1"/>
  <c r="O24" i="23" s="1"/>
  <c r="S24" i="23" s="1"/>
  <c r="G25" i="23"/>
  <c r="K25" i="23" s="1"/>
  <c r="O25" i="23" s="1"/>
  <c r="S25" i="23" s="1"/>
  <c r="H189" i="9"/>
  <c r="L189" i="9" s="1"/>
  <c r="H190" i="9"/>
  <c r="L190" i="9" s="1"/>
  <c r="P190" i="9" s="1"/>
  <c r="T190" i="9" s="1"/>
  <c r="H191" i="9"/>
  <c r="L191" i="9" s="1"/>
  <c r="P191" i="9" s="1"/>
  <c r="T191" i="9" s="1"/>
  <c r="H192" i="9"/>
  <c r="L192" i="9" s="1"/>
  <c r="P192" i="9" s="1"/>
  <c r="T192" i="9" s="1"/>
  <c r="H193" i="9"/>
  <c r="L193" i="9" s="1"/>
  <c r="P193" i="9" s="1"/>
  <c r="T193" i="9" s="1"/>
  <c r="H194" i="9"/>
  <c r="L194" i="9" s="1"/>
  <c r="P194" i="9" s="1"/>
  <c r="T194" i="9" s="1"/>
  <c r="G189" i="9"/>
  <c r="K189" i="9" s="1"/>
  <c r="O189" i="9" s="1"/>
  <c r="S189" i="9" s="1"/>
  <c r="G190" i="9"/>
  <c r="K190" i="9" s="1"/>
  <c r="O190" i="9" s="1"/>
  <c r="S190" i="9" s="1"/>
  <c r="G191" i="9"/>
  <c r="K191" i="9" s="1"/>
  <c r="O191" i="9" s="1"/>
  <c r="S191" i="9" s="1"/>
  <c r="G192" i="9"/>
  <c r="K192" i="9" s="1"/>
  <c r="O192" i="9" s="1"/>
  <c r="S192" i="9" s="1"/>
  <c r="G193" i="9"/>
  <c r="K193" i="9" s="1"/>
  <c r="O193" i="9" s="1"/>
  <c r="S193" i="9" s="1"/>
  <c r="G194" i="9"/>
  <c r="K194" i="9" s="1"/>
  <c r="O194" i="9" s="1"/>
  <c r="S194" i="9" s="1"/>
  <c r="H182" i="9"/>
  <c r="L182" i="9" s="1"/>
  <c r="P182" i="9" s="1"/>
  <c r="T182" i="9" s="1"/>
  <c r="H184" i="9"/>
  <c r="L184" i="9" s="1"/>
  <c r="P184" i="9" s="1"/>
  <c r="T184" i="9" s="1"/>
  <c r="H185" i="9"/>
  <c r="L185" i="9" s="1"/>
  <c r="P185" i="9" s="1"/>
  <c r="T185" i="9" s="1"/>
  <c r="H180" i="9"/>
  <c r="L180" i="9" s="1"/>
  <c r="P180" i="9" s="1"/>
  <c r="T180" i="9" s="1"/>
  <c r="G182" i="9"/>
  <c r="K182" i="9" s="1"/>
  <c r="O182" i="9" s="1"/>
  <c r="S182" i="9" s="1"/>
  <c r="G184" i="9"/>
  <c r="K184" i="9" s="1"/>
  <c r="O184" i="9" s="1"/>
  <c r="S184" i="9" s="1"/>
  <c r="G185" i="9"/>
  <c r="K185" i="9" s="1"/>
  <c r="O185" i="9" s="1"/>
  <c r="S185" i="9" s="1"/>
  <c r="G180" i="9"/>
  <c r="K180" i="9" s="1"/>
  <c r="O180" i="9" s="1"/>
  <c r="S180" i="9" s="1"/>
  <c r="H104" i="9"/>
  <c r="L104" i="9" s="1"/>
  <c r="P104" i="9" s="1"/>
  <c r="T104" i="9" s="1"/>
  <c r="H105" i="9"/>
  <c r="L105" i="9" s="1"/>
  <c r="P105" i="9" s="1"/>
  <c r="T105" i="9" s="1"/>
  <c r="H106" i="9"/>
  <c r="L106" i="9" s="1"/>
  <c r="P106" i="9" s="1"/>
  <c r="T106" i="9" s="1"/>
  <c r="H107" i="9"/>
  <c r="L107" i="9" s="1"/>
  <c r="P107" i="9" s="1"/>
  <c r="T107" i="9" s="1"/>
  <c r="H108" i="9"/>
  <c r="L108" i="9" s="1"/>
  <c r="P108" i="9" s="1"/>
  <c r="T108" i="9" s="1"/>
  <c r="H109" i="9"/>
  <c r="L109" i="9" s="1"/>
  <c r="P109" i="9" s="1"/>
  <c r="T109" i="9" s="1"/>
  <c r="H110" i="9"/>
  <c r="L110" i="9" s="1"/>
  <c r="P110" i="9" s="1"/>
  <c r="T110" i="9" s="1"/>
  <c r="H111" i="9"/>
  <c r="L111" i="9" s="1"/>
  <c r="P111" i="9" s="1"/>
  <c r="T111" i="9" s="1"/>
  <c r="G103" i="9"/>
  <c r="K103" i="9" s="1"/>
  <c r="O103" i="9" s="1"/>
  <c r="S103" i="9" s="1"/>
  <c r="G104" i="9"/>
  <c r="K104" i="9" s="1"/>
  <c r="O104" i="9" s="1"/>
  <c r="S104" i="9" s="1"/>
  <c r="G105" i="9"/>
  <c r="K105" i="9" s="1"/>
  <c r="O105" i="9" s="1"/>
  <c r="S105" i="9" s="1"/>
  <c r="G106" i="9"/>
  <c r="K106" i="9" s="1"/>
  <c r="O106" i="9" s="1"/>
  <c r="S106" i="9" s="1"/>
  <c r="G107" i="9"/>
  <c r="K107" i="9" s="1"/>
  <c r="O107" i="9" s="1"/>
  <c r="S107" i="9" s="1"/>
  <c r="G108" i="9"/>
  <c r="K108" i="9" s="1"/>
  <c r="O108" i="9" s="1"/>
  <c r="S108" i="9" s="1"/>
  <c r="G109" i="9"/>
  <c r="K109" i="9" s="1"/>
  <c r="O109" i="9" s="1"/>
  <c r="S109" i="9" s="1"/>
  <c r="G110" i="9"/>
  <c r="K110" i="9" s="1"/>
  <c r="O110" i="9" s="1"/>
  <c r="S110" i="9" s="1"/>
  <c r="G111" i="9"/>
  <c r="K111" i="9" s="1"/>
  <c r="O111" i="9" s="1"/>
  <c r="S111" i="9" s="1"/>
  <c r="H93" i="9"/>
  <c r="L93" i="9" s="1"/>
  <c r="P93" i="9" s="1"/>
  <c r="T93" i="9" s="1"/>
  <c r="H94" i="9"/>
  <c r="L94" i="9" s="1"/>
  <c r="P94" i="9" s="1"/>
  <c r="T94" i="9" s="1"/>
  <c r="H95" i="9"/>
  <c r="L95" i="9" s="1"/>
  <c r="P95" i="9" s="1"/>
  <c r="T95" i="9" s="1"/>
  <c r="H96" i="9"/>
  <c r="L96" i="9" s="1"/>
  <c r="P96" i="9" s="1"/>
  <c r="T96" i="9" s="1"/>
  <c r="H97" i="9"/>
  <c r="L97" i="9" s="1"/>
  <c r="P97" i="9" s="1"/>
  <c r="T97" i="9" s="1"/>
  <c r="H98" i="9"/>
  <c r="L98" i="9" s="1"/>
  <c r="P98" i="9" s="1"/>
  <c r="T98" i="9" s="1"/>
  <c r="G93" i="9"/>
  <c r="K93" i="9" s="1"/>
  <c r="O93" i="9" s="1"/>
  <c r="S93" i="9" s="1"/>
  <c r="G94" i="9"/>
  <c r="K94" i="9" s="1"/>
  <c r="O94" i="9" s="1"/>
  <c r="S94" i="9" s="1"/>
  <c r="G95" i="9"/>
  <c r="K95" i="9" s="1"/>
  <c r="O95" i="9" s="1"/>
  <c r="S95" i="9" s="1"/>
  <c r="G96" i="9"/>
  <c r="K96" i="9" s="1"/>
  <c r="O96" i="9" s="1"/>
  <c r="S96" i="9" s="1"/>
  <c r="G97" i="9"/>
  <c r="K97" i="9" s="1"/>
  <c r="O97" i="9" s="1"/>
  <c r="S97" i="9" s="1"/>
  <c r="G98" i="9"/>
  <c r="K98" i="9" s="1"/>
  <c r="O98" i="9" s="1"/>
  <c r="S98" i="9" s="1"/>
  <c r="H21" i="9"/>
  <c r="L21" i="9" s="1"/>
  <c r="P21" i="9" s="1"/>
  <c r="T21" i="9" s="1"/>
  <c r="H22" i="9"/>
  <c r="L22" i="9" s="1"/>
  <c r="P22" i="9" s="1"/>
  <c r="T22" i="9" s="1"/>
  <c r="H23" i="9"/>
  <c r="L23" i="9" s="1"/>
  <c r="P23" i="9" s="1"/>
  <c r="T23" i="9" s="1"/>
  <c r="H24" i="9"/>
  <c r="L24" i="9" s="1"/>
  <c r="P24" i="9" s="1"/>
  <c r="T24" i="9" s="1"/>
  <c r="H25" i="9"/>
  <c r="L25" i="9" s="1"/>
  <c r="P25" i="9" s="1"/>
  <c r="T25" i="9" s="1"/>
  <c r="G21" i="9"/>
  <c r="K21" i="9" s="1"/>
  <c r="O21" i="9" s="1"/>
  <c r="S21" i="9" s="1"/>
  <c r="G22" i="9"/>
  <c r="K22" i="9" s="1"/>
  <c r="O22" i="9" s="1"/>
  <c r="S22" i="9" s="1"/>
  <c r="G23" i="9"/>
  <c r="K23" i="9" s="1"/>
  <c r="O23" i="9" s="1"/>
  <c r="S23" i="9" s="1"/>
  <c r="G24" i="9"/>
  <c r="K24" i="9" s="1"/>
  <c r="O24" i="9" s="1"/>
  <c r="S24" i="9" s="1"/>
  <c r="G25" i="9"/>
  <c r="K25" i="9" s="1"/>
  <c r="O25" i="9" s="1"/>
  <c r="S25" i="9" s="1"/>
  <c r="H9" i="9"/>
  <c r="L9" i="9" s="1"/>
  <c r="P9" i="9" s="1"/>
  <c r="T9" i="9" s="1"/>
  <c r="H11" i="9"/>
  <c r="L11" i="9" s="1"/>
  <c r="P11" i="9" s="1"/>
  <c r="T11" i="9" s="1"/>
  <c r="H12" i="9"/>
  <c r="L12" i="9" s="1"/>
  <c r="P12" i="9" s="1"/>
  <c r="T12" i="9" s="1"/>
  <c r="H13" i="9"/>
  <c r="L13" i="9" s="1"/>
  <c r="P13" i="9" s="1"/>
  <c r="T13" i="9" s="1"/>
  <c r="H14" i="9"/>
  <c r="L14" i="9" s="1"/>
  <c r="P14" i="9" s="1"/>
  <c r="T14" i="9" s="1"/>
  <c r="G9" i="9"/>
  <c r="K9" i="9" s="1"/>
  <c r="O9" i="9" s="1"/>
  <c r="S9" i="9" s="1"/>
  <c r="G11" i="9"/>
  <c r="K11" i="9" s="1"/>
  <c r="O11" i="9" s="1"/>
  <c r="S11" i="9" s="1"/>
  <c r="G12" i="9"/>
  <c r="K12" i="9" s="1"/>
  <c r="O12" i="9" s="1"/>
  <c r="S12" i="9" s="1"/>
  <c r="G13" i="9"/>
  <c r="K13" i="9" s="1"/>
  <c r="O13" i="9" s="1"/>
  <c r="S13" i="9" s="1"/>
  <c r="G14" i="9"/>
  <c r="K14" i="9" s="1"/>
  <c r="O14" i="9" s="1"/>
  <c r="S14" i="9" s="1"/>
  <c r="G111" i="39"/>
  <c r="K111" i="39" s="1"/>
  <c r="O111" i="39" s="1"/>
  <c r="S111" i="39" s="1"/>
  <c r="G110" i="39"/>
  <c r="K110" i="39" s="1"/>
  <c r="O110" i="39" s="1"/>
  <c r="S110" i="39" s="1"/>
  <c r="G109" i="39"/>
  <c r="K109" i="39" s="1"/>
  <c r="O109" i="39" s="1"/>
  <c r="S109" i="39" s="1"/>
  <c r="G108" i="39"/>
  <c r="K108" i="39" s="1"/>
  <c r="O108" i="39" s="1"/>
  <c r="S108" i="39" s="1"/>
  <c r="G107" i="39"/>
  <c r="K107" i="39" s="1"/>
  <c r="O107" i="39" s="1"/>
  <c r="S107" i="39" s="1"/>
  <c r="G106" i="39"/>
  <c r="K106" i="39" s="1"/>
  <c r="O106" i="39" s="1"/>
  <c r="S106" i="39" s="1"/>
  <c r="G105" i="39"/>
  <c r="K105" i="39" s="1"/>
  <c r="O105" i="39" s="1"/>
  <c r="S105" i="39" s="1"/>
  <c r="G103" i="39"/>
  <c r="K103" i="39" s="1"/>
  <c r="O103" i="39" s="1"/>
  <c r="S103" i="39" s="1"/>
  <c r="G101" i="39"/>
  <c r="K101" i="39" s="1"/>
  <c r="O101" i="39" s="1"/>
  <c r="S101" i="39" s="1"/>
  <c r="H111" i="39"/>
  <c r="L111" i="39" s="1"/>
  <c r="P111" i="39" s="1"/>
  <c r="T111" i="39" s="1"/>
  <c r="H110" i="39"/>
  <c r="L110" i="39" s="1"/>
  <c r="P110" i="39" s="1"/>
  <c r="T110" i="39" s="1"/>
  <c r="H109" i="39"/>
  <c r="L109" i="39" s="1"/>
  <c r="P109" i="39" s="1"/>
  <c r="T109" i="39" s="1"/>
  <c r="H108" i="39"/>
  <c r="L108" i="39" s="1"/>
  <c r="P108" i="39" s="1"/>
  <c r="T108" i="39" s="1"/>
  <c r="H107" i="39"/>
  <c r="L107" i="39" s="1"/>
  <c r="P107" i="39" s="1"/>
  <c r="T107" i="39" s="1"/>
  <c r="H106" i="39"/>
  <c r="L106" i="39" s="1"/>
  <c r="P106" i="39" s="1"/>
  <c r="T106" i="39" s="1"/>
  <c r="H105" i="39"/>
  <c r="L105" i="39" s="1"/>
  <c r="P105" i="39" s="1"/>
  <c r="T105" i="39" s="1"/>
  <c r="T104" i="39"/>
  <c r="H103" i="39"/>
  <c r="L103" i="39" s="1"/>
  <c r="P103" i="39" s="1"/>
  <c r="T103" i="39" s="1"/>
  <c r="H101" i="39"/>
  <c r="L101" i="39" s="1"/>
  <c r="P101" i="39" s="1"/>
  <c r="T101" i="39" s="1"/>
  <c r="H19" i="39"/>
  <c r="L19" i="39" s="1"/>
  <c r="P19" i="39" s="1"/>
  <c r="T19" i="39" s="1"/>
  <c r="H20" i="39"/>
  <c r="L20" i="39" s="1"/>
  <c r="P20" i="39" s="1"/>
  <c r="T20" i="39" s="1"/>
  <c r="H21" i="39"/>
  <c r="L21" i="39" s="1"/>
  <c r="P21" i="39" s="1"/>
  <c r="T21" i="39" s="1"/>
  <c r="H22" i="39"/>
  <c r="L22" i="39" s="1"/>
  <c r="P22" i="39" s="1"/>
  <c r="T22" i="39" s="1"/>
  <c r="H23" i="39"/>
  <c r="L23" i="39" s="1"/>
  <c r="P23" i="39" s="1"/>
  <c r="T23" i="39" s="1"/>
  <c r="H24" i="39"/>
  <c r="L24" i="39" s="1"/>
  <c r="P24" i="39" s="1"/>
  <c r="T24" i="39" s="1"/>
  <c r="H25" i="39"/>
  <c r="L25" i="39" s="1"/>
  <c r="P25" i="39" s="1"/>
  <c r="T25" i="39" s="1"/>
  <c r="G19" i="39"/>
  <c r="K19" i="39" s="1"/>
  <c r="O19" i="39" s="1"/>
  <c r="S19" i="39" s="1"/>
  <c r="G20" i="39"/>
  <c r="G21" i="39"/>
  <c r="K21" i="39" s="1"/>
  <c r="O21" i="39" s="1"/>
  <c r="S21" i="39" s="1"/>
  <c r="G22" i="39"/>
  <c r="K22" i="39" s="1"/>
  <c r="O22" i="39" s="1"/>
  <c r="S22" i="39" s="1"/>
  <c r="G23" i="39"/>
  <c r="K23" i="39" s="1"/>
  <c r="O23" i="39" s="1"/>
  <c r="S23" i="39" s="1"/>
  <c r="G24" i="39"/>
  <c r="K24" i="39" s="1"/>
  <c r="O24" i="39" s="1"/>
  <c r="S24" i="39" s="1"/>
  <c r="G25" i="39"/>
  <c r="K25" i="39" s="1"/>
  <c r="O25" i="39" s="1"/>
  <c r="S25" i="39" s="1"/>
  <c r="H190" i="29"/>
  <c r="L190" i="29" s="1"/>
  <c r="P190" i="29" s="1"/>
  <c r="T190" i="29" s="1"/>
  <c r="H191" i="29"/>
  <c r="L191" i="29" s="1"/>
  <c r="P191" i="29" s="1"/>
  <c r="T191" i="29" s="1"/>
  <c r="H192" i="29"/>
  <c r="L192" i="29" s="1"/>
  <c r="P192" i="29" s="1"/>
  <c r="T192" i="29" s="1"/>
  <c r="H193" i="29"/>
  <c r="L193" i="29" s="1"/>
  <c r="P193" i="29" s="1"/>
  <c r="T193" i="29" s="1"/>
  <c r="H194" i="29"/>
  <c r="L194" i="29" s="1"/>
  <c r="P194" i="29" s="1"/>
  <c r="T194" i="29" s="1"/>
  <c r="H188" i="29"/>
  <c r="L188" i="29" s="1"/>
  <c r="P188" i="29" s="1"/>
  <c r="T188" i="29" s="1"/>
  <c r="G190" i="29"/>
  <c r="K190" i="29" s="1"/>
  <c r="O190" i="29" s="1"/>
  <c r="S190" i="29" s="1"/>
  <c r="G191" i="29"/>
  <c r="K191" i="29" s="1"/>
  <c r="O191" i="29" s="1"/>
  <c r="S191" i="29" s="1"/>
  <c r="G192" i="29"/>
  <c r="K192" i="29" s="1"/>
  <c r="O192" i="29" s="1"/>
  <c r="S192" i="29" s="1"/>
  <c r="G193" i="29"/>
  <c r="K193" i="29" s="1"/>
  <c r="O193" i="29" s="1"/>
  <c r="S193" i="29" s="1"/>
  <c r="G194" i="29"/>
  <c r="K194" i="29" s="1"/>
  <c r="O194" i="29" s="1"/>
  <c r="S194" i="29" s="1"/>
  <c r="G188" i="29"/>
  <c r="K188" i="29" s="1"/>
  <c r="O188" i="29" s="1"/>
  <c r="S188" i="29" s="1"/>
  <c r="H102" i="29"/>
  <c r="L102" i="29" s="1"/>
  <c r="P102" i="29" s="1"/>
  <c r="T102" i="29" s="1"/>
  <c r="H103" i="29"/>
  <c r="L103" i="29" s="1"/>
  <c r="P103" i="29" s="1"/>
  <c r="T103" i="29" s="1"/>
  <c r="H104" i="29"/>
  <c r="L104" i="29" s="1"/>
  <c r="P104" i="29" s="1"/>
  <c r="T104" i="29" s="1"/>
  <c r="H105" i="29"/>
  <c r="L105" i="29" s="1"/>
  <c r="P105" i="29" s="1"/>
  <c r="T105" i="29" s="1"/>
  <c r="H106" i="29"/>
  <c r="L106" i="29" s="1"/>
  <c r="P106" i="29" s="1"/>
  <c r="T106" i="29" s="1"/>
  <c r="H107" i="29"/>
  <c r="L107" i="29" s="1"/>
  <c r="P107" i="29" s="1"/>
  <c r="T107" i="29" s="1"/>
  <c r="H108" i="29"/>
  <c r="L108" i="29" s="1"/>
  <c r="P108" i="29" s="1"/>
  <c r="T108" i="29" s="1"/>
  <c r="H109" i="29"/>
  <c r="L109" i="29" s="1"/>
  <c r="P109" i="29" s="1"/>
  <c r="T109" i="29" s="1"/>
  <c r="H110" i="29"/>
  <c r="L110" i="29" s="1"/>
  <c r="P110" i="29" s="1"/>
  <c r="T110" i="29" s="1"/>
  <c r="H111" i="29"/>
  <c r="L111" i="29" s="1"/>
  <c r="P111" i="29" s="1"/>
  <c r="T111" i="29" s="1"/>
  <c r="H101" i="29"/>
  <c r="L101" i="29" s="1"/>
  <c r="P101" i="29" s="1"/>
  <c r="T101" i="29" s="1"/>
  <c r="G102" i="29"/>
  <c r="K102" i="29" s="1"/>
  <c r="O102" i="29" s="1"/>
  <c r="S102" i="29" s="1"/>
  <c r="G103" i="29"/>
  <c r="K103" i="29" s="1"/>
  <c r="O103" i="29" s="1"/>
  <c r="S103" i="29" s="1"/>
  <c r="G104" i="29"/>
  <c r="K104" i="29" s="1"/>
  <c r="O104" i="29" s="1"/>
  <c r="S104" i="29" s="1"/>
  <c r="G105" i="29"/>
  <c r="K105" i="29" s="1"/>
  <c r="O105" i="29" s="1"/>
  <c r="S105" i="29" s="1"/>
  <c r="G106" i="29"/>
  <c r="K106" i="29" s="1"/>
  <c r="O106" i="29" s="1"/>
  <c r="S106" i="29" s="1"/>
  <c r="G107" i="29"/>
  <c r="K107" i="29" s="1"/>
  <c r="O107" i="29" s="1"/>
  <c r="S107" i="29" s="1"/>
  <c r="G108" i="29"/>
  <c r="K108" i="29" s="1"/>
  <c r="O108" i="29" s="1"/>
  <c r="S108" i="29" s="1"/>
  <c r="G109" i="29"/>
  <c r="K109" i="29" s="1"/>
  <c r="O109" i="29" s="1"/>
  <c r="S109" i="29" s="1"/>
  <c r="G110" i="29"/>
  <c r="K110" i="29" s="1"/>
  <c r="O110" i="29" s="1"/>
  <c r="S110" i="29" s="1"/>
  <c r="G111" i="29"/>
  <c r="K111" i="29" s="1"/>
  <c r="O111" i="29" s="1"/>
  <c r="S111" i="29" s="1"/>
  <c r="G101" i="29"/>
  <c r="K101" i="29" s="1"/>
  <c r="O101" i="29" s="1"/>
  <c r="S101" i="29" s="1"/>
  <c r="H18" i="29"/>
  <c r="L18" i="29" s="1"/>
  <c r="P18" i="29" s="1"/>
  <c r="T18" i="29" s="1"/>
  <c r="H19" i="29"/>
  <c r="L19" i="29" s="1"/>
  <c r="P19" i="29" s="1"/>
  <c r="T19" i="29" s="1"/>
  <c r="H20" i="29"/>
  <c r="L20" i="29" s="1"/>
  <c r="P20" i="29" s="1"/>
  <c r="T20" i="29" s="1"/>
  <c r="H21" i="29"/>
  <c r="L21" i="29" s="1"/>
  <c r="P21" i="29" s="1"/>
  <c r="T21" i="29" s="1"/>
  <c r="H22" i="29"/>
  <c r="L22" i="29" s="1"/>
  <c r="P22" i="29" s="1"/>
  <c r="T22" i="29" s="1"/>
  <c r="H23" i="29"/>
  <c r="L23" i="29" s="1"/>
  <c r="P23" i="29" s="1"/>
  <c r="T23" i="29" s="1"/>
  <c r="H24" i="29"/>
  <c r="L24" i="29" s="1"/>
  <c r="P24" i="29" s="1"/>
  <c r="T24" i="29" s="1"/>
  <c r="H25" i="29"/>
  <c r="L25" i="29" s="1"/>
  <c r="P25" i="29" s="1"/>
  <c r="T25" i="29" s="1"/>
  <c r="G18" i="29"/>
  <c r="G19" i="29"/>
  <c r="K19" i="29" s="1"/>
  <c r="O19" i="29" s="1"/>
  <c r="S19" i="29" s="1"/>
  <c r="G20" i="29"/>
  <c r="K20" i="29" s="1"/>
  <c r="O20" i="29" s="1"/>
  <c r="S20" i="29" s="1"/>
  <c r="G21" i="29"/>
  <c r="K21" i="29" s="1"/>
  <c r="O21" i="29" s="1"/>
  <c r="S21" i="29" s="1"/>
  <c r="G22" i="29"/>
  <c r="K22" i="29" s="1"/>
  <c r="O22" i="29" s="1"/>
  <c r="S22" i="29" s="1"/>
  <c r="G23" i="29"/>
  <c r="K23" i="29" s="1"/>
  <c r="O23" i="29" s="1"/>
  <c r="S23" i="29" s="1"/>
  <c r="G24" i="29"/>
  <c r="K24" i="29" s="1"/>
  <c r="O24" i="29" s="1"/>
  <c r="S24" i="29" s="1"/>
  <c r="G25" i="29"/>
  <c r="K25" i="29" s="1"/>
  <c r="O25" i="29" s="1"/>
  <c r="S25" i="29" s="1"/>
  <c r="K18" i="29" l="1"/>
  <c r="P189" i="9"/>
  <c r="T189" i="9" s="1"/>
  <c r="K20" i="39"/>
  <c r="G31" i="39"/>
  <c r="K31" i="39"/>
  <c r="O20" i="39"/>
  <c r="G66" i="33"/>
  <c r="I66" i="33" s="1"/>
  <c r="O18" i="29" l="1"/>
  <c r="W188" i="9"/>
  <c r="O31" i="39"/>
  <c r="S20" i="39"/>
  <c r="H190" i="32"/>
  <c r="L190" i="32" s="1"/>
  <c r="P190" i="32" s="1"/>
  <c r="T190" i="32" s="1"/>
  <c r="H191" i="32"/>
  <c r="L191" i="32" s="1"/>
  <c r="P191" i="32" s="1"/>
  <c r="T191" i="32" s="1"/>
  <c r="H192" i="32"/>
  <c r="L192" i="32" s="1"/>
  <c r="P192" i="32" s="1"/>
  <c r="T192" i="32" s="1"/>
  <c r="H193" i="32"/>
  <c r="L193" i="32" s="1"/>
  <c r="P193" i="32" s="1"/>
  <c r="T193" i="32" s="1"/>
  <c r="H194" i="32"/>
  <c r="L194" i="32" s="1"/>
  <c r="P194" i="32" s="1"/>
  <c r="T194" i="32" s="1"/>
  <c r="G190" i="32"/>
  <c r="K190" i="32" s="1"/>
  <c r="O190" i="32" s="1"/>
  <c r="S190" i="32" s="1"/>
  <c r="G191" i="32"/>
  <c r="K191" i="32" s="1"/>
  <c r="O191" i="32" s="1"/>
  <c r="S191" i="32" s="1"/>
  <c r="G192" i="32"/>
  <c r="K192" i="32" s="1"/>
  <c r="O192" i="32" s="1"/>
  <c r="S192" i="32" s="1"/>
  <c r="G193" i="32"/>
  <c r="K193" i="32" s="1"/>
  <c r="O193" i="32" s="1"/>
  <c r="S193" i="32" s="1"/>
  <c r="G194" i="32"/>
  <c r="K194" i="32" s="1"/>
  <c r="O194" i="32" s="1"/>
  <c r="S194" i="32" s="1"/>
  <c r="H103" i="32"/>
  <c r="L103" i="32" s="1"/>
  <c r="P103" i="32" s="1"/>
  <c r="T103" i="32" s="1"/>
  <c r="H104" i="32"/>
  <c r="L104" i="32" s="1"/>
  <c r="P104" i="32" s="1"/>
  <c r="T104" i="32" s="1"/>
  <c r="H105" i="32"/>
  <c r="L105" i="32" s="1"/>
  <c r="P105" i="32" s="1"/>
  <c r="T105" i="32" s="1"/>
  <c r="H106" i="32"/>
  <c r="L106" i="32" s="1"/>
  <c r="P106" i="32" s="1"/>
  <c r="T106" i="32" s="1"/>
  <c r="H107" i="32"/>
  <c r="L107" i="32" s="1"/>
  <c r="P107" i="32" s="1"/>
  <c r="T107" i="32" s="1"/>
  <c r="H108" i="32"/>
  <c r="L108" i="32" s="1"/>
  <c r="P108" i="32" s="1"/>
  <c r="T108" i="32" s="1"/>
  <c r="H109" i="32"/>
  <c r="L109" i="32" s="1"/>
  <c r="P109" i="32" s="1"/>
  <c r="T109" i="32" s="1"/>
  <c r="H110" i="32"/>
  <c r="L110" i="32" s="1"/>
  <c r="P110" i="32" s="1"/>
  <c r="T110" i="32" s="1"/>
  <c r="H111" i="32"/>
  <c r="L111" i="32" s="1"/>
  <c r="P111" i="32" s="1"/>
  <c r="T111" i="32" s="1"/>
  <c r="G103" i="32"/>
  <c r="K103" i="32" s="1"/>
  <c r="O103" i="32" s="1"/>
  <c r="S103" i="32" s="1"/>
  <c r="G104" i="32"/>
  <c r="K104" i="32" s="1"/>
  <c r="O104" i="32" s="1"/>
  <c r="S104" i="32" s="1"/>
  <c r="G105" i="32"/>
  <c r="K105" i="32" s="1"/>
  <c r="O105" i="32" s="1"/>
  <c r="S105" i="32" s="1"/>
  <c r="G106" i="32"/>
  <c r="K106" i="32" s="1"/>
  <c r="O106" i="32" s="1"/>
  <c r="S106" i="32" s="1"/>
  <c r="G107" i="32"/>
  <c r="K107" i="32" s="1"/>
  <c r="O107" i="32" s="1"/>
  <c r="S107" i="32" s="1"/>
  <c r="G108" i="32"/>
  <c r="K108" i="32" s="1"/>
  <c r="O108" i="32" s="1"/>
  <c r="S108" i="32" s="1"/>
  <c r="G109" i="32"/>
  <c r="K109" i="32" s="1"/>
  <c r="O109" i="32" s="1"/>
  <c r="S109" i="32" s="1"/>
  <c r="G110" i="32"/>
  <c r="K110" i="32" s="1"/>
  <c r="O110" i="32" s="1"/>
  <c r="S110" i="32" s="1"/>
  <c r="G111" i="32"/>
  <c r="K111" i="32" s="1"/>
  <c r="O111" i="32" s="1"/>
  <c r="S111" i="32" s="1"/>
  <c r="H18" i="32"/>
  <c r="L18" i="32" s="1"/>
  <c r="P18" i="32" s="1"/>
  <c r="T18" i="32" s="1"/>
  <c r="H19" i="32"/>
  <c r="L19" i="32" s="1"/>
  <c r="P19" i="32" s="1"/>
  <c r="T19" i="32" s="1"/>
  <c r="H20" i="32"/>
  <c r="L20" i="32" s="1"/>
  <c r="P20" i="32" s="1"/>
  <c r="T20" i="32" s="1"/>
  <c r="H21" i="32"/>
  <c r="L21" i="32" s="1"/>
  <c r="P21" i="32" s="1"/>
  <c r="T21" i="32" s="1"/>
  <c r="H22" i="32"/>
  <c r="L22" i="32" s="1"/>
  <c r="P22" i="32" s="1"/>
  <c r="T22" i="32" s="1"/>
  <c r="H23" i="32"/>
  <c r="L23" i="32" s="1"/>
  <c r="P23" i="32" s="1"/>
  <c r="T23" i="32" s="1"/>
  <c r="H24" i="32"/>
  <c r="L24" i="32" s="1"/>
  <c r="P24" i="32" s="1"/>
  <c r="T24" i="32" s="1"/>
  <c r="H25" i="32"/>
  <c r="L25" i="32" s="1"/>
  <c r="P25" i="32" s="1"/>
  <c r="T25" i="32" s="1"/>
  <c r="L17" i="32"/>
  <c r="P17" i="32" s="1"/>
  <c r="G18" i="32"/>
  <c r="K18" i="32" s="1"/>
  <c r="O18" i="32" s="1"/>
  <c r="S18" i="32" s="1"/>
  <c r="G20" i="32"/>
  <c r="K20" i="32" s="1"/>
  <c r="O20" i="32" s="1"/>
  <c r="S20" i="32" s="1"/>
  <c r="G21" i="32"/>
  <c r="K21" i="32" s="1"/>
  <c r="O21" i="32" s="1"/>
  <c r="S21" i="32" s="1"/>
  <c r="G22" i="32"/>
  <c r="K22" i="32" s="1"/>
  <c r="O22" i="32" s="1"/>
  <c r="S22" i="32" s="1"/>
  <c r="G23" i="32"/>
  <c r="K23" i="32" s="1"/>
  <c r="O23" i="32" s="1"/>
  <c r="S23" i="32" s="1"/>
  <c r="G24" i="32"/>
  <c r="K24" i="32" s="1"/>
  <c r="O24" i="32" s="1"/>
  <c r="S24" i="32" s="1"/>
  <c r="G25" i="32"/>
  <c r="K25" i="32" s="1"/>
  <c r="O25" i="32" s="1"/>
  <c r="S25" i="32" s="1"/>
  <c r="H193" i="28"/>
  <c r="H194" i="28"/>
  <c r="G193" i="28"/>
  <c r="G194" i="28"/>
  <c r="L106" i="28"/>
  <c r="H107" i="28"/>
  <c r="H108" i="28"/>
  <c r="H109" i="28"/>
  <c r="H110" i="28"/>
  <c r="H111" i="28"/>
  <c r="G107" i="28"/>
  <c r="G109" i="28"/>
  <c r="G110" i="28"/>
  <c r="G111" i="28"/>
  <c r="K24" i="28"/>
  <c r="K25" i="28"/>
  <c r="L20" i="28"/>
  <c r="L17" i="28"/>
  <c r="L11" i="28"/>
  <c r="S18" i="29" l="1"/>
  <c r="K31" i="28"/>
  <c r="W31" i="28" s="1"/>
  <c r="W25" i="28"/>
  <c r="L33" i="28"/>
  <c r="M20" i="28"/>
  <c r="P20" i="28"/>
  <c r="L15" i="28"/>
  <c r="M11" i="28"/>
  <c r="K110" i="28"/>
  <c r="L109" i="28"/>
  <c r="K109" i="28"/>
  <c r="L108" i="28"/>
  <c r="L194" i="28"/>
  <c r="P106" i="28"/>
  <c r="L193" i="28"/>
  <c r="K107" i="28"/>
  <c r="K111" i="28"/>
  <c r="L107" i="28"/>
  <c r="L110" i="28"/>
  <c r="M9" i="28"/>
  <c r="K194" i="28"/>
  <c r="K193" i="28"/>
  <c r="L111" i="28"/>
  <c r="X188" i="9"/>
  <c r="P17" i="28"/>
  <c r="P11" i="28"/>
  <c r="S31" i="39"/>
  <c r="W20" i="39"/>
  <c r="L25" i="28"/>
  <c r="K17" i="28"/>
  <c r="K33" i="28" s="1"/>
  <c r="O24" i="28"/>
  <c r="L19" i="28"/>
  <c r="L24" i="28"/>
  <c r="O23" i="28"/>
  <c r="O30" i="28" s="1"/>
  <c r="L23" i="28"/>
  <c r="K19" i="32"/>
  <c r="K106" i="28"/>
  <c r="M25" i="28" l="1"/>
  <c r="L31" i="28"/>
  <c r="L30" i="28"/>
  <c r="M19" i="28"/>
  <c r="L32" i="28"/>
  <c r="Q11" i="28"/>
  <c r="O17" i="28"/>
  <c r="T20" i="28"/>
  <c r="Q20" i="28"/>
  <c r="W19" i="28"/>
  <c r="O107" i="28"/>
  <c r="O109" i="28"/>
  <c r="P109" i="28"/>
  <c r="M23" i="28"/>
  <c r="T106" i="28"/>
  <c r="O193" i="28"/>
  <c r="O194" i="28"/>
  <c r="O110" i="28"/>
  <c r="O111" i="28"/>
  <c r="P110" i="28"/>
  <c r="L26" i="28"/>
  <c r="P194" i="28"/>
  <c r="P111" i="28"/>
  <c r="P107" i="28"/>
  <c r="P193" i="28"/>
  <c r="M17" i="28"/>
  <c r="M24" i="28"/>
  <c r="P108" i="28"/>
  <c r="T17" i="28"/>
  <c r="T11" i="28"/>
  <c r="P25" i="28"/>
  <c r="P31" i="28" s="1"/>
  <c r="P23" i="28"/>
  <c r="P19" i="28"/>
  <c r="Q19" i="28" s="1"/>
  <c r="S23" i="28"/>
  <c r="S30" i="28" s="1"/>
  <c r="S24" i="28"/>
  <c r="P24" i="28"/>
  <c r="O19" i="32"/>
  <c r="S19" i="32" s="1"/>
  <c r="O106" i="28"/>
  <c r="Q17" i="28" l="1"/>
  <c r="O33" i="28"/>
  <c r="S17" i="28"/>
  <c r="S33" i="28" s="1"/>
  <c r="Q23" i="28"/>
  <c r="P30" i="28"/>
  <c r="P33" i="28"/>
  <c r="U20" i="28"/>
  <c r="X17" i="28"/>
  <c r="W23" i="28"/>
  <c r="X11" i="28"/>
  <c r="X20" i="28"/>
  <c r="Y20" i="28" s="1"/>
  <c r="P26" i="28"/>
  <c r="S193" i="28"/>
  <c r="T108" i="28"/>
  <c r="T110" i="28"/>
  <c r="S107" i="28"/>
  <c r="T193" i="28"/>
  <c r="Q25" i="28"/>
  <c r="T107" i="28"/>
  <c r="U11" i="28"/>
  <c r="T194" i="28"/>
  <c r="S111" i="28"/>
  <c r="T109" i="28"/>
  <c r="T111" i="28"/>
  <c r="Q24" i="28"/>
  <c r="U17" i="28"/>
  <c r="S110" i="28"/>
  <c r="S194" i="28"/>
  <c r="S109" i="28"/>
  <c r="T25" i="28"/>
  <c r="T31" i="28" s="1"/>
  <c r="X31" i="28" s="1"/>
  <c r="W19" i="32"/>
  <c r="T24" i="28"/>
  <c r="X24" i="28" s="1"/>
  <c r="T19" i="28"/>
  <c r="T33" i="28" s="1"/>
  <c r="T23" i="28"/>
  <c r="X23" i="28" s="1"/>
  <c r="S106" i="28"/>
  <c r="W33" i="28" l="1"/>
  <c r="X25" i="28"/>
  <c r="Y25" i="28" s="1"/>
  <c r="U23" i="28"/>
  <c r="T30" i="28"/>
  <c r="X30" i="28" s="1"/>
  <c r="U19" i="28"/>
  <c r="X19" i="28"/>
  <c r="Y19" i="28" s="1"/>
  <c r="Y23" i="28"/>
  <c r="Y11" i="28"/>
  <c r="X33" i="28"/>
  <c r="U25" i="28"/>
  <c r="T26" i="28"/>
  <c r="U24" i="28"/>
  <c r="S77" i="33"/>
  <c r="U77" i="33" s="1"/>
  <c r="D26" i="28" l="1"/>
  <c r="D103" i="9" l="1"/>
  <c r="D103" i="33" s="1"/>
  <c r="E103" i="33" s="1"/>
  <c r="D26" i="33"/>
  <c r="D27" i="33" s="1"/>
  <c r="X164" i="28"/>
  <c r="W164" i="28"/>
  <c r="U164" i="28"/>
  <c r="Q164" i="28"/>
  <c r="M164" i="28"/>
  <c r="I164" i="28"/>
  <c r="E164" i="28"/>
  <c r="G53" i="33"/>
  <c r="I53" i="33" s="1"/>
  <c r="X51" i="29"/>
  <c r="G51" i="29"/>
  <c r="K51" i="29" s="1"/>
  <c r="E51" i="29"/>
  <c r="X234" i="32"/>
  <c r="W234" i="32"/>
  <c r="U234" i="32"/>
  <c r="Q234" i="32"/>
  <c r="M234" i="32"/>
  <c r="I234" i="32"/>
  <c r="E234" i="32"/>
  <c r="G41" i="32"/>
  <c r="G41" i="33" s="1"/>
  <c r="I41" i="33" s="1"/>
  <c r="K41" i="32" l="1"/>
  <c r="K41" i="33" s="1"/>
  <c r="M41" i="33" s="1"/>
  <c r="E85" i="33"/>
  <c r="C85" i="33"/>
  <c r="H103" i="9"/>
  <c r="L103" i="9" s="1"/>
  <c r="P103" i="9" s="1"/>
  <c r="T103" i="9" s="1"/>
  <c r="K53" i="33"/>
  <c r="M53" i="33" s="1"/>
  <c r="Y234" i="32"/>
  <c r="Y164" i="28"/>
  <c r="M51" i="29"/>
  <c r="O51" i="29"/>
  <c r="I51" i="29"/>
  <c r="W6" i="30"/>
  <c r="H6" i="30"/>
  <c r="L6" i="30" s="1"/>
  <c r="E6" i="30"/>
  <c r="O53" i="33" l="1"/>
  <c r="Q53" i="33" s="1"/>
  <c r="I49" i="33"/>
  <c r="G49" i="33"/>
  <c r="E112" i="33"/>
  <c r="E113" i="33" s="1"/>
  <c r="D112" i="33"/>
  <c r="D113" i="33" s="1"/>
  <c r="O41" i="32"/>
  <c r="O41" i="33" s="1"/>
  <c r="Q41" i="33" s="1"/>
  <c r="S51" i="29"/>
  <c r="Q51" i="29"/>
  <c r="P6" i="30"/>
  <c r="M6" i="30"/>
  <c r="I6" i="30"/>
  <c r="X160" i="29"/>
  <c r="S53" i="33" l="1"/>
  <c r="U53" i="33" s="1"/>
  <c r="M49" i="33"/>
  <c r="K49" i="33"/>
  <c r="S41" i="32"/>
  <c r="S41" i="33" s="1"/>
  <c r="U41" i="33" s="1"/>
  <c r="E160" i="29"/>
  <c r="U51" i="29"/>
  <c r="Y51" i="29" s="1"/>
  <c r="W51" i="29"/>
  <c r="T6" i="30"/>
  <c r="Q6" i="30"/>
  <c r="I160" i="29"/>
  <c r="K160" i="29"/>
  <c r="K160" i="33" s="1"/>
  <c r="M160" i="33" s="1"/>
  <c r="E98" i="28"/>
  <c r="G98" i="28"/>
  <c r="H98" i="28"/>
  <c r="S98" i="28"/>
  <c r="O49" i="33" l="1"/>
  <c r="Q49" i="33"/>
  <c r="U49" i="33"/>
  <c r="S49" i="33"/>
  <c r="I98" i="28"/>
  <c r="L98" i="28"/>
  <c r="K98" i="28"/>
  <c r="U6" i="30"/>
  <c r="Y6" i="30" s="1"/>
  <c r="X6" i="30"/>
  <c r="M160" i="29"/>
  <c r="O160" i="29"/>
  <c r="O160" i="33" s="1"/>
  <c r="Q160" i="33" s="1"/>
  <c r="W98" i="28" l="1"/>
  <c r="P98" i="28"/>
  <c r="M98" i="28"/>
  <c r="Q160" i="29"/>
  <c r="S160" i="29"/>
  <c r="S160" i="33" s="1"/>
  <c r="U160" i="33" s="1"/>
  <c r="U160" i="29" l="1"/>
  <c r="Y160" i="29"/>
  <c r="Q98" i="28"/>
  <c r="T98" i="28"/>
  <c r="W160" i="29"/>
  <c r="U98" i="28" l="1"/>
  <c r="Y98" i="28" s="1"/>
  <c r="X98" i="28"/>
  <c r="C228" i="33"/>
  <c r="E228" i="33" s="1"/>
  <c r="S152" i="29"/>
  <c r="O152" i="29"/>
  <c r="K152" i="29"/>
  <c r="G152" i="29"/>
  <c r="C152" i="29"/>
  <c r="X65" i="29"/>
  <c r="G65" i="29"/>
  <c r="E65" i="29"/>
  <c r="G158" i="29"/>
  <c r="E18" i="29"/>
  <c r="X227" i="29"/>
  <c r="U227" i="29"/>
  <c r="Q227" i="29"/>
  <c r="M227" i="29"/>
  <c r="I227" i="29"/>
  <c r="E227" i="29"/>
  <c r="X61" i="29"/>
  <c r="X227" i="31"/>
  <c r="G227" i="31"/>
  <c r="G227" i="33" s="1"/>
  <c r="I227" i="33" s="1"/>
  <c r="X62" i="31"/>
  <c r="E62" i="31"/>
  <c r="X61" i="31"/>
  <c r="G151" i="31"/>
  <c r="G158" i="23"/>
  <c r="K158" i="23" s="1"/>
  <c r="O158" i="23" s="1"/>
  <c r="S158" i="23" s="1"/>
  <c r="G143" i="29"/>
  <c r="K162" i="33"/>
  <c r="M162" i="33" s="1"/>
  <c r="K163" i="31"/>
  <c r="K163" i="33" s="1"/>
  <c r="M163" i="33" s="1"/>
  <c r="G96" i="31"/>
  <c r="K96" i="31" s="1"/>
  <c r="O96" i="31" s="1"/>
  <c r="S96" i="31" s="1"/>
  <c r="G97" i="31"/>
  <c r="K97" i="31" s="1"/>
  <c r="O97" i="31" s="1"/>
  <c r="S97" i="31" s="1"/>
  <c r="G98" i="31"/>
  <c r="K98" i="31" s="1"/>
  <c r="O98" i="31" s="1"/>
  <c r="S98" i="31" s="1"/>
  <c r="K76" i="28"/>
  <c r="K76" i="33" s="1"/>
  <c r="M76" i="33" s="1"/>
  <c r="K75" i="28"/>
  <c r="K75" i="33" s="1"/>
  <c r="M75" i="33" s="1"/>
  <c r="S74" i="28"/>
  <c r="S74" i="33" s="1"/>
  <c r="U74" i="33" s="1"/>
  <c r="C24" i="28"/>
  <c r="K65" i="29" l="1"/>
  <c r="K65" i="33" s="1"/>
  <c r="M65" i="33" s="1"/>
  <c r="G65" i="33"/>
  <c r="I65" i="33" s="1"/>
  <c r="G233" i="33"/>
  <c r="K158" i="29"/>
  <c r="G158" i="33"/>
  <c r="I158" i="33" s="1"/>
  <c r="K143" i="29"/>
  <c r="G143" i="33"/>
  <c r="I143" i="33" s="1"/>
  <c r="C152" i="33"/>
  <c r="E152" i="33" s="1"/>
  <c r="K151" i="31"/>
  <c r="G151" i="33"/>
  <c r="I151" i="33" s="1"/>
  <c r="C24" i="33"/>
  <c r="E24" i="33" s="1"/>
  <c r="W24" i="28"/>
  <c r="Y24" i="28" s="1"/>
  <c r="C30" i="28"/>
  <c r="W30" i="28" s="1"/>
  <c r="E24" i="28"/>
  <c r="E173" i="33"/>
  <c r="C173" i="33"/>
  <c r="I61" i="29"/>
  <c r="M61" i="29"/>
  <c r="Q61" i="29"/>
  <c r="O76" i="28"/>
  <c r="O76" i="33" s="1"/>
  <c r="Q76" i="33" s="1"/>
  <c r="O162" i="33"/>
  <c r="Q162" i="33" s="1"/>
  <c r="U61" i="29"/>
  <c r="E149" i="33"/>
  <c r="C149" i="33"/>
  <c r="E231" i="33"/>
  <c r="C231" i="33"/>
  <c r="O75" i="28"/>
  <c r="O75" i="33" s="1"/>
  <c r="Q75" i="33" s="1"/>
  <c r="I65" i="29"/>
  <c r="O65" i="29"/>
  <c r="M65" i="29"/>
  <c r="K233" i="33"/>
  <c r="I18" i="29"/>
  <c r="W61" i="29"/>
  <c r="K227" i="33"/>
  <c r="M227" i="33" s="1"/>
  <c r="I227" i="31"/>
  <c r="K62" i="31"/>
  <c r="O62" i="31" s="1"/>
  <c r="E227" i="31"/>
  <c r="Y227" i="29"/>
  <c r="W227" i="29"/>
  <c r="E61" i="29"/>
  <c r="G228" i="33"/>
  <c r="I228" i="33" s="1"/>
  <c r="E61" i="31"/>
  <c r="M233" i="33" l="1"/>
  <c r="M245" i="33" s="1"/>
  <c r="K245" i="33"/>
  <c r="O143" i="29"/>
  <c r="K143" i="33"/>
  <c r="M143" i="33" s="1"/>
  <c r="O158" i="29"/>
  <c r="K158" i="33"/>
  <c r="M158" i="33" s="1"/>
  <c r="I233" i="33"/>
  <c r="I245" i="33" s="1"/>
  <c r="G245" i="33"/>
  <c r="S65" i="29"/>
  <c r="O65" i="33"/>
  <c r="Q65" i="33" s="1"/>
  <c r="O151" i="31"/>
  <c r="K151" i="33"/>
  <c r="M151" i="33" s="1"/>
  <c r="G152" i="33"/>
  <c r="I152" i="33" s="1"/>
  <c r="Y61" i="29"/>
  <c r="S75" i="28"/>
  <c r="S75" i="33" s="1"/>
  <c r="U75" i="33" s="1"/>
  <c r="O227" i="33"/>
  <c r="Q227" i="33" s="1"/>
  <c r="M26" i="28"/>
  <c r="K26" i="28"/>
  <c r="S162" i="33"/>
  <c r="U162" i="33" s="1"/>
  <c r="S76" i="28"/>
  <c r="S76" i="33" s="1"/>
  <c r="U76" i="33" s="1"/>
  <c r="E155" i="33"/>
  <c r="C155" i="33"/>
  <c r="M227" i="31"/>
  <c r="Q65" i="29"/>
  <c r="W65" i="29"/>
  <c r="O233" i="33"/>
  <c r="X18" i="29"/>
  <c r="M18" i="29"/>
  <c r="I62" i="31"/>
  <c r="M62" i="31"/>
  <c r="S62" i="31"/>
  <c r="U62" i="31" s="1"/>
  <c r="Q62" i="31"/>
  <c r="I61" i="31"/>
  <c r="K61" i="31"/>
  <c r="U65" i="29" l="1"/>
  <c r="Y65" i="29" s="1"/>
  <c r="S65" i="33"/>
  <c r="U65" i="33" s="1"/>
  <c r="S143" i="29"/>
  <c r="S143" i="33" s="1"/>
  <c r="U143" i="33" s="1"/>
  <c r="O143" i="33"/>
  <c r="Q143" i="33" s="1"/>
  <c r="S158" i="29"/>
  <c r="S158" i="33" s="1"/>
  <c r="U158" i="33" s="1"/>
  <c r="O158" i="33"/>
  <c r="Q158" i="33" s="1"/>
  <c r="Q233" i="33"/>
  <c r="Q245" i="33" s="1"/>
  <c r="O245" i="33"/>
  <c r="K152" i="33"/>
  <c r="M152" i="33" s="1"/>
  <c r="Q227" i="31"/>
  <c r="S227" i="33"/>
  <c r="U227" i="33" s="1"/>
  <c r="S151" i="31"/>
  <c r="S151" i="33" s="1"/>
  <c r="U151" i="33" s="1"/>
  <c r="O151" i="33"/>
  <c r="Q151" i="33" s="1"/>
  <c r="G149" i="33"/>
  <c r="I149" i="33"/>
  <c r="Q26" i="28"/>
  <c r="O26" i="28"/>
  <c r="M33" i="28"/>
  <c r="Q18" i="29"/>
  <c r="U18" i="29"/>
  <c r="W18" i="29"/>
  <c r="Y62" i="31"/>
  <c r="O61" i="31"/>
  <c r="M61" i="31"/>
  <c r="W62" i="31"/>
  <c r="S233" i="33" l="1"/>
  <c r="W227" i="31"/>
  <c r="U227" i="31"/>
  <c r="Y227" i="31" s="1"/>
  <c r="S152" i="33"/>
  <c r="U152" i="33" s="1"/>
  <c r="O152" i="33"/>
  <c r="Q152" i="33" s="1"/>
  <c r="M149" i="33"/>
  <c r="K149" i="33"/>
  <c r="U26" i="28"/>
  <c r="S26" i="28"/>
  <c r="Q33" i="28"/>
  <c r="Y18" i="29"/>
  <c r="Q61" i="31"/>
  <c r="S61" i="31"/>
  <c r="U233" i="33" l="1"/>
  <c r="U245" i="33" s="1"/>
  <c r="S245" i="33"/>
  <c r="S149" i="33"/>
  <c r="U149" i="33"/>
  <c r="Q149" i="33"/>
  <c r="O149" i="33"/>
  <c r="U33" i="28"/>
  <c r="U61" i="31"/>
  <c r="Y61" i="31" s="1"/>
  <c r="W61" i="31"/>
  <c r="G67" i="32" l="1"/>
  <c r="K52" i="28"/>
  <c r="K52" i="33" s="1"/>
  <c r="M52" i="33" s="1"/>
  <c r="O52" i="28" l="1"/>
  <c r="O52" i="33" s="1"/>
  <c r="Q52" i="33" s="1"/>
  <c r="O62" i="28"/>
  <c r="S62" i="28" s="1"/>
  <c r="G219" i="29"/>
  <c r="O208" i="28"/>
  <c r="O208" i="33" s="1"/>
  <c r="Q208" i="33" s="1"/>
  <c r="K219" i="29" l="1"/>
  <c r="G219" i="33"/>
  <c r="I219" i="33" s="1"/>
  <c r="S52" i="28"/>
  <c r="S52" i="33" s="1"/>
  <c r="U52" i="33" s="1"/>
  <c r="S208" i="28"/>
  <c r="S208" i="33" s="1"/>
  <c r="U208" i="33" s="1"/>
  <c r="Q9" i="28"/>
  <c r="P15" i="28"/>
  <c r="P32" i="28" s="1"/>
  <c r="O219" i="29" l="1"/>
  <c r="K219" i="33"/>
  <c r="M219" i="33" s="1"/>
  <c r="U217" i="33"/>
  <c r="S217" i="33"/>
  <c r="D186" i="33"/>
  <c r="D196" i="33" s="1"/>
  <c r="E186" i="33"/>
  <c r="E196" i="33" s="1"/>
  <c r="G225" i="33"/>
  <c r="H225" i="33"/>
  <c r="Q217" i="33"/>
  <c r="O217" i="33"/>
  <c r="U9" i="28"/>
  <c r="T15" i="28"/>
  <c r="T32" i="28" s="1"/>
  <c r="S219" i="29" l="1"/>
  <c r="S219" i="33" s="1"/>
  <c r="U219" i="33" s="1"/>
  <c r="O219" i="33"/>
  <c r="Q219" i="33" s="1"/>
  <c r="K225" i="33"/>
  <c r="I225" i="33"/>
  <c r="L225" i="33"/>
  <c r="X32" i="28" l="1"/>
  <c r="S225" i="33"/>
  <c r="M225" i="33"/>
  <c r="T225" i="33"/>
  <c r="P225" i="33"/>
  <c r="O225" i="33"/>
  <c r="Q225" i="33" l="1"/>
  <c r="U225" i="33"/>
  <c r="H35" i="39"/>
  <c r="L35" i="39" s="1"/>
  <c r="P35" i="39" s="1"/>
  <c r="T35" i="39" s="1"/>
  <c r="H34" i="39"/>
  <c r="L34" i="39" s="1"/>
  <c r="P34" i="39" s="1"/>
  <c r="T34" i="39" s="1"/>
  <c r="H31" i="39"/>
  <c r="L31" i="39" s="1"/>
  <c r="P31" i="39" s="1"/>
  <c r="T31" i="39" s="1"/>
  <c r="H32" i="39"/>
  <c r="L32" i="39" s="1"/>
  <c r="P32" i="39" s="1"/>
  <c r="T32" i="39" s="1"/>
  <c r="H30" i="39"/>
  <c r="L30" i="39" s="1"/>
  <c r="P30" i="39" s="1"/>
  <c r="T30" i="39" s="1"/>
  <c r="G35" i="39"/>
  <c r="K35" i="39" s="1"/>
  <c r="O35" i="39" s="1"/>
  <c r="S35" i="39" s="1"/>
  <c r="G34" i="39"/>
  <c r="K34" i="39" s="1"/>
  <c r="O34" i="39" s="1"/>
  <c r="S34" i="39" s="1"/>
  <c r="G30" i="39"/>
  <c r="K30" i="39" s="1"/>
  <c r="O30" i="39" s="1"/>
  <c r="S30" i="39" s="1"/>
  <c r="H31" i="23"/>
  <c r="L31" i="23" s="1"/>
  <c r="P31" i="23" s="1"/>
  <c r="T31" i="23" s="1"/>
  <c r="H32" i="23"/>
  <c r="L32" i="23" s="1"/>
  <c r="P32" i="23" s="1"/>
  <c r="T32" i="23" s="1"/>
  <c r="H34" i="23"/>
  <c r="L34" i="23" s="1"/>
  <c r="P34" i="23" s="1"/>
  <c r="T34" i="23" s="1"/>
  <c r="H35" i="23"/>
  <c r="L35" i="23" s="1"/>
  <c r="P35" i="23" s="1"/>
  <c r="T35" i="23" s="1"/>
  <c r="H30" i="23"/>
  <c r="L30" i="23" s="1"/>
  <c r="P30" i="23" s="1"/>
  <c r="T30" i="23" s="1"/>
  <c r="G35" i="23"/>
  <c r="K35" i="23" s="1"/>
  <c r="O35" i="23" s="1"/>
  <c r="S35" i="23" s="1"/>
  <c r="G34" i="23"/>
  <c r="K34" i="23" s="1"/>
  <c r="O34" i="23" s="1"/>
  <c r="S34" i="23" s="1"/>
  <c r="G31" i="23"/>
  <c r="K31" i="23" s="1"/>
  <c r="O31" i="23" s="1"/>
  <c r="S31" i="23" s="1"/>
  <c r="G32" i="23"/>
  <c r="K32" i="23" s="1"/>
  <c r="O32" i="23" s="1"/>
  <c r="S32" i="23" s="1"/>
  <c r="G30" i="23"/>
  <c r="K30" i="23" s="1"/>
  <c r="O30" i="23" s="1"/>
  <c r="S30" i="23" s="1"/>
  <c r="H35" i="9"/>
  <c r="L35" i="9" s="1"/>
  <c r="P35" i="9" s="1"/>
  <c r="T35" i="9" s="1"/>
  <c r="H34" i="9"/>
  <c r="L34" i="9" s="1"/>
  <c r="P34" i="9" s="1"/>
  <c r="T34" i="9" s="1"/>
  <c r="H31" i="9"/>
  <c r="L31" i="9" s="1"/>
  <c r="P31" i="9" s="1"/>
  <c r="T31" i="9" s="1"/>
  <c r="H30" i="9"/>
  <c r="L30" i="9" s="1"/>
  <c r="P30" i="9" s="1"/>
  <c r="T30" i="9" s="1"/>
  <c r="G35" i="9"/>
  <c r="K35" i="9" s="1"/>
  <c r="O35" i="9" s="1"/>
  <c r="S35" i="9" s="1"/>
  <c r="G34" i="9"/>
  <c r="K34" i="9" s="1"/>
  <c r="O34" i="9" s="1"/>
  <c r="S34" i="9" s="1"/>
  <c r="G31" i="9"/>
  <c r="K31" i="9" s="1"/>
  <c r="O31" i="9" s="1"/>
  <c r="S31" i="9" s="1"/>
  <c r="G30" i="9"/>
  <c r="K30" i="9" s="1"/>
  <c r="O30" i="9" s="1"/>
  <c r="S30" i="9" s="1"/>
  <c r="G121" i="23"/>
  <c r="K121" i="23" s="1"/>
  <c r="O121" i="23" s="1"/>
  <c r="S121" i="23" s="1"/>
  <c r="G117" i="23"/>
  <c r="K117" i="23" s="1"/>
  <c r="O117" i="23" s="1"/>
  <c r="S117" i="23" s="1"/>
  <c r="G118" i="23"/>
  <c r="K118" i="23" s="1"/>
  <c r="O118" i="23" s="1"/>
  <c r="S118" i="23" s="1"/>
  <c r="G119" i="23"/>
  <c r="K119" i="23" s="1"/>
  <c r="O119" i="23" s="1"/>
  <c r="S119" i="23" s="1"/>
  <c r="G120" i="23"/>
  <c r="K120" i="23" s="1"/>
  <c r="O120" i="23" s="1"/>
  <c r="S120" i="23" s="1"/>
  <c r="G116" i="23"/>
  <c r="K116" i="23" s="1"/>
  <c r="O116" i="23" s="1"/>
  <c r="S116" i="23" s="1"/>
  <c r="G93" i="23"/>
  <c r="K93" i="23" s="1"/>
  <c r="O93" i="23" s="1"/>
  <c r="S93" i="23" s="1"/>
  <c r="G94" i="23"/>
  <c r="K94" i="23" s="1"/>
  <c r="O94" i="23" s="1"/>
  <c r="S94" i="23" s="1"/>
  <c r="G95" i="23"/>
  <c r="K95" i="23" s="1"/>
  <c r="O95" i="23" s="1"/>
  <c r="S95" i="23" s="1"/>
  <c r="G96" i="23"/>
  <c r="K96" i="23" s="1"/>
  <c r="O96" i="23" s="1"/>
  <c r="S96" i="23" s="1"/>
  <c r="G97" i="23"/>
  <c r="G98" i="23"/>
  <c r="K98" i="23" s="1"/>
  <c r="O98" i="23" s="1"/>
  <c r="S98" i="23" s="1"/>
  <c r="G92" i="23"/>
  <c r="K92" i="23" s="1"/>
  <c r="O92" i="23" s="1"/>
  <c r="S92" i="23" s="1"/>
  <c r="K97" i="23"/>
  <c r="O97" i="23" s="1"/>
  <c r="S97" i="23" s="1"/>
  <c r="G102" i="23"/>
  <c r="K102" i="23" s="1"/>
  <c r="O102" i="23" s="1"/>
  <c r="S102" i="23" s="1"/>
  <c r="G103" i="23"/>
  <c r="K103" i="23" s="1"/>
  <c r="O103" i="23" s="1"/>
  <c r="S103" i="23" s="1"/>
  <c r="G104" i="23"/>
  <c r="K104" i="23" s="1"/>
  <c r="O104" i="23" s="1"/>
  <c r="S104" i="23" s="1"/>
  <c r="G105" i="23"/>
  <c r="K105" i="23" s="1"/>
  <c r="O105" i="23" s="1"/>
  <c r="S105" i="23" s="1"/>
  <c r="G106" i="23"/>
  <c r="K106" i="23" s="1"/>
  <c r="O106" i="23" s="1"/>
  <c r="S106" i="23" s="1"/>
  <c r="G107" i="23"/>
  <c r="K107" i="23" s="1"/>
  <c r="O107" i="23" s="1"/>
  <c r="S107" i="23" s="1"/>
  <c r="G108" i="23"/>
  <c r="K108" i="23" s="1"/>
  <c r="O108" i="23" s="1"/>
  <c r="S108" i="23" s="1"/>
  <c r="G109" i="23"/>
  <c r="K109" i="23" s="1"/>
  <c r="O109" i="23" s="1"/>
  <c r="S109" i="23" s="1"/>
  <c r="G110" i="23"/>
  <c r="K110" i="23" s="1"/>
  <c r="O110" i="23" s="1"/>
  <c r="S110" i="23" s="1"/>
  <c r="G111" i="23"/>
  <c r="K111" i="23" s="1"/>
  <c r="O111" i="23" s="1"/>
  <c r="S111" i="23" s="1"/>
  <c r="G101" i="23"/>
  <c r="K101" i="23" s="1"/>
  <c r="O101" i="23" s="1"/>
  <c r="S101" i="23" s="1"/>
  <c r="G59" i="33"/>
  <c r="I59" i="33" s="1"/>
  <c r="K59" i="33" l="1"/>
  <c r="M59" i="33" s="1"/>
  <c r="G72" i="33"/>
  <c r="I72" i="33" s="1"/>
  <c r="X72" i="23"/>
  <c r="X71" i="23"/>
  <c r="E71" i="23"/>
  <c r="C31" i="39"/>
  <c r="C31" i="33" s="1"/>
  <c r="E31" i="33" s="1"/>
  <c r="O51" i="38"/>
  <c r="S51" i="38" s="1"/>
  <c r="O59" i="33" l="1"/>
  <c r="Q59" i="33" s="1"/>
  <c r="C26" i="28"/>
  <c r="C15" i="28"/>
  <c r="C32" i="28" s="1"/>
  <c r="G71" i="23"/>
  <c r="K71" i="23" s="1"/>
  <c r="M71" i="23" s="1"/>
  <c r="K68" i="33"/>
  <c r="M68" i="33" s="1"/>
  <c r="I72" i="23"/>
  <c r="K72" i="33"/>
  <c r="M72" i="33" s="1"/>
  <c r="E72" i="23"/>
  <c r="G159" i="33"/>
  <c r="I159" i="33" s="1"/>
  <c r="S59" i="33" l="1"/>
  <c r="U59" i="33" s="1"/>
  <c r="I173" i="33"/>
  <c r="G173" i="33"/>
  <c r="C26" i="33"/>
  <c r="C27" i="33" s="1"/>
  <c r="E26" i="33"/>
  <c r="E27" i="33" s="1"/>
  <c r="E33" i="28"/>
  <c r="Y33" i="28" s="1"/>
  <c r="E32" i="28"/>
  <c r="I71" i="23"/>
  <c r="O71" i="23"/>
  <c r="Q71" i="23" s="1"/>
  <c r="O68" i="33"/>
  <c r="Q68" i="33" s="1"/>
  <c r="O72" i="33"/>
  <c r="Q72" i="33" s="1"/>
  <c r="M72" i="23"/>
  <c r="K159" i="33"/>
  <c r="M159" i="33" s="1"/>
  <c r="S71" i="23" l="1"/>
  <c r="U71" i="23" s="1"/>
  <c r="M15" i="28"/>
  <c r="M27" i="28" s="1"/>
  <c r="K15" i="28"/>
  <c r="K32" i="28" s="1"/>
  <c r="S68" i="33"/>
  <c r="U68" i="33" s="1"/>
  <c r="Y71" i="23"/>
  <c r="W71" i="23"/>
  <c r="Q72" i="23"/>
  <c r="O159" i="33"/>
  <c r="Q159" i="33" s="1"/>
  <c r="H16" i="41"/>
  <c r="M17" i="41" s="1"/>
  <c r="U72" i="23" l="1"/>
  <c r="S72" i="33"/>
  <c r="U72" i="33" s="1"/>
  <c r="Q15" i="28"/>
  <c r="Q27" i="28" s="1"/>
  <c r="O15" i="28"/>
  <c r="O32" i="28" s="1"/>
  <c r="Y72" i="23"/>
  <c r="X18" i="39"/>
  <c r="W72" i="23"/>
  <c r="S159" i="33"/>
  <c r="U159" i="33" s="1"/>
  <c r="U15" i="28" l="1"/>
  <c r="U27" i="28" s="1"/>
  <c r="S15" i="28"/>
  <c r="S32" i="28" s="1"/>
  <c r="T36" i="39"/>
  <c r="U18" i="39"/>
  <c r="Y18" i="39" s="1"/>
  <c r="W18" i="39"/>
  <c r="G62" i="38"/>
  <c r="G85" i="9"/>
  <c r="L67" i="33"/>
  <c r="G67" i="33"/>
  <c r="I67" i="33" s="1"/>
  <c r="G60" i="23"/>
  <c r="G60" i="33" s="1"/>
  <c r="I60" i="33" s="1"/>
  <c r="G26" i="23"/>
  <c r="G33" i="23" s="1"/>
  <c r="G61" i="23"/>
  <c r="G61" i="33" s="1"/>
  <c r="I61" i="33" s="1"/>
  <c r="G71" i="38"/>
  <c r="G71" i="33" s="1"/>
  <c r="I71" i="33" s="1"/>
  <c r="E62" i="38"/>
  <c r="X62" i="38"/>
  <c r="G20" i="38"/>
  <c r="C33" i="38"/>
  <c r="K67" i="32"/>
  <c r="G51" i="32"/>
  <c r="G51" i="33" s="1"/>
  <c r="I51" i="33" s="1"/>
  <c r="G26" i="32"/>
  <c r="G33" i="32" s="1"/>
  <c r="D195" i="28"/>
  <c r="X230" i="28"/>
  <c r="E108" i="28"/>
  <c r="G188" i="30"/>
  <c r="I188" i="30" s="1"/>
  <c r="G190" i="30"/>
  <c r="I190" i="30" s="1"/>
  <c r="S30" i="29"/>
  <c r="O30" i="29"/>
  <c r="K30" i="29"/>
  <c r="G30" i="29"/>
  <c r="G188" i="39"/>
  <c r="G189" i="39"/>
  <c r="K189" i="39" s="1"/>
  <c r="G191" i="39"/>
  <c r="G192" i="39"/>
  <c r="C225" i="24"/>
  <c r="D85" i="9"/>
  <c r="D112" i="9"/>
  <c r="D120" i="33" s="1"/>
  <c r="D26" i="23"/>
  <c r="D33" i="23" s="1"/>
  <c r="D85" i="28"/>
  <c r="D112" i="28"/>
  <c r="D155" i="28"/>
  <c r="D173" i="28"/>
  <c r="D186" i="28"/>
  <c r="D199" i="28" s="1"/>
  <c r="D231" i="28"/>
  <c r="D245" i="28"/>
  <c r="D85" i="32"/>
  <c r="D245" i="32"/>
  <c r="D225" i="32"/>
  <c r="D200" i="32"/>
  <c r="D195" i="32"/>
  <c r="D173" i="32"/>
  <c r="D149" i="32"/>
  <c r="D112" i="32"/>
  <c r="D173" i="38"/>
  <c r="D99" i="38"/>
  <c r="D15" i="38"/>
  <c r="D32" i="38" s="1"/>
  <c r="D36" i="38" s="1"/>
  <c r="D26" i="38"/>
  <c r="D63" i="38"/>
  <c r="D85" i="38"/>
  <c r="D36" i="39"/>
  <c r="D26" i="39"/>
  <c r="D85" i="24"/>
  <c r="E66" i="9"/>
  <c r="C15" i="9"/>
  <c r="C85" i="9"/>
  <c r="E103" i="9"/>
  <c r="E144" i="9"/>
  <c r="E220" i="9"/>
  <c r="E66" i="23"/>
  <c r="E69" i="23"/>
  <c r="E68" i="23"/>
  <c r="E67" i="23"/>
  <c r="E61" i="23"/>
  <c r="E60" i="23"/>
  <c r="C85" i="23"/>
  <c r="C26" i="29"/>
  <c r="E66" i="30"/>
  <c r="E59" i="30"/>
  <c r="C85" i="30"/>
  <c r="C57" i="30"/>
  <c r="E17" i="28"/>
  <c r="E62" i="28"/>
  <c r="E65" i="28"/>
  <c r="E73" i="28"/>
  <c r="E74" i="28"/>
  <c r="E75" i="28"/>
  <c r="E72" i="28"/>
  <c r="C85" i="28"/>
  <c r="E128" i="28"/>
  <c r="C112" i="28"/>
  <c r="C149" i="28"/>
  <c r="C173" i="28"/>
  <c r="C186" i="28"/>
  <c r="C199" i="28" s="1"/>
  <c r="C195" i="28"/>
  <c r="C225" i="28"/>
  <c r="C245" i="28"/>
  <c r="E18" i="32"/>
  <c r="E17" i="32"/>
  <c r="E34" i="32"/>
  <c r="E35" i="32"/>
  <c r="E41" i="32"/>
  <c r="E65" i="32"/>
  <c r="E67" i="32"/>
  <c r="E51" i="32"/>
  <c r="C15" i="32"/>
  <c r="C26" i="32"/>
  <c r="C33" i="32" s="1"/>
  <c r="C85" i="32"/>
  <c r="C57" i="32"/>
  <c r="E190" i="32"/>
  <c r="C195" i="32"/>
  <c r="E159" i="32"/>
  <c r="E154" i="32"/>
  <c r="E129" i="32"/>
  <c r="C112" i="32"/>
  <c r="E237" i="38"/>
  <c r="E219" i="38"/>
  <c r="C225" i="38"/>
  <c r="E162" i="38"/>
  <c r="E157" i="38"/>
  <c r="E143" i="38"/>
  <c r="E128" i="38"/>
  <c r="E92" i="38"/>
  <c r="E93" i="38"/>
  <c r="C173" i="38"/>
  <c r="C149" i="38"/>
  <c r="C99" i="38"/>
  <c r="E72" i="38"/>
  <c r="E66" i="38"/>
  <c r="E65" i="38"/>
  <c r="E70" i="38"/>
  <c r="E73" i="38"/>
  <c r="E74" i="38"/>
  <c r="E71" i="38"/>
  <c r="E6" i="38"/>
  <c r="E9" i="38"/>
  <c r="E17" i="38"/>
  <c r="E20" i="38"/>
  <c r="E18" i="38"/>
  <c r="C30" i="38"/>
  <c r="E51" i="38"/>
  <c r="C15" i="38"/>
  <c r="C26" i="38"/>
  <c r="C85" i="38"/>
  <c r="C57" i="38"/>
  <c r="C26" i="39"/>
  <c r="C85" i="39"/>
  <c r="E67" i="24"/>
  <c r="E53" i="24"/>
  <c r="C85" i="24"/>
  <c r="C149" i="24"/>
  <c r="G85" i="23"/>
  <c r="G85" i="39"/>
  <c r="G231" i="39"/>
  <c r="G85" i="30"/>
  <c r="G63" i="30"/>
  <c r="G231" i="30"/>
  <c r="G149" i="28"/>
  <c r="G225" i="28"/>
  <c r="G34" i="32"/>
  <c r="K34" i="32" s="1"/>
  <c r="O34" i="32" s="1"/>
  <c r="G35" i="32"/>
  <c r="G85" i="32"/>
  <c r="G49" i="32"/>
  <c r="G231" i="32"/>
  <c r="G199" i="32"/>
  <c r="G154" i="32"/>
  <c r="G154" i="33" s="1"/>
  <c r="I154" i="33" s="1"/>
  <c r="G112" i="32"/>
  <c r="G245" i="38"/>
  <c r="G225" i="38"/>
  <c r="G200" i="38"/>
  <c r="G173" i="38"/>
  <c r="G149" i="38"/>
  <c r="G92" i="38"/>
  <c r="G93" i="38"/>
  <c r="G6" i="38"/>
  <c r="G17" i="38"/>
  <c r="G57" i="38"/>
  <c r="G63" i="31"/>
  <c r="G85" i="31"/>
  <c r="G149" i="24"/>
  <c r="G225" i="24"/>
  <c r="H15" i="9"/>
  <c r="H36" i="39"/>
  <c r="H85" i="28"/>
  <c r="H155" i="28"/>
  <c r="H173" i="28"/>
  <c r="H231" i="28"/>
  <c r="H245" i="28"/>
  <c r="H245" i="32"/>
  <c r="H225" i="32"/>
  <c r="H200" i="32"/>
  <c r="H173" i="32"/>
  <c r="H149" i="32"/>
  <c r="H34" i="32"/>
  <c r="L34" i="32" s="1"/>
  <c r="P34" i="32" s="1"/>
  <c r="T34" i="32" s="1"/>
  <c r="H35" i="32"/>
  <c r="L35" i="32" s="1"/>
  <c r="H173" i="38"/>
  <c r="H92" i="38"/>
  <c r="H93" i="38"/>
  <c r="H9" i="38"/>
  <c r="H17" i="38"/>
  <c r="H20" i="38"/>
  <c r="H63" i="38"/>
  <c r="H85" i="24"/>
  <c r="I144" i="9"/>
  <c r="I220" i="9"/>
  <c r="I68" i="23"/>
  <c r="I61" i="23"/>
  <c r="I188" i="39"/>
  <c r="I190" i="39"/>
  <c r="I192" i="39"/>
  <c r="I228" i="39"/>
  <c r="I66" i="30"/>
  <c r="I59" i="30"/>
  <c r="I228" i="30"/>
  <c r="I62" i="28"/>
  <c r="I65" i="28"/>
  <c r="I73" i="28"/>
  <c r="I74" i="28"/>
  <c r="I65" i="32"/>
  <c r="I230" i="32"/>
  <c r="I159" i="32"/>
  <c r="I233" i="38"/>
  <c r="I234" i="38"/>
  <c r="I237" i="38"/>
  <c r="I219" i="38"/>
  <c r="I180" i="38"/>
  <c r="I157" i="38"/>
  <c r="I158" i="38"/>
  <c r="I164" i="38"/>
  <c r="I143" i="38"/>
  <c r="I65" i="38"/>
  <c r="I67" i="38"/>
  <c r="I72" i="38"/>
  <c r="I73" i="38"/>
  <c r="I51" i="38"/>
  <c r="I53" i="24"/>
  <c r="K85" i="39"/>
  <c r="K188" i="39"/>
  <c r="K192" i="39"/>
  <c r="O192" i="39" s="1"/>
  <c r="K228" i="39"/>
  <c r="K85" i="30"/>
  <c r="K63" i="30"/>
  <c r="K228" i="30"/>
  <c r="K149" i="28"/>
  <c r="K225" i="28"/>
  <c r="K231" i="32"/>
  <c r="K154" i="32"/>
  <c r="K154" i="33" s="1"/>
  <c r="M154" i="33" s="1"/>
  <c r="K112" i="32"/>
  <c r="K245" i="38"/>
  <c r="K225" i="38"/>
  <c r="K180" i="38"/>
  <c r="K201" i="38"/>
  <c r="O201" i="38" s="1"/>
  <c r="W201" i="38" s="1"/>
  <c r="K173" i="38"/>
  <c r="K149" i="38"/>
  <c r="K18" i="38"/>
  <c r="K7" i="38"/>
  <c r="K8" i="38"/>
  <c r="K57" i="38"/>
  <c r="K63" i="31"/>
  <c r="K85" i="31"/>
  <c r="K149" i="24"/>
  <c r="K225" i="24"/>
  <c r="L57" i="9"/>
  <c r="L85" i="28"/>
  <c r="L155" i="28"/>
  <c r="L173" i="28"/>
  <c r="L231" i="28"/>
  <c r="L245" i="28"/>
  <c r="L245" i="32"/>
  <c r="L225" i="32"/>
  <c r="L200" i="32"/>
  <c r="L149" i="32"/>
  <c r="L173" i="38"/>
  <c r="L63" i="38"/>
  <c r="L85" i="38"/>
  <c r="M52" i="9"/>
  <c r="M144" i="9"/>
  <c r="M220" i="9"/>
  <c r="M68" i="23"/>
  <c r="M188" i="39"/>
  <c r="M192" i="39"/>
  <c r="M66" i="30"/>
  <c r="M59" i="30"/>
  <c r="M73" i="28"/>
  <c r="M74" i="28"/>
  <c r="M230" i="32"/>
  <c r="M233" i="38"/>
  <c r="M234" i="38"/>
  <c r="M237" i="38"/>
  <c r="M219" i="38"/>
  <c r="M181" i="38"/>
  <c r="M157" i="38"/>
  <c r="M158" i="38"/>
  <c r="M160" i="38"/>
  <c r="M159" i="38"/>
  <c r="M164" i="38"/>
  <c r="M143" i="38"/>
  <c r="M67" i="38"/>
  <c r="M72" i="38"/>
  <c r="M73" i="38"/>
  <c r="M51" i="38"/>
  <c r="M53" i="24"/>
  <c r="O85" i="39"/>
  <c r="O188" i="39"/>
  <c r="Q188" i="39" s="1"/>
  <c r="O85" i="30"/>
  <c r="O63" i="30"/>
  <c r="O228" i="30"/>
  <c r="O149" i="28"/>
  <c r="O225" i="28"/>
  <c r="O245" i="32"/>
  <c r="O231" i="32"/>
  <c r="O173" i="32"/>
  <c r="O154" i="32"/>
  <c r="O154" i="33" s="1"/>
  <c r="Q154" i="33" s="1"/>
  <c r="O112" i="32"/>
  <c r="O245" i="38"/>
  <c r="O225" i="38"/>
  <c r="O181" i="38"/>
  <c r="O173" i="38"/>
  <c r="O149" i="38"/>
  <c r="O94" i="38"/>
  <c r="O95" i="38"/>
  <c r="O57" i="38"/>
  <c r="O63" i="31"/>
  <c r="O85" i="31"/>
  <c r="O149" i="24"/>
  <c r="O225" i="24"/>
  <c r="P85" i="28"/>
  <c r="P155" i="28"/>
  <c r="P173" i="28"/>
  <c r="P231" i="28"/>
  <c r="P245" i="28"/>
  <c r="P57" i="32"/>
  <c r="P245" i="32"/>
  <c r="P200" i="32"/>
  <c r="P173" i="38"/>
  <c r="P94" i="38"/>
  <c r="P95" i="38"/>
  <c r="P63" i="38"/>
  <c r="P85" i="38"/>
  <c r="Q144" i="9"/>
  <c r="Q220" i="9"/>
  <c r="Q68" i="23"/>
  <c r="Q66" i="30"/>
  <c r="Q59" i="30"/>
  <c r="Q65" i="28"/>
  <c r="Q73" i="28"/>
  <c r="Q74" i="28"/>
  <c r="Q230" i="32"/>
  <c r="Q190" i="32"/>
  <c r="Q159" i="32"/>
  <c r="Q233" i="38"/>
  <c r="Q234" i="38"/>
  <c r="Q235" i="38"/>
  <c r="Q237" i="38"/>
  <c r="Q219" i="38"/>
  <c r="Q182" i="38"/>
  <c r="Q160" i="38"/>
  <c r="Q159" i="38"/>
  <c r="Q164" i="38"/>
  <c r="Q143" i="38"/>
  <c r="Q65" i="38"/>
  <c r="Q66" i="38"/>
  <c r="Q70" i="38"/>
  <c r="Q72" i="38"/>
  <c r="Q73" i="38"/>
  <c r="Q51" i="38"/>
  <c r="Q53" i="24"/>
  <c r="S85" i="39"/>
  <c r="S188" i="39"/>
  <c r="S85" i="30"/>
  <c r="S63" i="30"/>
  <c r="S149" i="28"/>
  <c r="S225" i="28"/>
  <c r="W18" i="32"/>
  <c r="S231" i="32"/>
  <c r="S245" i="38"/>
  <c r="S225" i="38"/>
  <c r="S182" i="38"/>
  <c r="S173" i="38"/>
  <c r="S149" i="38"/>
  <c r="S57" i="38"/>
  <c r="S63" i="31"/>
  <c r="S85" i="31"/>
  <c r="S149" i="24"/>
  <c r="S225" i="24"/>
  <c r="T85" i="28"/>
  <c r="T155" i="28"/>
  <c r="T173" i="28"/>
  <c r="T231" i="28"/>
  <c r="T245" i="28"/>
  <c r="T57" i="32"/>
  <c r="T245" i="32"/>
  <c r="T225" i="32"/>
  <c r="T200" i="32"/>
  <c r="T173" i="32"/>
  <c r="T149" i="32"/>
  <c r="T173" i="38"/>
  <c r="T63" i="38"/>
  <c r="U144" i="9"/>
  <c r="U220" i="9"/>
  <c r="U66" i="23"/>
  <c r="U68" i="23"/>
  <c r="U30" i="39"/>
  <c r="U67" i="39"/>
  <c r="U68" i="39"/>
  <c r="U66" i="30"/>
  <c r="U59" i="30"/>
  <c r="U73" i="28"/>
  <c r="U74" i="28"/>
  <c r="U75" i="28"/>
  <c r="U230" i="32"/>
  <c r="U190" i="32"/>
  <c r="U159" i="32"/>
  <c r="U235" i="38"/>
  <c r="U237" i="38"/>
  <c r="U219" i="38"/>
  <c r="U159" i="38"/>
  <c r="U160" i="38"/>
  <c r="U143" i="38"/>
  <c r="U66" i="38"/>
  <c r="U72" i="38"/>
  <c r="U73" i="38"/>
  <c r="U74" i="38"/>
  <c r="U51" i="38"/>
  <c r="U53" i="24"/>
  <c r="C63" i="23"/>
  <c r="C63" i="30"/>
  <c r="C63" i="28"/>
  <c r="C155" i="28"/>
  <c r="C141" i="28"/>
  <c r="C49" i="32"/>
  <c r="C155" i="32"/>
  <c r="C141" i="32"/>
  <c r="C141" i="38"/>
  <c r="C63" i="38"/>
  <c r="C63" i="31"/>
  <c r="W235" i="38"/>
  <c r="W234" i="38"/>
  <c r="W233" i="38"/>
  <c r="W230" i="32"/>
  <c r="W219" i="38"/>
  <c r="X201" i="32"/>
  <c r="X190" i="32"/>
  <c r="W190" i="32"/>
  <c r="W188" i="39"/>
  <c r="W162" i="38"/>
  <c r="X160" i="38"/>
  <c r="W160" i="38"/>
  <c r="X159" i="32"/>
  <c r="X159" i="38"/>
  <c r="W159" i="32"/>
  <c r="W159" i="38"/>
  <c r="W158" i="38"/>
  <c r="X157" i="38"/>
  <c r="W157" i="38"/>
  <c r="W143" i="38"/>
  <c r="W129" i="32"/>
  <c r="W128" i="28"/>
  <c r="W128" i="38"/>
  <c r="W103" i="32"/>
  <c r="W66" i="23"/>
  <c r="W66" i="30"/>
  <c r="W66" i="38"/>
  <c r="W67" i="38"/>
  <c r="W67" i="39"/>
  <c r="W67" i="23"/>
  <c r="X67" i="32"/>
  <c r="X67" i="38"/>
  <c r="W68" i="39"/>
  <c r="W68" i="23"/>
  <c r="W70" i="38"/>
  <c r="X72" i="28"/>
  <c r="W73" i="28"/>
  <c r="W72" i="38"/>
  <c r="X73" i="28"/>
  <c r="X72" i="38"/>
  <c r="W74" i="28"/>
  <c r="W73" i="38"/>
  <c r="W75" i="28"/>
  <c r="W74" i="38"/>
  <c r="W65" i="28"/>
  <c r="W65" i="32"/>
  <c r="W65" i="38"/>
  <c r="W59" i="30"/>
  <c r="W53" i="24"/>
  <c r="X52" i="9"/>
  <c r="W51" i="38"/>
  <c r="W51" i="30"/>
  <c r="X51" i="32"/>
  <c r="W41" i="32"/>
  <c r="I96" i="9"/>
  <c r="X98" i="9"/>
  <c r="K99" i="9"/>
  <c r="C124" i="23"/>
  <c r="G115" i="23"/>
  <c r="I115" i="23" s="1"/>
  <c r="K115" i="23"/>
  <c r="M115" i="23" s="1"/>
  <c r="O115" i="23"/>
  <c r="Q115" i="23" s="1"/>
  <c r="S115" i="23"/>
  <c r="C112" i="23"/>
  <c r="G112" i="23"/>
  <c r="C99" i="23"/>
  <c r="G99" i="23"/>
  <c r="K99" i="23"/>
  <c r="O99" i="23"/>
  <c r="S99" i="23"/>
  <c r="C149" i="23"/>
  <c r="G149" i="23"/>
  <c r="K149" i="23"/>
  <c r="O149" i="23"/>
  <c r="S149" i="23"/>
  <c r="C173" i="23"/>
  <c r="G173" i="23"/>
  <c r="K173" i="23"/>
  <c r="O173" i="23"/>
  <c r="S173" i="23"/>
  <c r="V113" i="23"/>
  <c r="V125" i="23" s="1"/>
  <c r="V174" i="23" s="1"/>
  <c r="R113" i="23"/>
  <c r="R125" i="23" s="1"/>
  <c r="R175" i="23" s="1"/>
  <c r="N113" i="23"/>
  <c r="N125" i="23" s="1"/>
  <c r="N175" i="23" s="1"/>
  <c r="J113" i="23"/>
  <c r="J125" i="23" s="1"/>
  <c r="J175" i="23" s="1"/>
  <c r="F113" i="23"/>
  <c r="F125" i="23" s="1"/>
  <c r="F175" i="23" s="1"/>
  <c r="C112" i="9"/>
  <c r="C99" i="9"/>
  <c r="G99" i="9"/>
  <c r="C149" i="9"/>
  <c r="G149" i="9"/>
  <c r="K149" i="9"/>
  <c r="O149" i="9"/>
  <c r="S149" i="9"/>
  <c r="C173" i="9"/>
  <c r="G173" i="9"/>
  <c r="K173" i="9"/>
  <c r="O173" i="9"/>
  <c r="S173" i="9"/>
  <c r="V113" i="9"/>
  <c r="V125" i="9" s="1"/>
  <c r="V175" i="9" s="1"/>
  <c r="R113" i="9"/>
  <c r="R125" i="9" s="1"/>
  <c r="R175" i="9" s="1"/>
  <c r="N113" i="9"/>
  <c r="N125" i="9" s="1"/>
  <c r="N175" i="9" s="1"/>
  <c r="J113" i="9"/>
  <c r="J125" i="9" s="1"/>
  <c r="J175" i="9" s="1"/>
  <c r="F113" i="9"/>
  <c r="F125" i="9" s="1"/>
  <c r="F175" i="9" s="1"/>
  <c r="C115" i="24"/>
  <c r="C116" i="24"/>
  <c r="G116" i="24" s="1"/>
  <c r="K116" i="24" s="1"/>
  <c r="O116" i="24" s="1"/>
  <c r="S116" i="24" s="1"/>
  <c r="C117" i="24"/>
  <c r="G117" i="24" s="1"/>
  <c r="K117" i="24" s="1"/>
  <c r="O117" i="24" s="1"/>
  <c r="S117" i="24" s="1"/>
  <c r="W117" i="24" s="1"/>
  <c r="C118" i="24"/>
  <c r="G118" i="24" s="1"/>
  <c r="K118" i="24" s="1"/>
  <c r="O118" i="24" s="1"/>
  <c r="S118" i="24" s="1"/>
  <c r="C119" i="24"/>
  <c r="G119" i="24" s="1"/>
  <c r="K119" i="24" s="1"/>
  <c r="O119" i="24" s="1"/>
  <c r="S119" i="24" s="1"/>
  <c r="C120" i="24"/>
  <c r="G120" i="24" s="1"/>
  <c r="K120" i="24" s="1"/>
  <c r="O120" i="24" s="1"/>
  <c r="S120" i="24" s="1"/>
  <c r="C121" i="24"/>
  <c r="G121" i="24" s="1"/>
  <c r="K121" i="24" s="1"/>
  <c r="O121" i="24" s="1"/>
  <c r="S121" i="24" s="1"/>
  <c r="G92" i="24"/>
  <c r="C112" i="24"/>
  <c r="G101" i="24"/>
  <c r="G102" i="24"/>
  <c r="K102" i="24" s="1"/>
  <c r="G103" i="24"/>
  <c r="G104" i="24"/>
  <c r="K104" i="24" s="1"/>
  <c r="O104" i="24" s="1"/>
  <c r="S104" i="24" s="1"/>
  <c r="G105" i="24"/>
  <c r="K105" i="24" s="1"/>
  <c r="O105" i="24" s="1"/>
  <c r="S105" i="24" s="1"/>
  <c r="G106" i="24"/>
  <c r="K106" i="24" s="1"/>
  <c r="O106" i="24" s="1"/>
  <c r="S106" i="24" s="1"/>
  <c r="G107" i="24"/>
  <c r="K107" i="24" s="1"/>
  <c r="G108" i="24"/>
  <c r="K108" i="24" s="1"/>
  <c r="O108" i="24" s="1"/>
  <c r="S108" i="24" s="1"/>
  <c r="G109" i="24"/>
  <c r="K109" i="24" s="1"/>
  <c r="O109" i="24" s="1"/>
  <c r="S109" i="24" s="1"/>
  <c r="W109" i="24" s="1"/>
  <c r="G110" i="24"/>
  <c r="G111" i="24"/>
  <c r="K111" i="24" s="1"/>
  <c r="O111" i="24" s="1"/>
  <c r="K103" i="24"/>
  <c r="O103" i="24" s="1"/>
  <c r="C99" i="24"/>
  <c r="G93" i="24"/>
  <c r="K93" i="24" s="1"/>
  <c r="O93" i="24" s="1"/>
  <c r="G94" i="24"/>
  <c r="K94" i="24" s="1"/>
  <c r="G95" i="24"/>
  <c r="K95" i="24" s="1"/>
  <c r="O95" i="24" s="1"/>
  <c r="S95" i="24" s="1"/>
  <c r="G96" i="24"/>
  <c r="K96" i="24" s="1"/>
  <c r="O96" i="24" s="1"/>
  <c r="S96" i="24" s="1"/>
  <c r="G97" i="24"/>
  <c r="K97" i="24" s="1"/>
  <c r="O97" i="24" s="1"/>
  <c r="G98" i="24"/>
  <c r="K98" i="24" s="1"/>
  <c r="O98" i="24" s="1"/>
  <c r="S98" i="24" s="1"/>
  <c r="C173" i="24"/>
  <c r="G173" i="24"/>
  <c r="K173" i="24"/>
  <c r="O173" i="24"/>
  <c r="S173" i="24"/>
  <c r="V113" i="24"/>
  <c r="V125" i="24" s="1"/>
  <c r="R113" i="24"/>
  <c r="R125" i="24" s="1"/>
  <c r="R175" i="24" s="1"/>
  <c r="N113" i="24"/>
  <c r="N125" i="24" s="1"/>
  <c r="N175" i="24" s="1"/>
  <c r="J113" i="24"/>
  <c r="J125" i="24" s="1"/>
  <c r="J175" i="24" s="1"/>
  <c r="F113" i="24"/>
  <c r="F125" i="24" s="1"/>
  <c r="F175" i="24" s="1"/>
  <c r="C115" i="39"/>
  <c r="E115" i="39" s="1"/>
  <c r="G92" i="39"/>
  <c r="C112" i="39"/>
  <c r="G112" i="39"/>
  <c r="K112" i="39"/>
  <c r="O112" i="39"/>
  <c r="C99" i="39"/>
  <c r="G93" i="39"/>
  <c r="K93" i="39" s="1"/>
  <c r="O93" i="39" s="1"/>
  <c r="G94" i="39"/>
  <c r="K94" i="39" s="1"/>
  <c r="O94" i="39" s="1"/>
  <c r="S94" i="39" s="1"/>
  <c r="G95" i="39"/>
  <c r="K95" i="39" s="1"/>
  <c r="O95" i="39" s="1"/>
  <c r="S95" i="39" s="1"/>
  <c r="G96" i="39"/>
  <c r="K96" i="39" s="1"/>
  <c r="G97" i="39"/>
  <c r="K97" i="39" s="1"/>
  <c r="O97" i="39" s="1"/>
  <c r="S97" i="39" s="1"/>
  <c r="G98" i="39"/>
  <c r="K98" i="39" s="1"/>
  <c r="O98" i="39" s="1"/>
  <c r="S98" i="39" s="1"/>
  <c r="W98" i="39" s="1"/>
  <c r="C149" i="39"/>
  <c r="G149" i="39"/>
  <c r="K149" i="39"/>
  <c r="O149" i="39"/>
  <c r="S149" i="39"/>
  <c r="C173" i="39"/>
  <c r="G173" i="39"/>
  <c r="K173" i="39"/>
  <c r="O173" i="39"/>
  <c r="S173" i="39"/>
  <c r="V113" i="39"/>
  <c r="V125" i="39" s="1"/>
  <c r="R113" i="39"/>
  <c r="R125" i="39" s="1"/>
  <c r="R175" i="39" s="1"/>
  <c r="N113" i="39"/>
  <c r="N125" i="39" s="1"/>
  <c r="N175" i="39" s="1"/>
  <c r="J113" i="39"/>
  <c r="J125" i="39" s="1"/>
  <c r="F113" i="39"/>
  <c r="F125" i="39" s="1"/>
  <c r="C115" i="30"/>
  <c r="C116" i="30"/>
  <c r="G116" i="30" s="1"/>
  <c r="K116" i="30" s="1"/>
  <c r="O116" i="30" s="1"/>
  <c r="S116" i="30" s="1"/>
  <c r="C117" i="30"/>
  <c r="C118" i="30"/>
  <c r="G118" i="30" s="1"/>
  <c r="C120" i="30"/>
  <c r="G120" i="30" s="1"/>
  <c r="K120" i="30" s="1"/>
  <c r="C121" i="30"/>
  <c r="G121" i="30" s="1"/>
  <c r="K121" i="30" s="1"/>
  <c r="O121" i="30" s="1"/>
  <c r="S121" i="30" s="1"/>
  <c r="I115" i="30"/>
  <c r="C112" i="30"/>
  <c r="G101" i="30"/>
  <c r="K101" i="30" s="1"/>
  <c r="G102" i="30"/>
  <c r="G103" i="30"/>
  <c r="K103" i="30" s="1"/>
  <c r="G104" i="30"/>
  <c r="K104" i="30" s="1"/>
  <c r="O104" i="30" s="1"/>
  <c r="S104" i="30" s="1"/>
  <c r="G105" i="30"/>
  <c r="G106" i="30"/>
  <c r="K106" i="30" s="1"/>
  <c r="O106" i="30" s="1"/>
  <c r="G107" i="30"/>
  <c r="K107" i="30" s="1"/>
  <c r="G108" i="30"/>
  <c r="K108" i="30" s="1"/>
  <c r="O108" i="30" s="1"/>
  <c r="G109" i="30"/>
  <c r="G110" i="30"/>
  <c r="K110" i="30" s="1"/>
  <c r="O110" i="30" s="1"/>
  <c r="S110" i="30" s="1"/>
  <c r="G111" i="30"/>
  <c r="C99" i="30"/>
  <c r="G94" i="30"/>
  <c r="G95" i="30"/>
  <c r="K95" i="30" s="1"/>
  <c r="O95" i="30" s="1"/>
  <c r="S95" i="30" s="1"/>
  <c r="W95" i="30" s="1"/>
  <c r="G96" i="30"/>
  <c r="K96" i="30" s="1"/>
  <c r="O96" i="30" s="1"/>
  <c r="S96" i="30" s="1"/>
  <c r="G97" i="30"/>
  <c r="G98" i="30"/>
  <c r="K98" i="30" s="1"/>
  <c r="O98" i="30" s="1"/>
  <c r="S98" i="30" s="1"/>
  <c r="C149" i="30"/>
  <c r="G149" i="30"/>
  <c r="K149" i="30"/>
  <c r="O149" i="30"/>
  <c r="S149" i="30"/>
  <c r="C173" i="30"/>
  <c r="G173" i="30"/>
  <c r="K173" i="30"/>
  <c r="O173" i="30"/>
  <c r="S173" i="30"/>
  <c r="V113" i="30"/>
  <c r="V125" i="30" s="1"/>
  <c r="V175" i="30" s="1"/>
  <c r="R113" i="30"/>
  <c r="R125" i="30" s="1"/>
  <c r="N113" i="30"/>
  <c r="N125" i="30" s="1"/>
  <c r="N175" i="30" s="1"/>
  <c r="J113" i="30"/>
  <c r="J125" i="30" s="1"/>
  <c r="F113" i="30"/>
  <c r="F125" i="30" s="1"/>
  <c r="C115" i="29"/>
  <c r="G92" i="29"/>
  <c r="K92" i="29" s="1"/>
  <c r="C112" i="29"/>
  <c r="C99" i="29"/>
  <c r="G97" i="29"/>
  <c r="G98" i="29"/>
  <c r="K98" i="29" s="1"/>
  <c r="C149" i="29"/>
  <c r="G149" i="29"/>
  <c r="K149" i="29"/>
  <c r="O149" i="29"/>
  <c r="S149" i="29"/>
  <c r="C173" i="29"/>
  <c r="G173" i="29"/>
  <c r="K173" i="29"/>
  <c r="O173" i="29"/>
  <c r="S173" i="29"/>
  <c r="V113" i="29"/>
  <c r="R113" i="29"/>
  <c r="R125" i="29" s="1"/>
  <c r="R174" i="29" s="1"/>
  <c r="N113" i="29"/>
  <c r="N125" i="29" s="1"/>
  <c r="N174" i="29" s="1"/>
  <c r="J113" i="29"/>
  <c r="F113" i="29"/>
  <c r="C116" i="38"/>
  <c r="C118" i="38"/>
  <c r="C119" i="38"/>
  <c r="E119" i="38" s="1"/>
  <c r="C120" i="38"/>
  <c r="C121" i="38"/>
  <c r="K116" i="38"/>
  <c r="K117" i="38"/>
  <c r="O115" i="38"/>
  <c r="S92" i="38"/>
  <c r="C112" i="38"/>
  <c r="G101" i="38"/>
  <c r="G103" i="38"/>
  <c r="G104" i="38"/>
  <c r="G105" i="38"/>
  <c r="G106" i="38"/>
  <c r="G107" i="38"/>
  <c r="G108" i="38"/>
  <c r="G109" i="38"/>
  <c r="G110" i="38"/>
  <c r="G111" i="38"/>
  <c r="K102" i="38"/>
  <c r="G96" i="38"/>
  <c r="G97" i="38"/>
  <c r="G98" i="38"/>
  <c r="S93" i="38"/>
  <c r="V113" i="38"/>
  <c r="V125" i="38" s="1"/>
  <c r="V175" i="38" s="1"/>
  <c r="R113" i="38"/>
  <c r="R125" i="38" s="1"/>
  <c r="N113" i="38"/>
  <c r="N125" i="38" s="1"/>
  <c r="N175" i="38" s="1"/>
  <c r="J113" i="38"/>
  <c r="J125" i="38" s="1"/>
  <c r="F113" i="38"/>
  <c r="F125" i="38" s="1"/>
  <c r="F174" i="38" s="1"/>
  <c r="G123" i="32"/>
  <c r="G123" i="33" s="1"/>
  <c r="S115" i="32"/>
  <c r="U115" i="32" s="1"/>
  <c r="C99" i="32"/>
  <c r="G93" i="32"/>
  <c r="G94" i="32"/>
  <c r="G94" i="33" s="1"/>
  <c r="G95" i="32"/>
  <c r="G95" i="33" s="1"/>
  <c r="G96" i="32"/>
  <c r="G97" i="32"/>
  <c r="G98" i="32"/>
  <c r="C149" i="32"/>
  <c r="G149" i="32"/>
  <c r="K149" i="32"/>
  <c r="O149" i="32"/>
  <c r="S149" i="32"/>
  <c r="C173" i="32"/>
  <c r="G173" i="32"/>
  <c r="K173" i="32"/>
  <c r="S173" i="32"/>
  <c r="V113" i="32"/>
  <c r="V125" i="32" s="1"/>
  <c r="V175" i="32" s="1"/>
  <c r="R113" i="32"/>
  <c r="R125" i="32" s="1"/>
  <c r="N113" i="32"/>
  <c r="N125" i="32" s="1"/>
  <c r="N175" i="32" s="1"/>
  <c r="J113" i="32"/>
  <c r="J125" i="32" s="1"/>
  <c r="J175" i="32" s="1"/>
  <c r="F113" i="32"/>
  <c r="F125" i="32" s="1"/>
  <c r="F175" i="32" s="1"/>
  <c r="C117" i="33"/>
  <c r="E117" i="33" s="1"/>
  <c r="C112" i="31"/>
  <c r="G101" i="31"/>
  <c r="K101" i="31" s="1"/>
  <c r="O101" i="31" s="1"/>
  <c r="S101" i="31" s="1"/>
  <c r="G103" i="31"/>
  <c r="G105" i="31"/>
  <c r="K105" i="31" s="1"/>
  <c r="O105" i="31" s="1"/>
  <c r="G106" i="31"/>
  <c r="K106" i="31" s="1"/>
  <c r="O106" i="31" s="1"/>
  <c r="S106" i="31" s="1"/>
  <c r="G107" i="31"/>
  <c r="G108" i="31"/>
  <c r="K108" i="31" s="1"/>
  <c r="O108" i="31" s="1"/>
  <c r="G109" i="31"/>
  <c r="K109" i="31" s="1"/>
  <c r="O109" i="31" s="1"/>
  <c r="S109" i="31" s="1"/>
  <c r="G110" i="31"/>
  <c r="G111" i="31"/>
  <c r="C99" i="31"/>
  <c r="C149" i="31"/>
  <c r="G149" i="31"/>
  <c r="K149" i="31"/>
  <c r="O149" i="31"/>
  <c r="S149" i="31"/>
  <c r="C173" i="31"/>
  <c r="G173" i="31"/>
  <c r="K173" i="31"/>
  <c r="O173" i="31"/>
  <c r="S173" i="31"/>
  <c r="V113" i="31"/>
  <c r="V125" i="31" s="1"/>
  <c r="R113" i="31"/>
  <c r="R125" i="31" s="1"/>
  <c r="R175" i="31" s="1"/>
  <c r="N113" i="31"/>
  <c r="N125" i="31" s="1"/>
  <c r="N175" i="31" s="1"/>
  <c r="J113" i="31"/>
  <c r="J125" i="31" s="1"/>
  <c r="F113" i="31"/>
  <c r="F125" i="31" s="1"/>
  <c r="F175" i="31" s="1"/>
  <c r="V113" i="28"/>
  <c r="R113" i="28"/>
  <c r="R125" i="28" s="1"/>
  <c r="R174" i="28" s="1"/>
  <c r="N113" i="28"/>
  <c r="N125" i="28" s="1"/>
  <c r="N174" i="28" s="1"/>
  <c r="J113" i="28"/>
  <c r="J125" i="28" s="1"/>
  <c r="F113" i="28"/>
  <c r="F125" i="28" s="1"/>
  <c r="T245" i="39"/>
  <c r="S245" i="39"/>
  <c r="P245" i="39"/>
  <c r="O245" i="39"/>
  <c r="L245" i="39"/>
  <c r="K245" i="39"/>
  <c r="H245" i="39"/>
  <c r="G245" i="39"/>
  <c r="D245" i="39"/>
  <c r="C245" i="39"/>
  <c r="X244" i="39"/>
  <c r="W244" i="39"/>
  <c r="U244" i="39"/>
  <c r="Q244" i="39"/>
  <c r="M244" i="39"/>
  <c r="I244" i="39"/>
  <c r="E244" i="39"/>
  <c r="X243" i="39"/>
  <c r="W243" i="39"/>
  <c r="U243" i="39"/>
  <c r="Q243" i="39"/>
  <c r="M243" i="39"/>
  <c r="I243" i="39"/>
  <c r="E243" i="39"/>
  <c r="X242" i="39"/>
  <c r="W242" i="39"/>
  <c r="U242" i="39"/>
  <c r="Q242" i="39"/>
  <c r="M242" i="39"/>
  <c r="I242" i="39"/>
  <c r="E242" i="39"/>
  <c r="X241" i="39"/>
  <c r="W241" i="39"/>
  <c r="U241" i="39"/>
  <c r="Q241" i="39"/>
  <c r="M241" i="39"/>
  <c r="I241" i="39"/>
  <c r="E241" i="39"/>
  <c r="X240" i="39"/>
  <c r="W240" i="39"/>
  <c r="U240" i="39"/>
  <c r="Q240" i="39"/>
  <c r="M240" i="39"/>
  <c r="I240" i="39"/>
  <c r="E240" i="39"/>
  <c r="X239" i="39"/>
  <c r="W239" i="39"/>
  <c r="U239" i="39"/>
  <c r="Q239" i="39"/>
  <c r="M239" i="39"/>
  <c r="I239" i="39"/>
  <c r="E239" i="39"/>
  <c r="X238" i="39"/>
  <c r="W238" i="39"/>
  <c r="U238" i="39"/>
  <c r="U245" i="39" s="1"/>
  <c r="Q238" i="39"/>
  <c r="M238" i="39"/>
  <c r="I238" i="39"/>
  <c r="E238" i="39"/>
  <c r="X237" i="39"/>
  <c r="W237" i="39"/>
  <c r="U237" i="39"/>
  <c r="Q237" i="39"/>
  <c r="M237" i="39"/>
  <c r="I237" i="39"/>
  <c r="E237" i="39"/>
  <c r="X236" i="39"/>
  <c r="W236" i="39"/>
  <c r="U236" i="39"/>
  <c r="Q236" i="39"/>
  <c r="M236" i="39"/>
  <c r="I236" i="39"/>
  <c r="E236" i="39"/>
  <c r="X235" i="39"/>
  <c r="W235" i="39"/>
  <c r="U235" i="39"/>
  <c r="Q235" i="39"/>
  <c r="M235" i="39"/>
  <c r="I235" i="39"/>
  <c r="E235" i="39"/>
  <c r="X233" i="39"/>
  <c r="W233" i="39"/>
  <c r="U233" i="39"/>
  <c r="Q233" i="39"/>
  <c r="Q245" i="39" s="1"/>
  <c r="M233" i="39"/>
  <c r="I233" i="39"/>
  <c r="E233" i="39"/>
  <c r="T231" i="39"/>
  <c r="P231" i="39"/>
  <c r="L231" i="39"/>
  <c r="H231" i="39"/>
  <c r="D231" i="39"/>
  <c r="C231" i="39"/>
  <c r="X230" i="39"/>
  <c r="W230" i="39"/>
  <c r="U230" i="39"/>
  <c r="Q230" i="39"/>
  <c r="M230" i="39"/>
  <c r="I230" i="39"/>
  <c r="E230" i="39"/>
  <c r="X229" i="39"/>
  <c r="W229" i="39"/>
  <c r="U229" i="39"/>
  <c r="Q229" i="39"/>
  <c r="M229" i="39"/>
  <c r="I229" i="39"/>
  <c r="E229" i="39"/>
  <c r="X228" i="39"/>
  <c r="E228" i="39"/>
  <c r="X227" i="39"/>
  <c r="W227" i="39"/>
  <c r="U227" i="39"/>
  <c r="Q227" i="39"/>
  <c r="M227" i="39"/>
  <c r="I227" i="39"/>
  <c r="E227" i="39"/>
  <c r="T225" i="39"/>
  <c r="S225" i="39"/>
  <c r="P225" i="39"/>
  <c r="O225" i="39"/>
  <c r="L225" i="39"/>
  <c r="K225" i="39"/>
  <c r="H225" i="39"/>
  <c r="G225" i="39"/>
  <c r="D225" i="39"/>
  <c r="C225" i="39"/>
  <c r="X224" i="39"/>
  <c r="W224" i="39"/>
  <c r="U224" i="39"/>
  <c r="Q224" i="39"/>
  <c r="M224" i="39"/>
  <c r="I224" i="39"/>
  <c r="E224" i="39"/>
  <c r="X223" i="39"/>
  <c r="W223" i="39"/>
  <c r="U223" i="39"/>
  <c r="Q223" i="39"/>
  <c r="M223" i="39"/>
  <c r="I223" i="39"/>
  <c r="E223" i="39"/>
  <c r="X222" i="39"/>
  <c r="W222" i="39"/>
  <c r="U222" i="39"/>
  <c r="Q222" i="39"/>
  <c r="M222" i="39"/>
  <c r="I222" i="39"/>
  <c r="E222" i="39"/>
  <c r="X221" i="39"/>
  <c r="W221" i="39"/>
  <c r="U221" i="39"/>
  <c r="Q221" i="39"/>
  <c r="M221" i="39"/>
  <c r="I221" i="39"/>
  <c r="E221" i="39"/>
  <c r="X220" i="39"/>
  <c r="W220" i="39"/>
  <c r="U220" i="39"/>
  <c r="Q220" i="39"/>
  <c r="M220" i="39"/>
  <c r="I220" i="39"/>
  <c r="E220" i="39"/>
  <c r="X219" i="39"/>
  <c r="W219" i="39"/>
  <c r="U219" i="39"/>
  <c r="U225" i="39" s="1"/>
  <c r="Q219" i="39"/>
  <c r="M219" i="39"/>
  <c r="I219" i="39"/>
  <c r="E219" i="39"/>
  <c r="T217" i="39"/>
  <c r="S217" i="39"/>
  <c r="P217" i="39"/>
  <c r="O217" i="39"/>
  <c r="L217" i="39"/>
  <c r="K217" i="39"/>
  <c r="H217" i="39"/>
  <c r="G217" i="39"/>
  <c r="D217" i="39"/>
  <c r="C217" i="39"/>
  <c r="X216" i="39"/>
  <c r="W216" i="39"/>
  <c r="U216" i="39"/>
  <c r="Q216" i="39"/>
  <c r="M216" i="39"/>
  <c r="I216" i="39"/>
  <c r="E216" i="39"/>
  <c r="X215" i="39"/>
  <c r="W215" i="39"/>
  <c r="U215" i="39"/>
  <c r="Q215" i="39"/>
  <c r="M215" i="39"/>
  <c r="I215" i="39"/>
  <c r="E215" i="39"/>
  <c r="X214" i="39"/>
  <c r="W214" i="39"/>
  <c r="U214" i="39"/>
  <c r="Q214" i="39"/>
  <c r="M214" i="39"/>
  <c r="I214" i="39"/>
  <c r="E214" i="39"/>
  <c r="X213" i="39"/>
  <c r="W213" i="39"/>
  <c r="U213" i="39"/>
  <c r="Q213" i="39"/>
  <c r="M213" i="39"/>
  <c r="I213" i="39"/>
  <c r="E213" i="39"/>
  <c r="X212" i="39"/>
  <c r="W212" i="39"/>
  <c r="U212" i="39"/>
  <c r="Q212" i="39"/>
  <c r="M212" i="39"/>
  <c r="I212" i="39"/>
  <c r="E212" i="39"/>
  <c r="X211" i="39"/>
  <c r="W211" i="39"/>
  <c r="U211" i="39"/>
  <c r="Q211" i="39"/>
  <c r="M211" i="39"/>
  <c r="I211" i="39"/>
  <c r="E211" i="39"/>
  <c r="X210" i="39"/>
  <c r="W210" i="39"/>
  <c r="U210" i="39"/>
  <c r="Q210" i="39"/>
  <c r="M210" i="39"/>
  <c r="I210" i="39"/>
  <c r="E210" i="39"/>
  <c r="X209" i="39"/>
  <c r="W209" i="39"/>
  <c r="U209" i="39"/>
  <c r="Q209" i="39"/>
  <c r="M209" i="39"/>
  <c r="I209" i="39"/>
  <c r="E209" i="39"/>
  <c r="X208" i="39"/>
  <c r="W208" i="39"/>
  <c r="U208" i="39"/>
  <c r="Q208" i="39"/>
  <c r="M208" i="39"/>
  <c r="I208" i="39"/>
  <c r="E208" i="39"/>
  <c r="X207" i="39"/>
  <c r="W207" i="39"/>
  <c r="U207" i="39"/>
  <c r="U217" i="39" s="1"/>
  <c r="Q207" i="39"/>
  <c r="M207" i="39"/>
  <c r="I207" i="39"/>
  <c r="E207" i="39"/>
  <c r="D204" i="39"/>
  <c r="X203" i="39"/>
  <c r="C203" i="39"/>
  <c r="X202" i="39"/>
  <c r="E202" i="39"/>
  <c r="H201" i="39"/>
  <c r="G201" i="39"/>
  <c r="K201" i="39" s="1"/>
  <c r="E201" i="39"/>
  <c r="H200" i="39"/>
  <c r="G200" i="39"/>
  <c r="K200" i="39" s="1"/>
  <c r="O200" i="39" s="1"/>
  <c r="S200" i="39" s="1"/>
  <c r="E200" i="39"/>
  <c r="H199" i="39"/>
  <c r="H204" i="39" s="1"/>
  <c r="X198" i="39"/>
  <c r="C198" i="39"/>
  <c r="G198" i="39" s="1"/>
  <c r="I198" i="39" s="1"/>
  <c r="V196" i="39"/>
  <c r="R196" i="39"/>
  <c r="R247" i="39" s="1"/>
  <c r="N196" i="39"/>
  <c r="N247" i="39" s="1"/>
  <c r="J196" i="39"/>
  <c r="J205" i="39" s="1"/>
  <c r="J246" i="39" s="1"/>
  <c r="F196" i="39"/>
  <c r="P195" i="39"/>
  <c r="L195" i="39"/>
  <c r="H195" i="39"/>
  <c r="D195" i="39"/>
  <c r="C195" i="39"/>
  <c r="T194" i="39"/>
  <c r="X194" i="39" s="1"/>
  <c r="G194" i="39"/>
  <c r="I194" i="39" s="1"/>
  <c r="E194" i="39"/>
  <c r="T193" i="39"/>
  <c r="X193" i="39" s="1"/>
  <c r="G193" i="39"/>
  <c r="E193" i="39"/>
  <c r="T192" i="39"/>
  <c r="E192" i="39"/>
  <c r="T191" i="39"/>
  <c r="X191" i="39" s="1"/>
  <c r="E191" i="39"/>
  <c r="T190" i="39"/>
  <c r="X190" i="39" s="1"/>
  <c r="E190" i="39"/>
  <c r="T189" i="39"/>
  <c r="X189" i="39" s="1"/>
  <c r="E189" i="39"/>
  <c r="T188" i="39"/>
  <c r="X188" i="39" s="1"/>
  <c r="E188" i="39"/>
  <c r="D186" i="39"/>
  <c r="C186" i="39"/>
  <c r="H185" i="39"/>
  <c r="L185" i="39" s="1"/>
  <c r="G185" i="39"/>
  <c r="K185" i="39" s="1"/>
  <c r="E185" i="39"/>
  <c r="H184" i="39"/>
  <c r="G184" i="39"/>
  <c r="E184" i="39"/>
  <c r="H182" i="39"/>
  <c r="L182" i="39" s="1"/>
  <c r="P182" i="39" s="1"/>
  <c r="T182" i="39" s="1"/>
  <c r="G182" i="39"/>
  <c r="K182" i="39" s="1"/>
  <c r="E182" i="39"/>
  <c r="H181" i="39"/>
  <c r="G181" i="39"/>
  <c r="K181" i="39" s="1"/>
  <c r="O181" i="39" s="1"/>
  <c r="S181" i="39" s="1"/>
  <c r="W181" i="39" s="1"/>
  <c r="E181" i="39"/>
  <c r="H180" i="39"/>
  <c r="L180" i="39" s="1"/>
  <c r="P180" i="39" s="1"/>
  <c r="T180" i="39" s="1"/>
  <c r="X180" i="39" s="1"/>
  <c r="G180" i="39"/>
  <c r="K180" i="39" s="1"/>
  <c r="O180" i="39" s="1"/>
  <c r="S180" i="39" s="1"/>
  <c r="E180" i="39"/>
  <c r="T173" i="39"/>
  <c r="P173" i="39"/>
  <c r="L173" i="39"/>
  <c r="H173" i="39"/>
  <c r="D173" i="39"/>
  <c r="X172" i="39"/>
  <c r="W172" i="39"/>
  <c r="U172" i="39"/>
  <c r="Q172" i="39"/>
  <c r="M172" i="39"/>
  <c r="I172" i="39"/>
  <c r="E172" i="39"/>
  <c r="X171" i="39"/>
  <c r="W171" i="39"/>
  <c r="U171" i="39"/>
  <c r="Q171" i="39"/>
  <c r="M171" i="39"/>
  <c r="I171" i="39"/>
  <c r="E171" i="39"/>
  <c r="X170" i="39"/>
  <c r="W170" i="39"/>
  <c r="U170" i="39"/>
  <c r="Q170" i="39"/>
  <c r="M170" i="39"/>
  <c r="I170" i="39"/>
  <c r="E170" i="39"/>
  <c r="X169" i="39"/>
  <c r="W169" i="39"/>
  <c r="U169" i="39"/>
  <c r="Q169" i="39"/>
  <c r="M169" i="39"/>
  <c r="I169" i="39"/>
  <c r="E169" i="39"/>
  <c r="X168" i="39"/>
  <c r="W168" i="39"/>
  <c r="U168" i="39"/>
  <c r="Q168" i="39"/>
  <c r="M168" i="39"/>
  <c r="I168" i="39"/>
  <c r="E168" i="39"/>
  <c r="X167" i="39"/>
  <c r="W167" i="39"/>
  <c r="U167" i="39"/>
  <c r="Q167" i="39"/>
  <c r="M167" i="39"/>
  <c r="I167" i="39"/>
  <c r="E167" i="39"/>
  <c r="X166" i="39"/>
  <c r="W166" i="39"/>
  <c r="U166" i="39"/>
  <c r="Q166" i="39"/>
  <c r="M166" i="39"/>
  <c r="I166" i="39"/>
  <c r="E166" i="39"/>
  <c r="X165" i="39"/>
  <c r="W165" i="39"/>
  <c r="U165" i="39"/>
  <c r="Q165" i="39"/>
  <c r="M165" i="39"/>
  <c r="I165" i="39"/>
  <c r="E165" i="39"/>
  <c r="X164" i="39"/>
  <c r="W164" i="39"/>
  <c r="U164" i="39"/>
  <c r="Q164" i="39"/>
  <c r="M164" i="39"/>
  <c r="I164" i="39"/>
  <c r="E164" i="39"/>
  <c r="X163" i="39"/>
  <c r="W163" i="39"/>
  <c r="U163" i="39"/>
  <c r="Q163" i="39"/>
  <c r="M163" i="39"/>
  <c r="I163" i="39"/>
  <c r="E163" i="39"/>
  <c r="X162" i="39"/>
  <c r="W162" i="39"/>
  <c r="U162" i="39"/>
  <c r="Q162" i="39"/>
  <c r="M162" i="39"/>
  <c r="I162" i="39"/>
  <c r="E162" i="39"/>
  <c r="X161" i="39"/>
  <c r="W161" i="39"/>
  <c r="U161" i="39"/>
  <c r="Q161" i="39"/>
  <c r="M161" i="39"/>
  <c r="I161" i="39"/>
  <c r="E161" i="39"/>
  <c r="X160" i="39"/>
  <c r="W160" i="39"/>
  <c r="U160" i="39"/>
  <c r="Q160" i="39"/>
  <c r="M160" i="39"/>
  <c r="I160" i="39"/>
  <c r="E160" i="39"/>
  <c r="X157" i="39"/>
  <c r="W157" i="39"/>
  <c r="U157" i="39"/>
  <c r="Q157" i="39"/>
  <c r="M157" i="39"/>
  <c r="I157" i="39"/>
  <c r="E157" i="39"/>
  <c r="T155" i="39"/>
  <c r="S155" i="39"/>
  <c r="P155" i="39"/>
  <c r="O155" i="39"/>
  <c r="L155" i="39"/>
  <c r="K155" i="39"/>
  <c r="H155" i="39"/>
  <c r="G155" i="39"/>
  <c r="D155" i="39"/>
  <c r="C155" i="39"/>
  <c r="X154" i="39"/>
  <c r="W154" i="39"/>
  <c r="U154" i="39"/>
  <c r="Q154" i="39"/>
  <c r="M154" i="39"/>
  <c r="I154" i="39"/>
  <c r="E154" i="39"/>
  <c r="X153" i="39"/>
  <c r="W153" i="39"/>
  <c r="U153" i="39"/>
  <c r="Q153" i="39"/>
  <c r="M153" i="39"/>
  <c r="I153" i="39"/>
  <c r="E153" i="39"/>
  <c r="X151" i="39"/>
  <c r="W151" i="39"/>
  <c r="U151" i="39"/>
  <c r="Q151" i="39"/>
  <c r="M151" i="39"/>
  <c r="M155" i="39" s="1"/>
  <c r="I151" i="39"/>
  <c r="E151" i="39"/>
  <c r="T149" i="39"/>
  <c r="P149" i="39"/>
  <c r="L149" i="39"/>
  <c r="H149" i="39"/>
  <c r="D149" i="39"/>
  <c r="X148" i="39"/>
  <c r="W148" i="39"/>
  <c r="U148" i="39"/>
  <c r="Q148" i="39"/>
  <c r="M148" i="39"/>
  <c r="I148" i="39"/>
  <c r="E148" i="39"/>
  <c r="X147" i="39"/>
  <c r="W147" i="39"/>
  <c r="U147" i="39"/>
  <c r="Q147" i="39"/>
  <c r="M147" i="39"/>
  <c r="I147" i="39"/>
  <c r="E147" i="39"/>
  <c r="X146" i="39"/>
  <c r="W146" i="39"/>
  <c r="U146" i="39"/>
  <c r="Q146" i="39"/>
  <c r="M146" i="39"/>
  <c r="I146" i="39"/>
  <c r="E146" i="39"/>
  <c r="X145" i="39"/>
  <c r="W145" i="39"/>
  <c r="U145" i="39"/>
  <c r="Q145" i="39"/>
  <c r="M145" i="39"/>
  <c r="I145" i="39"/>
  <c r="E145" i="39"/>
  <c r="X144" i="39"/>
  <c r="W144" i="39"/>
  <c r="U144" i="39"/>
  <c r="Q144" i="39"/>
  <c r="M144" i="39"/>
  <c r="I144" i="39"/>
  <c r="E144" i="39"/>
  <c r="X143" i="39"/>
  <c r="W143" i="39"/>
  <c r="U143" i="39"/>
  <c r="Q143" i="39"/>
  <c r="M143" i="39"/>
  <c r="I143" i="39"/>
  <c r="E143" i="39"/>
  <c r="T141" i="39"/>
  <c r="S141" i="39"/>
  <c r="P141" i="39"/>
  <c r="O141" i="39"/>
  <c r="L141" i="39"/>
  <c r="K141" i="39"/>
  <c r="H141" i="39"/>
  <c r="G141" i="39"/>
  <c r="D141" i="39"/>
  <c r="C141" i="39"/>
  <c r="X140" i="39"/>
  <c r="W140" i="39"/>
  <c r="U140" i="39"/>
  <c r="Q140" i="39"/>
  <c r="M140" i="39"/>
  <c r="I140" i="39"/>
  <c r="E140" i="39"/>
  <c r="X139" i="39"/>
  <c r="W139" i="39"/>
  <c r="U139" i="39"/>
  <c r="Q139" i="39"/>
  <c r="M139" i="39"/>
  <c r="I139" i="39"/>
  <c r="E139" i="39"/>
  <c r="X138" i="39"/>
  <c r="W138" i="39"/>
  <c r="U138" i="39"/>
  <c r="Q138" i="39"/>
  <c r="M138" i="39"/>
  <c r="I138" i="39"/>
  <c r="E138" i="39"/>
  <c r="X137" i="39"/>
  <c r="W137" i="39"/>
  <c r="U137" i="39"/>
  <c r="Q137" i="39"/>
  <c r="M137" i="39"/>
  <c r="I137" i="39"/>
  <c r="E137" i="39"/>
  <c r="X136" i="39"/>
  <c r="W136" i="39"/>
  <c r="U136" i="39"/>
  <c r="Q136" i="39"/>
  <c r="M136" i="39"/>
  <c r="I136" i="39"/>
  <c r="E136" i="39"/>
  <c r="X135" i="39"/>
  <c r="W135" i="39"/>
  <c r="U135" i="39"/>
  <c r="Q135" i="39"/>
  <c r="M135" i="39"/>
  <c r="I135" i="39"/>
  <c r="E135" i="39"/>
  <c r="X134" i="39"/>
  <c r="W134" i="39"/>
  <c r="U134" i="39"/>
  <c r="Q134" i="39"/>
  <c r="M134" i="39"/>
  <c r="I134" i="39"/>
  <c r="E134" i="39"/>
  <c r="E141" i="39" s="1"/>
  <c r="X133" i="39"/>
  <c r="W133" i="39"/>
  <c r="U133" i="39"/>
  <c r="Q133" i="39"/>
  <c r="M133" i="39"/>
  <c r="I133" i="39"/>
  <c r="E133" i="39"/>
  <c r="X132" i="39"/>
  <c r="W132" i="39"/>
  <c r="U132" i="39"/>
  <c r="Q132" i="39"/>
  <c r="M132" i="39"/>
  <c r="I132" i="39"/>
  <c r="E132" i="39"/>
  <c r="X131" i="39"/>
  <c r="W131" i="39"/>
  <c r="U131" i="39"/>
  <c r="Q131" i="39"/>
  <c r="M131" i="39"/>
  <c r="I131" i="39"/>
  <c r="E131" i="39"/>
  <c r="X130" i="39"/>
  <c r="W130" i="39"/>
  <c r="U130" i="39"/>
  <c r="Q130" i="39"/>
  <c r="M130" i="39"/>
  <c r="I130" i="39"/>
  <c r="E130" i="39"/>
  <c r="X129" i="39"/>
  <c r="W129" i="39"/>
  <c r="U129" i="39"/>
  <c r="Q129" i="39"/>
  <c r="M129" i="39"/>
  <c r="I129" i="39"/>
  <c r="E129" i="39"/>
  <c r="X128" i="39"/>
  <c r="W128" i="39"/>
  <c r="U128" i="39"/>
  <c r="Q128" i="39"/>
  <c r="M128" i="39"/>
  <c r="I128" i="39"/>
  <c r="E128" i="39"/>
  <c r="X127" i="39"/>
  <c r="W127" i="39"/>
  <c r="U127" i="39"/>
  <c r="Q127" i="39"/>
  <c r="M127" i="39"/>
  <c r="I127" i="39"/>
  <c r="E127" i="39"/>
  <c r="X115" i="39"/>
  <c r="D112" i="39"/>
  <c r="E111" i="39"/>
  <c r="E110" i="39"/>
  <c r="E109" i="39"/>
  <c r="U108" i="39"/>
  <c r="E108" i="39"/>
  <c r="E107" i="39"/>
  <c r="E106" i="39"/>
  <c r="E105" i="39"/>
  <c r="E103" i="39"/>
  <c r="E101" i="39"/>
  <c r="D99" i="39"/>
  <c r="H98" i="39"/>
  <c r="L98" i="39" s="1"/>
  <c r="P98" i="39" s="1"/>
  <c r="T98" i="39" s="1"/>
  <c r="E98" i="39"/>
  <c r="H97" i="39"/>
  <c r="E97" i="39"/>
  <c r="H96" i="39"/>
  <c r="L96" i="39" s="1"/>
  <c r="P96" i="39" s="1"/>
  <c r="T96" i="39" s="1"/>
  <c r="E96" i="39"/>
  <c r="H95" i="39"/>
  <c r="E95" i="39"/>
  <c r="H94" i="39"/>
  <c r="L94" i="39" s="1"/>
  <c r="P94" i="39" s="1"/>
  <c r="T94" i="39" s="1"/>
  <c r="E94" i="39"/>
  <c r="H93" i="39"/>
  <c r="L93" i="39" s="1"/>
  <c r="E93" i="39"/>
  <c r="H92" i="39"/>
  <c r="L92" i="39" s="1"/>
  <c r="P92" i="39" s="1"/>
  <c r="T92" i="39" s="1"/>
  <c r="X92" i="39" s="1"/>
  <c r="E92" i="39"/>
  <c r="T85" i="39"/>
  <c r="P85" i="39"/>
  <c r="L85" i="39"/>
  <c r="H85" i="39"/>
  <c r="D85" i="39"/>
  <c r="X84" i="39"/>
  <c r="W84" i="39"/>
  <c r="U84" i="39"/>
  <c r="Q84" i="39"/>
  <c r="M84" i="39"/>
  <c r="I84" i="39"/>
  <c r="E84" i="39"/>
  <c r="X83" i="39"/>
  <c r="W83" i="39"/>
  <c r="U83" i="39"/>
  <c r="Q83" i="39"/>
  <c r="M83" i="39"/>
  <c r="I83" i="39"/>
  <c r="E83" i="39"/>
  <c r="X82" i="39"/>
  <c r="W82" i="39"/>
  <c r="U82" i="39"/>
  <c r="Q82" i="39"/>
  <c r="M82" i="39"/>
  <c r="I82" i="39"/>
  <c r="E82" i="39"/>
  <c r="X81" i="39"/>
  <c r="W81" i="39"/>
  <c r="U81" i="39"/>
  <c r="Q81" i="39"/>
  <c r="M81" i="39"/>
  <c r="I81" i="39"/>
  <c r="E81" i="39"/>
  <c r="X80" i="39"/>
  <c r="W80" i="39"/>
  <c r="U80" i="39"/>
  <c r="Q80" i="39"/>
  <c r="M80" i="39"/>
  <c r="I80" i="39"/>
  <c r="E80" i="39"/>
  <c r="X79" i="39"/>
  <c r="W79" i="39"/>
  <c r="U79" i="39"/>
  <c r="Q79" i="39"/>
  <c r="M79" i="39"/>
  <c r="I79" i="39"/>
  <c r="E79" i="39"/>
  <c r="X78" i="39"/>
  <c r="W78" i="39"/>
  <c r="U78" i="39"/>
  <c r="Q78" i="39"/>
  <c r="M78" i="39"/>
  <c r="I78" i="39"/>
  <c r="E78" i="39"/>
  <c r="X77" i="39"/>
  <c r="W77" i="39"/>
  <c r="U77" i="39"/>
  <c r="Q77" i="39"/>
  <c r="M77" i="39"/>
  <c r="I77" i="39"/>
  <c r="E77" i="39"/>
  <c r="X76" i="39"/>
  <c r="W76" i="39"/>
  <c r="U76" i="39"/>
  <c r="Q76" i="39"/>
  <c r="M76" i="39"/>
  <c r="I76" i="39"/>
  <c r="E76" i="39"/>
  <c r="X75" i="39"/>
  <c r="W75" i="39"/>
  <c r="U75" i="39"/>
  <c r="Q75" i="39"/>
  <c r="M75" i="39"/>
  <c r="I75" i="39"/>
  <c r="E75" i="39"/>
  <c r="X74" i="39"/>
  <c r="W74" i="39"/>
  <c r="U74" i="39"/>
  <c r="Q74" i="39"/>
  <c r="M74" i="39"/>
  <c r="I74" i="39"/>
  <c r="E74" i="39"/>
  <c r="X73" i="39"/>
  <c r="W73" i="39"/>
  <c r="U73" i="39"/>
  <c r="Q73" i="39"/>
  <c r="M73" i="39"/>
  <c r="I73" i="39"/>
  <c r="E73" i="39"/>
  <c r="X72" i="39"/>
  <c r="W72" i="39"/>
  <c r="U72" i="39"/>
  <c r="Q72" i="39"/>
  <c r="M72" i="39"/>
  <c r="I72" i="39"/>
  <c r="E72" i="39"/>
  <c r="X71" i="39"/>
  <c r="W71" i="39"/>
  <c r="U71" i="39"/>
  <c r="Q71" i="39"/>
  <c r="M71" i="39"/>
  <c r="I71" i="39"/>
  <c r="E71" i="39"/>
  <c r="X70" i="39"/>
  <c r="W70" i="39"/>
  <c r="U70" i="39"/>
  <c r="X69" i="39"/>
  <c r="W69" i="39"/>
  <c r="U69" i="39"/>
  <c r="X68" i="39"/>
  <c r="X67" i="39"/>
  <c r="X66" i="39"/>
  <c r="X65" i="39"/>
  <c r="W65" i="39"/>
  <c r="U65" i="39"/>
  <c r="Q65" i="39"/>
  <c r="M65" i="39"/>
  <c r="I65" i="39"/>
  <c r="E65" i="39"/>
  <c r="T63" i="39"/>
  <c r="P63" i="39"/>
  <c r="L63" i="39"/>
  <c r="H63" i="39"/>
  <c r="D63" i="39"/>
  <c r="X62" i="39"/>
  <c r="W62" i="39"/>
  <c r="U62" i="39"/>
  <c r="Q62" i="39"/>
  <c r="M62" i="39"/>
  <c r="I62" i="39"/>
  <c r="E62" i="39"/>
  <c r="X61" i="39"/>
  <c r="W61" i="39"/>
  <c r="U61" i="39"/>
  <c r="Q61" i="39"/>
  <c r="M61" i="39"/>
  <c r="I61" i="39"/>
  <c r="E61" i="39"/>
  <c r="X60" i="39"/>
  <c r="W60" i="39"/>
  <c r="U60" i="39"/>
  <c r="Q60" i="39"/>
  <c r="M60" i="39"/>
  <c r="I60" i="39"/>
  <c r="E60" i="39"/>
  <c r="X59" i="39"/>
  <c r="S63" i="39"/>
  <c r="I59" i="39"/>
  <c r="C63" i="39"/>
  <c r="T57" i="39"/>
  <c r="S57" i="39"/>
  <c r="P57" i="39"/>
  <c r="O57" i="39"/>
  <c r="L57" i="39"/>
  <c r="K57" i="39"/>
  <c r="H57" i="39"/>
  <c r="G57" i="39"/>
  <c r="D57" i="39"/>
  <c r="C57" i="39"/>
  <c r="X56" i="39"/>
  <c r="W56" i="39"/>
  <c r="U56" i="39"/>
  <c r="Q56" i="39"/>
  <c r="M56" i="39"/>
  <c r="I56" i="39"/>
  <c r="E56" i="39"/>
  <c r="X55" i="39"/>
  <c r="W55" i="39"/>
  <c r="U55" i="39"/>
  <c r="Q55" i="39"/>
  <c r="M55" i="39"/>
  <c r="I55" i="39"/>
  <c r="E55" i="39"/>
  <c r="X54" i="39"/>
  <c r="W54" i="39"/>
  <c r="U54" i="39"/>
  <c r="Q54" i="39"/>
  <c r="M54" i="39"/>
  <c r="I54" i="39"/>
  <c r="E54" i="39"/>
  <c r="X53" i="39"/>
  <c r="W53" i="39"/>
  <c r="U53" i="39"/>
  <c r="Q53" i="39"/>
  <c r="M53" i="39"/>
  <c r="I53" i="39"/>
  <c r="E53" i="39"/>
  <c r="X52" i="39"/>
  <c r="W52" i="39"/>
  <c r="U52" i="39"/>
  <c r="Q52" i="39"/>
  <c r="M52" i="39"/>
  <c r="I52" i="39"/>
  <c r="E52" i="39"/>
  <c r="X51" i="39"/>
  <c r="W51" i="39"/>
  <c r="U51" i="39"/>
  <c r="U57" i="39" s="1"/>
  <c r="Q51" i="39"/>
  <c r="M51" i="39"/>
  <c r="I51" i="39"/>
  <c r="E51" i="39"/>
  <c r="T49" i="39"/>
  <c r="S49" i="39"/>
  <c r="P49" i="39"/>
  <c r="O49" i="39"/>
  <c r="L49" i="39"/>
  <c r="K49" i="39"/>
  <c r="H49" i="39"/>
  <c r="G49" i="39"/>
  <c r="D49" i="39"/>
  <c r="C49" i="39"/>
  <c r="X48" i="39"/>
  <c r="W48" i="39"/>
  <c r="U48" i="39"/>
  <c r="Q48" i="39"/>
  <c r="M48" i="39"/>
  <c r="I48" i="39"/>
  <c r="E48" i="39"/>
  <c r="X47" i="39"/>
  <c r="W47" i="39"/>
  <c r="U47" i="39"/>
  <c r="Q47" i="39"/>
  <c r="M47" i="39"/>
  <c r="I47" i="39"/>
  <c r="E47" i="39"/>
  <c r="X46" i="39"/>
  <c r="W46" i="39"/>
  <c r="U46" i="39"/>
  <c r="Q46" i="39"/>
  <c r="M46" i="39"/>
  <c r="I46" i="39"/>
  <c r="E46" i="39"/>
  <c r="X45" i="39"/>
  <c r="W45" i="39"/>
  <c r="U45" i="39"/>
  <c r="Q45" i="39"/>
  <c r="M45" i="39"/>
  <c r="I45" i="39"/>
  <c r="E45" i="39"/>
  <c r="X44" i="39"/>
  <c r="W44" i="39"/>
  <c r="U44" i="39"/>
  <c r="Q44" i="39"/>
  <c r="M44" i="39"/>
  <c r="I44" i="39"/>
  <c r="E44" i="39"/>
  <c r="X43" i="39"/>
  <c r="W43" i="39"/>
  <c r="U43" i="39"/>
  <c r="Q43" i="39"/>
  <c r="M43" i="39"/>
  <c r="I43" i="39"/>
  <c r="E43" i="39"/>
  <c r="X42" i="39"/>
  <c r="W42" i="39"/>
  <c r="U42" i="39"/>
  <c r="Q42" i="39"/>
  <c r="M42" i="39"/>
  <c r="I42" i="39"/>
  <c r="E42" i="39"/>
  <c r="X41" i="39"/>
  <c r="W41" i="39"/>
  <c r="U41" i="39"/>
  <c r="Q41" i="39"/>
  <c r="M41" i="39"/>
  <c r="I41" i="39"/>
  <c r="E41" i="39"/>
  <c r="X40" i="39"/>
  <c r="W40" i="39"/>
  <c r="U40" i="39"/>
  <c r="Q40" i="39"/>
  <c r="M40" i="39"/>
  <c r="I40" i="39"/>
  <c r="E40" i="39"/>
  <c r="X39" i="39"/>
  <c r="W39" i="39"/>
  <c r="U39" i="39"/>
  <c r="Q39" i="39"/>
  <c r="M39" i="39"/>
  <c r="I39" i="39"/>
  <c r="E39" i="39"/>
  <c r="E35" i="39"/>
  <c r="E34" i="39"/>
  <c r="X31" i="39"/>
  <c r="E31" i="39"/>
  <c r="X30" i="39"/>
  <c r="E30" i="39"/>
  <c r="X29" i="39"/>
  <c r="E29" i="39"/>
  <c r="V27" i="39"/>
  <c r="V37" i="39" s="1"/>
  <c r="R27" i="39"/>
  <c r="R37" i="39" s="1"/>
  <c r="N27" i="39"/>
  <c r="N37" i="39" s="1"/>
  <c r="J27" i="39"/>
  <c r="J37" i="39" s="1"/>
  <c r="F27" i="39"/>
  <c r="F37" i="39" s="1"/>
  <c r="E25" i="39"/>
  <c r="Q24" i="39"/>
  <c r="W24" i="39"/>
  <c r="E24" i="39"/>
  <c r="W23" i="39"/>
  <c r="E23" i="39"/>
  <c r="E22" i="39"/>
  <c r="E21" i="39"/>
  <c r="E20" i="39"/>
  <c r="E19" i="39"/>
  <c r="H17" i="39"/>
  <c r="H26" i="39" s="1"/>
  <c r="G17" i="39"/>
  <c r="K17" i="39" s="1"/>
  <c r="E17" i="39"/>
  <c r="D15" i="39"/>
  <c r="C15" i="39"/>
  <c r="H14" i="39"/>
  <c r="L14" i="39" s="1"/>
  <c r="P14" i="39" s="1"/>
  <c r="T14" i="39" s="1"/>
  <c r="G14" i="39"/>
  <c r="K14" i="39" s="1"/>
  <c r="E14" i="39"/>
  <c r="H13" i="39"/>
  <c r="L13" i="39" s="1"/>
  <c r="P13" i="39" s="1"/>
  <c r="T13" i="39" s="1"/>
  <c r="G13" i="39"/>
  <c r="E13" i="39"/>
  <c r="H12" i="39"/>
  <c r="L12" i="39" s="1"/>
  <c r="P12" i="39" s="1"/>
  <c r="T12" i="39" s="1"/>
  <c r="G12" i="39"/>
  <c r="K12" i="39" s="1"/>
  <c r="O12" i="39" s="1"/>
  <c r="S12" i="39" s="1"/>
  <c r="E12" i="39"/>
  <c r="H11" i="39"/>
  <c r="L11" i="39" s="1"/>
  <c r="P11" i="39" s="1"/>
  <c r="T11" i="39" s="1"/>
  <c r="G11" i="39"/>
  <c r="K11" i="39" s="1"/>
  <c r="O11" i="39" s="1"/>
  <c r="S11" i="39" s="1"/>
  <c r="E11" i="39"/>
  <c r="H10" i="39"/>
  <c r="L10" i="39" s="1"/>
  <c r="P10" i="39" s="1"/>
  <c r="T10" i="39" s="1"/>
  <c r="G10" i="39"/>
  <c r="K10" i="39" s="1"/>
  <c r="E10" i="39"/>
  <c r="H9" i="39"/>
  <c r="L9" i="39" s="1"/>
  <c r="P9" i="39" s="1"/>
  <c r="T9" i="39" s="1"/>
  <c r="G9" i="39"/>
  <c r="K9" i="39" s="1"/>
  <c r="E9" i="39"/>
  <c r="H8" i="39"/>
  <c r="L8" i="39" s="1"/>
  <c r="P8" i="39" s="1"/>
  <c r="G8" i="39"/>
  <c r="K8" i="39" s="1"/>
  <c r="O8" i="39" s="1"/>
  <c r="S8" i="39" s="1"/>
  <c r="E8" i="39"/>
  <c r="I29" i="39"/>
  <c r="X244" i="28"/>
  <c r="W244" i="28"/>
  <c r="U244" i="28"/>
  <c r="Q244" i="28"/>
  <c r="M244" i="28"/>
  <c r="I244" i="28"/>
  <c r="E244" i="28"/>
  <c r="X243" i="28"/>
  <c r="W243" i="28"/>
  <c r="U243" i="28"/>
  <c r="Q243" i="28"/>
  <c r="M243" i="28"/>
  <c r="I243" i="28"/>
  <c r="E243" i="28"/>
  <c r="X242" i="28"/>
  <c r="W242" i="28"/>
  <c r="U242" i="28"/>
  <c r="Q242" i="28"/>
  <c r="M242" i="28"/>
  <c r="I242" i="28"/>
  <c r="E242" i="28"/>
  <c r="X241" i="28"/>
  <c r="W241" i="28"/>
  <c r="U241" i="28"/>
  <c r="Q241" i="28"/>
  <c r="M241" i="28"/>
  <c r="I241" i="28"/>
  <c r="E241" i="28"/>
  <c r="X240" i="28"/>
  <c r="W240" i="28"/>
  <c r="U240" i="28"/>
  <c r="Q240" i="28"/>
  <c r="M240" i="28"/>
  <c r="I240" i="28"/>
  <c r="E240" i="28"/>
  <c r="X229" i="28"/>
  <c r="W229" i="28"/>
  <c r="U229" i="28"/>
  <c r="Q229" i="28"/>
  <c r="M229" i="28"/>
  <c r="I229" i="28"/>
  <c r="E229" i="28"/>
  <c r="X228" i="28"/>
  <c r="W228" i="28"/>
  <c r="U228" i="28"/>
  <c r="Q228" i="28"/>
  <c r="M228" i="28"/>
  <c r="I228" i="28"/>
  <c r="E228" i="28"/>
  <c r="X227" i="28"/>
  <c r="W227" i="28"/>
  <c r="U227" i="28"/>
  <c r="Q227" i="28"/>
  <c r="M227" i="28"/>
  <c r="I227" i="28"/>
  <c r="E227" i="28"/>
  <c r="T225" i="28"/>
  <c r="P225" i="28"/>
  <c r="L225" i="28"/>
  <c r="H225" i="28"/>
  <c r="D225" i="28"/>
  <c r="X224" i="28"/>
  <c r="W224" i="28"/>
  <c r="U224" i="28"/>
  <c r="Q224" i="28"/>
  <c r="M224" i="28"/>
  <c r="I224" i="28"/>
  <c r="E224" i="28"/>
  <c r="X223" i="28"/>
  <c r="W223" i="28"/>
  <c r="U223" i="28"/>
  <c r="Q223" i="28"/>
  <c r="M223" i="28"/>
  <c r="I223" i="28"/>
  <c r="E223" i="28"/>
  <c r="X222" i="28"/>
  <c r="W222" i="28"/>
  <c r="U222" i="28"/>
  <c r="Q222" i="28"/>
  <c r="M222" i="28"/>
  <c r="I222" i="28"/>
  <c r="E222" i="28"/>
  <c r="X221" i="28"/>
  <c r="W221" i="28"/>
  <c r="U221" i="28"/>
  <c r="Q221" i="28"/>
  <c r="M221" i="28"/>
  <c r="I221" i="28"/>
  <c r="E221" i="28"/>
  <c r="T217" i="28"/>
  <c r="S217" i="28"/>
  <c r="P217" i="28"/>
  <c r="O217" i="28"/>
  <c r="L217" i="28"/>
  <c r="K217" i="28"/>
  <c r="H217" i="28"/>
  <c r="G217" i="28"/>
  <c r="D217" i="28"/>
  <c r="C217" i="28"/>
  <c r="X216" i="28"/>
  <c r="W216" i="28"/>
  <c r="U216" i="28"/>
  <c r="Q216" i="28"/>
  <c r="M216" i="28"/>
  <c r="I216" i="28"/>
  <c r="E216" i="28"/>
  <c r="X215" i="28"/>
  <c r="W215" i="28"/>
  <c r="U215" i="28"/>
  <c r="Q215" i="28"/>
  <c r="M215" i="28"/>
  <c r="I215" i="28"/>
  <c r="E215" i="28"/>
  <c r="X214" i="28"/>
  <c r="W214" i="28"/>
  <c r="U214" i="28"/>
  <c r="Q214" i="28"/>
  <c r="M214" i="28"/>
  <c r="I214" i="28"/>
  <c r="E214" i="28"/>
  <c r="X213" i="28"/>
  <c r="W213" i="28"/>
  <c r="U213" i="28"/>
  <c r="Q213" i="28"/>
  <c r="M213" i="28"/>
  <c r="I213" i="28"/>
  <c r="E213" i="28"/>
  <c r="X212" i="28"/>
  <c r="W212" i="28"/>
  <c r="U212" i="28"/>
  <c r="Q212" i="28"/>
  <c r="M212" i="28"/>
  <c r="I212" i="28"/>
  <c r="E212" i="28"/>
  <c r="X210" i="28"/>
  <c r="W210" i="28"/>
  <c r="U210" i="28"/>
  <c r="Q210" i="28"/>
  <c r="M210" i="28"/>
  <c r="I210" i="28"/>
  <c r="E210" i="28"/>
  <c r="X209" i="28"/>
  <c r="W209" i="28"/>
  <c r="U209" i="28"/>
  <c r="Q209" i="28"/>
  <c r="M209" i="28"/>
  <c r="I209" i="28"/>
  <c r="E209" i="28"/>
  <c r="X208" i="28"/>
  <c r="W208" i="28"/>
  <c r="U208" i="28"/>
  <c r="Q208" i="28"/>
  <c r="M208" i="28"/>
  <c r="I208" i="28"/>
  <c r="E208" i="28"/>
  <c r="X207" i="28"/>
  <c r="W207" i="28"/>
  <c r="U207" i="28"/>
  <c r="Q207" i="28"/>
  <c r="M207" i="28"/>
  <c r="I207" i="28"/>
  <c r="E207" i="28"/>
  <c r="H203" i="28"/>
  <c r="C203" i="28"/>
  <c r="C202" i="28"/>
  <c r="X198" i="28"/>
  <c r="W198" i="28"/>
  <c r="U198" i="28"/>
  <c r="Q198" i="28"/>
  <c r="M198" i="28"/>
  <c r="I198" i="28"/>
  <c r="E198" i="28"/>
  <c r="V196" i="28"/>
  <c r="V205" i="28" s="1"/>
  <c r="V246" i="28" s="1"/>
  <c r="R196" i="28"/>
  <c r="R247" i="28" s="1"/>
  <c r="N196" i="28"/>
  <c r="N247" i="28" s="1"/>
  <c r="J196" i="28"/>
  <c r="F196" i="28"/>
  <c r="X194" i="28"/>
  <c r="E194" i="28"/>
  <c r="X193" i="28"/>
  <c r="E193" i="28"/>
  <c r="X172" i="28"/>
  <c r="W172" i="28"/>
  <c r="U172" i="28"/>
  <c r="Q172" i="28"/>
  <c r="M172" i="28"/>
  <c r="I172" i="28"/>
  <c r="E172" i="28"/>
  <c r="X171" i="28"/>
  <c r="W171" i="28"/>
  <c r="U171" i="28"/>
  <c r="Q171" i="28"/>
  <c r="M171" i="28"/>
  <c r="I171" i="28"/>
  <c r="E171" i="28"/>
  <c r="X170" i="28"/>
  <c r="W170" i="28"/>
  <c r="U170" i="28"/>
  <c r="Q170" i="28"/>
  <c r="M170" i="28"/>
  <c r="I170" i="28"/>
  <c r="E170" i="28"/>
  <c r="X169" i="28"/>
  <c r="W169" i="28"/>
  <c r="U169" i="28"/>
  <c r="Q169" i="28"/>
  <c r="M169" i="28"/>
  <c r="I169" i="28"/>
  <c r="E169" i="28"/>
  <c r="X168" i="28"/>
  <c r="W168" i="28"/>
  <c r="U168" i="28"/>
  <c r="Q168" i="28"/>
  <c r="M168" i="28"/>
  <c r="I168" i="28"/>
  <c r="E168" i="28"/>
  <c r="X167" i="28"/>
  <c r="W167" i="28"/>
  <c r="U167" i="28"/>
  <c r="Q167" i="28"/>
  <c r="M167" i="28"/>
  <c r="I167" i="28"/>
  <c r="E167" i="28"/>
  <c r="X166" i="28"/>
  <c r="W166" i="28"/>
  <c r="U166" i="28"/>
  <c r="Q166" i="28"/>
  <c r="M166" i="28"/>
  <c r="I166" i="28"/>
  <c r="E166" i="28"/>
  <c r="X165" i="28"/>
  <c r="W165" i="28"/>
  <c r="U165" i="28"/>
  <c r="Q165" i="28"/>
  <c r="M165" i="28"/>
  <c r="I165" i="28"/>
  <c r="E165" i="28"/>
  <c r="X153" i="28"/>
  <c r="W153" i="28"/>
  <c r="U153" i="28"/>
  <c r="Q153" i="28"/>
  <c r="M153" i="28"/>
  <c r="I153" i="28"/>
  <c r="E153" i="28"/>
  <c r="X152" i="28"/>
  <c r="W152" i="28"/>
  <c r="U152" i="28"/>
  <c r="Q152" i="28"/>
  <c r="M152" i="28"/>
  <c r="I152" i="28"/>
  <c r="E152" i="28"/>
  <c r="X151" i="28"/>
  <c r="W151" i="28"/>
  <c r="U151" i="28"/>
  <c r="Q151" i="28"/>
  <c r="M151" i="28"/>
  <c r="I151" i="28"/>
  <c r="E151" i="28"/>
  <c r="T149" i="28"/>
  <c r="P149" i="28"/>
  <c r="L149" i="28"/>
  <c r="H149" i="28"/>
  <c r="D149" i="28"/>
  <c r="X148" i="28"/>
  <c r="W148" i="28"/>
  <c r="U148" i="28"/>
  <c r="Q148" i="28"/>
  <c r="M148" i="28"/>
  <c r="I148" i="28"/>
  <c r="E148" i="28"/>
  <c r="X147" i="28"/>
  <c r="W147" i="28"/>
  <c r="U147" i="28"/>
  <c r="Q147" i="28"/>
  <c r="M147" i="28"/>
  <c r="I147" i="28"/>
  <c r="E147" i="28"/>
  <c r="X146" i="28"/>
  <c r="W146" i="28"/>
  <c r="U146" i="28"/>
  <c r="Q146" i="28"/>
  <c r="M146" i="28"/>
  <c r="I146" i="28"/>
  <c r="E146" i="28"/>
  <c r="X145" i="28"/>
  <c r="W145" i="28"/>
  <c r="U145" i="28"/>
  <c r="Q145" i="28"/>
  <c r="M145" i="28"/>
  <c r="I145" i="28"/>
  <c r="E145" i="28"/>
  <c r="T141" i="28"/>
  <c r="S141" i="28"/>
  <c r="P141" i="28"/>
  <c r="O141" i="28"/>
  <c r="L141" i="28"/>
  <c r="K141" i="28"/>
  <c r="H141" i="28"/>
  <c r="G141" i="28"/>
  <c r="D141" i="28"/>
  <c r="X140" i="28"/>
  <c r="W140" i="28"/>
  <c r="U140" i="28"/>
  <c r="Q140" i="28"/>
  <c r="M140" i="28"/>
  <c r="I140" i="28"/>
  <c r="E140" i="28"/>
  <c r="X139" i="28"/>
  <c r="W139" i="28"/>
  <c r="U139" i="28"/>
  <c r="Q139" i="28"/>
  <c r="M139" i="28"/>
  <c r="I139" i="28"/>
  <c r="E139" i="28"/>
  <c r="X138" i="28"/>
  <c r="W138" i="28"/>
  <c r="U138" i="28"/>
  <c r="Q138" i="28"/>
  <c r="M138" i="28"/>
  <c r="I138" i="28"/>
  <c r="E138" i="28"/>
  <c r="X137" i="28"/>
  <c r="W137" i="28"/>
  <c r="U137" i="28"/>
  <c r="Q137" i="28"/>
  <c r="M137" i="28"/>
  <c r="I137" i="28"/>
  <c r="E137" i="28"/>
  <c r="X136" i="28"/>
  <c r="W136" i="28"/>
  <c r="U136" i="28"/>
  <c r="Q136" i="28"/>
  <c r="M136" i="28"/>
  <c r="I136" i="28"/>
  <c r="E136" i="28"/>
  <c r="X135" i="28"/>
  <c r="W135" i="28"/>
  <c r="U135" i="28"/>
  <c r="Q135" i="28"/>
  <c r="M135" i="28"/>
  <c r="I135" i="28"/>
  <c r="E135" i="28"/>
  <c r="X134" i="28"/>
  <c r="W134" i="28"/>
  <c r="U134" i="28"/>
  <c r="Q134" i="28"/>
  <c r="M134" i="28"/>
  <c r="I134" i="28"/>
  <c r="E134" i="28"/>
  <c r="X133" i="28"/>
  <c r="W133" i="28"/>
  <c r="U133" i="28"/>
  <c r="Q133" i="28"/>
  <c r="M133" i="28"/>
  <c r="I133" i="28"/>
  <c r="E133" i="28"/>
  <c r="X132" i="28"/>
  <c r="W132" i="28"/>
  <c r="U132" i="28"/>
  <c r="Q132" i="28"/>
  <c r="M132" i="28"/>
  <c r="I132" i="28"/>
  <c r="E132" i="28"/>
  <c r="X131" i="28"/>
  <c r="W131" i="28"/>
  <c r="U131" i="28"/>
  <c r="Q131" i="28"/>
  <c r="M131" i="28"/>
  <c r="I131" i="28"/>
  <c r="E131" i="28"/>
  <c r="X130" i="28"/>
  <c r="W130" i="28"/>
  <c r="U130" i="28"/>
  <c r="Q130" i="28"/>
  <c r="M130" i="28"/>
  <c r="I130" i="28"/>
  <c r="E130" i="28"/>
  <c r="X129" i="28"/>
  <c r="W129" i="28"/>
  <c r="U129" i="28"/>
  <c r="Q129" i="28"/>
  <c r="M129" i="28"/>
  <c r="I129" i="28"/>
  <c r="E129" i="28"/>
  <c r="X128" i="28"/>
  <c r="U128" i="28"/>
  <c r="Q128" i="28"/>
  <c r="M128" i="28"/>
  <c r="I128" i="28"/>
  <c r="X127" i="28"/>
  <c r="W127" i="28"/>
  <c r="U127" i="28"/>
  <c r="Q127" i="28"/>
  <c r="M127" i="28"/>
  <c r="I127" i="28"/>
  <c r="E127" i="28"/>
  <c r="X115" i="28"/>
  <c r="M115" i="28"/>
  <c r="I115" i="28"/>
  <c r="E115" i="28"/>
  <c r="E111" i="28"/>
  <c r="E110" i="28"/>
  <c r="E109" i="28"/>
  <c r="E107" i="28"/>
  <c r="E106" i="28"/>
  <c r="X84" i="28"/>
  <c r="W84" i="28"/>
  <c r="U84" i="28"/>
  <c r="Q84" i="28"/>
  <c r="M84" i="28"/>
  <c r="I84" i="28"/>
  <c r="E84" i="28"/>
  <c r="X83" i="28"/>
  <c r="W83" i="28"/>
  <c r="U83" i="28"/>
  <c r="Q83" i="28"/>
  <c r="M83" i="28"/>
  <c r="I83" i="28"/>
  <c r="E83" i="28"/>
  <c r="X82" i="28"/>
  <c r="W82" i="28"/>
  <c r="U82" i="28"/>
  <c r="Q82" i="28"/>
  <c r="M82" i="28"/>
  <c r="I82" i="28"/>
  <c r="E82" i="28"/>
  <c r="X81" i="28"/>
  <c r="W81" i="28"/>
  <c r="U81" i="28"/>
  <c r="Q81" i="28"/>
  <c r="M81" i="28"/>
  <c r="I81" i="28"/>
  <c r="E81" i="28"/>
  <c r="X80" i="28"/>
  <c r="W80" i="28"/>
  <c r="U80" i="28"/>
  <c r="Q80" i="28"/>
  <c r="M80" i="28"/>
  <c r="I80" i="28"/>
  <c r="E80" i="28"/>
  <c r="X79" i="28"/>
  <c r="W79" i="28"/>
  <c r="U79" i="28"/>
  <c r="Q79" i="28"/>
  <c r="M79" i="28"/>
  <c r="I79" i="28"/>
  <c r="E79" i="28"/>
  <c r="X78" i="28"/>
  <c r="W78" i="28"/>
  <c r="U78" i="28"/>
  <c r="Q78" i="28"/>
  <c r="M78" i="28"/>
  <c r="I78" i="28"/>
  <c r="E78" i="28"/>
  <c r="X77" i="28"/>
  <c r="W77" i="28"/>
  <c r="U77" i="28"/>
  <c r="Q77" i="28"/>
  <c r="M77" i="28"/>
  <c r="I77" i="28"/>
  <c r="E77" i="28"/>
  <c r="X76" i="28"/>
  <c r="W76" i="28"/>
  <c r="U76" i="28"/>
  <c r="Q76" i="28"/>
  <c r="M76" i="28"/>
  <c r="I76" i="28"/>
  <c r="E76" i="28"/>
  <c r="X71" i="28"/>
  <c r="W71" i="28"/>
  <c r="U71" i="28"/>
  <c r="Q71" i="28"/>
  <c r="M71" i="28"/>
  <c r="I71" i="28"/>
  <c r="E71" i="28"/>
  <c r="X75" i="28"/>
  <c r="Q75" i="28"/>
  <c r="M75" i="28"/>
  <c r="I75" i="28"/>
  <c r="X74" i="28"/>
  <c r="X65" i="28"/>
  <c r="U65" i="28"/>
  <c r="M65" i="28"/>
  <c r="T63" i="28"/>
  <c r="P63" i="28"/>
  <c r="L63" i="28"/>
  <c r="H63" i="28"/>
  <c r="D63" i="28"/>
  <c r="X62" i="28"/>
  <c r="X61" i="28"/>
  <c r="W61" i="28"/>
  <c r="U61" i="28"/>
  <c r="Q61" i="28"/>
  <c r="M61" i="28"/>
  <c r="I61" i="28"/>
  <c r="E61" i="28"/>
  <c r="X60" i="28"/>
  <c r="W60" i="28"/>
  <c r="U60" i="28"/>
  <c r="Q60" i="28"/>
  <c r="M60" i="28"/>
  <c r="I60" i="28"/>
  <c r="E60" i="28"/>
  <c r="X59" i="28"/>
  <c r="W59" i="28"/>
  <c r="U59" i="28"/>
  <c r="Q59" i="28"/>
  <c r="M59" i="28"/>
  <c r="I59" i="28"/>
  <c r="E59" i="28"/>
  <c r="T57" i="28"/>
  <c r="P57" i="28"/>
  <c r="L57" i="28"/>
  <c r="H57" i="28"/>
  <c r="D57" i="28"/>
  <c r="X56" i="28"/>
  <c r="W56" i="28"/>
  <c r="U56" i="28"/>
  <c r="Q56" i="28"/>
  <c r="M56" i="28"/>
  <c r="I56" i="28"/>
  <c r="E56" i="28"/>
  <c r="X55" i="28"/>
  <c r="W55" i="28"/>
  <c r="U55" i="28"/>
  <c r="Q55" i="28"/>
  <c r="M55" i="28"/>
  <c r="I55" i="28"/>
  <c r="E55" i="28"/>
  <c r="X54" i="28"/>
  <c r="W54" i="28"/>
  <c r="U54" i="28"/>
  <c r="Q54" i="28"/>
  <c r="M54" i="28"/>
  <c r="I54" i="28"/>
  <c r="E54" i="28"/>
  <c r="X53" i="28"/>
  <c r="W53" i="28"/>
  <c r="U53" i="28"/>
  <c r="Q53" i="28"/>
  <c r="M53" i="28"/>
  <c r="I53" i="28"/>
  <c r="E53" i="28"/>
  <c r="X52" i="28"/>
  <c r="W52" i="28"/>
  <c r="U52" i="28"/>
  <c r="Q52" i="28"/>
  <c r="M52" i="28"/>
  <c r="I52" i="28"/>
  <c r="E52" i="28"/>
  <c r="T49" i="28"/>
  <c r="S49" i="28"/>
  <c r="P49" i="28"/>
  <c r="O49" i="28"/>
  <c r="L49" i="28"/>
  <c r="K49" i="28"/>
  <c r="H49" i="28"/>
  <c r="G49" i="28"/>
  <c r="D49" i="28"/>
  <c r="C49" i="28"/>
  <c r="X48" i="28"/>
  <c r="W48" i="28"/>
  <c r="U48" i="28"/>
  <c r="Q48" i="28"/>
  <c r="M48" i="28"/>
  <c r="I48" i="28"/>
  <c r="E48" i="28"/>
  <c r="X47" i="28"/>
  <c r="W47" i="28"/>
  <c r="U47" i="28"/>
  <c r="Q47" i="28"/>
  <c r="M47" i="28"/>
  <c r="I47" i="28"/>
  <c r="E47" i="28"/>
  <c r="X46" i="28"/>
  <c r="W46" i="28"/>
  <c r="U46" i="28"/>
  <c r="Q46" i="28"/>
  <c r="M46" i="28"/>
  <c r="I46" i="28"/>
  <c r="E46" i="28"/>
  <c r="X45" i="28"/>
  <c r="W45" i="28"/>
  <c r="U45" i="28"/>
  <c r="Q45" i="28"/>
  <c r="M45" i="28"/>
  <c r="I45" i="28"/>
  <c r="E45" i="28"/>
  <c r="X44" i="28"/>
  <c r="W44" i="28"/>
  <c r="U44" i="28"/>
  <c r="Q44" i="28"/>
  <c r="M44" i="28"/>
  <c r="I44" i="28"/>
  <c r="E44" i="28"/>
  <c r="X43" i="28"/>
  <c r="W43" i="28"/>
  <c r="U43" i="28"/>
  <c r="Q43" i="28"/>
  <c r="M43" i="28"/>
  <c r="I43" i="28"/>
  <c r="E43" i="28"/>
  <c r="X42" i="28"/>
  <c r="W42" i="28"/>
  <c r="U42" i="28"/>
  <c r="Q42" i="28"/>
  <c r="M42" i="28"/>
  <c r="I42" i="28"/>
  <c r="E42" i="28"/>
  <c r="X41" i="28"/>
  <c r="W41" i="28"/>
  <c r="U41" i="28"/>
  <c r="Q41" i="28"/>
  <c r="M41" i="28"/>
  <c r="I41" i="28"/>
  <c r="E41" i="28"/>
  <c r="X40" i="28"/>
  <c r="W40" i="28"/>
  <c r="U40" i="28"/>
  <c r="Q40" i="28"/>
  <c r="M40" i="28"/>
  <c r="I40" i="28"/>
  <c r="E40" i="28"/>
  <c r="X39" i="28"/>
  <c r="W39" i="28"/>
  <c r="U39" i="28"/>
  <c r="Q39" i="28"/>
  <c r="M39" i="28"/>
  <c r="I39" i="28"/>
  <c r="E39" i="28"/>
  <c r="E29" i="28"/>
  <c r="V27" i="28"/>
  <c r="V37" i="28" s="1"/>
  <c r="R27" i="28"/>
  <c r="N27" i="28"/>
  <c r="N37" i="28" s="1"/>
  <c r="J27" i="28"/>
  <c r="J37" i="28" s="1"/>
  <c r="F27" i="28"/>
  <c r="F37" i="28" s="1"/>
  <c r="T245" i="38"/>
  <c r="P245" i="38"/>
  <c r="L245" i="38"/>
  <c r="H245" i="38"/>
  <c r="D245" i="38"/>
  <c r="C245" i="38"/>
  <c r="X244" i="38"/>
  <c r="W244" i="38"/>
  <c r="U244" i="38"/>
  <c r="Q244" i="38"/>
  <c r="M244" i="38"/>
  <c r="I244" i="38"/>
  <c r="E244" i="38"/>
  <c r="X243" i="38"/>
  <c r="W243" i="38"/>
  <c r="U243" i="38"/>
  <c r="Q243" i="38"/>
  <c r="M243" i="38"/>
  <c r="I243" i="38"/>
  <c r="E243" i="38"/>
  <c r="X242" i="38"/>
  <c r="W242" i="38"/>
  <c r="U242" i="38"/>
  <c r="Q242" i="38"/>
  <c r="M242" i="38"/>
  <c r="I242" i="38"/>
  <c r="E242" i="38"/>
  <c r="X241" i="38"/>
  <c r="W241" i="38"/>
  <c r="U241" i="38"/>
  <c r="Q241" i="38"/>
  <c r="M241" i="38"/>
  <c r="I241" i="38"/>
  <c r="E241" i="38"/>
  <c r="X240" i="38"/>
  <c r="W240" i="38"/>
  <c r="U240" i="38"/>
  <c r="Q240" i="38"/>
  <c r="M240" i="38"/>
  <c r="I240" i="38"/>
  <c r="E240" i="38"/>
  <c r="X239" i="38"/>
  <c r="W239" i="38"/>
  <c r="U239" i="38"/>
  <c r="Q239" i="38"/>
  <c r="M239" i="38"/>
  <c r="I239" i="38"/>
  <c r="E239" i="38"/>
  <c r="X238" i="38"/>
  <c r="W238" i="38"/>
  <c r="U238" i="38"/>
  <c r="Q238" i="38"/>
  <c r="M238" i="38"/>
  <c r="I238" i="38"/>
  <c r="E238" i="38"/>
  <c r="X237" i="38"/>
  <c r="W237" i="38"/>
  <c r="X236" i="38"/>
  <c r="W236" i="38"/>
  <c r="U236" i="38"/>
  <c r="Q236" i="38"/>
  <c r="M236" i="38"/>
  <c r="I236" i="38"/>
  <c r="E236" i="38"/>
  <c r="X235" i="38"/>
  <c r="M235" i="38"/>
  <c r="I235" i="38"/>
  <c r="E235" i="38"/>
  <c r="X234" i="38"/>
  <c r="U234" i="38"/>
  <c r="E234" i="38"/>
  <c r="X233" i="38"/>
  <c r="U233" i="38"/>
  <c r="E233" i="38"/>
  <c r="T231" i="38"/>
  <c r="P231" i="38"/>
  <c r="L231" i="38"/>
  <c r="H231" i="38"/>
  <c r="D231" i="38"/>
  <c r="C231" i="38"/>
  <c r="X230" i="38"/>
  <c r="G230" i="38"/>
  <c r="G230" i="33" s="1"/>
  <c r="I230" i="33" s="1"/>
  <c r="E230" i="38"/>
  <c r="X229" i="38"/>
  <c r="W229" i="38"/>
  <c r="U229" i="38"/>
  <c r="Q229" i="38"/>
  <c r="M229" i="38"/>
  <c r="I229" i="38"/>
  <c r="E229" i="38"/>
  <c r="X228" i="38"/>
  <c r="W228" i="38"/>
  <c r="U228" i="38"/>
  <c r="Q228" i="38"/>
  <c r="M228" i="38"/>
  <c r="I228" i="38"/>
  <c r="E228" i="38"/>
  <c r="X227" i="38"/>
  <c r="W227" i="38"/>
  <c r="U227" i="38"/>
  <c r="Q227" i="38"/>
  <c r="M227" i="38"/>
  <c r="I227" i="38"/>
  <c r="E227" i="38"/>
  <c r="T225" i="38"/>
  <c r="P225" i="38"/>
  <c r="L225" i="38"/>
  <c r="H225" i="38"/>
  <c r="D225" i="38"/>
  <c r="X224" i="38"/>
  <c r="W224" i="38"/>
  <c r="U224" i="38"/>
  <c r="Q224" i="38"/>
  <c r="M224" i="38"/>
  <c r="I224" i="38"/>
  <c r="E224" i="38"/>
  <c r="X223" i="38"/>
  <c r="W223" i="38"/>
  <c r="U223" i="38"/>
  <c r="Q223" i="38"/>
  <c r="M223" i="38"/>
  <c r="I223" i="38"/>
  <c r="E223" i="38"/>
  <c r="X222" i="38"/>
  <c r="W222" i="38"/>
  <c r="U222" i="38"/>
  <c r="Q222" i="38"/>
  <c r="M222" i="38"/>
  <c r="I222" i="38"/>
  <c r="E222" i="38"/>
  <c r="X221" i="38"/>
  <c r="W221" i="38"/>
  <c r="U221" i="38"/>
  <c r="Q221" i="38"/>
  <c r="M221" i="38"/>
  <c r="I221" i="38"/>
  <c r="E221" i="38"/>
  <c r="X220" i="38"/>
  <c r="W220" i="38"/>
  <c r="U220" i="38"/>
  <c r="Q220" i="38"/>
  <c r="M220" i="38"/>
  <c r="I220" i="38"/>
  <c r="E220" i="38"/>
  <c r="X219" i="38"/>
  <c r="T217" i="38"/>
  <c r="S217" i="38"/>
  <c r="P217" i="38"/>
  <c r="O217" i="38"/>
  <c r="L217" i="38"/>
  <c r="K217" i="38"/>
  <c r="H217" i="38"/>
  <c r="G217" i="38"/>
  <c r="D217" i="38"/>
  <c r="C217" i="38"/>
  <c r="X216" i="38"/>
  <c r="W216" i="38"/>
  <c r="U216" i="38"/>
  <c r="Q216" i="38"/>
  <c r="M216" i="38"/>
  <c r="I216" i="38"/>
  <c r="E216" i="38"/>
  <c r="X215" i="38"/>
  <c r="W215" i="38"/>
  <c r="U215" i="38"/>
  <c r="Q215" i="38"/>
  <c r="M215" i="38"/>
  <c r="I215" i="38"/>
  <c r="E215" i="38"/>
  <c r="X214" i="38"/>
  <c r="W214" i="38"/>
  <c r="U214" i="38"/>
  <c r="Q214" i="38"/>
  <c r="M214" i="38"/>
  <c r="I214" i="38"/>
  <c r="E214" i="38"/>
  <c r="X213" i="38"/>
  <c r="W213" i="38"/>
  <c r="U213" i="38"/>
  <c r="Q213" i="38"/>
  <c r="M213" i="38"/>
  <c r="I213" i="38"/>
  <c r="E213" i="38"/>
  <c r="X212" i="38"/>
  <c r="W212" i="38"/>
  <c r="U212" i="38"/>
  <c r="Q212" i="38"/>
  <c r="M212" i="38"/>
  <c r="I212" i="38"/>
  <c r="E212" i="38"/>
  <c r="X211" i="38"/>
  <c r="W211" i="38"/>
  <c r="U211" i="38"/>
  <c r="Q211" i="38"/>
  <c r="M211" i="38"/>
  <c r="I211" i="38"/>
  <c r="E211" i="38"/>
  <c r="X210" i="38"/>
  <c r="W210" i="38"/>
  <c r="U210" i="38"/>
  <c r="Q210" i="38"/>
  <c r="M210" i="38"/>
  <c r="I210" i="38"/>
  <c r="E210" i="38"/>
  <c r="X209" i="38"/>
  <c r="W209" i="38"/>
  <c r="U209" i="38"/>
  <c r="Q209" i="38"/>
  <c r="M209" i="38"/>
  <c r="I209" i="38"/>
  <c r="E209" i="38"/>
  <c r="X208" i="38"/>
  <c r="W208" i="38"/>
  <c r="U208" i="38"/>
  <c r="Q208" i="38"/>
  <c r="M208" i="38"/>
  <c r="I208" i="38"/>
  <c r="E208" i="38"/>
  <c r="X207" i="38"/>
  <c r="W207" i="38"/>
  <c r="U207" i="38"/>
  <c r="Q207" i="38"/>
  <c r="M207" i="38"/>
  <c r="I207" i="38"/>
  <c r="E207" i="38"/>
  <c r="D204" i="38"/>
  <c r="H203" i="38"/>
  <c r="C203" i="38"/>
  <c r="E203" i="38" s="1"/>
  <c r="H202" i="38"/>
  <c r="C202" i="38"/>
  <c r="G202" i="38" s="1"/>
  <c r="H201" i="38"/>
  <c r="E201" i="38"/>
  <c r="H200" i="38"/>
  <c r="L200" i="38" s="1"/>
  <c r="C200" i="38"/>
  <c r="H199" i="38"/>
  <c r="L199" i="38" s="1"/>
  <c r="P199" i="38" s="1"/>
  <c r="C199" i="38"/>
  <c r="X198" i="38"/>
  <c r="W198" i="38"/>
  <c r="U198" i="38"/>
  <c r="Q198" i="38"/>
  <c r="M198" i="38"/>
  <c r="I198" i="38"/>
  <c r="E198" i="38"/>
  <c r="V196" i="38"/>
  <c r="V247" i="38" s="1"/>
  <c r="R196" i="38"/>
  <c r="R205" i="38" s="1"/>
  <c r="R246" i="38" s="1"/>
  <c r="N196" i="38"/>
  <c r="N247" i="38" s="1"/>
  <c r="J196" i="38"/>
  <c r="J247" i="38" s="1"/>
  <c r="F196" i="38"/>
  <c r="F247" i="38" s="1"/>
  <c r="T195" i="38"/>
  <c r="P195" i="38"/>
  <c r="L195" i="38"/>
  <c r="L186" i="38"/>
  <c r="H195" i="38"/>
  <c r="D195" i="38"/>
  <c r="C195" i="38"/>
  <c r="X194" i="38"/>
  <c r="G194" i="38"/>
  <c r="E194" i="38"/>
  <c r="X193" i="38"/>
  <c r="G193" i="38"/>
  <c r="E193" i="38"/>
  <c r="X192" i="38"/>
  <c r="G192" i="38"/>
  <c r="E192" i="38"/>
  <c r="X191" i="38"/>
  <c r="G191" i="38"/>
  <c r="E191" i="38"/>
  <c r="X190" i="38"/>
  <c r="G190" i="38"/>
  <c r="E190" i="38"/>
  <c r="X189" i="38"/>
  <c r="G189" i="38"/>
  <c r="E189" i="38"/>
  <c r="X188" i="38"/>
  <c r="G188" i="38"/>
  <c r="E188" i="38"/>
  <c r="T186" i="38"/>
  <c r="P186" i="38"/>
  <c r="H186" i="38"/>
  <c r="D186" i="38"/>
  <c r="C186" i="38"/>
  <c r="X185" i="38"/>
  <c r="G185" i="38"/>
  <c r="E185" i="38"/>
  <c r="X184" i="38"/>
  <c r="G184" i="38"/>
  <c r="E184" i="38"/>
  <c r="X182" i="38"/>
  <c r="M182" i="38"/>
  <c r="I182" i="38"/>
  <c r="E182" i="38"/>
  <c r="X181" i="38"/>
  <c r="U181" i="38"/>
  <c r="I181" i="38"/>
  <c r="E181" i="38"/>
  <c r="X180" i="38"/>
  <c r="S180" i="38"/>
  <c r="Q180" i="38"/>
  <c r="E180" i="38"/>
  <c r="X172" i="38"/>
  <c r="W172" i="38"/>
  <c r="U172" i="38"/>
  <c r="Q172" i="38"/>
  <c r="M172" i="38"/>
  <c r="I172" i="38"/>
  <c r="E172" i="38"/>
  <c r="X171" i="38"/>
  <c r="W171" i="38"/>
  <c r="U171" i="38"/>
  <c r="Q171" i="38"/>
  <c r="M171" i="38"/>
  <c r="I171" i="38"/>
  <c r="E171" i="38"/>
  <c r="X170" i="38"/>
  <c r="W170" i="38"/>
  <c r="U170" i="38"/>
  <c r="Q170" i="38"/>
  <c r="M170" i="38"/>
  <c r="I170" i="38"/>
  <c r="E170" i="38"/>
  <c r="X169" i="38"/>
  <c r="W169" i="38"/>
  <c r="U169" i="38"/>
  <c r="Q169" i="38"/>
  <c r="M169" i="38"/>
  <c r="I169" i="38"/>
  <c r="E169" i="38"/>
  <c r="X168" i="38"/>
  <c r="W168" i="38"/>
  <c r="U168" i="38"/>
  <c r="Q168" i="38"/>
  <c r="M168" i="38"/>
  <c r="I168" i="38"/>
  <c r="E168" i="38"/>
  <c r="X167" i="38"/>
  <c r="W167" i="38"/>
  <c r="U167" i="38"/>
  <c r="Q167" i="38"/>
  <c r="M167" i="38"/>
  <c r="I167" i="38"/>
  <c r="E167" i="38"/>
  <c r="X166" i="38"/>
  <c r="W166" i="38"/>
  <c r="U166" i="38"/>
  <c r="Q166" i="38"/>
  <c r="M166" i="38"/>
  <c r="I166" i="38"/>
  <c r="E166" i="38"/>
  <c r="X165" i="38"/>
  <c r="W165" i="38"/>
  <c r="U165" i="38"/>
  <c r="Q165" i="38"/>
  <c r="M165" i="38"/>
  <c r="I165" i="38"/>
  <c r="E165" i="38"/>
  <c r="X164" i="38"/>
  <c r="W164" i="38"/>
  <c r="U164" i="38"/>
  <c r="E164" i="38"/>
  <c r="X163" i="38"/>
  <c r="W163" i="38"/>
  <c r="U163" i="38"/>
  <c r="Q163" i="38"/>
  <c r="M163" i="38"/>
  <c r="I163" i="38"/>
  <c r="E163" i="38"/>
  <c r="X162" i="38"/>
  <c r="U162" i="38"/>
  <c r="Q162" i="38"/>
  <c r="M162" i="38"/>
  <c r="I162" i="38"/>
  <c r="X161" i="38"/>
  <c r="W161" i="38"/>
  <c r="U161" i="38"/>
  <c r="Q161" i="38"/>
  <c r="M161" i="38"/>
  <c r="I161" i="38"/>
  <c r="E161" i="38"/>
  <c r="I160" i="38"/>
  <c r="E160" i="38"/>
  <c r="I159" i="38"/>
  <c r="E159" i="38"/>
  <c r="X158" i="38"/>
  <c r="U158" i="38"/>
  <c r="Q158" i="38"/>
  <c r="E158" i="38"/>
  <c r="U157" i="38"/>
  <c r="Q157" i="38"/>
  <c r="T155" i="38"/>
  <c r="S155" i="38"/>
  <c r="P155" i="38"/>
  <c r="O155" i="38"/>
  <c r="L155" i="38"/>
  <c r="K155" i="38"/>
  <c r="H155" i="38"/>
  <c r="G155" i="38"/>
  <c r="D155" i="38"/>
  <c r="C155" i="38"/>
  <c r="X154" i="38"/>
  <c r="W154" i="38"/>
  <c r="U154" i="38"/>
  <c r="Q154" i="38"/>
  <c r="M154" i="38"/>
  <c r="I154" i="38"/>
  <c r="E154" i="38"/>
  <c r="X153" i="38"/>
  <c r="W153" i="38"/>
  <c r="U153" i="38"/>
  <c r="Q153" i="38"/>
  <c r="M153" i="38"/>
  <c r="I153" i="38"/>
  <c r="E153" i="38"/>
  <c r="X152" i="38"/>
  <c r="W152" i="38"/>
  <c r="U152" i="38"/>
  <c r="Q152" i="38"/>
  <c r="M152" i="38"/>
  <c r="I152" i="38"/>
  <c r="E152" i="38"/>
  <c r="X151" i="38"/>
  <c r="W151" i="38"/>
  <c r="U151" i="38"/>
  <c r="Q151" i="38"/>
  <c r="M151" i="38"/>
  <c r="I151" i="38"/>
  <c r="E151" i="38"/>
  <c r="T149" i="38"/>
  <c r="P149" i="38"/>
  <c r="L149" i="38"/>
  <c r="H149" i="38"/>
  <c r="D149" i="38"/>
  <c r="X148" i="38"/>
  <c r="W148" i="38"/>
  <c r="U148" i="38"/>
  <c r="Q148" i="38"/>
  <c r="M148" i="38"/>
  <c r="I148" i="38"/>
  <c r="E148" i="38"/>
  <c r="X147" i="38"/>
  <c r="W147" i="38"/>
  <c r="U147" i="38"/>
  <c r="Q147" i="38"/>
  <c r="M147" i="38"/>
  <c r="I147" i="38"/>
  <c r="E147" i="38"/>
  <c r="X146" i="38"/>
  <c r="W146" i="38"/>
  <c r="U146" i="38"/>
  <c r="Q146" i="38"/>
  <c r="M146" i="38"/>
  <c r="I146" i="38"/>
  <c r="E146" i="38"/>
  <c r="X145" i="38"/>
  <c r="W145" i="38"/>
  <c r="U145" i="38"/>
  <c r="Q145" i="38"/>
  <c r="M145" i="38"/>
  <c r="I145" i="38"/>
  <c r="E145" i="38"/>
  <c r="X144" i="38"/>
  <c r="W144" i="38"/>
  <c r="U144" i="38"/>
  <c r="Q144" i="38"/>
  <c r="M144" i="38"/>
  <c r="I144" i="38"/>
  <c r="E144" i="38"/>
  <c r="X143" i="38"/>
  <c r="T141" i="38"/>
  <c r="S141" i="38"/>
  <c r="P141" i="38"/>
  <c r="O141" i="38"/>
  <c r="L141" i="38"/>
  <c r="K141" i="38"/>
  <c r="H141" i="38"/>
  <c r="G141" i="38"/>
  <c r="D141" i="38"/>
  <c r="X140" i="38"/>
  <c r="W140" i="38"/>
  <c r="U140" i="38"/>
  <c r="Q140" i="38"/>
  <c r="M140" i="38"/>
  <c r="I140" i="38"/>
  <c r="E140" i="38"/>
  <c r="X139" i="38"/>
  <c r="W139" i="38"/>
  <c r="U139" i="38"/>
  <c r="Q139" i="38"/>
  <c r="M139" i="38"/>
  <c r="I139" i="38"/>
  <c r="E139" i="38"/>
  <c r="X138" i="38"/>
  <c r="W138" i="38"/>
  <c r="U138" i="38"/>
  <c r="Q138" i="38"/>
  <c r="M138" i="38"/>
  <c r="I138" i="38"/>
  <c r="E138" i="38"/>
  <c r="X137" i="38"/>
  <c r="W137" i="38"/>
  <c r="U137" i="38"/>
  <c r="Q137" i="38"/>
  <c r="M137" i="38"/>
  <c r="I137" i="38"/>
  <c r="E137" i="38"/>
  <c r="X136" i="38"/>
  <c r="W136" i="38"/>
  <c r="U136" i="38"/>
  <c r="Q136" i="38"/>
  <c r="M136" i="38"/>
  <c r="I136" i="38"/>
  <c r="E136" i="38"/>
  <c r="X135" i="38"/>
  <c r="W135" i="38"/>
  <c r="U135" i="38"/>
  <c r="Q135" i="38"/>
  <c r="M135" i="38"/>
  <c r="I135" i="38"/>
  <c r="E135" i="38"/>
  <c r="X134" i="38"/>
  <c r="W134" i="38"/>
  <c r="U134" i="38"/>
  <c r="Q134" i="38"/>
  <c r="M134" i="38"/>
  <c r="I134" i="38"/>
  <c r="E134" i="38"/>
  <c r="X133" i="38"/>
  <c r="W133" i="38"/>
  <c r="U133" i="38"/>
  <c r="Q133" i="38"/>
  <c r="M133" i="38"/>
  <c r="I133" i="38"/>
  <c r="E133" i="38"/>
  <c r="X132" i="38"/>
  <c r="W132" i="38"/>
  <c r="U132" i="38"/>
  <c r="Q132" i="38"/>
  <c r="M132" i="38"/>
  <c r="I132" i="38"/>
  <c r="E132" i="38"/>
  <c r="X131" i="38"/>
  <c r="W131" i="38"/>
  <c r="U131" i="38"/>
  <c r="Q131" i="38"/>
  <c r="M131" i="38"/>
  <c r="I131" i="38"/>
  <c r="E131" i="38"/>
  <c r="X130" i="38"/>
  <c r="W130" i="38"/>
  <c r="U130" i="38"/>
  <c r="Q130" i="38"/>
  <c r="M130" i="38"/>
  <c r="I130" i="38"/>
  <c r="E130" i="38"/>
  <c r="X129" i="38"/>
  <c r="W129" i="38"/>
  <c r="U129" i="38"/>
  <c r="Q129" i="38"/>
  <c r="M129" i="38"/>
  <c r="I129" i="38"/>
  <c r="E129" i="38"/>
  <c r="X128" i="38"/>
  <c r="U128" i="38"/>
  <c r="Q128" i="38"/>
  <c r="M128" i="38"/>
  <c r="I128" i="38"/>
  <c r="X127" i="38"/>
  <c r="W127" i="38"/>
  <c r="U127" i="38"/>
  <c r="Q127" i="38"/>
  <c r="M127" i="38"/>
  <c r="I127" i="38"/>
  <c r="E127" i="38"/>
  <c r="H121" i="38"/>
  <c r="H120" i="38"/>
  <c r="H119" i="38"/>
  <c r="L119" i="38" s="1"/>
  <c r="P119" i="38" s="1"/>
  <c r="T119" i="38" s="1"/>
  <c r="D118" i="38"/>
  <c r="H117" i="38"/>
  <c r="E117" i="38"/>
  <c r="H116" i="38"/>
  <c r="X115" i="38"/>
  <c r="M115" i="38"/>
  <c r="I115" i="38"/>
  <c r="E115" i="38"/>
  <c r="D112" i="38"/>
  <c r="H111" i="38"/>
  <c r="E111" i="38"/>
  <c r="H110" i="38"/>
  <c r="E110" i="38"/>
  <c r="H109" i="38"/>
  <c r="E109" i="38"/>
  <c r="H108" i="38"/>
  <c r="E108" i="38"/>
  <c r="H107" i="38"/>
  <c r="E107" i="38"/>
  <c r="H106" i="38"/>
  <c r="E106" i="38"/>
  <c r="H105" i="38"/>
  <c r="E105" i="38"/>
  <c r="H104" i="38"/>
  <c r="E104" i="38"/>
  <c r="H103" i="38"/>
  <c r="E103" i="38"/>
  <c r="H102" i="38"/>
  <c r="E102" i="38"/>
  <c r="H101" i="38"/>
  <c r="E101" i="38"/>
  <c r="H98" i="38"/>
  <c r="E98" i="38"/>
  <c r="H97" i="38"/>
  <c r="E97" i="38"/>
  <c r="H96" i="38"/>
  <c r="E96" i="38"/>
  <c r="M95" i="38"/>
  <c r="H95" i="38"/>
  <c r="E95" i="38"/>
  <c r="H94" i="38"/>
  <c r="E94" i="38"/>
  <c r="T93" i="38"/>
  <c r="T92" i="38"/>
  <c r="H85" i="38"/>
  <c r="X84" i="38"/>
  <c r="W84" i="38"/>
  <c r="U84" i="38"/>
  <c r="Q84" i="38"/>
  <c r="M84" i="38"/>
  <c r="I84" i="38"/>
  <c r="E84" i="38"/>
  <c r="X83" i="38"/>
  <c r="W83" i="38"/>
  <c r="U83" i="38"/>
  <c r="Q83" i="38"/>
  <c r="M83" i="38"/>
  <c r="I83" i="38"/>
  <c r="E83" i="38"/>
  <c r="X82" i="38"/>
  <c r="W82" i="38"/>
  <c r="U82" i="38"/>
  <c r="Q82" i="38"/>
  <c r="M82" i="38"/>
  <c r="I82" i="38"/>
  <c r="E82" i="38"/>
  <c r="X81" i="38"/>
  <c r="W81" i="38"/>
  <c r="U81" i="38"/>
  <c r="Q81" i="38"/>
  <c r="M81" i="38"/>
  <c r="I81" i="38"/>
  <c r="E81" i="38"/>
  <c r="X80" i="38"/>
  <c r="W80" i="38"/>
  <c r="U80" i="38"/>
  <c r="Q80" i="38"/>
  <c r="M80" i="38"/>
  <c r="I80" i="38"/>
  <c r="E80" i="38"/>
  <c r="X79" i="38"/>
  <c r="W79" i="38"/>
  <c r="U79" i="38"/>
  <c r="Q79" i="38"/>
  <c r="M79" i="38"/>
  <c r="I79" i="38"/>
  <c r="E79" i="38"/>
  <c r="X78" i="38"/>
  <c r="W78" i="38"/>
  <c r="U78" i="38"/>
  <c r="Q78" i="38"/>
  <c r="M78" i="38"/>
  <c r="I78" i="38"/>
  <c r="E78" i="38"/>
  <c r="X77" i="38"/>
  <c r="W77" i="38"/>
  <c r="U77" i="38"/>
  <c r="Q77" i="38"/>
  <c r="M77" i="38"/>
  <c r="I77" i="38"/>
  <c r="E77" i="38"/>
  <c r="X76" i="38"/>
  <c r="W76" i="38"/>
  <c r="U76" i="38"/>
  <c r="Q76" i="38"/>
  <c r="M76" i="38"/>
  <c r="I76" i="38"/>
  <c r="E76" i="38"/>
  <c r="X75" i="38"/>
  <c r="W75" i="38"/>
  <c r="U75" i="38"/>
  <c r="Q75" i="38"/>
  <c r="M75" i="38"/>
  <c r="I75" i="38"/>
  <c r="E75" i="38"/>
  <c r="X74" i="38"/>
  <c r="Q74" i="38"/>
  <c r="M74" i="38"/>
  <c r="I74" i="38"/>
  <c r="X73" i="38"/>
  <c r="X71" i="38"/>
  <c r="M70" i="38"/>
  <c r="I70" i="38"/>
  <c r="U67" i="38"/>
  <c r="Q67" i="38"/>
  <c r="E67" i="38"/>
  <c r="X66" i="38"/>
  <c r="M66" i="38"/>
  <c r="I66" i="38"/>
  <c r="X65" i="38"/>
  <c r="U65" i="38"/>
  <c r="M65" i="38"/>
  <c r="X61" i="38"/>
  <c r="W61" i="38"/>
  <c r="U61" i="38"/>
  <c r="Q61" i="38"/>
  <c r="M61" i="38"/>
  <c r="I61" i="38"/>
  <c r="E61" i="38"/>
  <c r="X60" i="38"/>
  <c r="W60" i="38"/>
  <c r="U60" i="38"/>
  <c r="Q60" i="38"/>
  <c r="M60" i="38"/>
  <c r="I60" i="38"/>
  <c r="E60" i="38"/>
  <c r="X59" i="38"/>
  <c r="W59" i="38"/>
  <c r="U59" i="38"/>
  <c r="Q59" i="38"/>
  <c r="M59" i="38"/>
  <c r="I59" i="38"/>
  <c r="E59" i="38"/>
  <c r="T57" i="38"/>
  <c r="P57" i="38"/>
  <c r="L57" i="38"/>
  <c r="H57" i="38"/>
  <c r="D57" i="38"/>
  <c r="X56" i="38"/>
  <c r="W56" i="38"/>
  <c r="U56" i="38"/>
  <c r="Q56" i="38"/>
  <c r="M56" i="38"/>
  <c r="I56" i="38"/>
  <c r="E56" i="38"/>
  <c r="X55" i="38"/>
  <c r="W55" i="38"/>
  <c r="U55" i="38"/>
  <c r="Q55" i="38"/>
  <c r="M55" i="38"/>
  <c r="I55" i="38"/>
  <c r="E55" i="38"/>
  <c r="X54" i="38"/>
  <c r="W54" i="38"/>
  <c r="U54" i="38"/>
  <c r="Q54" i="38"/>
  <c r="M54" i="38"/>
  <c r="I54" i="38"/>
  <c r="E54" i="38"/>
  <c r="X53" i="38"/>
  <c r="W53" i="38"/>
  <c r="U53" i="38"/>
  <c r="Q53" i="38"/>
  <c r="M53" i="38"/>
  <c r="I53" i="38"/>
  <c r="E53" i="38"/>
  <c r="X52" i="38"/>
  <c r="W52" i="38"/>
  <c r="U52" i="38"/>
  <c r="Q52" i="38"/>
  <c r="M52" i="38"/>
  <c r="I52" i="38"/>
  <c r="E52" i="38"/>
  <c r="X51" i="38"/>
  <c r="T49" i="38"/>
  <c r="S49" i="38"/>
  <c r="P49" i="38"/>
  <c r="O49" i="38"/>
  <c r="L49" i="38"/>
  <c r="K49" i="38"/>
  <c r="H49" i="38"/>
  <c r="G49" i="38"/>
  <c r="D49" i="38"/>
  <c r="C49" i="38"/>
  <c r="X48" i="38"/>
  <c r="W48" i="38"/>
  <c r="U48" i="38"/>
  <c r="Q48" i="38"/>
  <c r="M48" i="38"/>
  <c r="I48" i="38"/>
  <c r="E48" i="38"/>
  <c r="X47" i="38"/>
  <c r="W47" i="38"/>
  <c r="U47" i="38"/>
  <c r="Q47" i="38"/>
  <c r="M47" i="38"/>
  <c r="I47" i="38"/>
  <c r="E47" i="38"/>
  <c r="X46" i="38"/>
  <c r="W46" i="38"/>
  <c r="U46" i="38"/>
  <c r="Q46" i="38"/>
  <c r="M46" i="38"/>
  <c r="I46" i="38"/>
  <c r="E46" i="38"/>
  <c r="X45" i="38"/>
  <c r="W45" i="38"/>
  <c r="U45" i="38"/>
  <c r="Q45" i="38"/>
  <c r="M45" i="38"/>
  <c r="I45" i="38"/>
  <c r="E45" i="38"/>
  <c r="X44" i="38"/>
  <c r="W44" i="38"/>
  <c r="U44" i="38"/>
  <c r="Q44" i="38"/>
  <c r="M44" i="38"/>
  <c r="I44" i="38"/>
  <c r="E44" i="38"/>
  <c r="X43" i="38"/>
  <c r="W43" i="38"/>
  <c r="U43" i="38"/>
  <c r="Q43" i="38"/>
  <c r="M43" i="38"/>
  <c r="I43" i="38"/>
  <c r="E43" i="38"/>
  <c r="X42" i="38"/>
  <c r="W42" i="38"/>
  <c r="U42" i="38"/>
  <c r="Q42" i="38"/>
  <c r="M42" i="38"/>
  <c r="I42" i="38"/>
  <c r="E42" i="38"/>
  <c r="X41" i="38"/>
  <c r="W41" i="38"/>
  <c r="U41" i="38"/>
  <c r="Q41" i="38"/>
  <c r="M41" i="38"/>
  <c r="I41" i="38"/>
  <c r="E41" i="38"/>
  <c r="X40" i="38"/>
  <c r="W40" i="38"/>
  <c r="U40" i="38"/>
  <c r="Q40" i="38"/>
  <c r="M40" i="38"/>
  <c r="I40" i="38"/>
  <c r="E40" i="38"/>
  <c r="X39" i="38"/>
  <c r="W39" i="38"/>
  <c r="U39" i="38"/>
  <c r="Q39" i="38"/>
  <c r="M39" i="38"/>
  <c r="I39" i="38"/>
  <c r="E39" i="38"/>
  <c r="E35" i="38"/>
  <c r="E34" i="38"/>
  <c r="E31" i="38"/>
  <c r="U29" i="38"/>
  <c r="Q29" i="38"/>
  <c r="M29" i="38"/>
  <c r="I29" i="38"/>
  <c r="E29" i="38"/>
  <c r="V27" i="38"/>
  <c r="V37" i="38" s="1"/>
  <c r="R27" i="38"/>
  <c r="R37" i="38" s="1"/>
  <c r="N27" i="38"/>
  <c r="N37" i="38" s="1"/>
  <c r="J27" i="38"/>
  <c r="J37" i="38" s="1"/>
  <c r="F27" i="38"/>
  <c r="F37" i="38" s="1"/>
  <c r="H25" i="38"/>
  <c r="G25" i="38"/>
  <c r="E25" i="38"/>
  <c r="H24" i="38"/>
  <c r="G24" i="38"/>
  <c r="E24" i="38"/>
  <c r="H23" i="38"/>
  <c r="G23" i="38"/>
  <c r="E23" i="38"/>
  <c r="H22" i="38"/>
  <c r="G22" i="38"/>
  <c r="E22" i="38"/>
  <c r="H21" i="38"/>
  <c r="G21" i="38"/>
  <c r="E21" i="38"/>
  <c r="H19" i="38"/>
  <c r="G19" i="38"/>
  <c r="E19" i="38"/>
  <c r="H18" i="38"/>
  <c r="H14" i="38"/>
  <c r="G14" i="38"/>
  <c r="E14" i="38"/>
  <c r="H13" i="38"/>
  <c r="G13" i="38"/>
  <c r="E13" i="38"/>
  <c r="H12" i="38"/>
  <c r="G12" i="38"/>
  <c r="E12" i="38"/>
  <c r="H11" i="38"/>
  <c r="G11" i="38"/>
  <c r="E11" i="38"/>
  <c r="S10" i="38"/>
  <c r="H10" i="38"/>
  <c r="G10" i="38"/>
  <c r="E10" i="38"/>
  <c r="G9" i="38"/>
  <c r="H8" i="38"/>
  <c r="E8" i="38"/>
  <c r="S7" i="38"/>
  <c r="H7" i="38"/>
  <c r="E7" i="38"/>
  <c r="S6" i="38"/>
  <c r="H6" i="38"/>
  <c r="L6" i="38" s="1"/>
  <c r="P6" i="38" s="1"/>
  <c r="V205" i="39"/>
  <c r="V246" i="39" s="1"/>
  <c r="V248" i="39" s="1"/>
  <c r="V247" i="39"/>
  <c r="E121" i="38"/>
  <c r="E59" i="39"/>
  <c r="E63" i="39" s="1"/>
  <c r="W245" i="39"/>
  <c r="U66" i="39"/>
  <c r="K194" i="39"/>
  <c r="O194" i="39" s="1"/>
  <c r="S194" i="39" s="1"/>
  <c r="G202" i="39"/>
  <c r="I202" i="39" s="1"/>
  <c r="E57" i="39"/>
  <c r="U59" i="39"/>
  <c r="O17" i="39"/>
  <c r="S17" i="39" s="1"/>
  <c r="W17" i="39" s="1"/>
  <c r="O14" i="39"/>
  <c r="S14" i="39" s="1"/>
  <c r="U14" i="39" s="1"/>
  <c r="K63" i="39"/>
  <c r="M59" i="39"/>
  <c r="M63" i="39" s="1"/>
  <c r="W66" i="39"/>
  <c r="X105" i="39"/>
  <c r="I106" i="39"/>
  <c r="Y209" i="39"/>
  <c r="Q225" i="39"/>
  <c r="X225" i="39"/>
  <c r="P200" i="38"/>
  <c r="G57" i="28"/>
  <c r="C57" i="28"/>
  <c r="K57" i="28"/>
  <c r="O57" i="28"/>
  <c r="S57" i="28"/>
  <c r="T8" i="39"/>
  <c r="X8" i="39" s="1"/>
  <c r="X22" i="39"/>
  <c r="M24" i="39"/>
  <c r="M110" i="39"/>
  <c r="M23" i="39"/>
  <c r="X25" i="39"/>
  <c r="G63" i="39"/>
  <c r="L97" i="39"/>
  <c r="P97" i="39" s="1"/>
  <c r="O63" i="39"/>
  <c r="Q59" i="39"/>
  <c r="M107" i="39"/>
  <c r="I30" i="39"/>
  <c r="W59" i="39"/>
  <c r="P93" i="39"/>
  <c r="T93" i="39" s="1"/>
  <c r="H112" i="39"/>
  <c r="I103" i="39"/>
  <c r="W104" i="39"/>
  <c r="I22" i="39"/>
  <c r="I24" i="39"/>
  <c r="X103" i="39"/>
  <c r="M105" i="39"/>
  <c r="I105" i="39"/>
  <c r="I19" i="39"/>
  <c r="I21" i="39"/>
  <c r="I23" i="39"/>
  <c r="I25" i="39"/>
  <c r="I34" i="39"/>
  <c r="L95" i="39"/>
  <c r="P95" i="39" s="1"/>
  <c r="T95" i="39" s="1"/>
  <c r="I101" i="39"/>
  <c r="U106" i="39"/>
  <c r="I35" i="39"/>
  <c r="W107" i="39"/>
  <c r="W108" i="39"/>
  <c r="I108" i="39"/>
  <c r="M108" i="39"/>
  <c r="I95" i="39"/>
  <c r="W111" i="39"/>
  <c r="I110" i="39"/>
  <c r="I107" i="39"/>
  <c r="I109" i="39"/>
  <c r="I111" i="39"/>
  <c r="L184" i="39"/>
  <c r="P184" i="39" s="1"/>
  <c r="T184" i="39" s="1"/>
  <c r="L181" i="39"/>
  <c r="P181" i="39" s="1"/>
  <c r="K193" i="39"/>
  <c r="O193" i="39" s="1"/>
  <c r="S193" i="39" s="1"/>
  <c r="I193" i="39"/>
  <c r="E203" i="39"/>
  <c r="G203" i="39"/>
  <c r="K203" i="39" s="1"/>
  <c r="L200" i="39"/>
  <c r="P200" i="39" s="1"/>
  <c r="R205" i="39"/>
  <c r="R246" i="39" s="1"/>
  <c r="R248" i="39" s="1"/>
  <c r="O201" i="39"/>
  <c r="S201" i="39" s="1"/>
  <c r="W201" i="39" s="1"/>
  <c r="I184" i="39"/>
  <c r="W200" i="39"/>
  <c r="L201" i="39"/>
  <c r="P201" i="39" s="1"/>
  <c r="T201" i="39" s="1"/>
  <c r="I103" i="38"/>
  <c r="N174" i="38"/>
  <c r="N176" i="38" s="1"/>
  <c r="K188" i="38"/>
  <c r="K190" i="38"/>
  <c r="I190" i="38"/>
  <c r="K192" i="38"/>
  <c r="G203" i="38"/>
  <c r="K203" i="38" s="1"/>
  <c r="O203" i="38" s="1"/>
  <c r="S203" i="38" s="1"/>
  <c r="W190" i="29"/>
  <c r="R173" i="33"/>
  <c r="E202" i="32"/>
  <c r="C30" i="29"/>
  <c r="S153" i="32"/>
  <c r="S153" i="33" s="1"/>
  <c r="U153" i="33" s="1"/>
  <c r="S57" i="24"/>
  <c r="O57" i="24"/>
  <c r="K57" i="24"/>
  <c r="G57" i="24"/>
  <c r="I52" i="24"/>
  <c r="U51" i="31"/>
  <c r="W21" i="29"/>
  <c r="C57" i="24"/>
  <c r="G62" i="32"/>
  <c r="K62" i="32" s="1"/>
  <c r="O62" i="32" s="1"/>
  <c r="S62" i="32" s="1"/>
  <c r="U62" i="32" s="1"/>
  <c r="H62" i="29"/>
  <c r="H62" i="33" s="1"/>
  <c r="D63" i="29"/>
  <c r="G62" i="29"/>
  <c r="K62" i="29" s="1"/>
  <c r="G200" i="24"/>
  <c r="K200" i="24" s="1"/>
  <c r="O200" i="24" s="1"/>
  <c r="S200" i="24" s="1"/>
  <c r="H201" i="24"/>
  <c r="L201" i="24" s="1"/>
  <c r="H200" i="24"/>
  <c r="L200" i="24" s="1"/>
  <c r="P200" i="24" s="1"/>
  <c r="T200" i="24" s="1"/>
  <c r="H199" i="24"/>
  <c r="L199" i="24" s="1"/>
  <c r="P199" i="24" s="1"/>
  <c r="T199" i="24" s="1"/>
  <c r="X199" i="24" s="1"/>
  <c r="H201" i="23"/>
  <c r="L201" i="23" s="1"/>
  <c r="P201" i="23" s="1"/>
  <c r="T201" i="23" s="1"/>
  <c r="H200" i="23"/>
  <c r="L200" i="23" s="1"/>
  <c r="P200" i="23" s="1"/>
  <c r="G200" i="23"/>
  <c r="K200" i="23" s="1"/>
  <c r="O200" i="23" s="1"/>
  <c r="S200" i="23" s="1"/>
  <c r="H199" i="23"/>
  <c r="L199" i="23" s="1"/>
  <c r="P199" i="23" s="1"/>
  <c r="T199" i="23" s="1"/>
  <c r="H200" i="30"/>
  <c r="H201" i="30"/>
  <c r="L201" i="30" s="1"/>
  <c r="P201" i="30" s="1"/>
  <c r="T201" i="30" s="1"/>
  <c r="X201" i="30" s="1"/>
  <c r="G200" i="30"/>
  <c r="H199" i="30"/>
  <c r="L199" i="30" s="1"/>
  <c r="P199" i="30" s="1"/>
  <c r="H199" i="32"/>
  <c r="L199" i="32" s="1"/>
  <c r="P199" i="32" s="1"/>
  <c r="H201" i="31"/>
  <c r="L201" i="31" s="1"/>
  <c r="H203" i="31"/>
  <c r="X203" i="31" s="1"/>
  <c r="H202" i="31"/>
  <c r="X202" i="31" s="1"/>
  <c r="H200" i="31"/>
  <c r="G200" i="31"/>
  <c r="K200" i="31" s="1"/>
  <c r="H194" i="31"/>
  <c r="G194" i="31"/>
  <c r="H193" i="31"/>
  <c r="H193" i="33" s="1"/>
  <c r="G193" i="31"/>
  <c r="H192" i="31"/>
  <c r="G192" i="31"/>
  <c r="H191" i="31"/>
  <c r="G191" i="31"/>
  <c r="H190" i="31"/>
  <c r="G190" i="31"/>
  <c r="H189" i="31"/>
  <c r="G189" i="31"/>
  <c r="H188" i="31"/>
  <c r="G188" i="31"/>
  <c r="H185" i="31"/>
  <c r="H184" i="31"/>
  <c r="G184" i="31"/>
  <c r="T115" i="31"/>
  <c r="T115" i="33" s="1"/>
  <c r="H108" i="31"/>
  <c r="L108" i="31" s="1"/>
  <c r="P108" i="31" s="1"/>
  <c r="T108" i="31" s="1"/>
  <c r="H109" i="31"/>
  <c r="L109" i="31" s="1"/>
  <c r="P109" i="31" s="1"/>
  <c r="T109" i="31" s="1"/>
  <c r="H110" i="31"/>
  <c r="L110" i="31" s="1"/>
  <c r="H111" i="31"/>
  <c r="L111" i="31" s="1"/>
  <c r="P111" i="31" s="1"/>
  <c r="H107" i="31"/>
  <c r="L107" i="31" s="1"/>
  <c r="H106" i="31"/>
  <c r="L106" i="31" s="1"/>
  <c r="P106" i="31" s="1"/>
  <c r="H105" i="31"/>
  <c r="L105" i="31" s="1"/>
  <c r="P105" i="31" s="1"/>
  <c r="T105" i="31" s="1"/>
  <c r="X105" i="31" s="1"/>
  <c r="H104" i="31"/>
  <c r="L104" i="31" s="1"/>
  <c r="H103" i="31"/>
  <c r="L103" i="31" s="1"/>
  <c r="P103" i="31" s="1"/>
  <c r="H101" i="31"/>
  <c r="H98" i="31"/>
  <c r="L98" i="31" s="1"/>
  <c r="P98" i="31" s="1"/>
  <c r="H97" i="31"/>
  <c r="H96" i="31"/>
  <c r="L96" i="31" s="1"/>
  <c r="P96" i="31" s="1"/>
  <c r="T96" i="31" s="1"/>
  <c r="H93" i="31"/>
  <c r="L93" i="31" s="1"/>
  <c r="P93" i="31" s="1"/>
  <c r="G35" i="31"/>
  <c r="K35" i="31" s="1"/>
  <c r="O35" i="31" s="1"/>
  <c r="G34" i="31"/>
  <c r="K34" i="31" s="1"/>
  <c r="H34" i="31"/>
  <c r="L34" i="31" s="1"/>
  <c r="H35" i="31"/>
  <c r="L35" i="31" s="1"/>
  <c r="H31" i="31"/>
  <c r="L31" i="31" s="1"/>
  <c r="P31" i="31" s="1"/>
  <c r="T31" i="31" s="1"/>
  <c r="H30" i="31"/>
  <c r="H25" i="31"/>
  <c r="L25" i="31" s="1"/>
  <c r="G25" i="31"/>
  <c r="H24" i="31"/>
  <c r="L24" i="31" s="1"/>
  <c r="P24" i="31" s="1"/>
  <c r="T24" i="31" s="1"/>
  <c r="G24" i="31"/>
  <c r="H23" i="31"/>
  <c r="L23" i="31" s="1"/>
  <c r="G23" i="31"/>
  <c r="K23" i="31" s="1"/>
  <c r="O23" i="31" s="1"/>
  <c r="S23" i="31" s="1"/>
  <c r="H22" i="31"/>
  <c r="G22" i="31"/>
  <c r="K22" i="31" s="1"/>
  <c r="O22" i="31" s="1"/>
  <c r="S22" i="31" s="1"/>
  <c r="H21" i="31"/>
  <c r="L21" i="31" s="1"/>
  <c r="P21" i="31" s="1"/>
  <c r="T21" i="31" s="1"/>
  <c r="G21" i="31"/>
  <c r="H20" i="31"/>
  <c r="L20" i="31" s="1"/>
  <c r="G20" i="31"/>
  <c r="K20" i="31" s="1"/>
  <c r="H19" i="31"/>
  <c r="L19" i="31" s="1"/>
  <c r="G19" i="31"/>
  <c r="K19" i="31" s="1"/>
  <c r="O19" i="31" s="1"/>
  <c r="S19" i="31" s="1"/>
  <c r="W19" i="31" s="1"/>
  <c r="H17" i="31"/>
  <c r="G17" i="31"/>
  <c r="H14" i="31"/>
  <c r="H13" i="31"/>
  <c r="H12" i="31"/>
  <c r="L12" i="31" s="1"/>
  <c r="H11" i="31"/>
  <c r="H10" i="31"/>
  <c r="L10" i="31" s="1"/>
  <c r="P10" i="31" s="1"/>
  <c r="T10" i="31" s="1"/>
  <c r="H7" i="31"/>
  <c r="W239" i="31"/>
  <c r="X239" i="31"/>
  <c r="W241" i="31"/>
  <c r="X241" i="31"/>
  <c r="W242" i="31"/>
  <c r="X242" i="31"/>
  <c r="W243" i="31"/>
  <c r="X243" i="31"/>
  <c r="W244" i="31"/>
  <c r="X244" i="31"/>
  <c r="W229" i="31"/>
  <c r="X229" i="31"/>
  <c r="W230" i="31"/>
  <c r="X230" i="31"/>
  <c r="W221" i="31"/>
  <c r="X221" i="31"/>
  <c r="W222" i="31"/>
  <c r="X222" i="31"/>
  <c r="W223" i="31"/>
  <c r="X223" i="31"/>
  <c r="W224" i="31"/>
  <c r="X224" i="31"/>
  <c r="X219" i="31"/>
  <c r="W208" i="31"/>
  <c r="X208" i="31"/>
  <c r="W209" i="31"/>
  <c r="X209" i="31"/>
  <c r="W210" i="31"/>
  <c r="X210" i="31"/>
  <c r="W211" i="31"/>
  <c r="X211" i="31"/>
  <c r="W212" i="31"/>
  <c r="X212" i="31"/>
  <c r="W213" i="31"/>
  <c r="X213" i="31"/>
  <c r="W214" i="31"/>
  <c r="X214" i="31"/>
  <c r="W215" i="31"/>
  <c r="X215" i="31"/>
  <c r="W216" i="31"/>
  <c r="X216" i="31"/>
  <c r="X207" i="31"/>
  <c r="X198" i="31"/>
  <c r="W163" i="31"/>
  <c r="X163" i="31"/>
  <c r="W164" i="31"/>
  <c r="X164" i="31"/>
  <c r="W165" i="31"/>
  <c r="X165" i="31"/>
  <c r="W166" i="31"/>
  <c r="X166" i="31"/>
  <c r="W167" i="31"/>
  <c r="X167" i="31"/>
  <c r="W168" i="31"/>
  <c r="X168" i="31"/>
  <c r="W169" i="31"/>
  <c r="X169" i="31"/>
  <c r="W170" i="31"/>
  <c r="X170" i="31"/>
  <c r="W171" i="31"/>
  <c r="X171" i="31"/>
  <c r="W172" i="31"/>
  <c r="X172" i="31"/>
  <c r="W154" i="31"/>
  <c r="X154" i="31"/>
  <c r="X151" i="31"/>
  <c r="W145" i="31"/>
  <c r="X145" i="31"/>
  <c r="W146" i="31"/>
  <c r="X146" i="31"/>
  <c r="W147" i="31"/>
  <c r="X147" i="31"/>
  <c r="W148" i="31"/>
  <c r="X148" i="31"/>
  <c r="X143" i="31"/>
  <c r="W143" i="31"/>
  <c r="W151" i="31"/>
  <c r="W128" i="31"/>
  <c r="X128" i="31"/>
  <c r="W129" i="31"/>
  <c r="X129" i="31"/>
  <c r="W130" i="31"/>
  <c r="X130" i="31"/>
  <c r="W131" i="31"/>
  <c r="X131" i="31"/>
  <c r="W132" i="31"/>
  <c r="X132" i="31"/>
  <c r="W133" i="31"/>
  <c r="X133" i="31"/>
  <c r="W134" i="31"/>
  <c r="X134" i="31"/>
  <c r="W135" i="31"/>
  <c r="X135" i="31"/>
  <c r="W136" i="31"/>
  <c r="X136" i="31"/>
  <c r="W137" i="31"/>
  <c r="X137" i="31"/>
  <c r="W138" i="31"/>
  <c r="X138" i="31"/>
  <c r="W139" i="31"/>
  <c r="X139" i="31"/>
  <c r="W140" i="31"/>
  <c r="X140" i="31"/>
  <c r="X127" i="31"/>
  <c r="W79" i="31"/>
  <c r="X79" i="31"/>
  <c r="W80" i="31"/>
  <c r="X80" i="31"/>
  <c r="W81" i="31"/>
  <c r="X81" i="31"/>
  <c r="W82" i="31"/>
  <c r="X82" i="31"/>
  <c r="W83" i="31"/>
  <c r="X83" i="31"/>
  <c r="W84" i="31"/>
  <c r="X84" i="31"/>
  <c r="W53" i="31"/>
  <c r="X53" i="31"/>
  <c r="W54" i="31"/>
  <c r="X54" i="31"/>
  <c r="W55" i="31"/>
  <c r="X55" i="31"/>
  <c r="W56" i="31"/>
  <c r="X56" i="31"/>
  <c r="X51" i="31"/>
  <c r="W40" i="31"/>
  <c r="X40" i="31"/>
  <c r="W41" i="31"/>
  <c r="X41" i="31"/>
  <c r="W42" i="31"/>
  <c r="X42" i="31"/>
  <c r="W43" i="31"/>
  <c r="X43" i="31"/>
  <c r="W44" i="31"/>
  <c r="X44" i="31"/>
  <c r="W45" i="31"/>
  <c r="X45" i="31"/>
  <c r="W46" i="31"/>
  <c r="X46" i="31"/>
  <c r="W47" i="31"/>
  <c r="X47" i="31"/>
  <c r="W48" i="31"/>
  <c r="X48" i="31"/>
  <c r="X39" i="31"/>
  <c r="X29" i="31"/>
  <c r="C231" i="32"/>
  <c r="C199" i="32"/>
  <c r="M190" i="32"/>
  <c r="X192" i="32"/>
  <c r="H181" i="32"/>
  <c r="H182" i="32"/>
  <c r="H184" i="32"/>
  <c r="H185" i="32"/>
  <c r="H180" i="32"/>
  <c r="H123" i="32"/>
  <c r="H123" i="33" s="1"/>
  <c r="X107" i="32"/>
  <c r="U109" i="32"/>
  <c r="M110" i="32"/>
  <c r="H98" i="32"/>
  <c r="H97" i="32"/>
  <c r="H96" i="32"/>
  <c r="H95" i="32"/>
  <c r="H94" i="32"/>
  <c r="L94" i="32" s="1"/>
  <c r="H93" i="32"/>
  <c r="L93" i="32" s="1"/>
  <c r="P93" i="32" s="1"/>
  <c r="T93" i="32" s="1"/>
  <c r="H32" i="32"/>
  <c r="L32" i="32" s="1"/>
  <c r="P32" i="32" s="1"/>
  <c r="T32" i="32" s="1"/>
  <c r="G32" i="32"/>
  <c r="K32" i="32" s="1"/>
  <c r="O32" i="32" s="1"/>
  <c r="S32" i="32" s="1"/>
  <c r="H31" i="32"/>
  <c r="G31" i="32"/>
  <c r="K31" i="32" s="1"/>
  <c r="O31" i="32" s="1"/>
  <c r="S31" i="32" s="1"/>
  <c r="H30" i="32"/>
  <c r="Q19" i="32"/>
  <c r="K26" i="32"/>
  <c r="K33" i="32" s="1"/>
  <c r="M19" i="32"/>
  <c r="X19" i="32"/>
  <c r="X17" i="32"/>
  <c r="C30" i="32"/>
  <c r="E30" i="32" s="1"/>
  <c r="W237" i="32"/>
  <c r="X237" i="32"/>
  <c r="W238" i="32"/>
  <c r="X238" i="32"/>
  <c r="W239" i="32"/>
  <c r="X239" i="32"/>
  <c r="W240" i="32"/>
  <c r="X240" i="32"/>
  <c r="W241" i="32"/>
  <c r="X241" i="32"/>
  <c r="W242" i="32"/>
  <c r="X242" i="32"/>
  <c r="W243" i="32"/>
  <c r="X243" i="32"/>
  <c r="W244" i="32"/>
  <c r="X244" i="32"/>
  <c r="X236" i="32"/>
  <c r="W236" i="32"/>
  <c r="X233" i="32"/>
  <c r="W233" i="32"/>
  <c r="W228" i="32"/>
  <c r="X228" i="32"/>
  <c r="W229" i="32"/>
  <c r="X229" i="32"/>
  <c r="X230" i="32"/>
  <c r="X227" i="32"/>
  <c r="X224" i="32"/>
  <c r="W224" i="32"/>
  <c r="X223" i="32"/>
  <c r="W223" i="32"/>
  <c r="X222" i="32"/>
  <c r="W222" i="32"/>
  <c r="X221" i="32"/>
  <c r="W221" i="32"/>
  <c r="W209" i="32"/>
  <c r="X209" i="32"/>
  <c r="W210" i="32"/>
  <c r="X210" i="32"/>
  <c r="W211" i="32"/>
  <c r="X211" i="32"/>
  <c r="W212" i="32"/>
  <c r="X212" i="32"/>
  <c r="W213" i="32"/>
  <c r="X213" i="32"/>
  <c r="W214" i="32"/>
  <c r="X214" i="32"/>
  <c r="W215" i="32"/>
  <c r="X215" i="32"/>
  <c r="W216" i="32"/>
  <c r="X216" i="32"/>
  <c r="X207" i="32"/>
  <c r="X202" i="32"/>
  <c r="X203" i="32"/>
  <c r="X198" i="32"/>
  <c r="W162" i="32"/>
  <c r="X162" i="32"/>
  <c r="W163" i="32"/>
  <c r="X163" i="32"/>
  <c r="W164" i="32"/>
  <c r="X164" i="32"/>
  <c r="W165" i="32"/>
  <c r="X165" i="32"/>
  <c r="W166" i="32"/>
  <c r="X166" i="32"/>
  <c r="W167" i="32"/>
  <c r="X167" i="32"/>
  <c r="W168" i="32"/>
  <c r="X168" i="32"/>
  <c r="W169" i="32"/>
  <c r="X169" i="32"/>
  <c r="W170" i="32"/>
  <c r="X170" i="32"/>
  <c r="W171" i="32"/>
  <c r="X171" i="32"/>
  <c r="W172" i="32"/>
  <c r="X172" i="32"/>
  <c r="W152" i="32"/>
  <c r="X152" i="32"/>
  <c r="X153" i="32"/>
  <c r="X154" i="32"/>
  <c r="X151" i="32"/>
  <c r="X148" i="32"/>
  <c r="W148" i="32"/>
  <c r="X147" i="32"/>
  <c r="W147" i="32"/>
  <c r="X146" i="32"/>
  <c r="W146" i="32"/>
  <c r="X145" i="32"/>
  <c r="W145" i="32"/>
  <c r="X129" i="32"/>
  <c r="W130" i="32"/>
  <c r="X130" i="32"/>
  <c r="W131" i="32"/>
  <c r="X131" i="32"/>
  <c r="W132" i="32"/>
  <c r="X132" i="32"/>
  <c r="W133" i="32"/>
  <c r="X133" i="32"/>
  <c r="W134" i="32"/>
  <c r="X134" i="32"/>
  <c r="W135" i="32"/>
  <c r="X135" i="32"/>
  <c r="W136" i="32"/>
  <c r="X136" i="32"/>
  <c r="W137" i="32"/>
  <c r="X137" i="32"/>
  <c r="W138" i="32"/>
  <c r="X138" i="32"/>
  <c r="W139" i="32"/>
  <c r="X139" i="32"/>
  <c r="W140" i="32"/>
  <c r="X140" i="32"/>
  <c r="X127" i="32"/>
  <c r="X115" i="32"/>
  <c r="W66" i="32"/>
  <c r="X66" i="32"/>
  <c r="W69" i="32"/>
  <c r="X69" i="32"/>
  <c r="W70" i="32"/>
  <c r="X70" i="32"/>
  <c r="W71" i="32"/>
  <c r="X71" i="32"/>
  <c r="W72" i="32"/>
  <c r="X72" i="32"/>
  <c r="W73" i="32"/>
  <c r="X73" i="32"/>
  <c r="W74" i="32"/>
  <c r="X74" i="32"/>
  <c r="W75" i="32"/>
  <c r="X75" i="32"/>
  <c r="W76" i="32"/>
  <c r="X76" i="32"/>
  <c r="W77" i="32"/>
  <c r="X77" i="32"/>
  <c r="W78" i="32"/>
  <c r="X78" i="32"/>
  <c r="W79" i="32"/>
  <c r="X79" i="32"/>
  <c r="W80" i="32"/>
  <c r="X80" i="32"/>
  <c r="W81" i="32"/>
  <c r="X81" i="32"/>
  <c r="W82" i="32"/>
  <c r="X82" i="32"/>
  <c r="W83" i="32"/>
  <c r="X83" i="32"/>
  <c r="W84" i="32"/>
  <c r="X84" i="32"/>
  <c r="X65" i="32"/>
  <c r="W60" i="32"/>
  <c r="X60" i="32"/>
  <c r="W61" i="32"/>
  <c r="X61" i="32"/>
  <c r="X62" i="32"/>
  <c r="X59" i="32"/>
  <c r="W52" i="32"/>
  <c r="X52" i="32"/>
  <c r="W53" i="32"/>
  <c r="X53" i="32"/>
  <c r="W54" i="32"/>
  <c r="X54" i="32"/>
  <c r="W55" i="32"/>
  <c r="X55" i="32"/>
  <c r="W56" i="32"/>
  <c r="X56" i="32"/>
  <c r="X41" i="32"/>
  <c r="W42" i="32"/>
  <c r="X42" i="32"/>
  <c r="W43" i="32"/>
  <c r="X43" i="32"/>
  <c r="W44" i="32"/>
  <c r="X44" i="32"/>
  <c r="W45" i="32"/>
  <c r="X45" i="32"/>
  <c r="W46" i="32"/>
  <c r="X46" i="32"/>
  <c r="W47" i="32"/>
  <c r="X47" i="32"/>
  <c r="W48" i="32"/>
  <c r="X48" i="32"/>
  <c r="X29" i="32"/>
  <c r="H7" i="32"/>
  <c r="H8" i="32"/>
  <c r="H9" i="32"/>
  <c r="H10" i="32"/>
  <c r="H11" i="32"/>
  <c r="H12" i="32"/>
  <c r="H13" i="32"/>
  <c r="H14" i="32"/>
  <c r="G194" i="30"/>
  <c r="K194" i="30" s="1"/>
  <c r="O194" i="30" s="1"/>
  <c r="G193" i="30"/>
  <c r="K193" i="30" s="1"/>
  <c r="O193" i="30" s="1"/>
  <c r="G192" i="30"/>
  <c r="G191" i="30"/>
  <c r="T193" i="30"/>
  <c r="T194" i="30"/>
  <c r="T192" i="30"/>
  <c r="T191" i="30"/>
  <c r="T190" i="30"/>
  <c r="T188" i="30"/>
  <c r="H185" i="30"/>
  <c r="G185" i="30"/>
  <c r="K185" i="30" s="1"/>
  <c r="H184" i="30"/>
  <c r="L184" i="30" s="1"/>
  <c r="P184" i="30" s="1"/>
  <c r="T184" i="30" s="1"/>
  <c r="X184" i="30" s="1"/>
  <c r="G184" i="30"/>
  <c r="K184" i="30" s="1"/>
  <c r="O184" i="30" s="1"/>
  <c r="S184" i="30" s="1"/>
  <c r="H182" i="30"/>
  <c r="L182" i="30" s="1"/>
  <c r="P182" i="30" s="1"/>
  <c r="G182" i="30"/>
  <c r="K182" i="30" s="1"/>
  <c r="H181" i="30"/>
  <c r="L181" i="30" s="1"/>
  <c r="P181" i="30" s="1"/>
  <c r="T181" i="30" s="1"/>
  <c r="X181" i="30" s="1"/>
  <c r="G181" i="30"/>
  <c r="K181" i="30" s="1"/>
  <c r="H180" i="30"/>
  <c r="L180" i="30" s="1"/>
  <c r="G180" i="30"/>
  <c r="K180" i="30" s="1"/>
  <c r="W180" i="30" s="1"/>
  <c r="H121" i="30"/>
  <c r="L121" i="30" s="1"/>
  <c r="H120" i="30"/>
  <c r="L120" i="30" s="1"/>
  <c r="P120" i="30" s="1"/>
  <c r="H119" i="30"/>
  <c r="L119" i="30" s="1"/>
  <c r="P119" i="30" s="1"/>
  <c r="T119" i="30" s="1"/>
  <c r="H117" i="30"/>
  <c r="L117" i="30" s="1"/>
  <c r="P117" i="30" s="1"/>
  <c r="H116" i="30"/>
  <c r="L116" i="30" s="1"/>
  <c r="H107" i="30"/>
  <c r="H105" i="30"/>
  <c r="L105" i="30" s="1"/>
  <c r="P105" i="30" s="1"/>
  <c r="T105" i="30" s="1"/>
  <c r="H103" i="30"/>
  <c r="L103" i="30" s="1"/>
  <c r="P103" i="30" s="1"/>
  <c r="T103" i="30" s="1"/>
  <c r="H101" i="30"/>
  <c r="L101" i="30" s="1"/>
  <c r="P101" i="30" s="1"/>
  <c r="T101" i="30" s="1"/>
  <c r="H111" i="30"/>
  <c r="L111" i="30" s="1"/>
  <c r="P111" i="30" s="1"/>
  <c r="T111" i="30" s="1"/>
  <c r="H110" i="30"/>
  <c r="L110" i="30" s="1"/>
  <c r="P110" i="30" s="1"/>
  <c r="T110" i="30" s="1"/>
  <c r="H109" i="30"/>
  <c r="L109" i="30" s="1"/>
  <c r="P109" i="30" s="1"/>
  <c r="T109" i="30" s="1"/>
  <c r="H108" i="30"/>
  <c r="L108" i="30" s="1"/>
  <c r="P108" i="30" s="1"/>
  <c r="T108" i="30" s="1"/>
  <c r="H106" i="30"/>
  <c r="L106" i="30" s="1"/>
  <c r="P106" i="30" s="1"/>
  <c r="T106" i="30" s="1"/>
  <c r="H104" i="30"/>
  <c r="L104" i="30" s="1"/>
  <c r="P104" i="30" s="1"/>
  <c r="T104" i="30" s="1"/>
  <c r="H102" i="30"/>
  <c r="L102" i="30" s="1"/>
  <c r="P102" i="30" s="1"/>
  <c r="T102" i="30" s="1"/>
  <c r="H98" i="30"/>
  <c r="L98" i="30" s="1"/>
  <c r="H97" i="30"/>
  <c r="L97" i="30" s="1"/>
  <c r="P97" i="30" s="1"/>
  <c r="T97" i="30" s="1"/>
  <c r="H96" i="30"/>
  <c r="L96" i="30" s="1"/>
  <c r="H95" i="30"/>
  <c r="L95" i="30" s="1"/>
  <c r="P95" i="30" s="1"/>
  <c r="T95" i="30" s="1"/>
  <c r="H94" i="30"/>
  <c r="L94" i="30" s="1"/>
  <c r="H92" i="30"/>
  <c r="L92" i="30" s="1"/>
  <c r="P92" i="30" s="1"/>
  <c r="T92" i="30" s="1"/>
  <c r="X92" i="30" s="1"/>
  <c r="H34" i="30"/>
  <c r="L34" i="30" s="1"/>
  <c r="P34" i="30" s="1"/>
  <c r="T34" i="30" s="1"/>
  <c r="H32" i="30"/>
  <c r="L32" i="30" s="1"/>
  <c r="P32" i="30" s="1"/>
  <c r="T32" i="30" s="1"/>
  <c r="H31" i="30"/>
  <c r="H35" i="30"/>
  <c r="L35" i="30" s="1"/>
  <c r="P35" i="30" s="1"/>
  <c r="T35" i="30" s="1"/>
  <c r="H30" i="30"/>
  <c r="L30" i="30" s="1"/>
  <c r="G34" i="30"/>
  <c r="G35" i="30"/>
  <c r="G31" i="30"/>
  <c r="K31" i="30" s="1"/>
  <c r="O31" i="30" s="1"/>
  <c r="S31" i="30" s="1"/>
  <c r="H25" i="30"/>
  <c r="L25" i="30" s="1"/>
  <c r="P25" i="30" s="1"/>
  <c r="T25" i="30" s="1"/>
  <c r="G25" i="30"/>
  <c r="K25" i="30" s="1"/>
  <c r="O25" i="30" s="1"/>
  <c r="S25" i="30" s="1"/>
  <c r="H24" i="30"/>
  <c r="L24" i="30" s="1"/>
  <c r="P24" i="30" s="1"/>
  <c r="T24" i="30" s="1"/>
  <c r="G24" i="30"/>
  <c r="K24" i="30" s="1"/>
  <c r="O24" i="30" s="1"/>
  <c r="S24" i="30" s="1"/>
  <c r="H23" i="30"/>
  <c r="G23" i="30"/>
  <c r="K23" i="30" s="1"/>
  <c r="H22" i="30"/>
  <c r="L22" i="30" s="1"/>
  <c r="G22" i="30"/>
  <c r="K22" i="30" s="1"/>
  <c r="H21" i="30"/>
  <c r="L21" i="30" s="1"/>
  <c r="P21" i="30" s="1"/>
  <c r="T21" i="30" s="1"/>
  <c r="G21" i="30"/>
  <c r="H20" i="30"/>
  <c r="L20" i="30" s="1"/>
  <c r="G20" i="30"/>
  <c r="H19" i="30"/>
  <c r="L19" i="30" s="1"/>
  <c r="P19" i="30" s="1"/>
  <c r="T19" i="30" s="1"/>
  <c r="G19" i="30"/>
  <c r="K19" i="30" s="1"/>
  <c r="O19" i="30" s="1"/>
  <c r="S19" i="30" s="1"/>
  <c r="H17" i="30"/>
  <c r="L17" i="30" s="1"/>
  <c r="G17" i="30"/>
  <c r="H14" i="30"/>
  <c r="L14" i="30" s="1"/>
  <c r="H13" i="30"/>
  <c r="L13" i="30" s="1"/>
  <c r="H12" i="30"/>
  <c r="L12" i="30" s="1"/>
  <c r="H11" i="30"/>
  <c r="L11" i="30" s="1"/>
  <c r="P11" i="30" s="1"/>
  <c r="T11" i="30" s="1"/>
  <c r="H10" i="30"/>
  <c r="L10" i="30" s="1"/>
  <c r="P10" i="30" s="1"/>
  <c r="T10" i="30" s="1"/>
  <c r="H9" i="30"/>
  <c r="L9" i="30" s="1"/>
  <c r="H7" i="30"/>
  <c r="L7" i="30" s="1"/>
  <c r="W234" i="30"/>
  <c r="X234" i="30"/>
  <c r="W235" i="30"/>
  <c r="X235" i="30"/>
  <c r="W236" i="30"/>
  <c r="X236" i="30"/>
  <c r="W237" i="30"/>
  <c r="X237" i="30"/>
  <c r="W238" i="30"/>
  <c r="X238" i="30"/>
  <c r="W239" i="30"/>
  <c r="X239" i="30"/>
  <c r="W240" i="30"/>
  <c r="X240" i="30"/>
  <c r="W241" i="30"/>
  <c r="X241" i="30"/>
  <c r="W242" i="30"/>
  <c r="X242" i="30"/>
  <c r="W243" i="30"/>
  <c r="X243" i="30"/>
  <c r="W244" i="30"/>
  <c r="X244" i="30"/>
  <c r="X233" i="30"/>
  <c r="X228" i="30"/>
  <c r="W229" i="30"/>
  <c r="X229" i="30"/>
  <c r="W230" i="30"/>
  <c r="X230" i="30"/>
  <c r="X227" i="30"/>
  <c r="W221" i="30"/>
  <c r="X221" i="30"/>
  <c r="W222" i="30"/>
  <c r="X222" i="30"/>
  <c r="W223" i="30"/>
  <c r="X223" i="30"/>
  <c r="W224" i="30"/>
  <c r="X224" i="30"/>
  <c r="X219" i="30"/>
  <c r="W208" i="30"/>
  <c r="X208" i="30"/>
  <c r="W209" i="30"/>
  <c r="X209" i="30"/>
  <c r="W210" i="30"/>
  <c r="X210" i="30"/>
  <c r="W211" i="30"/>
  <c r="X211" i="30"/>
  <c r="W212" i="30"/>
  <c r="X212" i="30"/>
  <c r="W213" i="30"/>
  <c r="X213" i="30"/>
  <c r="W214" i="30"/>
  <c r="X214" i="30"/>
  <c r="W215" i="30"/>
  <c r="X215" i="30"/>
  <c r="W216" i="30"/>
  <c r="X216" i="30"/>
  <c r="X207" i="30"/>
  <c r="X202" i="30"/>
  <c r="X203" i="30"/>
  <c r="X198" i="30"/>
  <c r="W158" i="30"/>
  <c r="X158" i="30"/>
  <c r="W159" i="30"/>
  <c r="X159" i="30"/>
  <c r="W160" i="30"/>
  <c r="X160" i="30"/>
  <c r="W161" i="30"/>
  <c r="X161" i="30"/>
  <c r="W162" i="30"/>
  <c r="X162" i="30"/>
  <c r="W163" i="30"/>
  <c r="X163" i="30"/>
  <c r="W164" i="30"/>
  <c r="X164" i="30"/>
  <c r="W165" i="30"/>
  <c r="X165" i="30"/>
  <c r="W166" i="30"/>
  <c r="X166" i="30"/>
  <c r="W167" i="30"/>
  <c r="X167" i="30"/>
  <c r="W168" i="30"/>
  <c r="X168" i="30"/>
  <c r="W169" i="30"/>
  <c r="X169" i="30"/>
  <c r="W170" i="30"/>
  <c r="X170" i="30"/>
  <c r="W171" i="30"/>
  <c r="X171" i="30"/>
  <c r="W172" i="30"/>
  <c r="X172" i="30"/>
  <c r="X157" i="30"/>
  <c r="W152" i="30"/>
  <c r="X152" i="30"/>
  <c r="W153" i="30"/>
  <c r="X153" i="30"/>
  <c r="W154" i="30"/>
  <c r="X154" i="30"/>
  <c r="X151" i="30"/>
  <c r="W145" i="30"/>
  <c r="X145" i="30"/>
  <c r="W146" i="30"/>
  <c r="X146" i="30"/>
  <c r="W147" i="30"/>
  <c r="X147" i="30"/>
  <c r="W148" i="30"/>
  <c r="X148" i="30"/>
  <c r="X143" i="30"/>
  <c r="W128" i="30"/>
  <c r="X128" i="30"/>
  <c r="W129" i="30"/>
  <c r="X129" i="30"/>
  <c r="W130" i="30"/>
  <c r="X130" i="30"/>
  <c r="W131" i="30"/>
  <c r="X131" i="30"/>
  <c r="W132" i="30"/>
  <c r="X132" i="30"/>
  <c r="W133" i="30"/>
  <c r="X133" i="30"/>
  <c r="W134" i="30"/>
  <c r="X134" i="30"/>
  <c r="W135" i="30"/>
  <c r="X135" i="30"/>
  <c r="W136" i="30"/>
  <c r="X136" i="30"/>
  <c r="W137" i="30"/>
  <c r="X137" i="30"/>
  <c r="W138" i="30"/>
  <c r="X138" i="30"/>
  <c r="W139" i="30"/>
  <c r="X139" i="30"/>
  <c r="W140" i="30"/>
  <c r="X140" i="30"/>
  <c r="X127" i="30"/>
  <c r="X115" i="30"/>
  <c r="X66" i="30"/>
  <c r="W70" i="30"/>
  <c r="X70" i="30"/>
  <c r="W71" i="30"/>
  <c r="X71" i="30"/>
  <c r="W72" i="30"/>
  <c r="X72" i="30"/>
  <c r="W73" i="30"/>
  <c r="X73" i="30"/>
  <c r="W74" i="30"/>
  <c r="X74" i="30"/>
  <c r="W75" i="30"/>
  <c r="X75" i="30"/>
  <c r="W76" i="30"/>
  <c r="X76" i="30"/>
  <c r="W77" i="30"/>
  <c r="X77" i="30"/>
  <c r="W78" i="30"/>
  <c r="X78" i="30"/>
  <c r="W79" i="30"/>
  <c r="X79" i="30"/>
  <c r="W80" i="30"/>
  <c r="X80" i="30"/>
  <c r="W81" i="30"/>
  <c r="X81" i="30"/>
  <c r="W82" i="30"/>
  <c r="X82" i="30"/>
  <c r="W83" i="30"/>
  <c r="X83" i="30"/>
  <c r="W84" i="30"/>
  <c r="X84" i="30"/>
  <c r="X65" i="30"/>
  <c r="W60" i="30"/>
  <c r="X60" i="30"/>
  <c r="W62" i="30"/>
  <c r="X62" i="30"/>
  <c r="X59" i="30"/>
  <c r="W54" i="30"/>
  <c r="X54" i="30"/>
  <c r="W55" i="30"/>
  <c r="X55" i="30"/>
  <c r="W56" i="30"/>
  <c r="X56" i="30"/>
  <c r="X51" i="30"/>
  <c r="W48" i="30"/>
  <c r="X48" i="30"/>
  <c r="X47" i="30"/>
  <c r="W47" i="30"/>
  <c r="X46" i="30"/>
  <c r="W46" i="30"/>
  <c r="X45" i="30"/>
  <c r="W45" i="30"/>
  <c r="X44" i="30"/>
  <c r="W44" i="30"/>
  <c r="X43" i="30"/>
  <c r="W43" i="30"/>
  <c r="X42" i="30"/>
  <c r="W42" i="30"/>
  <c r="X41" i="30"/>
  <c r="W41" i="30"/>
  <c r="X40" i="30"/>
  <c r="W40" i="30"/>
  <c r="X39" i="30"/>
  <c r="W39" i="30"/>
  <c r="X29" i="30"/>
  <c r="H203" i="23"/>
  <c r="L203" i="23" s="1"/>
  <c r="H202" i="23"/>
  <c r="L202" i="23" s="1"/>
  <c r="H194" i="23"/>
  <c r="L194" i="23" s="1"/>
  <c r="G194" i="23"/>
  <c r="K194" i="23" s="1"/>
  <c r="O194" i="23" s="1"/>
  <c r="S194" i="23" s="1"/>
  <c r="H193" i="23"/>
  <c r="L193" i="23" s="1"/>
  <c r="P193" i="23" s="1"/>
  <c r="T193" i="23" s="1"/>
  <c r="G193" i="23"/>
  <c r="H192" i="23"/>
  <c r="L192" i="23" s="1"/>
  <c r="P192" i="23" s="1"/>
  <c r="T192" i="23" s="1"/>
  <c r="G192" i="23"/>
  <c r="K192" i="23" s="1"/>
  <c r="O192" i="23" s="1"/>
  <c r="S192" i="23" s="1"/>
  <c r="H191" i="23"/>
  <c r="L191" i="23" s="1"/>
  <c r="P191" i="23" s="1"/>
  <c r="T191" i="23" s="1"/>
  <c r="G191" i="23"/>
  <c r="K191" i="23" s="1"/>
  <c r="O191" i="23" s="1"/>
  <c r="S191" i="23" s="1"/>
  <c r="H190" i="23"/>
  <c r="L190" i="23" s="1"/>
  <c r="P190" i="23" s="1"/>
  <c r="T190" i="23" s="1"/>
  <c r="G190" i="23"/>
  <c r="K190" i="23" s="1"/>
  <c r="O190" i="23" s="1"/>
  <c r="S190" i="23" s="1"/>
  <c r="W190" i="23" s="1"/>
  <c r="H189" i="23"/>
  <c r="L189" i="23" s="1"/>
  <c r="P189" i="23" s="1"/>
  <c r="T189" i="23" s="1"/>
  <c r="G189" i="23"/>
  <c r="K189" i="23" s="1"/>
  <c r="O189" i="23" s="1"/>
  <c r="S189" i="23" s="1"/>
  <c r="H188" i="23"/>
  <c r="L188" i="23" s="1"/>
  <c r="G188" i="23"/>
  <c r="K188" i="23" s="1"/>
  <c r="H185" i="23"/>
  <c r="G185" i="23"/>
  <c r="K185" i="23" s="1"/>
  <c r="H184" i="23"/>
  <c r="L184" i="23" s="1"/>
  <c r="G184" i="23"/>
  <c r="K184" i="23" s="1"/>
  <c r="O184" i="23" s="1"/>
  <c r="H182" i="23"/>
  <c r="G182" i="23"/>
  <c r="K182" i="23" s="1"/>
  <c r="O182" i="23" s="1"/>
  <c r="S182" i="23" s="1"/>
  <c r="H181" i="23"/>
  <c r="L181" i="23" s="1"/>
  <c r="G181" i="23"/>
  <c r="K181" i="23" s="1"/>
  <c r="O181" i="23" s="1"/>
  <c r="S181" i="23" s="1"/>
  <c r="H180" i="23"/>
  <c r="L180" i="23" s="1"/>
  <c r="G180" i="23"/>
  <c r="H121" i="23"/>
  <c r="L121" i="23" s="1"/>
  <c r="P121" i="23" s="1"/>
  <c r="T121" i="23" s="1"/>
  <c r="H120" i="23"/>
  <c r="L120" i="23" s="1"/>
  <c r="H119" i="23"/>
  <c r="L119" i="23" s="1"/>
  <c r="P119" i="23" s="1"/>
  <c r="T119" i="23" s="1"/>
  <c r="H117" i="23"/>
  <c r="L117" i="23" s="1"/>
  <c r="P117" i="23" s="1"/>
  <c r="T117" i="23" s="1"/>
  <c r="H116" i="23"/>
  <c r="I116" i="23" s="1"/>
  <c r="H108" i="23"/>
  <c r="L108" i="23" s="1"/>
  <c r="H109" i="23"/>
  <c r="L109" i="23" s="1"/>
  <c r="P109" i="23" s="1"/>
  <c r="T109" i="23" s="1"/>
  <c r="H110" i="23"/>
  <c r="L110" i="23" s="1"/>
  <c r="P110" i="23" s="1"/>
  <c r="T110" i="23" s="1"/>
  <c r="X110" i="23" s="1"/>
  <c r="H111" i="23"/>
  <c r="L111" i="23" s="1"/>
  <c r="P111" i="23" s="1"/>
  <c r="H107" i="23"/>
  <c r="L107" i="23" s="1"/>
  <c r="P107" i="23" s="1"/>
  <c r="T107" i="23" s="1"/>
  <c r="X107" i="23" s="1"/>
  <c r="H106" i="23"/>
  <c r="L106" i="23" s="1"/>
  <c r="P106" i="23" s="1"/>
  <c r="H105" i="23"/>
  <c r="L105" i="23" s="1"/>
  <c r="M105" i="23" s="1"/>
  <c r="H104" i="23"/>
  <c r="L104" i="23" s="1"/>
  <c r="M104" i="23" s="1"/>
  <c r="H103" i="23"/>
  <c r="L103" i="23" s="1"/>
  <c r="P103" i="23" s="1"/>
  <c r="T103" i="23" s="1"/>
  <c r="H102" i="23"/>
  <c r="L102" i="23" s="1"/>
  <c r="H101" i="23"/>
  <c r="L101" i="23" s="1"/>
  <c r="H98" i="23"/>
  <c r="L98" i="23" s="1"/>
  <c r="P98" i="23" s="1"/>
  <c r="T98" i="23" s="1"/>
  <c r="W98" i="23"/>
  <c r="H97" i="23"/>
  <c r="L97" i="23" s="1"/>
  <c r="P97" i="23" s="1"/>
  <c r="T97" i="23" s="1"/>
  <c r="H96" i="23"/>
  <c r="L96" i="23" s="1"/>
  <c r="P96" i="23" s="1"/>
  <c r="T96" i="23" s="1"/>
  <c r="U96" i="23" s="1"/>
  <c r="H95" i="23"/>
  <c r="L95" i="23" s="1"/>
  <c r="P95" i="23" s="1"/>
  <c r="T95" i="23" s="1"/>
  <c r="H94" i="23"/>
  <c r="L94" i="23" s="1"/>
  <c r="H93" i="23"/>
  <c r="L93" i="23" s="1"/>
  <c r="P93" i="23" s="1"/>
  <c r="T93" i="23" s="1"/>
  <c r="H92" i="23"/>
  <c r="L92" i="23" s="1"/>
  <c r="P92" i="23" s="1"/>
  <c r="T92" i="23" s="1"/>
  <c r="X92" i="23" s="1"/>
  <c r="W30" i="23"/>
  <c r="H14" i="23"/>
  <c r="L14" i="23" s="1"/>
  <c r="H12" i="23"/>
  <c r="L12" i="23" s="1"/>
  <c r="P12" i="23" s="1"/>
  <c r="H10" i="23"/>
  <c r="H8" i="23"/>
  <c r="H7" i="23"/>
  <c r="L7" i="23" s="1"/>
  <c r="P7" i="23" s="1"/>
  <c r="T7" i="23" s="1"/>
  <c r="H9" i="23"/>
  <c r="L9" i="23" s="1"/>
  <c r="P9" i="23" s="1"/>
  <c r="T9" i="23" s="1"/>
  <c r="H11" i="23"/>
  <c r="L11" i="23" s="1"/>
  <c r="H13" i="23"/>
  <c r="L13" i="23" s="1"/>
  <c r="P13" i="23" s="1"/>
  <c r="H6" i="23"/>
  <c r="L6" i="23" s="1"/>
  <c r="P6" i="23" s="1"/>
  <c r="T6" i="23" s="1"/>
  <c r="W234" i="23"/>
  <c r="X234" i="23"/>
  <c r="W235" i="23"/>
  <c r="X235" i="23"/>
  <c r="W236" i="23"/>
  <c r="X236" i="23"/>
  <c r="W237" i="23"/>
  <c r="X237" i="23"/>
  <c r="W238" i="23"/>
  <c r="X238" i="23"/>
  <c r="W239" i="23"/>
  <c r="X239" i="23"/>
  <c r="W240" i="23"/>
  <c r="X240" i="23"/>
  <c r="W241" i="23"/>
  <c r="X241" i="23"/>
  <c r="W242" i="23"/>
  <c r="X242" i="23"/>
  <c r="W243" i="23"/>
  <c r="X243" i="23"/>
  <c r="W244" i="23"/>
  <c r="X244" i="23"/>
  <c r="X233" i="23"/>
  <c r="W228" i="23"/>
  <c r="X228" i="23"/>
  <c r="W229" i="23"/>
  <c r="X229" i="23"/>
  <c r="W230" i="23"/>
  <c r="X230" i="23"/>
  <c r="X227" i="23"/>
  <c r="W220" i="23"/>
  <c r="X220" i="23"/>
  <c r="W221" i="23"/>
  <c r="X221" i="23"/>
  <c r="W222" i="23"/>
  <c r="X222" i="23"/>
  <c r="W223" i="23"/>
  <c r="X223" i="23"/>
  <c r="W224" i="23"/>
  <c r="X224" i="23"/>
  <c r="X219" i="23"/>
  <c r="W208" i="23"/>
  <c r="X208" i="23"/>
  <c r="W209" i="23"/>
  <c r="X209" i="23"/>
  <c r="W210" i="23"/>
  <c r="X210" i="23"/>
  <c r="W211" i="23"/>
  <c r="X211" i="23"/>
  <c r="W212" i="23"/>
  <c r="X212" i="23"/>
  <c r="W213" i="23"/>
  <c r="X213" i="23"/>
  <c r="W214" i="23"/>
  <c r="X214" i="23"/>
  <c r="W215" i="23"/>
  <c r="X215" i="23"/>
  <c r="W216" i="23"/>
  <c r="X216" i="23"/>
  <c r="X207" i="23"/>
  <c r="X198" i="23"/>
  <c r="W158" i="23"/>
  <c r="X158" i="23"/>
  <c r="W159" i="23"/>
  <c r="X159" i="23"/>
  <c r="W160" i="23"/>
  <c r="X160" i="23"/>
  <c r="W161" i="23"/>
  <c r="X161" i="23"/>
  <c r="W162" i="23"/>
  <c r="X162" i="23"/>
  <c r="W163" i="23"/>
  <c r="X163" i="23"/>
  <c r="W164" i="23"/>
  <c r="X164" i="23"/>
  <c r="W165" i="23"/>
  <c r="X165" i="23"/>
  <c r="W166" i="23"/>
  <c r="X166" i="23"/>
  <c r="W167" i="23"/>
  <c r="X167" i="23"/>
  <c r="W168" i="23"/>
  <c r="X168" i="23"/>
  <c r="W169" i="23"/>
  <c r="X169" i="23"/>
  <c r="W170" i="23"/>
  <c r="X170" i="23"/>
  <c r="W171" i="23"/>
  <c r="X171" i="23"/>
  <c r="W172" i="23"/>
  <c r="X172" i="23"/>
  <c r="X157" i="23"/>
  <c r="W152" i="23"/>
  <c r="X152" i="23"/>
  <c r="W153" i="23"/>
  <c r="X153" i="23"/>
  <c r="W154" i="23"/>
  <c r="X154" i="23"/>
  <c r="X151" i="23"/>
  <c r="W144" i="23"/>
  <c r="X144" i="23"/>
  <c r="W145" i="23"/>
  <c r="X145" i="23"/>
  <c r="W146" i="23"/>
  <c r="X146" i="23"/>
  <c r="W147" i="23"/>
  <c r="X147" i="23"/>
  <c r="W148" i="23"/>
  <c r="X148" i="23"/>
  <c r="X143" i="23"/>
  <c r="W128" i="23"/>
  <c r="X128" i="23"/>
  <c r="W129" i="23"/>
  <c r="X129" i="23"/>
  <c r="W130" i="23"/>
  <c r="X130" i="23"/>
  <c r="W131" i="23"/>
  <c r="X131" i="23"/>
  <c r="W132" i="23"/>
  <c r="X132" i="23"/>
  <c r="W133" i="23"/>
  <c r="X133" i="23"/>
  <c r="W134" i="23"/>
  <c r="X134" i="23"/>
  <c r="W135" i="23"/>
  <c r="X135" i="23"/>
  <c r="W136" i="23"/>
  <c r="X136" i="23"/>
  <c r="W137" i="23"/>
  <c r="X137" i="23"/>
  <c r="W138" i="23"/>
  <c r="X138" i="23"/>
  <c r="W139" i="23"/>
  <c r="X139" i="23"/>
  <c r="W140" i="23"/>
  <c r="X140" i="23"/>
  <c r="X127" i="23"/>
  <c r="X115" i="23"/>
  <c r="X66" i="23"/>
  <c r="X67" i="23"/>
  <c r="X68" i="23"/>
  <c r="X69" i="23"/>
  <c r="W70" i="23"/>
  <c r="X70" i="23"/>
  <c r="W74" i="23"/>
  <c r="X74" i="23"/>
  <c r="W76" i="23"/>
  <c r="X76" i="23"/>
  <c r="W77" i="23"/>
  <c r="X77" i="23"/>
  <c r="W78" i="23"/>
  <c r="X78" i="23"/>
  <c r="W79" i="23"/>
  <c r="X79" i="23"/>
  <c r="W80" i="23"/>
  <c r="X80" i="23"/>
  <c r="W81" i="23"/>
  <c r="X81" i="23"/>
  <c r="W82" i="23"/>
  <c r="X82" i="23"/>
  <c r="W83" i="23"/>
  <c r="X83" i="23"/>
  <c r="W84" i="23"/>
  <c r="X84" i="23"/>
  <c r="X65" i="23"/>
  <c r="X60" i="23"/>
  <c r="X61" i="23"/>
  <c r="W62" i="23"/>
  <c r="X62" i="23"/>
  <c r="X59" i="23"/>
  <c r="W52" i="23"/>
  <c r="X52" i="23"/>
  <c r="W53" i="23"/>
  <c r="X53" i="23"/>
  <c r="W54" i="23"/>
  <c r="X54" i="23"/>
  <c r="W55" i="23"/>
  <c r="X55" i="23"/>
  <c r="W56" i="23"/>
  <c r="X56" i="23"/>
  <c r="X51" i="23"/>
  <c r="W40" i="23"/>
  <c r="X40" i="23"/>
  <c r="W41" i="23"/>
  <c r="X41" i="23"/>
  <c r="W42" i="23"/>
  <c r="X42" i="23"/>
  <c r="W43" i="23"/>
  <c r="X43" i="23"/>
  <c r="W44" i="23"/>
  <c r="X44" i="23"/>
  <c r="W45" i="23"/>
  <c r="X45" i="23"/>
  <c r="W46" i="23"/>
  <c r="X46" i="23"/>
  <c r="W47" i="23"/>
  <c r="X47" i="23"/>
  <c r="W48" i="23"/>
  <c r="X48" i="23"/>
  <c r="X39" i="23"/>
  <c r="X29" i="23"/>
  <c r="H203" i="24"/>
  <c r="L203" i="24" s="1"/>
  <c r="H202" i="24"/>
  <c r="H194" i="24"/>
  <c r="I194" i="24" s="1"/>
  <c r="G194" i="24"/>
  <c r="K194" i="24" s="1"/>
  <c r="H193" i="24"/>
  <c r="L193" i="24" s="1"/>
  <c r="P193" i="24" s="1"/>
  <c r="T193" i="24" s="1"/>
  <c r="G193" i="24"/>
  <c r="K193" i="24" s="1"/>
  <c r="O193" i="24" s="1"/>
  <c r="H192" i="24"/>
  <c r="L192" i="24" s="1"/>
  <c r="P192" i="24" s="1"/>
  <c r="T192" i="24" s="1"/>
  <c r="G192" i="24"/>
  <c r="K192" i="24" s="1"/>
  <c r="O192" i="24" s="1"/>
  <c r="S192" i="24" s="1"/>
  <c r="H191" i="24"/>
  <c r="L191" i="24" s="1"/>
  <c r="P191" i="24" s="1"/>
  <c r="G191" i="24"/>
  <c r="H190" i="24"/>
  <c r="L190" i="24" s="1"/>
  <c r="G190" i="24"/>
  <c r="K190" i="24" s="1"/>
  <c r="O190" i="24" s="1"/>
  <c r="S190" i="24" s="1"/>
  <c r="H189" i="24"/>
  <c r="L189" i="24" s="1"/>
  <c r="G189" i="24"/>
  <c r="K189" i="24" s="1"/>
  <c r="H188" i="24"/>
  <c r="L188" i="24" s="1"/>
  <c r="G188" i="24"/>
  <c r="H185" i="24"/>
  <c r="L185" i="24" s="1"/>
  <c r="P185" i="24" s="1"/>
  <c r="G185" i="24"/>
  <c r="K185" i="24" s="1"/>
  <c r="H184" i="24"/>
  <c r="L184" i="24" s="1"/>
  <c r="G184" i="24"/>
  <c r="K184" i="24" s="1"/>
  <c r="O184" i="24" s="1"/>
  <c r="S184" i="24" s="1"/>
  <c r="H182" i="24"/>
  <c r="L182" i="24" s="1"/>
  <c r="G182" i="24"/>
  <c r="K182" i="24" s="1"/>
  <c r="O182" i="24" s="1"/>
  <c r="S182" i="24" s="1"/>
  <c r="H181" i="24"/>
  <c r="L181" i="24" s="1"/>
  <c r="M181" i="24" s="1"/>
  <c r="G181" i="24"/>
  <c r="K181" i="24" s="1"/>
  <c r="O181" i="24" s="1"/>
  <c r="S181" i="24" s="1"/>
  <c r="H180" i="24"/>
  <c r="L180" i="24" s="1"/>
  <c r="P180" i="24" s="1"/>
  <c r="T180" i="24" s="1"/>
  <c r="G180" i="24"/>
  <c r="K180" i="24" s="1"/>
  <c r="H121" i="24"/>
  <c r="L121" i="24" s="1"/>
  <c r="P121" i="24" s="1"/>
  <c r="H120" i="24"/>
  <c r="H119" i="24"/>
  <c r="L119" i="24" s="1"/>
  <c r="H117" i="24"/>
  <c r="H116" i="24"/>
  <c r="L116" i="24" s="1"/>
  <c r="P116" i="24" s="1"/>
  <c r="T116" i="24" s="1"/>
  <c r="H108" i="24"/>
  <c r="L108" i="24" s="1"/>
  <c r="M108" i="24" s="1"/>
  <c r="H109" i="24"/>
  <c r="L109" i="24" s="1"/>
  <c r="H110" i="24"/>
  <c r="L110" i="24" s="1"/>
  <c r="P110" i="24" s="1"/>
  <c r="T110" i="24" s="1"/>
  <c r="H111" i="24"/>
  <c r="L111" i="24" s="1"/>
  <c r="P111" i="24" s="1"/>
  <c r="T111" i="24" s="1"/>
  <c r="X111" i="24" s="1"/>
  <c r="H107" i="24"/>
  <c r="L107" i="24" s="1"/>
  <c r="H106" i="24"/>
  <c r="L106" i="24" s="1"/>
  <c r="P106" i="24" s="1"/>
  <c r="T106" i="24" s="1"/>
  <c r="H105" i="24"/>
  <c r="L105" i="24" s="1"/>
  <c r="P105" i="24" s="1"/>
  <c r="H104" i="24"/>
  <c r="L104" i="24" s="1"/>
  <c r="H103" i="24"/>
  <c r="L103" i="24" s="1"/>
  <c r="H102" i="24"/>
  <c r="L102" i="24" s="1"/>
  <c r="P102" i="24" s="1"/>
  <c r="T102" i="24" s="1"/>
  <c r="X102" i="24" s="1"/>
  <c r="H101" i="24"/>
  <c r="L101" i="24" s="1"/>
  <c r="P101" i="24" s="1"/>
  <c r="H98" i="24"/>
  <c r="L98" i="24" s="1"/>
  <c r="P98" i="24" s="1"/>
  <c r="T98" i="24" s="1"/>
  <c r="H97" i="24"/>
  <c r="L97" i="24" s="1"/>
  <c r="H96" i="24"/>
  <c r="L96" i="24" s="1"/>
  <c r="P96" i="24" s="1"/>
  <c r="T96" i="24" s="1"/>
  <c r="H95" i="24"/>
  <c r="L95" i="24" s="1"/>
  <c r="P95" i="24" s="1"/>
  <c r="T95" i="24" s="1"/>
  <c r="H94" i="24"/>
  <c r="L94" i="24" s="1"/>
  <c r="P94" i="24" s="1"/>
  <c r="H93" i="24"/>
  <c r="L93" i="24" s="1"/>
  <c r="H92" i="24"/>
  <c r="L92" i="24" s="1"/>
  <c r="G34" i="24"/>
  <c r="K34" i="24" s="1"/>
  <c r="O34" i="24" s="1"/>
  <c r="S34" i="24" s="1"/>
  <c r="H34" i="24"/>
  <c r="L34" i="24" s="1"/>
  <c r="P34" i="24" s="1"/>
  <c r="T34" i="24" s="1"/>
  <c r="G35" i="24"/>
  <c r="H35" i="24"/>
  <c r="L35" i="24" s="1"/>
  <c r="P35" i="24" s="1"/>
  <c r="H33" i="24"/>
  <c r="L33" i="24" s="1"/>
  <c r="P33" i="24" s="1"/>
  <c r="T33" i="24" s="1"/>
  <c r="G33" i="24"/>
  <c r="K33" i="24" s="1"/>
  <c r="O33" i="24" s="1"/>
  <c r="S33" i="24" s="1"/>
  <c r="W33" i="24" s="1"/>
  <c r="H32" i="24"/>
  <c r="L32" i="24" s="1"/>
  <c r="G32" i="24"/>
  <c r="K32" i="24" s="1"/>
  <c r="H31" i="24"/>
  <c r="L31" i="24" s="1"/>
  <c r="P31" i="24" s="1"/>
  <c r="T31" i="24" s="1"/>
  <c r="G31" i="24"/>
  <c r="K31" i="24" s="1"/>
  <c r="O31" i="24" s="1"/>
  <c r="S31" i="24" s="1"/>
  <c r="H30" i="24"/>
  <c r="L30" i="24" s="1"/>
  <c r="P30" i="24" s="1"/>
  <c r="G30" i="24"/>
  <c r="K30" i="24" s="1"/>
  <c r="O30" i="24" s="1"/>
  <c r="S30" i="24" s="1"/>
  <c r="H25" i="24"/>
  <c r="L25" i="24" s="1"/>
  <c r="G25" i="24"/>
  <c r="K25" i="24" s="1"/>
  <c r="O25" i="24" s="1"/>
  <c r="S25" i="24" s="1"/>
  <c r="H24" i="24"/>
  <c r="L24" i="24" s="1"/>
  <c r="G24" i="24"/>
  <c r="K24" i="24" s="1"/>
  <c r="O24" i="24" s="1"/>
  <c r="S24" i="24" s="1"/>
  <c r="W24" i="24" s="1"/>
  <c r="H23" i="24"/>
  <c r="L23" i="24" s="1"/>
  <c r="P23" i="24" s="1"/>
  <c r="T23" i="24" s="1"/>
  <c r="G23" i="24"/>
  <c r="K23" i="24" s="1"/>
  <c r="O23" i="24" s="1"/>
  <c r="S23" i="24" s="1"/>
  <c r="W23" i="24" s="1"/>
  <c r="H22" i="24"/>
  <c r="L22" i="24" s="1"/>
  <c r="G22" i="24"/>
  <c r="K22" i="24" s="1"/>
  <c r="O22" i="24" s="1"/>
  <c r="S22" i="24" s="1"/>
  <c r="H21" i="24"/>
  <c r="L21" i="24" s="1"/>
  <c r="P21" i="24" s="1"/>
  <c r="T21" i="24" s="1"/>
  <c r="G21" i="24"/>
  <c r="K21" i="24" s="1"/>
  <c r="O21" i="24" s="1"/>
  <c r="H20" i="24"/>
  <c r="L20" i="24" s="1"/>
  <c r="G20" i="24"/>
  <c r="K20" i="24" s="1"/>
  <c r="O20" i="24" s="1"/>
  <c r="S20" i="24" s="1"/>
  <c r="H19" i="24"/>
  <c r="L19" i="24" s="1"/>
  <c r="P19" i="24" s="1"/>
  <c r="T19" i="24" s="1"/>
  <c r="G19" i="24"/>
  <c r="K19" i="24" s="1"/>
  <c r="M19" i="24" s="1"/>
  <c r="H18" i="24"/>
  <c r="L18" i="24" s="1"/>
  <c r="G18" i="24"/>
  <c r="K18" i="24" s="1"/>
  <c r="H17" i="24"/>
  <c r="L17" i="24" s="1"/>
  <c r="G17" i="24"/>
  <c r="H7" i="24"/>
  <c r="L7" i="24" s="1"/>
  <c r="H8" i="24"/>
  <c r="L8" i="24" s="1"/>
  <c r="P8" i="24" s="1"/>
  <c r="T8" i="24" s="1"/>
  <c r="H9" i="24"/>
  <c r="L9" i="24" s="1"/>
  <c r="P9" i="24" s="1"/>
  <c r="T9" i="24" s="1"/>
  <c r="H10" i="24"/>
  <c r="L10" i="24" s="1"/>
  <c r="P10" i="24" s="1"/>
  <c r="H11" i="24"/>
  <c r="L11" i="24" s="1"/>
  <c r="P11" i="24" s="1"/>
  <c r="T11" i="24" s="1"/>
  <c r="H12" i="24"/>
  <c r="L12" i="24" s="1"/>
  <c r="P12" i="24" s="1"/>
  <c r="T12" i="24" s="1"/>
  <c r="H13" i="24"/>
  <c r="L13" i="24" s="1"/>
  <c r="P13" i="24" s="1"/>
  <c r="T13" i="24" s="1"/>
  <c r="H14" i="24"/>
  <c r="L14" i="24" s="1"/>
  <c r="P14" i="24" s="1"/>
  <c r="T14" i="24" s="1"/>
  <c r="G7" i="24"/>
  <c r="K7" i="24" s="1"/>
  <c r="O7" i="24" s="1"/>
  <c r="S7" i="24" s="1"/>
  <c r="G8" i="24"/>
  <c r="K8" i="24" s="1"/>
  <c r="O8" i="24" s="1"/>
  <c r="S8" i="24" s="1"/>
  <c r="G9" i="24"/>
  <c r="K9" i="24" s="1"/>
  <c r="G10" i="24"/>
  <c r="K10" i="24" s="1"/>
  <c r="O10" i="24" s="1"/>
  <c r="S10" i="24" s="1"/>
  <c r="W10" i="24" s="1"/>
  <c r="G11" i="24"/>
  <c r="K11" i="24" s="1"/>
  <c r="G12" i="24"/>
  <c r="K12" i="24" s="1"/>
  <c r="O12" i="24" s="1"/>
  <c r="S12" i="24" s="1"/>
  <c r="G13" i="24"/>
  <c r="K13" i="24" s="1"/>
  <c r="O13" i="24" s="1"/>
  <c r="S13" i="24" s="1"/>
  <c r="G14" i="24"/>
  <c r="I14" i="24" s="1"/>
  <c r="H6" i="24"/>
  <c r="L6" i="24" s="1"/>
  <c r="W234" i="24"/>
  <c r="X234" i="24"/>
  <c r="W235" i="24"/>
  <c r="X235" i="24"/>
  <c r="W236" i="24"/>
  <c r="X236" i="24"/>
  <c r="W237" i="24"/>
  <c r="X237" i="24"/>
  <c r="W238" i="24"/>
  <c r="X238" i="24"/>
  <c r="W239" i="24"/>
  <c r="X239" i="24"/>
  <c r="W240" i="24"/>
  <c r="X240" i="24"/>
  <c r="W241" i="24"/>
  <c r="X241" i="24"/>
  <c r="W242" i="24"/>
  <c r="X242" i="24"/>
  <c r="W243" i="24"/>
  <c r="X243" i="24"/>
  <c r="W244" i="24"/>
  <c r="X244" i="24"/>
  <c r="X233" i="24"/>
  <c r="W228" i="24"/>
  <c r="X228" i="24"/>
  <c r="W229" i="24"/>
  <c r="X229" i="24"/>
  <c r="W230" i="24"/>
  <c r="X230" i="24"/>
  <c r="X227" i="24"/>
  <c r="W222" i="24"/>
  <c r="X222" i="24"/>
  <c r="W223" i="24"/>
  <c r="X223" i="24"/>
  <c r="W224" i="24"/>
  <c r="X224" i="24"/>
  <c r="X219" i="24"/>
  <c r="W208" i="24"/>
  <c r="X208" i="24"/>
  <c r="W209" i="24"/>
  <c r="X209" i="24"/>
  <c r="W210" i="24"/>
  <c r="X210" i="24"/>
  <c r="W211" i="24"/>
  <c r="X211" i="24"/>
  <c r="W212" i="24"/>
  <c r="X212" i="24"/>
  <c r="W213" i="24"/>
  <c r="X213" i="24"/>
  <c r="W214" i="24"/>
  <c r="X214" i="24"/>
  <c r="W215" i="24"/>
  <c r="X215" i="24"/>
  <c r="W216" i="24"/>
  <c r="X216" i="24"/>
  <c r="X207" i="24"/>
  <c r="X198" i="24"/>
  <c r="W158" i="24"/>
  <c r="X158" i="24"/>
  <c r="W159" i="24"/>
  <c r="X159" i="24"/>
  <c r="W160" i="24"/>
  <c r="X160" i="24"/>
  <c r="W161" i="24"/>
  <c r="X161" i="24"/>
  <c r="W162" i="24"/>
  <c r="X162" i="24"/>
  <c r="W163" i="24"/>
  <c r="X163" i="24"/>
  <c r="W164" i="24"/>
  <c r="X164" i="24"/>
  <c r="W165" i="24"/>
  <c r="X165" i="24"/>
  <c r="W166" i="24"/>
  <c r="X166" i="24"/>
  <c r="W167" i="24"/>
  <c r="X167" i="24"/>
  <c r="W168" i="24"/>
  <c r="X168" i="24"/>
  <c r="W169" i="24"/>
  <c r="X169" i="24"/>
  <c r="W170" i="24"/>
  <c r="X170" i="24"/>
  <c r="W171" i="24"/>
  <c r="X171" i="24"/>
  <c r="W172" i="24"/>
  <c r="X172" i="24"/>
  <c r="X157" i="24"/>
  <c r="W152" i="24"/>
  <c r="X152" i="24"/>
  <c r="W153" i="24"/>
  <c r="X153" i="24"/>
  <c r="W154" i="24"/>
  <c r="X154" i="24"/>
  <c r="X151" i="24"/>
  <c r="W146" i="24"/>
  <c r="X146" i="24"/>
  <c r="W147" i="24"/>
  <c r="X147" i="24"/>
  <c r="W148" i="24"/>
  <c r="X148" i="24"/>
  <c r="X143" i="24"/>
  <c r="W128" i="24"/>
  <c r="X128" i="24"/>
  <c r="W129" i="24"/>
  <c r="X129" i="24"/>
  <c r="W130" i="24"/>
  <c r="X130" i="24"/>
  <c r="W131" i="24"/>
  <c r="X131" i="24"/>
  <c r="W132" i="24"/>
  <c r="X132" i="24"/>
  <c r="W133" i="24"/>
  <c r="X133" i="24"/>
  <c r="W134" i="24"/>
  <c r="X134" i="24"/>
  <c r="W135" i="24"/>
  <c r="X135" i="24"/>
  <c r="W136" i="24"/>
  <c r="X136" i="24"/>
  <c r="W137" i="24"/>
  <c r="X137" i="24"/>
  <c r="W138" i="24"/>
  <c r="X138" i="24"/>
  <c r="W139" i="24"/>
  <c r="X139" i="24"/>
  <c r="W140" i="24"/>
  <c r="X140" i="24"/>
  <c r="X127" i="24"/>
  <c r="X115" i="24"/>
  <c r="W68" i="24"/>
  <c r="X68" i="24"/>
  <c r="W70" i="24"/>
  <c r="X70" i="24"/>
  <c r="W72" i="24"/>
  <c r="X72" i="24"/>
  <c r="W73" i="24"/>
  <c r="X73" i="24"/>
  <c r="W74" i="24"/>
  <c r="X74" i="24"/>
  <c r="W75" i="24"/>
  <c r="X75" i="24"/>
  <c r="W76" i="24"/>
  <c r="X76" i="24"/>
  <c r="W77" i="24"/>
  <c r="X77" i="24"/>
  <c r="W78" i="24"/>
  <c r="X78" i="24"/>
  <c r="W79" i="24"/>
  <c r="X79" i="24"/>
  <c r="W80" i="24"/>
  <c r="X80" i="24"/>
  <c r="W81" i="24"/>
  <c r="X81" i="24"/>
  <c r="W82" i="24"/>
  <c r="X82" i="24"/>
  <c r="W83" i="24"/>
  <c r="X83" i="24"/>
  <c r="W84" i="24"/>
  <c r="X84" i="24"/>
  <c r="X65" i="24"/>
  <c r="W60" i="24"/>
  <c r="X60" i="24"/>
  <c r="W61" i="24"/>
  <c r="X61" i="24"/>
  <c r="W62" i="24"/>
  <c r="X62" i="24"/>
  <c r="X59" i="24"/>
  <c r="X52" i="24"/>
  <c r="X53" i="24"/>
  <c r="W56" i="24"/>
  <c r="X56" i="24"/>
  <c r="X51" i="24"/>
  <c r="W40" i="24"/>
  <c r="X40" i="24"/>
  <c r="W41" i="24"/>
  <c r="X41" i="24"/>
  <c r="W42" i="24"/>
  <c r="X42" i="24"/>
  <c r="W43" i="24"/>
  <c r="X43" i="24"/>
  <c r="W44" i="24"/>
  <c r="X44" i="24"/>
  <c r="W45" i="24"/>
  <c r="X45" i="24"/>
  <c r="W46" i="24"/>
  <c r="X46" i="24"/>
  <c r="W47" i="24"/>
  <c r="X47" i="24"/>
  <c r="W48" i="24"/>
  <c r="X48" i="24"/>
  <c r="X39" i="24"/>
  <c r="X29" i="24"/>
  <c r="H203" i="29"/>
  <c r="H202" i="29"/>
  <c r="H200" i="29"/>
  <c r="H184" i="29"/>
  <c r="L184" i="29" s="1"/>
  <c r="P184" i="29" s="1"/>
  <c r="H185" i="29"/>
  <c r="L185" i="29" s="1"/>
  <c r="P185" i="29" s="1"/>
  <c r="G184" i="29"/>
  <c r="K184" i="29" s="1"/>
  <c r="G185" i="29"/>
  <c r="K185" i="29" s="1"/>
  <c r="H97" i="29"/>
  <c r="H98" i="29"/>
  <c r="H92" i="29"/>
  <c r="H34" i="29"/>
  <c r="L34" i="29" s="1"/>
  <c r="P34" i="29" s="1"/>
  <c r="H35" i="29"/>
  <c r="L35" i="29" s="1"/>
  <c r="P35" i="29" s="1"/>
  <c r="T35" i="29" s="1"/>
  <c r="G34" i="29"/>
  <c r="K34" i="29" s="1"/>
  <c r="G35" i="29"/>
  <c r="I25" i="29"/>
  <c r="W236" i="29"/>
  <c r="X236" i="29"/>
  <c r="W238" i="29"/>
  <c r="X238" i="29"/>
  <c r="W239" i="29"/>
  <c r="X239" i="29"/>
  <c r="W240" i="29"/>
  <c r="X240" i="29"/>
  <c r="W241" i="29"/>
  <c r="X241" i="29"/>
  <c r="W242" i="29"/>
  <c r="X242" i="29"/>
  <c r="W243" i="29"/>
  <c r="X243" i="29"/>
  <c r="W244" i="29"/>
  <c r="X244" i="29"/>
  <c r="W230" i="29"/>
  <c r="X230" i="29"/>
  <c r="W221" i="29"/>
  <c r="X221" i="29"/>
  <c r="W222" i="29"/>
  <c r="X222" i="29"/>
  <c r="W223" i="29"/>
  <c r="X223" i="29"/>
  <c r="W224" i="29"/>
  <c r="X224" i="29"/>
  <c r="X219" i="29"/>
  <c r="W208" i="29"/>
  <c r="X208" i="29"/>
  <c r="W209" i="29"/>
  <c r="X209" i="29"/>
  <c r="W210" i="29"/>
  <c r="X210" i="29"/>
  <c r="W211" i="29"/>
  <c r="X211" i="29"/>
  <c r="W212" i="29"/>
  <c r="X212" i="29"/>
  <c r="W213" i="29"/>
  <c r="X213" i="29"/>
  <c r="W214" i="29"/>
  <c r="X214" i="29"/>
  <c r="W215" i="29"/>
  <c r="X215" i="29"/>
  <c r="W216" i="29"/>
  <c r="X216" i="29"/>
  <c r="X207" i="29"/>
  <c r="W158" i="29"/>
  <c r="X158" i="29"/>
  <c r="W162" i="29"/>
  <c r="X162" i="29"/>
  <c r="W163" i="29"/>
  <c r="X163" i="29"/>
  <c r="W164" i="29"/>
  <c r="X164" i="29"/>
  <c r="W165" i="29"/>
  <c r="X165" i="29"/>
  <c r="W166" i="29"/>
  <c r="X166" i="29"/>
  <c r="W167" i="29"/>
  <c r="X167" i="29"/>
  <c r="W168" i="29"/>
  <c r="X168" i="29"/>
  <c r="W169" i="29"/>
  <c r="X169" i="29"/>
  <c r="W170" i="29"/>
  <c r="X170" i="29"/>
  <c r="W171" i="29"/>
  <c r="X171" i="29"/>
  <c r="W172" i="29"/>
  <c r="X172" i="29"/>
  <c r="X157" i="29"/>
  <c r="W152" i="29"/>
  <c r="X152" i="29"/>
  <c r="W154" i="29"/>
  <c r="X154" i="29"/>
  <c r="X151" i="29"/>
  <c r="W144" i="29"/>
  <c r="X144" i="29"/>
  <c r="W145" i="29"/>
  <c r="X145" i="29"/>
  <c r="W146" i="29"/>
  <c r="X146" i="29"/>
  <c r="W147" i="29"/>
  <c r="X147" i="29"/>
  <c r="W148" i="29"/>
  <c r="X148" i="29"/>
  <c r="X143" i="29"/>
  <c r="W128" i="29"/>
  <c r="X128" i="29"/>
  <c r="W129" i="29"/>
  <c r="X129" i="29"/>
  <c r="W130" i="29"/>
  <c r="X130" i="29"/>
  <c r="W131" i="29"/>
  <c r="X131" i="29"/>
  <c r="W132" i="29"/>
  <c r="X132" i="29"/>
  <c r="W133" i="29"/>
  <c r="X133" i="29"/>
  <c r="W134" i="29"/>
  <c r="X134" i="29"/>
  <c r="W135" i="29"/>
  <c r="X135" i="29"/>
  <c r="W136" i="29"/>
  <c r="X136" i="29"/>
  <c r="W137" i="29"/>
  <c r="X137" i="29"/>
  <c r="W138" i="29"/>
  <c r="X138" i="29"/>
  <c r="W139" i="29"/>
  <c r="X139" i="29"/>
  <c r="W140" i="29"/>
  <c r="X140" i="29"/>
  <c r="X127" i="29"/>
  <c r="X115" i="29"/>
  <c r="W67" i="29"/>
  <c r="X67" i="29"/>
  <c r="W70" i="29"/>
  <c r="X70" i="29"/>
  <c r="W72" i="29"/>
  <c r="X72" i="29"/>
  <c r="W75" i="29"/>
  <c r="X75" i="29"/>
  <c r="W76" i="29"/>
  <c r="X76" i="29"/>
  <c r="W77" i="29"/>
  <c r="X77" i="29"/>
  <c r="W78" i="29"/>
  <c r="X78" i="29"/>
  <c r="W79" i="29"/>
  <c r="X79" i="29"/>
  <c r="W80" i="29"/>
  <c r="X80" i="29"/>
  <c r="W81" i="29"/>
  <c r="X81" i="29"/>
  <c r="W82" i="29"/>
  <c r="X82" i="29"/>
  <c r="W83" i="29"/>
  <c r="X83" i="29"/>
  <c r="W84" i="29"/>
  <c r="X84" i="29"/>
  <c r="W52" i="29"/>
  <c r="X52" i="29"/>
  <c r="W53" i="29"/>
  <c r="X53" i="29"/>
  <c r="W54" i="29"/>
  <c r="X54" i="29"/>
  <c r="W55" i="29"/>
  <c r="X55" i="29"/>
  <c r="W56" i="29"/>
  <c r="X56" i="29"/>
  <c r="W40" i="29"/>
  <c r="X40" i="29"/>
  <c r="W41" i="29"/>
  <c r="X41" i="29"/>
  <c r="W42" i="29"/>
  <c r="X42" i="29"/>
  <c r="W43" i="29"/>
  <c r="X43" i="29"/>
  <c r="W44" i="29"/>
  <c r="X44" i="29"/>
  <c r="W45" i="29"/>
  <c r="X45" i="29"/>
  <c r="W46" i="29"/>
  <c r="X46" i="29"/>
  <c r="W47" i="29"/>
  <c r="X47" i="29"/>
  <c r="W48" i="29"/>
  <c r="X48" i="29"/>
  <c r="X39" i="29"/>
  <c r="X29" i="29"/>
  <c r="H9" i="29"/>
  <c r="H11" i="29"/>
  <c r="H12" i="29"/>
  <c r="L12" i="29" s="1"/>
  <c r="H13" i="29"/>
  <c r="H14" i="29"/>
  <c r="L14" i="29" s="1"/>
  <c r="D30" i="29"/>
  <c r="D30" i="33" s="1"/>
  <c r="O203" i="9"/>
  <c r="S203" i="9" s="1"/>
  <c r="G202" i="9"/>
  <c r="K202" i="9" s="1"/>
  <c r="O202" i="9"/>
  <c r="H203" i="9"/>
  <c r="L203" i="9" s="1"/>
  <c r="P203" i="9" s="1"/>
  <c r="H202" i="9"/>
  <c r="L202" i="9" s="1"/>
  <c r="H198" i="9"/>
  <c r="H198" i="33" s="1"/>
  <c r="X194" i="9"/>
  <c r="W234" i="9"/>
  <c r="X234" i="9"/>
  <c r="W235" i="9"/>
  <c r="X235" i="9"/>
  <c r="W236" i="9"/>
  <c r="X236" i="9"/>
  <c r="W237" i="9"/>
  <c r="X237" i="9"/>
  <c r="W238" i="9"/>
  <c r="X238" i="9"/>
  <c r="W239" i="9"/>
  <c r="X239" i="9"/>
  <c r="W240" i="9"/>
  <c r="X240" i="9"/>
  <c r="W241" i="9"/>
  <c r="X241" i="9"/>
  <c r="W242" i="9"/>
  <c r="X242" i="9"/>
  <c r="W243" i="9"/>
  <c r="X243" i="9"/>
  <c r="W244" i="9"/>
  <c r="X244" i="9"/>
  <c r="X233" i="9"/>
  <c r="W228" i="9"/>
  <c r="X228" i="9"/>
  <c r="W229" i="9"/>
  <c r="X229" i="9"/>
  <c r="W230" i="9"/>
  <c r="X230" i="9"/>
  <c r="X227" i="9"/>
  <c r="W220" i="9"/>
  <c r="X220" i="9"/>
  <c r="W221" i="9"/>
  <c r="X221" i="9"/>
  <c r="W222" i="9"/>
  <c r="X222" i="9"/>
  <c r="W223" i="9"/>
  <c r="X223" i="9"/>
  <c r="W224" i="9"/>
  <c r="X224" i="9"/>
  <c r="W208" i="9"/>
  <c r="X208" i="9"/>
  <c r="W209" i="9"/>
  <c r="X209" i="9"/>
  <c r="W210" i="9"/>
  <c r="X210" i="9"/>
  <c r="W211" i="9"/>
  <c r="X211" i="9"/>
  <c r="W212" i="9"/>
  <c r="X212" i="9"/>
  <c r="W213" i="9"/>
  <c r="X213" i="9"/>
  <c r="W214" i="9"/>
  <c r="X214" i="9"/>
  <c r="W215" i="9"/>
  <c r="X215" i="9"/>
  <c r="W216" i="9"/>
  <c r="X216" i="9"/>
  <c r="X207" i="9"/>
  <c r="X184" i="9"/>
  <c r="W158" i="9"/>
  <c r="X158" i="9"/>
  <c r="W159" i="9"/>
  <c r="X159" i="9"/>
  <c r="W160" i="9"/>
  <c r="X160" i="9"/>
  <c r="W161" i="9"/>
  <c r="X161" i="9"/>
  <c r="W162" i="9"/>
  <c r="X162" i="9"/>
  <c r="W163" i="9"/>
  <c r="X163" i="9"/>
  <c r="W164" i="9"/>
  <c r="X164" i="9"/>
  <c r="W165" i="9"/>
  <c r="X165" i="9"/>
  <c r="W166" i="9"/>
  <c r="X166" i="9"/>
  <c r="W167" i="9"/>
  <c r="X167" i="9"/>
  <c r="W168" i="9"/>
  <c r="X168" i="9"/>
  <c r="W169" i="9"/>
  <c r="X169" i="9"/>
  <c r="W170" i="9"/>
  <c r="X170" i="9"/>
  <c r="W171" i="9"/>
  <c r="X171" i="9"/>
  <c r="W172" i="9"/>
  <c r="X172" i="9"/>
  <c r="X157" i="9"/>
  <c r="W152" i="9"/>
  <c r="X152" i="9"/>
  <c r="W153" i="9"/>
  <c r="X153" i="9"/>
  <c r="W154" i="9"/>
  <c r="X154" i="9"/>
  <c r="X151" i="9"/>
  <c r="W144" i="9"/>
  <c r="X144" i="9"/>
  <c r="W145" i="9"/>
  <c r="X145" i="9"/>
  <c r="W146" i="9"/>
  <c r="X146" i="9"/>
  <c r="W147" i="9"/>
  <c r="X147" i="9"/>
  <c r="W148" i="9"/>
  <c r="X148" i="9"/>
  <c r="X127" i="9"/>
  <c r="W129" i="9"/>
  <c r="X129" i="9"/>
  <c r="W130" i="9"/>
  <c r="X130" i="9"/>
  <c r="W131" i="9"/>
  <c r="X131" i="9"/>
  <c r="W132" i="9"/>
  <c r="X132" i="9"/>
  <c r="W133" i="9"/>
  <c r="X133" i="9"/>
  <c r="W134" i="9"/>
  <c r="X134" i="9"/>
  <c r="W135" i="9"/>
  <c r="X135" i="9"/>
  <c r="W136" i="9"/>
  <c r="X136" i="9"/>
  <c r="W137" i="9"/>
  <c r="X137" i="9"/>
  <c r="W138" i="9"/>
  <c r="X138" i="9"/>
  <c r="W139" i="9"/>
  <c r="X139" i="9"/>
  <c r="W140" i="9"/>
  <c r="X140" i="9"/>
  <c r="X128" i="9"/>
  <c r="W83" i="9"/>
  <c r="X83" i="9"/>
  <c r="W84" i="9"/>
  <c r="X84" i="9"/>
  <c r="X82" i="9"/>
  <c r="W67" i="9"/>
  <c r="X67" i="9"/>
  <c r="W68" i="9"/>
  <c r="W68" i="33" s="1"/>
  <c r="X68" i="9"/>
  <c r="W69" i="9"/>
  <c r="X69" i="9"/>
  <c r="W70" i="9"/>
  <c r="X70" i="9"/>
  <c r="W71" i="9"/>
  <c r="X71" i="9"/>
  <c r="W72" i="9"/>
  <c r="X72" i="9"/>
  <c r="W73" i="9"/>
  <c r="X73" i="9"/>
  <c r="W74" i="9"/>
  <c r="X74" i="9"/>
  <c r="W75" i="9"/>
  <c r="X75" i="9"/>
  <c r="W76" i="9"/>
  <c r="X76" i="9"/>
  <c r="W77" i="9"/>
  <c r="X77" i="9"/>
  <c r="W78" i="9"/>
  <c r="X78" i="9"/>
  <c r="W79" i="9"/>
  <c r="X79" i="9"/>
  <c r="W80" i="9"/>
  <c r="X80" i="9"/>
  <c r="X65" i="9"/>
  <c r="W60" i="9"/>
  <c r="X60" i="9"/>
  <c r="W61" i="9"/>
  <c r="X61" i="9"/>
  <c r="W62" i="9"/>
  <c r="X62" i="9"/>
  <c r="X59" i="9"/>
  <c r="W52" i="9"/>
  <c r="W53" i="9"/>
  <c r="X53" i="9"/>
  <c r="W55" i="9"/>
  <c r="X55" i="9"/>
  <c r="W56" i="9"/>
  <c r="X56" i="9"/>
  <c r="X51" i="9"/>
  <c r="W40" i="9"/>
  <c r="X40" i="9"/>
  <c r="W41" i="9"/>
  <c r="X41" i="9"/>
  <c r="W42" i="9"/>
  <c r="X42" i="9"/>
  <c r="W43" i="9"/>
  <c r="X43" i="9"/>
  <c r="W44" i="9"/>
  <c r="X44" i="9"/>
  <c r="W45" i="9"/>
  <c r="X45" i="9"/>
  <c r="W46" i="9"/>
  <c r="X46" i="9"/>
  <c r="W47" i="9"/>
  <c r="X47" i="9"/>
  <c r="W48" i="9"/>
  <c r="X48" i="9"/>
  <c r="X39" i="9"/>
  <c r="I108" i="9"/>
  <c r="M104" i="9"/>
  <c r="G57" i="30"/>
  <c r="K57" i="30"/>
  <c r="O57" i="30"/>
  <c r="S57" i="30"/>
  <c r="G7" i="32"/>
  <c r="G10" i="32"/>
  <c r="K10" i="32" s="1"/>
  <c r="G11" i="32"/>
  <c r="G12" i="32"/>
  <c r="G13" i="32"/>
  <c r="G14" i="32"/>
  <c r="O29" i="32"/>
  <c r="G203" i="32"/>
  <c r="K203" i="32" s="1"/>
  <c r="M203" i="32" s="1"/>
  <c r="G198" i="32"/>
  <c r="Q67" i="23"/>
  <c r="Q70" i="23"/>
  <c r="Q74" i="23"/>
  <c r="Q76" i="23"/>
  <c r="Q77" i="23"/>
  <c r="Q78" i="23"/>
  <c r="Q79" i="23"/>
  <c r="Q80" i="23"/>
  <c r="Q81" i="23"/>
  <c r="Q82" i="23"/>
  <c r="Q83" i="23"/>
  <c r="Q84" i="23"/>
  <c r="Q65" i="23"/>
  <c r="Q66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65" i="32"/>
  <c r="Q67" i="29"/>
  <c r="Q70" i="29"/>
  <c r="Q72" i="29"/>
  <c r="Q75" i="29"/>
  <c r="Q76" i="29"/>
  <c r="Q77" i="29"/>
  <c r="Q78" i="29"/>
  <c r="Q79" i="29"/>
  <c r="Q80" i="29"/>
  <c r="Q81" i="29"/>
  <c r="Q82" i="29"/>
  <c r="Q83" i="29"/>
  <c r="Q84" i="29"/>
  <c r="Q79" i="31"/>
  <c r="Q80" i="31"/>
  <c r="Q81" i="31"/>
  <c r="Q82" i="31"/>
  <c r="Q83" i="31"/>
  <c r="Q84" i="31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65" i="9"/>
  <c r="Q68" i="24"/>
  <c r="Q70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65" i="24"/>
  <c r="Q65" i="30"/>
  <c r="U51" i="30"/>
  <c r="K49" i="32"/>
  <c r="T245" i="24"/>
  <c r="S245" i="24"/>
  <c r="P245" i="24"/>
  <c r="O245" i="24"/>
  <c r="L245" i="24"/>
  <c r="K245" i="24"/>
  <c r="H245" i="24"/>
  <c r="G245" i="24"/>
  <c r="D245" i="24"/>
  <c r="C245" i="24"/>
  <c r="U244" i="24"/>
  <c r="Q244" i="24"/>
  <c r="M244" i="24"/>
  <c r="I244" i="24"/>
  <c r="E244" i="24"/>
  <c r="U243" i="24"/>
  <c r="Q243" i="24"/>
  <c r="M243" i="24"/>
  <c r="I243" i="24"/>
  <c r="E243" i="24"/>
  <c r="U242" i="24"/>
  <c r="Q242" i="24"/>
  <c r="M242" i="24"/>
  <c r="I242" i="24"/>
  <c r="E242" i="24"/>
  <c r="U241" i="24"/>
  <c r="Q241" i="24"/>
  <c r="M241" i="24"/>
  <c r="I241" i="24"/>
  <c r="E241" i="24"/>
  <c r="U240" i="24"/>
  <c r="Q240" i="24"/>
  <c r="M240" i="24"/>
  <c r="I240" i="24"/>
  <c r="E240" i="24"/>
  <c r="U239" i="24"/>
  <c r="Q239" i="24"/>
  <c r="M239" i="24"/>
  <c r="I239" i="24"/>
  <c r="E239" i="24"/>
  <c r="U238" i="24"/>
  <c r="Q238" i="24"/>
  <c r="M238" i="24"/>
  <c r="I238" i="24"/>
  <c r="E238" i="24"/>
  <c r="U237" i="24"/>
  <c r="Q237" i="24"/>
  <c r="M237" i="24"/>
  <c r="I237" i="24"/>
  <c r="E237" i="24"/>
  <c r="U236" i="24"/>
  <c r="Q236" i="24"/>
  <c r="M236" i="24"/>
  <c r="I236" i="24"/>
  <c r="E236" i="24"/>
  <c r="U235" i="24"/>
  <c r="Q235" i="24"/>
  <c r="M235" i="24"/>
  <c r="I235" i="24"/>
  <c r="E235" i="24"/>
  <c r="U234" i="24"/>
  <c r="Q234" i="24"/>
  <c r="M234" i="24"/>
  <c r="I234" i="24"/>
  <c r="E234" i="24"/>
  <c r="W233" i="24"/>
  <c r="U233" i="24"/>
  <c r="Q233" i="24"/>
  <c r="M233" i="24"/>
  <c r="I233" i="24"/>
  <c r="E233" i="24"/>
  <c r="T231" i="24"/>
  <c r="S231" i="24"/>
  <c r="P231" i="24"/>
  <c r="O231" i="24"/>
  <c r="L231" i="24"/>
  <c r="K231" i="24"/>
  <c r="H231" i="24"/>
  <c r="G231" i="24"/>
  <c r="D231" i="24"/>
  <c r="C231" i="24"/>
  <c r="U230" i="24"/>
  <c r="Q230" i="24"/>
  <c r="M230" i="24"/>
  <c r="I230" i="24"/>
  <c r="E230" i="24"/>
  <c r="U229" i="24"/>
  <c r="Q229" i="24"/>
  <c r="M229" i="24"/>
  <c r="I229" i="24"/>
  <c r="E229" i="24"/>
  <c r="U228" i="24"/>
  <c r="Q228" i="24"/>
  <c r="M228" i="24"/>
  <c r="I228" i="24"/>
  <c r="E228" i="24"/>
  <c r="W227" i="24"/>
  <c r="U227" i="24"/>
  <c r="Q227" i="24"/>
  <c r="M227" i="24"/>
  <c r="I227" i="24"/>
  <c r="E227" i="24"/>
  <c r="T225" i="24"/>
  <c r="P225" i="24"/>
  <c r="L225" i="24"/>
  <c r="H225" i="24"/>
  <c r="D225" i="24"/>
  <c r="U224" i="24"/>
  <c r="Q224" i="24"/>
  <c r="M224" i="24"/>
  <c r="I224" i="24"/>
  <c r="E224" i="24"/>
  <c r="U223" i="24"/>
  <c r="Q223" i="24"/>
  <c r="M223" i="24"/>
  <c r="I223" i="24"/>
  <c r="E223" i="24"/>
  <c r="U222" i="24"/>
  <c r="Q222" i="24"/>
  <c r="M222" i="24"/>
  <c r="I222" i="24"/>
  <c r="E222" i="24"/>
  <c r="W219" i="24"/>
  <c r="U219" i="24"/>
  <c r="Q219" i="24"/>
  <c r="M219" i="24"/>
  <c r="I219" i="24"/>
  <c r="E219" i="24"/>
  <c r="T217" i="24"/>
  <c r="S217" i="24"/>
  <c r="P217" i="24"/>
  <c r="O217" i="24"/>
  <c r="L217" i="24"/>
  <c r="K217" i="24"/>
  <c r="H217" i="24"/>
  <c r="D217" i="24"/>
  <c r="G217" i="24"/>
  <c r="C217" i="24"/>
  <c r="U216" i="24"/>
  <c r="Q216" i="24"/>
  <c r="M216" i="24"/>
  <c r="I216" i="24"/>
  <c r="E216" i="24"/>
  <c r="U215" i="24"/>
  <c r="Q215" i="24"/>
  <c r="M215" i="24"/>
  <c r="I215" i="24"/>
  <c r="E215" i="24"/>
  <c r="U214" i="24"/>
  <c r="Q214" i="24"/>
  <c r="M214" i="24"/>
  <c r="I214" i="24"/>
  <c r="E214" i="24"/>
  <c r="U213" i="24"/>
  <c r="Q213" i="24"/>
  <c r="M213" i="24"/>
  <c r="I213" i="24"/>
  <c r="E213" i="24"/>
  <c r="U212" i="24"/>
  <c r="Q212" i="24"/>
  <c r="M212" i="24"/>
  <c r="I212" i="24"/>
  <c r="E212" i="24"/>
  <c r="U211" i="24"/>
  <c r="Q211" i="24"/>
  <c r="M211" i="24"/>
  <c r="I211" i="24"/>
  <c r="E211" i="24"/>
  <c r="U210" i="24"/>
  <c r="Q210" i="24"/>
  <c r="M210" i="24"/>
  <c r="I210" i="24"/>
  <c r="E210" i="24"/>
  <c r="U209" i="24"/>
  <c r="Q209" i="24"/>
  <c r="M209" i="24"/>
  <c r="I209" i="24"/>
  <c r="E209" i="24"/>
  <c r="U208" i="24"/>
  <c r="Q208" i="24"/>
  <c r="M208" i="24"/>
  <c r="I208" i="24"/>
  <c r="E208" i="24"/>
  <c r="W207" i="24"/>
  <c r="U207" i="24"/>
  <c r="Q207" i="24"/>
  <c r="M207" i="24"/>
  <c r="I207" i="24"/>
  <c r="E207" i="24"/>
  <c r="D204" i="24"/>
  <c r="C203" i="24"/>
  <c r="C202" i="24"/>
  <c r="G202" i="24" s="1"/>
  <c r="K202" i="24" s="1"/>
  <c r="C201" i="24"/>
  <c r="E201" i="24" s="1"/>
  <c r="E200" i="24"/>
  <c r="C199" i="24"/>
  <c r="E199" i="24" s="1"/>
  <c r="C198" i="24"/>
  <c r="E198" i="24" s="1"/>
  <c r="V196" i="24"/>
  <c r="V247" i="24" s="1"/>
  <c r="R196" i="24"/>
  <c r="N196" i="24"/>
  <c r="J196" i="24"/>
  <c r="J247" i="24" s="1"/>
  <c r="F196" i="24"/>
  <c r="F247" i="24" s="1"/>
  <c r="D195" i="24"/>
  <c r="C195" i="24"/>
  <c r="E194" i="24"/>
  <c r="E193" i="24"/>
  <c r="E192" i="24"/>
  <c r="E191" i="24"/>
  <c r="E190" i="24"/>
  <c r="E189" i="24"/>
  <c r="E188" i="24"/>
  <c r="D186" i="24"/>
  <c r="C186" i="24"/>
  <c r="E185" i="24"/>
  <c r="E184" i="24"/>
  <c r="E182" i="24"/>
  <c r="E181" i="24"/>
  <c r="E180" i="24"/>
  <c r="T173" i="24"/>
  <c r="P173" i="24"/>
  <c r="L173" i="24"/>
  <c r="H173" i="24"/>
  <c r="D173" i="24"/>
  <c r="U172" i="24"/>
  <c r="Q172" i="24"/>
  <c r="M172" i="24"/>
  <c r="I172" i="24"/>
  <c r="E172" i="24"/>
  <c r="U171" i="24"/>
  <c r="Q171" i="24"/>
  <c r="M171" i="24"/>
  <c r="I171" i="24"/>
  <c r="E171" i="24"/>
  <c r="U170" i="24"/>
  <c r="Q170" i="24"/>
  <c r="M170" i="24"/>
  <c r="I170" i="24"/>
  <c r="E170" i="24"/>
  <c r="U169" i="24"/>
  <c r="Q169" i="24"/>
  <c r="M169" i="24"/>
  <c r="I169" i="24"/>
  <c r="E169" i="24"/>
  <c r="U168" i="24"/>
  <c r="Q168" i="24"/>
  <c r="M168" i="24"/>
  <c r="I168" i="24"/>
  <c r="E168" i="24"/>
  <c r="U167" i="24"/>
  <c r="Q167" i="24"/>
  <c r="M167" i="24"/>
  <c r="I167" i="24"/>
  <c r="E167" i="24"/>
  <c r="U166" i="24"/>
  <c r="Q166" i="24"/>
  <c r="M166" i="24"/>
  <c r="I166" i="24"/>
  <c r="E166" i="24"/>
  <c r="U165" i="24"/>
  <c r="Q165" i="24"/>
  <c r="M165" i="24"/>
  <c r="I165" i="24"/>
  <c r="E165" i="24"/>
  <c r="U164" i="24"/>
  <c r="Q164" i="24"/>
  <c r="M164" i="24"/>
  <c r="I164" i="24"/>
  <c r="E164" i="24"/>
  <c r="U163" i="24"/>
  <c r="Q163" i="24"/>
  <c r="M163" i="24"/>
  <c r="I163" i="24"/>
  <c r="E163" i="24"/>
  <c r="U162" i="24"/>
  <c r="Q162" i="24"/>
  <c r="M162" i="24"/>
  <c r="I162" i="24"/>
  <c r="E162" i="24"/>
  <c r="U161" i="24"/>
  <c r="Q161" i="24"/>
  <c r="M161" i="24"/>
  <c r="I161" i="24"/>
  <c r="E161" i="24"/>
  <c r="U160" i="24"/>
  <c r="Q160" i="24"/>
  <c r="M160" i="24"/>
  <c r="I160" i="24"/>
  <c r="E160" i="24"/>
  <c r="U159" i="24"/>
  <c r="Q159" i="24"/>
  <c r="M159" i="24"/>
  <c r="I159" i="24"/>
  <c r="E159" i="24"/>
  <c r="U158" i="24"/>
  <c r="Q158" i="24"/>
  <c r="M158" i="24"/>
  <c r="I158" i="24"/>
  <c r="E158" i="24"/>
  <c r="W157" i="24"/>
  <c r="U157" i="24"/>
  <c r="Q157" i="24"/>
  <c r="M157" i="24"/>
  <c r="I157" i="24"/>
  <c r="E157" i="24"/>
  <c r="T155" i="24"/>
  <c r="S155" i="24"/>
  <c r="P155" i="24"/>
  <c r="O155" i="24"/>
  <c r="L155" i="24"/>
  <c r="K155" i="24"/>
  <c r="H155" i="24"/>
  <c r="G155" i="24"/>
  <c r="D155" i="24"/>
  <c r="C155" i="24"/>
  <c r="U154" i="24"/>
  <c r="Q154" i="24"/>
  <c r="M154" i="24"/>
  <c r="I154" i="24"/>
  <c r="E154" i="24"/>
  <c r="U153" i="24"/>
  <c r="Q153" i="24"/>
  <c r="M153" i="24"/>
  <c r="I153" i="24"/>
  <c r="E153" i="24"/>
  <c r="U152" i="24"/>
  <c r="Q152" i="24"/>
  <c r="M152" i="24"/>
  <c r="I152" i="24"/>
  <c r="E152" i="24"/>
  <c r="W151" i="24"/>
  <c r="U151" i="24"/>
  <c r="Q151" i="24"/>
  <c r="M151" i="24"/>
  <c r="I151" i="24"/>
  <c r="E151" i="24"/>
  <c r="T149" i="24"/>
  <c r="P149" i="24"/>
  <c r="L149" i="24"/>
  <c r="H149" i="24"/>
  <c r="D149" i="24"/>
  <c r="U148" i="24"/>
  <c r="Q148" i="24"/>
  <c r="M148" i="24"/>
  <c r="I148" i="24"/>
  <c r="E148" i="24"/>
  <c r="U147" i="24"/>
  <c r="Q147" i="24"/>
  <c r="M147" i="24"/>
  <c r="I147" i="24"/>
  <c r="E147" i="24"/>
  <c r="U146" i="24"/>
  <c r="Q146" i="24"/>
  <c r="M146" i="24"/>
  <c r="I146" i="24"/>
  <c r="E146" i="24"/>
  <c r="W143" i="24"/>
  <c r="U143" i="24"/>
  <c r="Q143" i="24"/>
  <c r="M143" i="24"/>
  <c r="I143" i="24"/>
  <c r="E143" i="24"/>
  <c r="T141" i="24"/>
  <c r="S141" i="24"/>
  <c r="P141" i="24"/>
  <c r="O141" i="24"/>
  <c r="L141" i="24"/>
  <c r="K141" i="24"/>
  <c r="H141" i="24"/>
  <c r="G141" i="24"/>
  <c r="D141" i="24"/>
  <c r="C141" i="24"/>
  <c r="U140" i="24"/>
  <c r="Q140" i="24"/>
  <c r="M140" i="24"/>
  <c r="I140" i="24"/>
  <c r="E140" i="24"/>
  <c r="U139" i="24"/>
  <c r="Q139" i="24"/>
  <c r="M139" i="24"/>
  <c r="I139" i="24"/>
  <c r="E139" i="24"/>
  <c r="U138" i="24"/>
  <c r="Q138" i="24"/>
  <c r="M138" i="24"/>
  <c r="I138" i="24"/>
  <c r="E138" i="24"/>
  <c r="U137" i="24"/>
  <c r="Q137" i="24"/>
  <c r="M137" i="24"/>
  <c r="I137" i="24"/>
  <c r="E137" i="24"/>
  <c r="U136" i="24"/>
  <c r="Q136" i="24"/>
  <c r="M136" i="24"/>
  <c r="I136" i="24"/>
  <c r="E136" i="24"/>
  <c r="U135" i="24"/>
  <c r="Q135" i="24"/>
  <c r="M135" i="24"/>
  <c r="I135" i="24"/>
  <c r="E135" i="24"/>
  <c r="U134" i="24"/>
  <c r="Q134" i="24"/>
  <c r="M134" i="24"/>
  <c r="I134" i="24"/>
  <c r="E134" i="24"/>
  <c r="U133" i="24"/>
  <c r="Q133" i="24"/>
  <c r="M133" i="24"/>
  <c r="I133" i="24"/>
  <c r="E133" i="24"/>
  <c r="U132" i="24"/>
  <c r="Q132" i="24"/>
  <c r="M132" i="24"/>
  <c r="I132" i="24"/>
  <c r="E132" i="24"/>
  <c r="U131" i="24"/>
  <c r="Q131" i="24"/>
  <c r="M131" i="24"/>
  <c r="I131" i="24"/>
  <c r="E131" i="24"/>
  <c r="U130" i="24"/>
  <c r="Q130" i="24"/>
  <c r="M130" i="24"/>
  <c r="I130" i="24"/>
  <c r="E130" i="24"/>
  <c r="U129" i="24"/>
  <c r="Q129" i="24"/>
  <c r="M129" i="24"/>
  <c r="I129" i="24"/>
  <c r="E129" i="24"/>
  <c r="U128" i="24"/>
  <c r="Q128" i="24"/>
  <c r="M128" i="24"/>
  <c r="I128" i="24"/>
  <c r="E128" i="24"/>
  <c r="W127" i="24"/>
  <c r="U127" i="24"/>
  <c r="Q127" i="24"/>
  <c r="M127" i="24"/>
  <c r="I127" i="24"/>
  <c r="E127" i="24"/>
  <c r="D118" i="24"/>
  <c r="H118" i="24" s="1"/>
  <c r="D112" i="24"/>
  <c r="E111" i="24"/>
  <c r="E110" i="24"/>
  <c r="E109" i="24"/>
  <c r="E108" i="24"/>
  <c r="E107" i="24"/>
  <c r="E106" i="24"/>
  <c r="E105" i="24"/>
  <c r="E104" i="24"/>
  <c r="E103" i="24"/>
  <c r="E102" i="24"/>
  <c r="E101" i="24"/>
  <c r="D99" i="24"/>
  <c r="E98" i="24"/>
  <c r="E97" i="24"/>
  <c r="E96" i="24"/>
  <c r="E95" i="24"/>
  <c r="E94" i="24"/>
  <c r="E93" i="24"/>
  <c r="E92" i="24"/>
  <c r="U84" i="24"/>
  <c r="M84" i="24"/>
  <c r="I84" i="24"/>
  <c r="E84" i="24"/>
  <c r="U83" i="24"/>
  <c r="M83" i="24"/>
  <c r="I83" i="24"/>
  <c r="E83" i="24"/>
  <c r="U82" i="24"/>
  <c r="M82" i="24"/>
  <c r="I82" i="24"/>
  <c r="E82" i="24"/>
  <c r="U81" i="24"/>
  <c r="M81" i="24"/>
  <c r="I81" i="24"/>
  <c r="E81" i="24"/>
  <c r="U80" i="24"/>
  <c r="M80" i="24"/>
  <c r="I80" i="24"/>
  <c r="E80" i="24"/>
  <c r="U79" i="24"/>
  <c r="M79" i="24"/>
  <c r="I79" i="24"/>
  <c r="E79" i="24"/>
  <c r="U78" i="24"/>
  <c r="M78" i="24"/>
  <c r="I78" i="24"/>
  <c r="E78" i="24"/>
  <c r="U77" i="24"/>
  <c r="M77" i="24"/>
  <c r="I77" i="24"/>
  <c r="E77" i="24"/>
  <c r="U76" i="24"/>
  <c r="M76" i="24"/>
  <c r="I76" i="24"/>
  <c r="E76" i="24"/>
  <c r="U75" i="24"/>
  <c r="M75" i="24"/>
  <c r="I75" i="24"/>
  <c r="E75" i="24"/>
  <c r="U74" i="24"/>
  <c r="M74" i="24"/>
  <c r="I74" i="24"/>
  <c r="E74" i="24"/>
  <c r="U73" i="24"/>
  <c r="M73" i="24"/>
  <c r="I73" i="24"/>
  <c r="E73" i="24"/>
  <c r="U72" i="24"/>
  <c r="M72" i="24"/>
  <c r="I72" i="24"/>
  <c r="E72" i="24"/>
  <c r="U70" i="24"/>
  <c r="M70" i="24"/>
  <c r="I70" i="24"/>
  <c r="E70" i="24"/>
  <c r="U68" i="24"/>
  <c r="M68" i="24"/>
  <c r="I68" i="24"/>
  <c r="E68" i="24"/>
  <c r="W65" i="24"/>
  <c r="U65" i="24"/>
  <c r="M65" i="24"/>
  <c r="I65" i="24"/>
  <c r="E65" i="24"/>
  <c r="T63" i="24"/>
  <c r="S63" i="24"/>
  <c r="P63" i="24"/>
  <c r="O63" i="24"/>
  <c r="L63" i="24"/>
  <c r="K63" i="24"/>
  <c r="H63" i="24"/>
  <c r="G63" i="24"/>
  <c r="D63" i="24"/>
  <c r="C63" i="24"/>
  <c r="U62" i="24"/>
  <c r="Q62" i="24"/>
  <c r="M62" i="24"/>
  <c r="I62" i="24"/>
  <c r="E62" i="24"/>
  <c r="U61" i="24"/>
  <c r="Q61" i="24"/>
  <c r="M61" i="24"/>
  <c r="I61" i="24"/>
  <c r="E61" i="24"/>
  <c r="U60" i="24"/>
  <c r="Q60" i="24"/>
  <c r="M60" i="24"/>
  <c r="I60" i="24"/>
  <c r="E60" i="24"/>
  <c r="W59" i="24"/>
  <c r="U59" i="24"/>
  <c r="Q59" i="24"/>
  <c r="M59" i="24"/>
  <c r="I59" i="24"/>
  <c r="E59" i="24"/>
  <c r="T57" i="24"/>
  <c r="P57" i="24"/>
  <c r="L57" i="24"/>
  <c r="H57" i="24"/>
  <c r="D57" i="24"/>
  <c r="U56" i="24"/>
  <c r="Q56" i="24"/>
  <c r="M56" i="24"/>
  <c r="I56" i="24"/>
  <c r="E56" i="24"/>
  <c r="W51" i="24"/>
  <c r="U51" i="24"/>
  <c r="Q51" i="24"/>
  <c r="M51" i="24"/>
  <c r="I51" i="24"/>
  <c r="E51" i="24"/>
  <c r="T49" i="24"/>
  <c r="S49" i="24"/>
  <c r="P49" i="24"/>
  <c r="O49" i="24"/>
  <c r="L49" i="24"/>
  <c r="K49" i="24"/>
  <c r="H49" i="24"/>
  <c r="G49" i="24"/>
  <c r="D49" i="24"/>
  <c r="C49" i="24"/>
  <c r="U48" i="24"/>
  <c r="Q48" i="24"/>
  <c r="M48" i="24"/>
  <c r="I48" i="24"/>
  <c r="E48" i="24"/>
  <c r="U47" i="24"/>
  <c r="Q47" i="24"/>
  <c r="M47" i="24"/>
  <c r="I47" i="24"/>
  <c r="E47" i="24"/>
  <c r="U46" i="24"/>
  <c r="Q46" i="24"/>
  <c r="M46" i="24"/>
  <c r="I46" i="24"/>
  <c r="E46" i="24"/>
  <c r="U45" i="24"/>
  <c r="Q45" i="24"/>
  <c r="M45" i="24"/>
  <c r="I45" i="24"/>
  <c r="E45" i="24"/>
  <c r="U44" i="24"/>
  <c r="Q44" i="24"/>
  <c r="M44" i="24"/>
  <c r="I44" i="24"/>
  <c r="E44" i="24"/>
  <c r="U43" i="24"/>
  <c r="Q43" i="24"/>
  <c r="M43" i="24"/>
  <c r="I43" i="24"/>
  <c r="E43" i="24"/>
  <c r="U42" i="24"/>
  <c r="Q42" i="24"/>
  <c r="M42" i="24"/>
  <c r="I42" i="24"/>
  <c r="E42" i="24"/>
  <c r="U41" i="24"/>
  <c r="Q41" i="24"/>
  <c r="M41" i="24"/>
  <c r="I41" i="24"/>
  <c r="E41" i="24"/>
  <c r="U40" i="24"/>
  <c r="Q40" i="24"/>
  <c r="M40" i="24"/>
  <c r="I40" i="24"/>
  <c r="E40" i="24"/>
  <c r="W39" i="24"/>
  <c r="U39" i="24"/>
  <c r="Q39" i="24"/>
  <c r="M39" i="24"/>
  <c r="I39" i="24"/>
  <c r="E39" i="24"/>
  <c r="D36" i="24"/>
  <c r="C36" i="24"/>
  <c r="E35" i="24"/>
  <c r="E34" i="24"/>
  <c r="E33" i="24"/>
  <c r="E32" i="24"/>
  <c r="E31" i="24"/>
  <c r="E30" i="24"/>
  <c r="E29" i="24"/>
  <c r="V27" i="24"/>
  <c r="V37" i="24" s="1"/>
  <c r="V87" i="24" s="1"/>
  <c r="R27" i="24"/>
  <c r="R37" i="24" s="1"/>
  <c r="R87" i="24" s="1"/>
  <c r="N27" i="24"/>
  <c r="N37" i="24" s="1"/>
  <c r="N87" i="24" s="1"/>
  <c r="N88" i="24" s="1"/>
  <c r="J27" i="24"/>
  <c r="J37" i="24" s="1"/>
  <c r="F27" i="24"/>
  <c r="F37" i="24" s="1"/>
  <c r="D26" i="24"/>
  <c r="C26" i="24"/>
  <c r="E25" i="24"/>
  <c r="E24" i="24"/>
  <c r="E23" i="24"/>
  <c r="E22" i="24"/>
  <c r="E21" i="24"/>
  <c r="E20" i="24"/>
  <c r="E19" i="24"/>
  <c r="E18" i="24"/>
  <c r="E17" i="24"/>
  <c r="D15" i="24"/>
  <c r="C15" i="24"/>
  <c r="C27" i="24" s="1"/>
  <c r="E14" i="24"/>
  <c r="E13" i="24"/>
  <c r="E12" i="24"/>
  <c r="E11" i="24"/>
  <c r="E10" i="24"/>
  <c r="E9" i="24"/>
  <c r="E8" i="24"/>
  <c r="E7" i="24"/>
  <c r="G6" i="24"/>
  <c r="K6" i="24" s="1"/>
  <c r="E6" i="24"/>
  <c r="T245" i="23"/>
  <c r="S245" i="23"/>
  <c r="P245" i="23"/>
  <c r="O245" i="23"/>
  <c r="L245" i="23"/>
  <c r="K245" i="23"/>
  <c r="H245" i="23"/>
  <c r="G245" i="23"/>
  <c r="D245" i="23"/>
  <c r="C245" i="23"/>
  <c r="U244" i="23"/>
  <c r="Q244" i="23"/>
  <c r="M244" i="23"/>
  <c r="I244" i="23"/>
  <c r="E244" i="23"/>
  <c r="U243" i="23"/>
  <c r="Q243" i="23"/>
  <c r="M243" i="23"/>
  <c r="I243" i="23"/>
  <c r="E243" i="23"/>
  <c r="U242" i="23"/>
  <c r="Q242" i="23"/>
  <c r="M242" i="23"/>
  <c r="I242" i="23"/>
  <c r="E242" i="23"/>
  <c r="U241" i="23"/>
  <c r="Q241" i="23"/>
  <c r="M241" i="23"/>
  <c r="I241" i="23"/>
  <c r="E241" i="23"/>
  <c r="U240" i="23"/>
  <c r="Q240" i="23"/>
  <c r="M240" i="23"/>
  <c r="I240" i="23"/>
  <c r="E240" i="23"/>
  <c r="U239" i="23"/>
  <c r="Q239" i="23"/>
  <c r="M239" i="23"/>
  <c r="I239" i="23"/>
  <c r="E239" i="23"/>
  <c r="U238" i="23"/>
  <c r="Q238" i="23"/>
  <c r="M238" i="23"/>
  <c r="I238" i="23"/>
  <c r="E238" i="23"/>
  <c r="U237" i="23"/>
  <c r="Q237" i="23"/>
  <c r="M237" i="23"/>
  <c r="I237" i="23"/>
  <c r="E237" i="23"/>
  <c r="U236" i="23"/>
  <c r="Q236" i="23"/>
  <c r="M236" i="23"/>
  <c r="I236" i="23"/>
  <c r="E236" i="23"/>
  <c r="U235" i="23"/>
  <c r="Q235" i="23"/>
  <c r="M235" i="23"/>
  <c r="I235" i="23"/>
  <c r="E235" i="23"/>
  <c r="U234" i="23"/>
  <c r="Q234" i="23"/>
  <c r="M234" i="23"/>
  <c r="I234" i="23"/>
  <c r="E234" i="23"/>
  <c r="W233" i="23"/>
  <c r="U233" i="23"/>
  <c r="Q233" i="23"/>
  <c r="M233" i="23"/>
  <c r="I233" i="23"/>
  <c r="E233" i="23"/>
  <c r="T231" i="23"/>
  <c r="S231" i="23"/>
  <c r="P231" i="23"/>
  <c r="O231" i="23"/>
  <c r="L231" i="23"/>
  <c r="K231" i="23"/>
  <c r="H231" i="23"/>
  <c r="G231" i="23"/>
  <c r="D231" i="23"/>
  <c r="C231" i="23"/>
  <c r="U230" i="23"/>
  <c r="Q230" i="23"/>
  <c r="M230" i="23"/>
  <c r="I230" i="23"/>
  <c r="E230" i="23"/>
  <c r="U229" i="23"/>
  <c r="Q229" i="23"/>
  <c r="M229" i="23"/>
  <c r="I229" i="23"/>
  <c r="E229" i="23"/>
  <c r="U228" i="23"/>
  <c r="Q228" i="23"/>
  <c r="M228" i="23"/>
  <c r="I228" i="23"/>
  <c r="E228" i="23"/>
  <c r="W227" i="23"/>
  <c r="U227" i="23"/>
  <c r="Q227" i="23"/>
  <c r="M227" i="23"/>
  <c r="I227" i="23"/>
  <c r="E227" i="23"/>
  <c r="T225" i="23"/>
  <c r="S225" i="23"/>
  <c r="P225" i="23"/>
  <c r="O225" i="23"/>
  <c r="L225" i="23"/>
  <c r="K225" i="23"/>
  <c r="H225" i="23"/>
  <c r="G225" i="23"/>
  <c r="D225" i="23"/>
  <c r="C225" i="23"/>
  <c r="U224" i="23"/>
  <c r="Q224" i="23"/>
  <c r="M224" i="23"/>
  <c r="I224" i="23"/>
  <c r="E224" i="23"/>
  <c r="U223" i="23"/>
  <c r="Q223" i="23"/>
  <c r="M223" i="23"/>
  <c r="I223" i="23"/>
  <c r="E223" i="23"/>
  <c r="U222" i="23"/>
  <c r="Q222" i="23"/>
  <c r="M222" i="23"/>
  <c r="I222" i="23"/>
  <c r="E222" i="23"/>
  <c r="U221" i="23"/>
  <c r="Q221" i="23"/>
  <c r="M221" i="23"/>
  <c r="I221" i="23"/>
  <c r="E221" i="23"/>
  <c r="U220" i="23"/>
  <c r="Q220" i="23"/>
  <c r="M220" i="23"/>
  <c r="I220" i="23"/>
  <c r="E220" i="23"/>
  <c r="W219" i="23"/>
  <c r="U219" i="23"/>
  <c r="Q219" i="23"/>
  <c r="M219" i="23"/>
  <c r="I219" i="23"/>
  <c r="E219" i="23"/>
  <c r="T217" i="23"/>
  <c r="S217" i="23"/>
  <c r="P217" i="23"/>
  <c r="O217" i="23"/>
  <c r="L217" i="23"/>
  <c r="K217" i="23"/>
  <c r="H217" i="23"/>
  <c r="G217" i="23"/>
  <c r="D217" i="23"/>
  <c r="C217" i="23"/>
  <c r="U216" i="23"/>
  <c r="Q216" i="23"/>
  <c r="M216" i="23"/>
  <c r="I216" i="23"/>
  <c r="E216" i="23"/>
  <c r="U215" i="23"/>
  <c r="Q215" i="23"/>
  <c r="M215" i="23"/>
  <c r="I215" i="23"/>
  <c r="E215" i="23"/>
  <c r="U214" i="23"/>
  <c r="Q214" i="23"/>
  <c r="M214" i="23"/>
  <c r="I214" i="23"/>
  <c r="E214" i="23"/>
  <c r="U213" i="23"/>
  <c r="Q213" i="23"/>
  <c r="M213" i="23"/>
  <c r="I213" i="23"/>
  <c r="E213" i="23"/>
  <c r="U212" i="23"/>
  <c r="Q212" i="23"/>
  <c r="M212" i="23"/>
  <c r="I212" i="23"/>
  <c r="E212" i="23"/>
  <c r="U211" i="23"/>
  <c r="Q211" i="23"/>
  <c r="M211" i="23"/>
  <c r="I211" i="23"/>
  <c r="E211" i="23"/>
  <c r="U210" i="23"/>
  <c r="Q210" i="23"/>
  <c r="M210" i="23"/>
  <c r="I210" i="23"/>
  <c r="E210" i="23"/>
  <c r="U209" i="23"/>
  <c r="Q209" i="23"/>
  <c r="M209" i="23"/>
  <c r="I209" i="23"/>
  <c r="E209" i="23"/>
  <c r="U208" i="23"/>
  <c r="Q208" i="23"/>
  <c r="M208" i="23"/>
  <c r="I208" i="23"/>
  <c r="E208" i="23"/>
  <c r="W207" i="23"/>
  <c r="U207" i="23"/>
  <c r="Q207" i="23"/>
  <c r="M207" i="23"/>
  <c r="I207" i="23"/>
  <c r="E207" i="23"/>
  <c r="D204" i="23"/>
  <c r="C203" i="23"/>
  <c r="G203" i="23" s="1"/>
  <c r="I203" i="23" s="1"/>
  <c r="C202" i="23"/>
  <c r="E202" i="23" s="1"/>
  <c r="C201" i="23"/>
  <c r="E201" i="23" s="1"/>
  <c r="E200" i="23"/>
  <c r="C199" i="23"/>
  <c r="E199" i="23" s="1"/>
  <c r="C198" i="23"/>
  <c r="E198" i="23" s="1"/>
  <c r="V196" i="23"/>
  <c r="V247" i="23" s="1"/>
  <c r="R196" i="23"/>
  <c r="N196" i="23"/>
  <c r="N205" i="23" s="1"/>
  <c r="N246" i="23" s="1"/>
  <c r="J196" i="23"/>
  <c r="J247" i="23" s="1"/>
  <c r="F196" i="23"/>
  <c r="F205" i="23" s="1"/>
  <c r="F246" i="23" s="1"/>
  <c r="D195" i="23"/>
  <c r="C195" i="23"/>
  <c r="E194" i="23"/>
  <c r="E193" i="23"/>
  <c r="E192" i="23"/>
  <c r="E191" i="23"/>
  <c r="E190" i="23"/>
  <c r="E189" i="23"/>
  <c r="E188" i="23"/>
  <c r="D186" i="23"/>
  <c r="C186" i="23"/>
  <c r="C196" i="23" s="1"/>
  <c r="E185" i="23"/>
  <c r="E184" i="23"/>
  <c r="E182" i="23"/>
  <c r="E181" i="23"/>
  <c r="E180" i="23"/>
  <c r="T173" i="23"/>
  <c r="P173" i="23"/>
  <c r="L173" i="23"/>
  <c r="H173" i="23"/>
  <c r="D173" i="23"/>
  <c r="U172" i="23"/>
  <c r="Q172" i="23"/>
  <c r="M172" i="23"/>
  <c r="I172" i="23"/>
  <c r="E172" i="23"/>
  <c r="U171" i="23"/>
  <c r="Q171" i="23"/>
  <c r="M171" i="23"/>
  <c r="I171" i="23"/>
  <c r="E171" i="23"/>
  <c r="U170" i="23"/>
  <c r="Q170" i="23"/>
  <c r="M170" i="23"/>
  <c r="I170" i="23"/>
  <c r="E170" i="23"/>
  <c r="U169" i="23"/>
  <c r="Q169" i="23"/>
  <c r="M169" i="23"/>
  <c r="I169" i="23"/>
  <c r="E169" i="23"/>
  <c r="U168" i="23"/>
  <c r="Q168" i="23"/>
  <c r="M168" i="23"/>
  <c r="I168" i="23"/>
  <c r="E168" i="23"/>
  <c r="U167" i="23"/>
  <c r="Q167" i="23"/>
  <c r="M167" i="23"/>
  <c r="I167" i="23"/>
  <c r="E167" i="23"/>
  <c r="U166" i="23"/>
  <c r="Q166" i="23"/>
  <c r="M166" i="23"/>
  <c r="I166" i="23"/>
  <c r="E166" i="23"/>
  <c r="U165" i="23"/>
  <c r="Q165" i="23"/>
  <c r="M165" i="23"/>
  <c r="I165" i="23"/>
  <c r="E165" i="23"/>
  <c r="U164" i="23"/>
  <c r="Q164" i="23"/>
  <c r="M164" i="23"/>
  <c r="I164" i="23"/>
  <c r="E164" i="23"/>
  <c r="U163" i="23"/>
  <c r="Q163" i="23"/>
  <c r="M163" i="23"/>
  <c r="I163" i="23"/>
  <c r="E163" i="23"/>
  <c r="U162" i="23"/>
  <c r="Q162" i="23"/>
  <c r="M162" i="23"/>
  <c r="I162" i="23"/>
  <c r="E162" i="23"/>
  <c r="U161" i="23"/>
  <c r="Q161" i="23"/>
  <c r="M161" i="23"/>
  <c r="I161" i="23"/>
  <c r="E161" i="23"/>
  <c r="U160" i="23"/>
  <c r="Q160" i="23"/>
  <c r="M160" i="23"/>
  <c r="I160" i="23"/>
  <c r="E160" i="23"/>
  <c r="U159" i="23"/>
  <c r="Q159" i="23"/>
  <c r="M159" i="23"/>
  <c r="I159" i="23"/>
  <c r="E159" i="23"/>
  <c r="U158" i="23"/>
  <c r="Q158" i="23"/>
  <c r="M158" i="23"/>
  <c r="I158" i="23"/>
  <c r="E158" i="23"/>
  <c r="W157" i="23"/>
  <c r="U157" i="23"/>
  <c r="Q157" i="23"/>
  <c r="M157" i="23"/>
  <c r="I157" i="23"/>
  <c r="E157" i="23"/>
  <c r="T155" i="23"/>
  <c r="S155" i="23"/>
  <c r="P155" i="23"/>
  <c r="O155" i="23"/>
  <c r="L155" i="23"/>
  <c r="K155" i="23"/>
  <c r="H155" i="23"/>
  <c r="G155" i="23"/>
  <c r="D155" i="23"/>
  <c r="C155" i="23"/>
  <c r="U154" i="23"/>
  <c r="Q154" i="23"/>
  <c r="M154" i="23"/>
  <c r="I154" i="23"/>
  <c r="E154" i="23"/>
  <c r="U153" i="23"/>
  <c r="Q153" i="23"/>
  <c r="M153" i="23"/>
  <c r="I153" i="23"/>
  <c r="E153" i="23"/>
  <c r="U152" i="23"/>
  <c r="Q152" i="23"/>
  <c r="M152" i="23"/>
  <c r="I152" i="23"/>
  <c r="E152" i="23"/>
  <c r="E155" i="23" s="1"/>
  <c r="W151" i="23"/>
  <c r="U151" i="23"/>
  <c r="Q151" i="23"/>
  <c r="M151" i="23"/>
  <c r="I151" i="23"/>
  <c r="E151" i="23"/>
  <c r="T149" i="23"/>
  <c r="P149" i="23"/>
  <c r="L149" i="23"/>
  <c r="H149" i="23"/>
  <c r="D149" i="23"/>
  <c r="U148" i="23"/>
  <c r="Q148" i="23"/>
  <c r="M148" i="23"/>
  <c r="I148" i="23"/>
  <c r="E148" i="23"/>
  <c r="U147" i="23"/>
  <c r="Q147" i="23"/>
  <c r="M147" i="23"/>
  <c r="I147" i="23"/>
  <c r="E147" i="23"/>
  <c r="U146" i="23"/>
  <c r="Q146" i="23"/>
  <c r="M146" i="23"/>
  <c r="I146" i="23"/>
  <c r="E146" i="23"/>
  <c r="U145" i="23"/>
  <c r="Q145" i="23"/>
  <c r="M145" i="23"/>
  <c r="I145" i="23"/>
  <c r="E145" i="23"/>
  <c r="U144" i="23"/>
  <c r="Q144" i="23"/>
  <c r="M144" i="23"/>
  <c r="I144" i="23"/>
  <c r="E144" i="23"/>
  <c r="W143" i="23"/>
  <c r="U143" i="23"/>
  <c r="Q143" i="23"/>
  <c r="M143" i="23"/>
  <c r="I143" i="23"/>
  <c r="E143" i="23"/>
  <c r="T141" i="23"/>
  <c r="S141" i="23"/>
  <c r="P141" i="23"/>
  <c r="O141" i="23"/>
  <c r="L141" i="23"/>
  <c r="K141" i="23"/>
  <c r="H141" i="23"/>
  <c r="G141" i="23"/>
  <c r="D141" i="23"/>
  <c r="C141" i="23"/>
  <c r="U140" i="23"/>
  <c r="Q140" i="23"/>
  <c r="M140" i="23"/>
  <c r="I140" i="23"/>
  <c r="E140" i="23"/>
  <c r="U139" i="23"/>
  <c r="Q139" i="23"/>
  <c r="M139" i="23"/>
  <c r="I139" i="23"/>
  <c r="E139" i="23"/>
  <c r="U138" i="23"/>
  <c r="Q138" i="23"/>
  <c r="M138" i="23"/>
  <c r="I138" i="23"/>
  <c r="E138" i="23"/>
  <c r="U137" i="23"/>
  <c r="Q137" i="23"/>
  <c r="M137" i="23"/>
  <c r="I137" i="23"/>
  <c r="E137" i="23"/>
  <c r="U136" i="23"/>
  <c r="Q136" i="23"/>
  <c r="M136" i="23"/>
  <c r="I136" i="23"/>
  <c r="E136" i="23"/>
  <c r="U135" i="23"/>
  <c r="Q135" i="23"/>
  <c r="M135" i="23"/>
  <c r="I135" i="23"/>
  <c r="E135" i="23"/>
  <c r="U134" i="23"/>
  <c r="Q134" i="23"/>
  <c r="M134" i="23"/>
  <c r="I134" i="23"/>
  <c r="E134" i="23"/>
  <c r="U133" i="23"/>
  <c r="Q133" i="23"/>
  <c r="M133" i="23"/>
  <c r="I133" i="23"/>
  <c r="E133" i="23"/>
  <c r="U132" i="23"/>
  <c r="Q132" i="23"/>
  <c r="M132" i="23"/>
  <c r="I132" i="23"/>
  <c r="E132" i="23"/>
  <c r="U131" i="23"/>
  <c r="Q131" i="23"/>
  <c r="M131" i="23"/>
  <c r="I131" i="23"/>
  <c r="E131" i="23"/>
  <c r="U130" i="23"/>
  <c r="Q130" i="23"/>
  <c r="M130" i="23"/>
  <c r="I130" i="23"/>
  <c r="E130" i="23"/>
  <c r="U129" i="23"/>
  <c r="Q129" i="23"/>
  <c r="M129" i="23"/>
  <c r="I129" i="23"/>
  <c r="E129" i="23"/>
  <c r="U128" i="23"/>
  <c r="Q128" i="23"/>
  <c r="M128" i="23"/>
  <c r="I128" i="23"/>
  <c r="E128" i="23"/>
  <c r="W127" i="23"/>
  <c r="U127" i="23"/>
  <c r="Q127" i="23"/>
  <c r="M127" i="23"/>
  <c r="I127" i="23"/>
  <c r="E127" i="23"/>
  <c r="D118" i="23"/>
  <c r="R174" i="23"/>
  <c r="R176" i="23" s="1"/>
  <c r="D112" i="23"/>
  <c r="E111" i="23"/>
  <c r="E110" i="23"/>
  <c r="E109" i="23"/>
  <c r="E108" i="23"/>
  <c r="E107" i="23"/>
  <c r="E106" i="23"/>
  <c r="E105" i="23"/>
  <c r="E104" i="23"/>
  <c r="E103" i="23"/>
  <c r="E102" i="23"/>
  <c r="E101" i="23"/>
  <c r="D99" i="23"/>
  <c r="E98" i="23"/>
  <c r="E97" i="23"/>
  <c r="E96" i="23"/>
  <c r="E95" i="23"/>
  <c r="E94" i="23"/>
  <c r="E93" i="23"/>
  <c r="E92" i="23"/>
  <c r="T85" i="23"/>
  <c r="P85" i="23"/>
  <c r="L85" i="23"/>
  <c r="H85" i="23"/>
  <c r="D85" i="23"/>
  <c r="U84" i="23"/>
  <c r="M84" i="23"/>
  <c r="I84" i="23"/>
  <c r="E84" i="23"/>
  <c r="U83" i="23"/>
  <c r="M83" i="23"/>
  <c r="I83" i="23"/>
  <c r="E83" i="23"/>
  <c r="U82" i="23"/>
  <c r="M82" i="23"/>
  <c r="I82" i="23"/>
  <c r="E82" i="23"/>
  <c r="U81" i="23"/>
  <c r="M81" i="23"/>
  <c r="I81" i="23"/>
  <c r="E81" i="23"/>
  <c r="U80" i="23"/>
  <c r="M80" i="23"/>
  <c r="I80" i="23"/>
  <c r="E80" i="23"/>
  <c r="U79" i="23"/>
  <c r="M79" i="23"/>
  <c r="I79" i="23"/>
  <c r="E79" i="23"/>
  <c r="U78" i="23"/>
  <c r="M78" i="23"/>
  <c r="I78" i="23"/>
  <c r="E78" i="23"/>
  <c r="U77" i="23"/>
  <c r="M77" i="23"/>
  <c r="I77" i="23"/>
  <c r="E77" i="23"/>
  <c r="U76" i="23"/>
  <c r="M76" i="23"/>
  <c r="I76" i="23"/>
  <c r="E76" i="23"/>
  <c r="U74" i="23"/>
  <c r="M74" i="23"/>
  <c r="I74" i="23"/>
  <c r="E74" i="23"/>
  <c r="U70" i="23"/>
  <c r="M70" i="23"/>
  <c r="I70" i="23"/>
  <c r="E70" i="23"/>
  <c r="U67" i="23"/>
  <c r="M67" i="23"/>
  <c r="I67" i="23"/>
  <c r="W65" i="23"/>
  <c r="U65" i="23"/>
  <c r="M65" i="23"/>
  <c r="I65" i="23"/>
  <c r="E65" i="23"/>
  <c r="T63" i="23"/>
  <c r="P63" i="23"/>
  <c r="L63" i="23"/>
  <c r="H63" i="23"/>
  <c r="D63" i="23"/>
  <c r="U62" i="23"/>
  <c r="Q62" i="23"/>
  <c r="M62" i="23"/>
  <c r="I62" i="23"/>
  <c r="E62" i="23"/>
  <c r="W59" i="23"/>
  <c r="U59" i="23"/>
  <c r="Q59" i="23"/>
  <c r="M59" i="23"/>
  <c r="I59" i="23"/>
  <c r="E59" i="23"/>
  <c r="T57" i="23"/>
  <c r="S57" i="23"/>
  <c r="P57" i="23"/>
  <c r="O57" i="23"/>
  <c r="L57" i="23"/>
  <c r="K57" i="23"/>
  <c r="H57" i="23"/>
  <c r="G57" i="23"/>
  <c r="D57" i="23"/>
  <c r="C57" i="23"/>
  <c r="U56" i="23"/>
  <c r="Q56" i="23"/>
  <c r="M56" i="23"/>
  <c r="I56" i="23"/>
  <c r="E56" i="23"/>
  <c r="U55" i="23"/>
  <c r="Q55" i="23"/>
  <c r="M55" i="23"/>
  <c r="I55" i="23"/>
  <c r="E55" i="23"/>
  <c r="U54" i="23"/>
  <c r="Q54" i="23"/>
  <c r="M54" i="23"/>
  <c r="I54" i="23"/>
  <c r="E54" i="23"/>
  <c r="U53" i="23"/>
  <c r="Q53" i="23"/>
  <c r="M53" i="23"/>
  <c r="I53" i="23"/>
  <c r="E53" i="23"/>
  <c r="U52" i="23"/>
  <c r="Q52" i="23"/>
  <c r="M52" i="23"/>
  <c r="I52" i="23"/>
  <c r="E52" i="23"/>
  <c r="W51" i="23"/>
  <c r="U51" i="23"/>
  <c r="Q51" i="23"/>
  <c r="Y51" i="23" s="1"/>
  <c r="M51" i="23"/>
  <c r="I51" i="23"/>
  <c r="E51" i="23"/>
  <c r="T49" i="23"/>
  <c r="S49" i="23"/>
  <c r="P49" i="23"/>
  <c r="O49" i="23"/>
  <c r="L49" i="23"/>
  <c r="K49" i="23"/>
  <c r="H49" i="23"/>
  <c r="G49" i="23"/>
  <c r="D49" i="23"/>
  <c r="U48" i="23"/>
  <c r="Q48" i="23"/>
  <c r="M48" i="23"/>
  <c r="I48" i="23"/>
  <c r="E48" i="23"/>
  <c r="U47" i="23"/>
  <c r="Q47" i="23"/>
  <c r="M47" i="23"/>
  <c r="I47" i="23"/>
  <c r="E47" i="23"/>
  <c r="U46" i="23"/>
  <c r="Q46" i="23"/>
  <c r="M46" i="23"/>
  <c r="I46" i="23"/>
  <c r="E46" i="23"/>
  <c r="U45" i="23"/>
  <c r="Q45" i="23"/>
  <c r="M45" i="23"/>
  <c r="I45" i="23"/>
  <c r="E45" i="23"/>
  <c r="U44" i="23"/>
  <c r="Q44" i="23"/>
  <c r="M44" i="23"/>
  <c r="I44" i="23"/>
  <c r="E44" i="23"/>
  <c r="U43" i="23"/>
  <c r="Q43" i="23"/>
  <c r="M43" i="23"/>
  <c r="I43" i="23"/>
  <c r="E43" i="23"/>
  <c r="U42" i="23"/>
  <c r="Q42" i="23"/>
  <c r="M42" i="23"/>
  <c r="I42" i="23"/>
  <c r="E42" i="23"/>
  <c r="U41" i="23"/>
  <c r="Q41" i="23"/>
  <c r="M41" i="23"/>
  <c r="I41" i="23"/>
  <c r="E41" i="23"/>
  <c r="U40" i="23"/>
  <c r="Q40" i="23"/>
  <c r="M40" i="23"/>
  <c r="I40" i="23"/>
  <c r="E40" i="23"/>
  <c r="W39" i="23"/>
  <c r="U39" i="23"/>
  <c r="Q39" i="23"/>
  <c r="M39" i="23"/>
  <c r="I39" i="23"/>
  <c r="E39" i="23"/>
  <c r="E35" i="23"/>
  <c r="E34" i="23"/>
  <c r="E32" i="23"/>
  <c r="E31" i="23"/>
  <c r="E30" i="23"/>
  <c r="E29" i="23"/>
  <c r="V27" i="23"/>
  <c r="V37" i="23" s="1"/>
  <c r="V87" i="23" s="1"/>
  <c r="R27" i="23"/>
  <c r="R37" i="23" s="1"/>
  <c r="R87" i="23" s="1"/>
  <c r="R88" i="23" s="1"/>
  <c r="N27" i="23"/>
  <c r="N37" i="23" s="1"/>
  <c r="J27" i="23"/>
  <c r="J37" i="23" s="1"/>
  <c r="F27" i="23"/>
  <c r="F37" i="23" s="1"/>
  <c r="F88" i="23" s="1"/>
  <c r="E25" i="23"/>
  <c r="E24" i="23"/>
  <c r="E23" i="23"/>
  <c r="E22" i="23"/>
  <c r="E21" i="23"/>
  <c r="E20" i="23"/>
  <c r="E19" i="23"/>
  <c r="E18" i="23"/>
  <c r="D15" i="23"/>
  <c r="G14" i="23"/>
  <c r="K14" i="23" s="1"/>
  <c r="E14" i="23"/>
  <c r="G13" i="23"/>
  <c r="E13" i="23"/>
  <c r="G12" i="23"/>
  <c r="K12" i="23" s="1"/>
  <c r="O12" i="23" s="1"/>
  <c r="S12" i="23" s="1"/>
  <c r="E12" i="23"/>
  <c r="G11" i="23"/>
  <c r="I11" i="23" s="1"/>
  <c r="E11" i="23"/>
  <c r="G10" i="23"/>
  <c r="K10" i="23" s="1"/>
  <c r="E10" i="23"/>
  <c r="G9" i="23"/>
  <c r="K9" i="23" s="1"/>
  <c r="E9" i="23"/>
  <c r="G8" i="23"/>
  <c r="K8" i="23" s="1"/>
  <c r="O8" i="23" s="1"/>
  <c r="S8" i="23" s="1"/>
  <c r="E8" i="23"/>
  <c r="G7" i="23"/>
  <c r="K7" i="23" s="1"/>
  <c r="O7" i="23" s="1"/>
  <c r="S7" i="23" s="1"/>
  <c r="W7" i="23" s="1"/>
  <c r="E7" i="23"/>
  <c r="G6" i="23"/>
  <c r="E6" i="23"/>
  <c r="T245" i="30"/>
  <c r="S245" i="30"/>
  <c r="P245" i="30"/>
  <c r="O245" i="30"/>
  <c r="L245" i="30"/>
  <c r="K245" i="30"/>
  <c r="H245" i="30"/>
  <c r="G245" i="30"/>
  <c r="D245" i="30"/>
  <c r="C245" i="30"/>
  <c r="U244" i="30"/>
  <c r="Q244" i="30"/>
  <c r="M244" i="30"/>
  <c r="I244" i="30"/>
  <c r="E244" i="30"/>
  <c r="U243" i="30"/>
  <c r="Q243" i="30"/>
  <c r="M243" i="30"/>
  <c r="I243" i="30"/>
  <c r="E243" i="30"/>
  <c r="U242" i="30"/>
  <c r="Q242" i="30"/>
  <c r="M242" i="30"/>
  <c r="I242" i="30"/>
  <c r="E242" i="30"/>
  <c r="U241" i="30"/>
  <c r="Q241" i="30"/>
  <c r="M241" i="30"/>
  <c r="I241" i="30"/>
  <c r="E241" i="30"/>
  <c r="U240" i="30"/>
  <c r="Q240" i="30"/>
  <c r="M240" i="30"/>
  <c r="I240" i="30"/>
  <c r="E240" i="30"/>
  <c r="U239" i="30"/>
  <c r="Q239" i="30"/>
  <c r="M239" i="30"/>
  <c r="I239" i="30"/>
  <c r="E239" i="30"/>
  <c r="U238" i="30"/>
  <c r="Q238" i="30"/>
  <c r="M238" i="30"/>
  <c r="I238" i="30"/>
  <c r="E238" i="30"/>
  <c r="U237" i="30"/>
  <c r="Q237" i="30"/>
  <c r="M237" i="30"/>
  <c r="I237" i="30"/>
  <c r="E237" i="30"/>
  <c r="U236" i="30"/>
  <c r="Q236" i="30"/>
  <c r="M236" i="30"/>
  <c r="I236" i="30"/>
  <c r="E236" i="30"/>
  <c r="U235" i="30"/>
  <c r="Q235" i="30"/>
  <c r="M235" i="30"/>
  <c r="I235" i="30"/>
  <c r="E235" i="30"/>
  <c r="U234" i="30"/>
  <c r="Q234" i="30"/>
  <c r="M234" i="30"/>
  <c r="I234" i="30"/>
  <c r="E234" i="30"/>
  <c r="W233" i="30"/>
  <c r="U233" i="30"/>
  <c r="Q233" i="30"/>
  <c r="M233" i="30"/>
  <c r="I233" i="30"/>
  <c r="E233" i="30"/>
  <c r="T231" i="30"/>
  <c r="P231" i="30"/>
  <c r="L231" i="30"/>
  <c r="H231" i="30"/>
  <c r="D231" i="30"/>
  <c r="C231" i="30"/>
  <c r="U230" i="30"/>
  <c r="Q230" i="30"/>
  <c r="M230" i="30"/>
  <c r="I230" i="30"/>
  <c r="E230" i="30"/>
  <c r="U229" i="30"/>
  <c r="Q229" i="30"/>
  <c r="M229" i="30"/>
  <c r="I229" i="30"/>
  <c r="E229" i="30"/>
  <c r="E228" i="30"/>
  <c r="W227" i="30"/>
  <c r="U227" i="30"/>
  <c r="Q227" i="30"/>
  <c r="M227" i="30"/>
  <c r="I227" i="30"/>
  <c r="E227" i="30"/>
  <c r="T225" i="30"/>
  <c r="S225" i="30"/>
  <c r="P225" i="30"/>
  <c r="O225" i="30"/>
  <c r="L225" i="30"/>
  <c r="K225" i="30"/>
  <c r="H225" i="30"/>
  <c r="G225" i="30"/>
  <c r="D225" i="30"/>
  <c r="C225" i="30"/>
  <c r="U224" i="30"/>
  <c r="Q224" i="30"/>
  <c r="M224" i="30"/>
  <c r="I224" i="30"/>
  <c r="E224" i="30"/>
  <c r="U223" i="30"/>
  <c r="Q223" i="30"/>
  <c r="M223" i="30"/>
  <c r="I223" i="30"/>
  <c r="E223" i="30"/>
  <c r="U222" i="30"/>
  <c r="Q222" i="30"/>
  <c r="M222" i="30"/>
  <c r="I222" i="30"/>
  <c r="E222" i="30"/>
  <c r="U221" i="30"/>
  <c r="Q221" i="30"/>
  <c r="M221" i="30"/>
  <c r="I221" i="30"/>
  <c r="E221" i="30"/>
  <c r="W219" i="30"/>
  <c r="U219" i="30"/>
  <c r="Q219" i="30"/>
  <c r="M219" i="30"/>
  <c r="I219" i="30"/>
  <c r="E219" i="30"/>
  <c r="T217" i="30"/>
  <c r="S217" i="30"/>
  <c r="P217" i="30"/>
  <c r="O217" i="30"/>
  <c r="L217" i="30"/>
  <c r="K217" i="30"/>
  <c r="H217" i="30"/>
  <c r="G217" i="30"/>
  <c r="D217" i="30"/>
  <c r="C217" i="30"/>
  <c r="U216" i="30"/>
  <c r="Q216" i="30"/>
  <c r="M216" i="30"/>
  <c r="I216" i="30"/>
  <c r="E216" i="30"/>
  <c r="U215" i="30"/>
  <c r="Q215" i="30"/>
  <c r="M215" i="30"/>
  <c r="I215" i="30"/>
  <c r="E215" i="30"/>
  <c r="U214" i="30"/>
  <c r="Q214" i="30"/>
  <c r="M214" i="30"/>
  <c r="I214" i="30"/>
  <c r="E214" i="30"/>
  <c r="U213" i="30"/>
  <c r="Q213" i="30"/>
  <c r="M213" i="30"/>
  <c r="I213" i="30"/>
  <c r="E213" i="30"/>
  <c r="U212" i="30"/>
  <c r="Q212" i="30"/>
  <c r="M212" i="30"/>
  <c r="I212" i="30"/>
  <c r="E212" i="30"/>
  <c r="U211" i="30"/>
  <c r="Q211" i="30"/>
  <c r="M211" i="30"/>
  <c r="I211" i="30"/>
  <c r="E211" i="30"/>
  <c r="U210" i="30"/>
  <c r="Q210" i="30"/>
  <c r="M210" i="30"/>
  <c r="I210" i="30"/>
  <c r="E210" i="30"/>
  <c r="U209" i="30"/>
  <c r="Q209" i="30"/>
  <c r="M209" i="30"/>
  <c r="I209" i="30"/>
  <c r="E209" i="30"/>
  <c r="U208" i="30"/>
  <c r="Q208" i="30"/>
  <c r="M208" i="30"/>
  <c r="I208" i="30"/>
  <c r="E208" i="30"/>
  <c r="W207" i="30"/>
  <c r="U207" i="30"/>
  <c r="Q207" i="30"/>
  <c r="M207" i="30"/>
  <c r="I207" i="30"/>
  <c r="E207" i="30"/>
  <c r="D204" i="30"/>
  <c r="C203" i="30"/>
  <c r="G203" i="30" s="1"/>
  <c r="I203" i="30" s="1"/>
  <c r="C202" i="30"/>
  <c r="E202" i="30" s="1"/>
  <c r="E200" i="30"/>
  <c r="C198" i="30"/>
  <c r="V196" i="30"/>
  <c r="V247" i="30" s="1"/>
  <c r="R196" i="30"/>
  <c r="R205" i="30" s="1"/>
  <c r="R246" i="30" s="1"/>
  <c r="N196" i="30"/>
  <c r="N205" i="30" s="1"/>
  <c r="N246" i="30" s="1"/>
  <c r="J196" i="30"/>
  <c r="J247" i="30" s="1"/>
  <c r="F196" i="30"/>
  <c r="F247" i="30" s="1"/>
  <c r="P195" i="30"/>
  <c r="L195" i="30"/>
  <c r="H195" i="30"/>
  <c r="D195" i="30"/>
  <c r="C195" i="30"/>
  <c r="E194" i="30"/>
  <c r="E193" i="30"/>
  <c r="E192" i="30"/>
  <c r="E191" i="30"/>
  <c r="E190" i="30"/>
  <c r="E188" i="30"/>
  <c r="D186" i="30"/>
  <c r="C186" i="30"/>
  <c r="E185" i="30"/>
  <c r="E184" i="30"/>
  <c r="E182" i="30"/>
  <c r="E181" i="30"/>
  <c r="E180" i="30"/>
  <c r="T173" i="30"/>
  <c r="P173" i="30"/>
  <c r="L173" i="30"/>
  <c r="H173" i="30"/>
  <c r="D173" i="30"/>
  <c r="U172" i="30"/>
  <c r="Q172" i="30"/>
  <c r="M172" i="30"/>
  <c r="I172" i="30"/>
  <c r="E172" i="30"/>
  <c r="U171" i="30"/>
  <c r="Q171" i="30"/>
  <c r="M171" i="30"/>
  <c r="I171" i="30"/>
  <c r="E171" i="30"/>
  <c r="U170" i="30"/>
  <c r="Q170" i="30"/>
  <c r="M170" i="30"/>
  <c r="I170" i="30"/>
  <c r="E170" i="30"/>
  <c r="U169" i="30"/>
  <c r="Q169" i="30"/>
  <c r="M169" i="30"/>
  <c r="I169" i="30"/>
  <c r="E169" i="30"/>
  <c r="U168" i="30"/>
  <c r="Q168" i="30"/>
  <c r="M168" i="30"/>
  <c r="I168" i="30"/>
  <c r="E168" i="30"/>
  <c r="U167" i="30"/>
  <c r="Q167" i="30"/>
  <c r="M167" i="30"/>
  <c r="I167" i="30"/>
  <c r="E167" i="30"/>
  <c r="U166" i="30"/>
  <c r="Q166" i="30"/>
  <c r="M166" i="30"/>
  <c r="I166" i="30"/>
  <c r="E166" i="30"/>
  <c r="U165" i="30"/>
  <c r="Q165" i="30"/>
  <c r="M165" i="30"/>
  <c r="I165" i="30"/>
  <c r="E165" i="30"/>
  <c r="U164" i="30"/>
  <c r="Q164" i="30"/>
  <c r="M164" i="30"/>
  <c r="I164" i="30"/>
  <c r="E164" i="30"/>
  <c r="U163" i="30"/>
  <c r="Q163" i="30"/>
  <c r="M163" i="30"/>
  <c r="I163" i="30"/>
  <c r="E163" i="30"/>
  <c r="U162" i="30"/>
  <c r="Q162" i="30"/>
  <c r="M162" i="30"/>
  <c r="I162" i="30"/>
  <c r="E162" i="30"/>
  <c r="U161" i="30"/>
  <c r="Q161" i="30"/>
  <c r="M161" i="30"/>
  <c r="I161" i="30"/>
  <c r="E161" i="30"/>
  <c r="U160" i="30"/>
  <c r="Q160" i="30"/>
  <c r="M160" i="30"/>
  <c r="I160" i="30"/>
  <c r="E160" i="30"/>
  <c r="U159" i="30"/>
  <c r="Q159" i="30"/>
  <c r="M159" i="30"/>
  <c r="I159" i="30"/>
  <c r="E159" i="30"/>
  <c r="U158" i="30"/>
  <c r="Q158" i="30"/>
  <c r="M158" i="30"/>
  <c r="I158" i="30"/>
  <c r="E158" i="30"/>
  <c r="W157" i="30"/>
  <c r="U157" i="30"/>
  <c r="Q157" i="30"/>
  <c r="M157" i="30"/>
  <c r="I157" i="30"/>
  <c r="E157" i="30"/>
  <c r="T155" i="30"/>
  <c r="S155" i="30"/>
  <c r="P155" i="30"/>
  <c r="O155" i="30"/>
  <c r="L155" i="30"/>
  <c r="X155" i="30" s="1"/>
  <c r="K155" i="30"/>
  <c r="H155" i="30"/>
  <c r="G155" i="30"/>
  <c r="D155" i="30"/>
  <c r="C155" i="30"/>
  <c r="U154" i="30"/>
  <c r="Q154" i="30"/>
  <c r="M154" i="30"/>
  <c r="I154" i="30"/>
  <c r="E154" i="30"/>
  <c r="U153" i="30"/>
  <c r="Q153" i="30"/>
  <c r="M153" i="30"/>
  <c r="I153" i="30"/>
  <c r="E153" i="30"/>
  <c r="U152" i="30"/>
  <c r="Q152" i="30"/>
  <c r="M152" i="30"/>
  <c r="I152" i="30"/>
  <c r="E152" i="30"/>
  <c r="W151" i="30"/>
  <c r="U151" i="30"/>
  <c r="Q151" i="30"/>
  <c r="M151" i="30"/>
  <c r="I151" i="30"/>
  <c r="E151" i="30"/>
  <c r="T149" i="30"/>
  <c r="P149" i="30"/>
  <c r="L149" i="30"/>
  <c r="H149" i="30"/>
  <c r="D149" i="30"/>
  <c r="U148" i="30"/>
  <c r="Q148" i="30"/>
  <c r="M148" i="30"/>
  <c r="I148" i="30"/>
  <c r="E148" i="30"/>
  <c r="U147" i="30"/>
  <c r="Q147" i="30"/>
  <c r="M147" i="30"/>
  <c r="I147" i="30"/>
  <c r="E147" i="30"/>
  <c r="U146" i="30"/>
  <c r="Q146" i="30"/>
  <c r="M146" i="30"/>
  <c r="I146" i="30"/>
  <c r="E146" i="30"/>
  <c r="U145" i="30"/>
  <c r="Q145" i="30"/>
  <c r="M145" i="30"/>
  <c r="I145" i="30"/>
  <c r="E145" i="30"/>
  <c r="W143" i="30"/>
  <c r="U143" i="30"/>
  <c r="Q143" i="30"/>
  <c r="M143" i="30"/>
  <c r="I143" i="30"/>
  <c r="E143" i="30"/>
  <c r="T141" i="30"/>
  <c r="S141" i="30"/>
  <c r="P141" i="30"/>
  <c r="O141" i="30"/>
  <c r="L141" i="30"/>
  <c r="K141" i="30"/>
  <c r="H141" i="30"/>
  <c r="G141" i="30"/>
  <c r="D141" i="30"/>
  <c r="C141" i="30"/>
  <c r="U140" i="30"/>
  <c r="Q140" i="30"/>
  <c r="M140" i="30"/>
  <c r="I140" i="30"/>
  <c r="E140" i="30"/>
  <c r="U139" i="30"/>
  <c r="Q139" i="30"/>
  <c r="M139" i="30"/>
  <c r="I139" i="30"/>
  <c r="E139" i="30"/>
  <c r="U138" i="30"/>
  <c r="Q138" i="30"/>
  <c r="M138" i="30"/>
  <c r="I138" i="30"/>
  <c r="E138" i="30"/>
  <c r="U137" i="30"/>
  <c r="Q137" i="30"/>
  <c r="M137" i="30"/>
  <c r="I137" i="30"/>
  <c r="E137" i="30"/>
  <c r="U136" i="30"/>
  <c r="Q136" i="30"/>
  <c r="M136" i="30"/>
  <c r="I136" i="30"/>
  <c r="E136" i="30"/>
  <c r="U135" i="30"/>
  <c r="Q135" i="30"/>
  <c r="M135" i="30"/>
  <c r="I135" i="30"/>
  <c r="E135" i="30"/>
  <c r="U134" i="30"/>
  <c r="Q134" i="30"/>
  <c r="M134" i="30"/>
  <c r="I134" i="30"/>
  <c r="E134" i="30"/>
  <c r="U133" i="30"/>
  <c r="Q133" i="30"/>
  <c r="M133" i="30"/>
  <c r="I133" i="30"/>
  <c r="E133" i="30"/>
  <c r="U132" i="30"/>
  <c r="Q132" i="30"/>
  <c r="M132" i="30"/>
  <c r="I132" i="30"/>
  <c r="E132" i="30"/>
  <c r="U131" i="30"/>
  <c r="Q131" i="30"/>
  <c r="M131" i="30"/>
  <c r="I131" i="30"/>
  <c r="E131" i="30"/>
  <c r="U130" i="30"/>
  <c r="Q130" i="30"/>
  <c r="M130" i="30"/>
  <c r="I130" i="30"/>
  <c r="E130" i="30"/>
  <c r="U129" i="30"/>
  <c r="Q129" i="30"/>
  <c r="M129" i="30"/>
  <c r="I129" i="30"/>
  <c r="E129" i="30"/>
  <c r="U128" i="30"/>
  <c r="Q128" i="30"/>
  <c r="M128" i="30"/>
  <c r="I128" i="30"/>
  <c r="E128" i="30"/>
  <c r="W127" i="30"/>
  <c r="U127" i="30"/>
  <c r="Q127" i="30"/>
  <c r="M127" i="30"/>
  <c r="I127" i="30"/>
  <c r="E127" i="30"/>
  <c r="D118" i="30"/>
  <c r="H118" i="30" s="1"/>
  <c r="D112" i="30"/>
  <c r="E111" i="30"/>
  <c r="E110" i="30"/>
  <c r="E109" i="30"/>
  <c r="E108" i="30"/>
  <c r="E107" i="30"/>
  <c r="E106" i="30"/>
  <c r="E105" i="30"/>
  <c r="E104" i="30"/>
  <c r="E103" i="30"/>
  <c r="E102" i="30"/>
  <c r="E101" i="30"/>
  <c r="D99" i="30"/>
  <c r="E98" i="30"/>
  <c r="E97" i="30"/>
  <c r="E96" i="30"/>
  <c r="E95" i="30"/>
  <c r="E94" i="30"/>
  <c r="E92" i="30"/>
  <c r="T85" i="30"/>
  <c r="P85" i="30"/>
  <c r="L85" i="30"/>
  <c r="H85" i="30"/>
  <c r="D85" i="30"/>
  <c r="U84" i="30"/>
  <c r="M84" i="30"/>
  <c r="I84" i="30"/>
  <c r="E84" i="30"/>
  <c r="U83" i="30"/>
  <c r="M83" i="30"/>
  <c r="I83" i="30"/>
  <c r="E83" i="30"/>
  <c r="U82" i="30"/>
  <c r="M82" i="30"/>
  <c r="I82" i="30"/>
  <c r="E82" i="30"/>
  <c r="U81" i="30"/>
  <c r="M81" i="30"/>
  <c r="I81" i="30"/>
  <c r="E81" i="30"/>
  <c r="U80" i="30"/>
  <c r="M80" i="30"/>
  <c r="I80" i="30"/>
  <c r="E80" i="30"/>
  <c r="U79" i="30"/>
  <c r="M79" i="30"/>
  <c r="I79" i="30"/>
  <c r="E79" i="30"/>
  <c r="U78" i="30"/>
  <c r="M78" i="30"/>
  <c r="I78" i="30"/>
  <c r="E78" i="30"/>
  <c r="U77" i="30"/>
  <c r="M77" i="30"/>
  <c r="I77" i="30"/>
  <c r="E77" i="30"/>
  <c r="U76" i="30"/>
  <c r="M76" i="30"/>
  <c r="I76" i="30"/>
  <c r="E76" i="30"/>
  <c r="U75" i="30"/>
  <c r="M75" i="30"/>
  <c r="I75" i="30"/>
  <c r="E75" i="30"/>
  <c r="U74" i="30"/>
  <c r="M74" i="30"/>
  <c r="I74" i="30"/>
  <c r="E74" i="30"/>
  <c r="U73" i="30"/>
  <c r="M73" i="30"/>
  <c r="I73" i="30"/>
  <c r="E73" i="30"/>
  <c r="U72" i="30"/>
  <c r="M72" i="30"/>
  <c r="I72" i="30"/>
  <c r="E72" i="30"/>
  <c r="U71" i="30"/>
  <c r="M71" i="30"/>
  <c r="I71" i="30"/>
  <c r="E71" i="30"/>
  <c r="U70" i="30"/>
  <c r="M70" i="30"/>
  <c r="I70" i="30"/>
  <c r="E70" i="30"/>
  <c r="W65" i="30"/>
  <c r="U65" i="30"/>
  <c r="M65" i="30"/>
  <c r="I65" i="30"/>
  <c r="E65" i="30"/>
  <c r="T63" i="30"/>
  <c r="P63" i="30"/>
  <c r="L63" i="30"/>
  <c r="H63" i="30"/>
  <c r="D63" i="30"/>
  <c r="U62" i="30"/>
  <c r="Q62" i="30"/>
  <c r="M62" i="30"/>
  <c r="I62" i="30"/>
  <c r="E62" i="30"/>
  <c r="U60" i="30"/>
  <c r="Q60" i="30"/>
  <c r="M60" i="30"/>
  <c r="I60" i="30"/>
  <c r="E60" i="30"/>
  <c r="T57" i="30"/>
  <c r="P57" i="30"/>
  <c r="L57" i="30"/>
  <c r="H57" i="30"/>
  <c r="D57" i="30"/>
  <c r="U56" i="30"/>
  <c r="Q56" i="30"/>
  <c r="M56" i="30"/>
  <c r="I56" i="30"/>
  <c r="E56" i="30"/>
  <c r="U55" i="30"/>
  <c r="Q55" i="30"/>
  <c r="M55" i="30"/>
  <c r="I55" i="30"/>
  <c r="E55" i="30"/>
  <c r="U54" i="30"/>
  <c r="Q54" i="30"/>
  <c r="M54" i="30"/>
  <c r="I54" i="30"/>
  <c r="E54" i="30"/>
  <c r="T49" i="30"/>
  <c r="S49" i="30"/>
  <c r="P49" i="30"/>
  <c r="O49" i="30"/>
  <c r="L49" i="30"/>
  <c r="K49" i="30"/>
  <c r="H49" i="30"/>
  <c r="G49" i="30"/>
  <c r="D49" i="30"/>
  <c r="C49" i="30"/>
  <c r="U48" i="30"/>
  <c r="Q48" i="30"/>
  <c r="M48" i="30"/>
  <c r="I48" i="30"/>
  <c r="E48" i="30"/>
  <c r="U47" i="30"/>
  <c r="Q47" i="30"/>
  <c r="M47" i="30"/>
  <c r="I47" i="30"/>
  <c r="E47" i="30"/>
  <c r="U46" i="30"/>
  <c r="Q46" i="30"/>
  <c r="M46" i="30"/>
  <c r="I46" i="30"/>
  <c r="E46" i="30"/>
  <c r="U45" i="30"/>
  <c r="Q45" i="30"/>
  <c r="M45" i="30"/>
  <c r="I45" i="30"/>
  <c r="E45" i="30"/>
  <c r="U44" i="30"/>
  <c r="Q44" i="30"/>
  <c r="M44" i="30"/>
  <c r="I44" i="30"/>
  <c r="E44" i="30"/>
  <c r="U43" i="30"/>
  <c r="Q43" i="30"/>
  <c r="M43" i="30"/>
  <c r="I43" i="30"/>
  <c r="E43" i="30"/>
  <c r="U42" i="30"/>
  <c r="Q42" i="30"/>
  <c r="M42" i="30"/>
  <c r="I42" i="30"/>
  <c r="E42" i="30"/>
  <c r="U41" i="30"/>
  <c r="Q41" i="30"/>
  <c r="M41" i="30"/>
  <c r="I41" i="30"/>
  <c r="E41" i="30"/>
  <c r="U40" i="30"/>
  <c r="Q40" i="30"/>
  <c r="M40" i="30"/>
  <c r="M39" i="30"/>
  <c r="I40" i="30"/>
  <c r="E40" i="30"/>
  <c r="U39" i="30"/>
  <c r="Q39" i="30"/>
  <c r="I39" i="30"/>
  <c r="E39" i="30"/>
  <c r="D36" i="30"/>
  <c r="E35" i="30"/>
  <c r="E34" i="30"/>
  <c r="E31" i="30"/>
  <c r="E29" i="30"/>
  <c r="V27" i="30"/>
  <c r="V37" i="30" s="1"/>
  <c r="R27" i="30"/>
  <c r="R37" i="30" s="1"/>
  <c r="N27" i="30"/>
  <c r="N37" i="30" s="1"/>
  <c r="J27" i="30"/>
  <c r="J37" i="30" s="1"/>
  <c r="F27" i="30"/>
  <c r="F37" i="30" s="1"/>
  <c r="D26" i="30"/>
  <c r="C26" i="30"/>
  <c r="C30" i="30" s="1"/>
  <c r="E30" i="30" s="1"/>
  <c r="C15" i="30"/>
  <c r="C32" i="30" s="1"/>
  <c r="E25" i="30"/>
  <c r="E24" i="30"/>
  <c r="E23" i="30"/>
  <c r="E22" i="30"/>
  <c r="E21" i="30"/>
  <c r="E20" i="30"/>
  <c r="E19" i="30"/>
  <c r="E17" i="30"/>
  <c r="D15" i="30"/>
  <c r="G14" i="30"/>
  <c r="K14" i="30" s="1"/>
  <c r="O14" i="30" s="1"/>
  <c r="S14" i="30" s="1"/>
  <c r="E14" i="30"/>
  <c r="G13" i="30"/>
  <c r="K13" i="30" s="1"/>
  <c r="O13" i="30" s="1"/>
  <c r="S13" i="30" s="1"/>
  <c r="W13" i="30" s="1"/>
  <c r="E13" i="30"/>
  <c r="G12" i="30"/>
  <c r="K12" i="30" s="1"/>
  <c r="O12" i="30" s="1"/>
  <c r="S12" i="30" s="1"/>
  <c r="E12" i="30"/>
  <c r="G11" i="30"/>
  <c r="I11" i="30" s="1"/>
  <c r="E11" i="30"/>
  <c r="G10" i="30"/>
  <c r="E10" i="30"/>
  <c r="G9" i="30"/>
  <c r="K9" i="30" s="1"/>
  <c r="E9" i="30"/>
  <c r="E7" i="30"/>
  <c r="S245" i="32"/>
  <c r="K245" i="32"/>
  <c r="G245" i="32"/>
  <c r="C245" i="32"/>
  <c r="U244" i="32"/>
  <c r="Q244" i="32"/>
  <c r="M244" i="32"/>
  <c r="I244" i="32"/>
  <c r="E244" i="32"/>
  <c r="U243" i="32"/>
  <c r="Q243" i="32"/>
  <c r="M243" i="32"/>
  <c r="I243" i="32"/>
  <c r="E243" i="32"/>
  <c r="U242" i="32"/>
  <c r="Q242" i="32"/>
  <c r="M242" i="32"/>
  <c r="I242" i="32"/>
  <c r="E242" i="32"/>
  <c r="U241" i="32"/>
  <c r="Q241" i="32"/>
  <c r="M241" i="32"/>
  <c r="I241" i="32"/>
  <c r="E241" i="32"/>
  <c r="U240" i="32"/>
  <c r="Q240" i="32"/>
  <c r="M240" i="32"/>
  <c r="I240" i="32"/>
  <c r="E240" i="32"/>
  <c r="U239" i="32"/>
  <c r="Q239" i="32"/>
  <c r="M239" i="32"/>
  <c r="I239" i="32"/>
  <c r="E239" i="32"/>
  <c r="U238" i="32"/>
  <c r="Q238" i="32"/>
  <c r="M238" i="32"/>
  <c r="I238" i="32"/>
  <c r="E238" i="32"/>
  <c r="U237" i="32"/>
  <c r="Q237" i="32"/>
  <c r="M237" i="32"/>
  <c r="I237" i="32"/>
  <c r="E237" i="32"/>
  <c r="U236" i="32"/>
  <c r="Q236" i="32"/>
  <c r="M236" i="32"/>
  <c r="I236" i="32"/>
  <c r="E236" i="32"/>
  <c r="U233" i="32"/>
  <c r="Q233" i="32"/>
  <c r="M233" i="32"/>
  <c r="I233" i="32"/>
  <c r="E233" i="32"/>
  <c r="T231" i="32"/>
  <c r="P231" i="32"/>
  <c r="L231" i="32"/>
  <c r="H231" i="32"/>
  <c r="D231" i="32"/>
  <c r="E230" i="32"/>
  <c r="U229" i="32"/>
  <c r="Q229" i="32"/>
  <c r="M229" i="32"/>
  <c r="I229" i="32"/>
  <c r="E229" i="32"/>
  <c r="U228" i="32"/>
  <c r="Q228" i="32"/>
  <c r="M228" i="32"/>
  <c r="I228" i="32"/>
  <c r="E228" i="32"/>
  <c r="W227" i="32"/>
  <c r="U227" i="32"/>
  <c r="Q227" i="32"/>
  <c r="M227" i="32"/>
  <c r="I227" i="32"/>
  <c r="E227" i="32"/>
  <c r="C225" i="32"/>
  <c r="G225" i="32"/>
  <c r="K225" i="32"/>
  <c r="O225" i="32"/>
  <c r="S225" i="32"/>
  <c r="P225" i="32"/>
  <c r="U224" i="32"/>
  <c r="Q224" i="32"/>
  <c r="M224" i="32"/>
  <c r="I224" i="32"/>
  <c r="E224" i="32"/>
  <c r="U223" i="32"/>
  <c r="Q223" i="32"/>
  <c r="M223" i="32"/>
  <c r="I223" i="32"/>
  <c r="E223" i="32"/>
  <c r="U222" i="32"/>
  <c r="Q222" i="32"/>
  <c r="M222" i="32"/>
  <c r="I222" i="32"/>
  <c r="E222" i="32"/>
  <c r="U221" i="32"/>
  <c r="Q221" i="32"/>
  <c r="M221" i="32"/>
  <c r="I221" i="32"/>
  <c r="E221" i="32"/>
  <c r="T217" i="32"/>
  <c r="S217" i="32"/>
  <c r="P217" i="32"/>
  <c r="O217" i="32"/>
  <c r="L217" i="32"/>
  <c r="K217" i="32"/>
  <c r="H217" i="32"/>
  <c r="G217" i="32"/>
  <c r="D217" i="32"/>
  <c r="C217" i="32"/>
  <c r="U216" i="32"/>
  <c r="Q216" i="32"/>
  <c r="M216" i="32"/>
  <c r="I216" i="32"/>
  <c r="E216" i="32"/>
  <c r="U215" i="32"/>
  <c r="Q215" i="32"/>
  <c r="M215" i="32"/>
  <c r="I215" i="32"/>
  <c r="E215" i="32"/>
  <c r="U214" i="32"/>
  <c r="Q214" i="32"/>
  <c r="M214" i="32"/>
  <c r="I214" i="32"/>
  <c r="E214" i="32"/>
  <c r="U213" i="32"/>
  <c r="Q213" i="32"/>
  <c r="M213" i="32"/>
  <c r="I213" i="32"/>
  <c r="E213" i="32"/>
  <c r="U212" i="32"/>
  <c r="Q212" i="32"/>
  <c r="M212" i="32"/>
  <c r="I212" i="32"/>
  <c r="E212" i="32"/>
  <c r="U211" i="32"/>
  <c r="Q211" i="32"/>
  <c r="M211" i="32"/>
  <c r="I211" i="32"/>
  <c r="E211" i="32"/>
  <c r="U210" i="32"/>
  <c r="Q210" i="32"/>
  <c r="M210" i="32"/>
  <c r="I210" i="32"/>
  <c r="E210" i="32"/>
  <c r="U209" i="32"/>
  <c r="Q209" i="32"/>
  <c r="M209" i="32"/>
  <c r="I209" i="32"/>
  <c r="E209" i="32"/>
  <c r="W207" i="32"/>
  <c r="U207" i="32"/>
  <c r="Q207" i="32"/>
  <c r="M207" i="32"/>
  <c r="I207" i="32"/>
  <c r="E207" i="32"/>
  <c r="U203" i="32"/>
  <c r="E198" i="32"/>
  <c r="V196" i="32"/>
  <c r="V247" i="32" s="1"/>
  <c r="R196" i="32"/>
  <c r="R247" i="32" s="1"/>
  <c r="N196" i="32"/>
  <c r="N247" i="32" s="1"/>
  <c r="J196" i="32"/>
  <c r="J247" i="32" s="1"/>
  <c r="F196" i="32"/>
  <c r="F247" i="32" s="1"/>
  <c r="G202" i="32"/>
  <c r="K202" i="32" s="1"/>
  <c r="O202" i="32" s="1"/>
  <c r="Q202" i="32" s="1"/>
  <c r="E194" i="32"/>
  <c r="E193" i="32"/>
  <c r="E192" i="32"/>
  <c r="E191" i="32"/>
  <c r="D186" i="32"/>
  <c r="C186" i="32"/>
  <c r="C200" i="32" s="1"/>
  <c r="G185" i="32"/>
  <c r="E185" i="32"/>
  <c r="G184" i="32"/>
  <c r="E184" i="32"/>
  <c r="G182" i="32"/>
  <c r="E182" i="32"/>
  <c r="G181" i="32"/>
  <c r="E181" i="32"/>
  <c r="G180" i="32"/>
  <c r="E180" i="32"/>
  <c r="P173" i="32"/>
  <c r="L173" i="32"/>
  <c r="U172" i="32"/>
  <c r="Q172" i="32"/>
  <c r="M172" i="32"/>
  <c r="I172" i="32"/>
  <c r="E172" i="32"/>
  <c r="U171" i="32"/>
  <c r="Q171" i="32"/>
  <c r="M171" i="32"/>
  <c r="I171" i="32"/>
  <c r="E171" i="32"/>
  <c r="U170" i="32"/>
  <c r="Q170" i="32"/>
  <c r="M170" i="32"/>
  <c r="I170" i="32"/>
  <c r="E170" i="32"/>
  <c r="U169" i="32"/>
  <c r="Q169" i="32"/>
  <c r="M169" i="32"/>
  <c r="I169" i="32"/>
  <c r="E169" i="32"/>
  <c r="U168" i="32"/>
  <c r="Q168" i="32"/>
  <c r="M168" i="32"/>
  <c r="I168" i="32"/>
  <c r="E168" i="32"/>
  <c r="U167" i="32"/>
  <c r="Q167" i="32"/>
  <c r="M167" i="32"/>
  <c r="I167" i="32"/>
  <c r="E167" i="32"/>
  <c r="U166" i="32"/>
  <c r="Q166" i="32"/>
  <c r="M166" i="32"/>
  <c r="I166" i="32"/>
  <c r="E166" i="32"/>
  <c r="U165" i="32"/>
  <c r="Q165" i="32"/>
  <c r="M165" i="32"/>
  <c r="I165" i="32"/>
  <c r="E165" i="32"/>
  <c r="U164" i="32"/>
  <c r="Q164" i="32"/>
  <c r="M164" i="32"/>
  <c r="I164" i="32"/>
  <c r="E164" i="32"/>
  <c r="U163" i="32"/>
  <c r="Q163" i="32"/>
  <c r="M163" i="32"/>
  <c r="I163" i="32"/>
  <c r="E163" i="32"/>
  <c r="U162" i="32"/>
  <c r="Q162" i="32"/>
  <c r="M162" i="32"/>
  <c r="I162" i="32"/>
  <c r="E162" i="32"/>
  <c r="M159" i="32"/>
  <c r="T155" i="32"/>
  <c r="P155" i="32"/>
  <c r="L155" i="32"/>
  <c r="H155" i="32"/>
  <c r="D155" i="32"/>
  <c r="Q153" i="32"/>
  <c r="M153" i="32"/>
  <c r="I153" i="32"/>
  <c r="E153" i="32"/>
  <c r="U152" i="32"/>
  <c r="Q152" i="32"/>
  <c r="M152" i="32"/>
  <c r="I152" i="32"/>
  <c r="E152" i="32"/>
  <c r="W151" i="32"/>
  <c r="U151" i="32"/>
  <c r="Q151" i="32"/>
  <c r="M151" i="32"/>
  <c r="I151" i="32"/>
  <c r="E151" i="32"/>
  <c r="P149" i="32"/>
  <c r="U148" i="32"/>
  <c r="Q148" i="32"/>
  <c r="M148" i="32"/>
  <c r="I148" i="32"/>
  <c r="E148" i="32"/>
  <c r="U147" i="32"/>
  <c r="Q147" i="32"/>
  <c r="M147" i="32"/>
  <c r="I147" i="32"/>
  <c r="E147" i="32"/>
  <c r="U146" i="32"/>
  <c r="Q146" i="32"/>
  <c r="M146" i="32"/>
  <c r="I146" i="32"/>
  <c r="E146" i="32"/>
  <c r="U145" i="32"/>
  <c r="Q145" i="32"/>
  <c r="M145" i="32"/>
  <c r="I145" i="32"/>
  <c r="E145" i="32"/>
  <c r="T141" i="32"/>
  <c r="S141" i="32"/>
  <c r="P141" i="32"/>
  <c r="O141" i="32"/>
  <c r="K141" i="32"/>
  <c r="L141" i="32"/>
  <c r="H141" i="32"/>
  <c r="G141" i="32"/>
  <c r="D141" i="32"/>
  <c r="U140" i="32"/>
  <c r="Q140" i="32"/>
  <c r="M140" i="32"/>
  <c r="I140" i="32"/>
  <c r="E140" i="32"/>
  <c r="U139" i="32"/>
  <c r="Q139" i="32"/>
  <c r="M139" i="32"/>
  <c r="I139" i="32"/>
  <c r="E139" i="32"/>
  <c r="U138" i="32"/>
  <c r="Q138" i="32"/>
  <c r="M138" i="32"/>
  <c r="I138" i="32"/>
  <c r="E138" i="32"/>
  <c r="U137" i="32"/>
  <c r="Q137" i="32"/>
  <c r="M137" i="32"/>
  <c r="I137" i="32"/>
  <c r="E137" i="32"/>
  <c r="U136" i="32"/>
  <c r="Q136" i="32"/>
  <c r="M136" i="32"/>
  <c r="I136" i="32"/>
  <c r="E136" i="32"/>
  <c r="U135" i="32"/>
  <c r="Q135" i="32"/>
  <c r="M135" i="32"/>
  <c r="I135" i="32"/>
  <c r="E135" i="32"/>
  <c r="U134" i="32"/>
  <c r="Q134" i="32"/>
  <c r="M134" i="32"/>
  <c r="I134" i="32"/>
  <c r="E134" i="32"/>
  <c r="U133" i="32"/>
  <c r="Q133" i="32"/>
  <c r="M133" i="32"/>
  <c r="I133" i="32"/>
  <c r="E133" i="32"/>
  <c r="U132" i="32"/>
  <c r="Q132" i="32"/>
  <c r="M132" i="32"/>
  <c r="I132" i="32"/>
  <c r="E132" i="32"/>
  <c r="U131" i="32"/>
  <c r="Q131" i="32"/>
  <c r="M131" i="32"/>
  <c r="I131" i="32"/>
  <c r="E131" i="32"/>
  <c r="U130" i="32"/>
  <c r="Q130" i="32"/>
  <c r="M130" i="32"/>
  <c r="E130" i="32"/>
  <c r="I130" i="32"/>
  <c r="U129" i="32"/>
  <c r="Q129" i="32"/>
  <c r="M129" i="32"/>
  <c r="I129" i="32"/>
  <c r="W127" i="32"/>
  <c r="U127" i="32"/>
  <c r="Q127" i="32"/>
  <c r="M127" i="32"/>
  <c r="I127" i="32"/>
  <c r="E127" i="32"/>
  <c r="I115" i="32"/>
  <c r="E115" i="32"/>
  <c r="E111" i="32"/>
  <c r="E110" i="32"/>
  <c r="E109" i="32"/>
  <c r="E108" i="32"/>
  <c r="E107" i="32"/>
  <c r="E106" i="32"/>
  <c r="E105" i="32"/>
  <c r="E104" i="32"/>
  <c r="E103" i="32"/>
  <c r="D99" i="32"/>
  <c r="E98" i="32"/>
  <c r="E97" i="32"/>
  <c r="E96" i="32"/>
  <c r="E95" i="32"/>
  <c r="E94" i="32"/>
  <c r="E93" i="32"/>
  <c r="T85" i="32"/>
  <c r="P85" i="32"/>
  <c r="L85" i="32"/>
  <c r="H85" i="32"/>
  <c r="U84" i="32"/>
  <c r="M84" i="32"/>
  <c r="I84" i="32"/>
  <c r="E84" i="32"/>
  <c r="U83" i="32"/>
  <c r="M83" i="32"/>
  <c r="I83" i="32"/>
  <c r="E83" i="32"/>
  <c r="U82" i="32"/>
  <c r="M82" i="32"/>
  <c r="I82" i="32"/>
  <c r="E82" i="32"/>
  <c r="U81" i="32"/>
  <c r="M81" i="32"/>
  <c r="I81" i="32"/>
  <c r="E81" i="32"/>
  <c r="U80" i="32"/>
  <c r="M80" i="32"/>
  <c r="I80" i="32"/>
  <c r="E80" i="32"/>
  <c r="U79" i="32"/>
  <c r="M79" i="32"/>
  <c r="I79" i="32"/>
  <c r="E79" i="32"/>
  <c r="U78" i="32"/>
  <c r="M78" i="32"/>
  <c r="I78" i="32"/>
  <c r="E78" i="32"/>
  <c r="U77" i="32"/>
  <c r="M77" i="32"/>
  <c r="I77" i="32"/>
  <c r="E77" i="32"/>
  <c r="U76" i="32"/>
  <c r="M76" i="32"/>
  <c r="I76" i="32"/>
  <c r="E76" i="32"/>
  <c r="U75" i="32"/>
  <c r="M75" i="32"/>
  <c r="I75" i="32"/>
  <c r="E75" i="32"/>
  <c r="U74" i="32"/>
  <c r="M74" i="32"/>
  <c r="I74" i="32"/>
  <c r="E74" i="32"/>
  <c r="U73" i="32"/>
  <c r="M73" i="32"/>
  <c r="I73" i="32"/>
  <c r="E73" i="32"/>
  <c r="U72" i="32"/>
  <c r="M72" i="32"/>
  <c r="I72" i="32"/>
  <c r="E72" i="32"/>
  <c r="U71" i="32"/>
  <c r="M71" i="32"/>
  <c r="I71" i="32"/>
  <c r="E71" i="32"/>
  <c r="U70" i="32"/>
  <c r="M70" i="32"/>
  <c r="I70" i="32"/>
  <c r="E70" i="32"/>
  <c r="U69" i="32"/>
  <c r="M69" i="32"/>
  <c r="I69" i="32"/>
  <c r="E69" i="32"/>
  <c r="I67" i="32"/>
  <c r="U66" i="32"/>
  <c r="M66" i="32"/>
  <c r="I66" i="32"/>
  <c r="E66" i="32"/>
  <c r="U65" i="32"/>
  <c r="M65" i="32"/>
  <c r="T63" i="32"/>
  <c r="P63" i="32"/>
  <c r="L63" i="32"/>
  <c r="H63" i="32"/>
  <c r="D63" i="32"/>
  <c r="U61" i="32"/>
  <c r="Q61" i="32"/>
  <c r="M61" i="32"/>
  <c r="I61" i="32"/>
  <c r="E61" i="32"/>
  <c r="U60" i="32"/>
  <c r="Q60" i="32"/>
  <c r="M60" i="32"/>
  <c r="I60" i="32"/>
  <c r="E60" i="32"/>
  <c r="W59" i="32"/>
  <c r="U59" i="32"/>
  <c r="Q59" i="32"/>
  <c r="M59" i="32"/>
  <c r="I59" i="32"/>
  <c r="E59" i="32"/>
  <c r="L57" i="32"/>
  <c r="H57" i="32"/>
  <c r="D57" i="32"/>
  <c r="U56" i="32"/>
  <c r="Q56" i="32"/>
  <c r="M56" i="32"/>
  <c r="I56" i="32"/>
  <c r="E56" i="32"/>
  <c r="U55" i="32"/>
  <c r="Q55" i="32"/>
  <c r="M55" i="32"/>
  <c r="I55" i="32"/>
  <c r="E55" i="32"/>
  <c r="U54" i="32"/>
  <c r="Q54" i="32"/>
  <c r="M54" i="32"/>
  <c r="I54" i="32"/>
  <c r="E54" i="32"/>
  <c r="U53" i="32"/>
  <c r="Q53" i="32"/>
  <c r="M53" i="32"/>
  <c r="I53" i="32"/>
  <c r="E53" i="32"/>
  <c r="U52" i="32"/>
  <c r="Q52" i="32"/>
  <c r="M52" i="32"/>
  <c r="I52" i="32"/>
  <c r="E52" i="32"/>
  <c r="T49" i="32"/>
  <c r="S49" i="32"/>
  <c r="P49" i="32"/>
  <c r="O49" i="32"/>
  <c r="L49" i="32"/>
  <c r="H49" i="32"/>
  <c r="D49" i="32"/>
  <c r="U48" i="32"/>
  <c r="Q48" i="32"/>
  <c r="M48" i="32"/>
  <c r="I48" i="32"/>
  <c r="E48" i="32"/>
  <c r="U47" i="32"/>
  <c r="Q47" i="32"/>
  <c r="M47" i="32"/>
  <c r="I47" i="32"/>
  <c r="E47" i="32"/>
  <c r="U46" i="32"/>
  <c r="Q46" i="32"/>
  <c r="M46" i="32"/>
  <c r="I46" i="32"/>
  <c r="E46" i="32"/>
  <c r="U45" i="32"/>
  <c r="Q45" i="32"/>
  <c r="M45" i="32"/>
  <c r="I45" i="32"/>
  <c r="E45" i="32"/>
  <c r="U44" i="32"/>
  <c r="Q44" i="32"/>
  <c r="M44" i="32"/>
  <c r="I44" i="32"/>
  <c r="E44" i="32"/>
  <c r="U43" i="32"/>
  <c r="Q43" i="32"/>
  <c r="M43" i="32"/>
  <c r="I43" i="32"/>
  <c r="E43" i="32"/>
  <c r="U42" i="32"/>
  <c r="Q42" i="32"/>
  <c r="M42" i="32"/>
  <c r="I42" i="32"/>
  <c r="E42" i="32"/>
  <c r="U41" i="32"/>
  <c r="Q41" i="32"/>
  <c r="M41" i="32"/>
  <c r="I41" i="32"/>
  <c r="E32" i="32"/>
  <c r="E31" i="32"/>
  <c r="E29" i="32"/>
  <c r="V27" i="32"/>
  <c r="V37" i="32" s="1"/>
  <c r="R27" i="32"/>
  <c r="R37" i="32" s="1"/>
  <c r="N27" i="32"/>
  <c r="N37" i="32" s="1"/>
  <c r="J27" i="32"/>
  <c r="J37" i="32" s="1"/>
  <c r="F27" i="32"/>
  <c r="F37" i="32" s="1"/>
  <c r="D26" i="32"/>
  <c r="D33" i="32" s="1"/>
  <c r="D36" i="32" s="1"/>
  <c r="E25" i="32"/>
  <c r="E24" i="32"/>
  <c r="E23" i="32"/>
  <c r="E22" i="32"/>
  <c r="E21" i="32"/>
  <c r="E20" i="32"/>
  <c r="E19" i="32"/>
  <c r="D15" i="32"/>
  <c r="E14" i="32"/>
  <c r="E13" i="32"/>
  <c r="E12" i="32"/>
  <c r="E11" i="32"/>
  <c r="E10" i="32"/>
  <c r="G9" i="32"/>
  <c r="E9" i="32"/>
  <c r="G8" i="32"/>
  <c r="E8" i="32"/>
  <c r="E7" i="32"/>
  <c r="T245" i="31"/>
  <c r="S245" i="31"/>
  <c r="P245" i="31"/>
  <c r="O245" i="31"/>
  <c r="L245" i="31"/>
  <c r="K245" i="31"/>
  <c r="H245" i="31"/>
  <c r="G245" i="31"/>
  <c r="D245" i="31"/>
  <c r="C245" i="31"/>
  <c r="U244" i="31"/>
  <c r="Q244" i="31"/>
  <c r="M244" i="31"/>
  <c r="I244" i="31"/>
  <c r="E244" i="31"/>
  <c r="U243" i="31"/>
  <c r="Q243" i="31"/>
  <c r="M243" i="31"/>
  <c r="I243" i="31"/>
  <c r="E243" i="31"/>
  <c r="U242" i="31"/>
  <c r="Q242" i="31"/>
  <c r="M242" i="31"/>
  <c r="I242" i="31"/>
  <c r="E242" i="31"/>
  <c r="U241" i="31"/>
  <c r="Q241" i="31"/>
  <c r="M241" i="31"/>
  <c r="I241" i="31"/>
  <c r="E241" i="31"/>
  <c r="U239" i="31"/>
  <c r="Q239" i="31"/>
  <c r="M239" i="31"/>
  <c r="I239" i="31"/>
  <c r="E239" i="31"/>
  <c r="T231" i="31"/>
  <c r="S231" i="31"/>
  <c r="P231" i="31"/>
  <c r="O231" i="31"/>
  <c r="L231" i="31"/>
  <c r="K231" i="31"/>
  <c r="H231" i="31"/>
  <c r="G231" i="31"/>
  <c r="D231" i="31"/>
  <c r="C231" i="31"/>
  <c r="U230" i="31"/>
  <c r="Q230" i="31"/>
  <c r="M230" i="31"/>
  <c r="I230" i="31"/>
  <c r="E230" i="31"/>
  <c r="U229" i="31"/>
  <c r="Q229" i="31"/>
  <c r="M229" i="31"/>
  <c r="I229" i="31"/>
  <c r="E229" i="31"/>
  <c r="T225" i="31"/>
  <c r="S225" i="31"/>
  <c r="P225" i="31"/>
  <c r="O225" i="31"/>
  <c r="L225" i="31"/>
  <c r="K225" i="31"/>
  <c r="H225" i="31"/>
  <c r="G225" i="31"/>
  <c r="D225" i="31"/>
  <c r="C225" i="31"/>
  <c r="U224" i="31"/>
  <c r="Q224" i="31"/>
  <c r="M224" i="31"/>
  <c r="I224" i="31"/>
  <c r="E224" i="31"/>
  <c r="U223" i="31"/>
  <c r="Q223" i="31"/>
  <c r="M223" i="31"/>
  <c r="I223" i="31"/>
  <c r="E223" i="31"/>
  <c r="U222" i="31"/>
  <c r="Q222" i="31"/>
  <c r="M222" i="31"/>
  <c r="I222" i="31"/>
  <c r="E222" i="31"/>
  <c r="U221" i="31"/>
  <c r="Q221" i="31"/>
  <c r="M221" i="31"/>
  <c r="I221" i="31"/>
  <c r="E221" i="31"/>
  <c r="W219" i="31"/>
  <c r="U219" i="31"/>
  <c r="Q219" i="31"/>
  <c r="M219" i="31"/>
  <c r="I219" i="31"/>
  <c r="E219" i="31"/>
  <c r="T217" i="31"/>
  <c r="S217" i="31"/>
  <c r="P217" i="31"/>
  <c r="O217" i="31"/>
  <c r="L217" i="31"/>
  <c r="K217" i="31"/>
  <c r="H217" i="31"/>
  <c r="G217" i="31"/>
  <c r="D217" i="31"/>
  <c r="C217" i="31"/>
  <c r="U216" i="31"/>
  <c r="Q216" i="31"/>
  <c r="M216" i="31"/>
  <c r="I216" i="31"/>
  <c r="E216" i="31"/>
  <c r="U215" i="31"/>
  <c r="Q215" i="31"/>
  <c r="M215" i="31"/>
  <c r="I215" i="31"/>
  <c r="E215" i="31"/>
  <c r="U214" i="31"/>
  <c r="Q214" i="31"/>
  <c r="M214" i="31"/>
  <c r="I214" i="31"/>
  <c r="E214" i="31"/>
  <c r="U213" i="31"/>
  <c r="Q213" i="31"/>
  <c r="M213" i="31"/>
  <c r="I213" i="31"/>
  <c r="E213" i="31"/>
  <c r="U212" i="31"/>
  <c r="Q212" i="31"/>
  <c r="M212" i="31"/>
  <c r="I212" i="31"/>
  <c r="E212" i="31"/>
  <c r="U211" i="31"/>
  <c r="Q211" i="31"/>
  <c r="M211" i="31"/>
  <c r="I211" i="31"/>
  <c r="E211" i="31"/>
  <c r="U210" i="31"/>
  <c r="Q210" i="31"/>
  <c r="M210" i="31"/>
  <c r="I210" i="31"/>
  <c r="E210" i="31"/>
  <c r="U209" i="31"/>
  <c r="Q209" i="31"/>
  <c r="M209" i="31"/>
  <c r="I209" i="31"/>
  <c r="E209" i="31"/>
  <c r="U208" i="31"/>
  <c r="Q208" i="31"/>
  <c r="M208" i="31"/>
  <c r="I208" i="31"/>
  <c r="E208" i="31"/>
  <c r="W207" i="31"/>
  <c r="U207" i="31"/>
  <c r="Q207" i="31"/>
  <c r="M207" i="31"/>
  <c r="I207" i="31"/>
  <c r="E207" i="31"/>
  <c r="D204" i="31"/>
  <c r="C203" i="31"/>
  <c r="E203" i="31" s="1"/>
  <c r="C202" i="31"/>
  <c r="G202" i="31" s="1"/>
  <c r="C201" i="31"/>
  <c r="E200" i="31"/>
  <c r="V196" i="31"/>
  <c r="V205" i="31" s="1"/>
  <c r="V246" i="31" s="1"/>
  <c r="R196" i="31"/>
  <c r="N196" i="31"/>
  <c r="N247" i="31" s="1"/>
  <c r="J196" i="31"/>
  <c r="F196" i="31"/>
  <c r="D195" i="31"/>
  <c r="C195" i="31"/>
  <c r="E194" i="31"/>
  <c r="E193" i="31"/>
  <c r="E192" i="31"/>
  <c r="E191" i="31"/>
  <c r="E190" i="31"/>
  <c r="E189" i="31"/>
  <c r="E188" i="31"/>
  <c r="D186" i="31"/>
  <c r="C186" i="31"/>
  <c r="C199" i="31" s="1"/>
  <c r="E185" i="31"/>
  <c r="E184" i="31"/>
  <c r="T173" i="31"/>
  <c r="P173" i="31"/>
  <c r="L173" i="31"/>
  <c r="H173" i="31"/>
  <c r="D173" i="31"/>
  <c r="U172" i="31"/>
  <c r="Q172" i="31"/>
  <c r="M172" i="31"/>
  <c r="I172" i="31"/>
  <c r="E172" i="31"/>
  <c r="U171" i="31"/>
  <c r="Q171" i="31"/>
  <c r="M171" i="31"/>
  <c r="I171" i="31"/>
  <c r="E171" i="31"/>
  <c r="U170" i="31"/>
  <c r="Q170" i="31"/>
  <c r="M170" i="31"/>
  <c r="I170" i="31"/>
  <c r="E170" i="31"/>
  <c r="U169" i="31"/>
  <c r="Q169" i="31"/>
  <c r="M169" i="31"/>
  <c r="I169" i="31"/>
  <c r="E169" i="31"/>
  <c r="U168" i="31"/>
  <c r="Q168" i="31"/>
  <c r="M168" i="31"/>
  <c r="I168" i="31"/>
  <c r="E168" i="31"/>
  <c r="U167" i="31"/>
  <c r="Q167" i="31"/>
  <c r="M167" i="31"/>
  <c r="I167" i="31"/>
  <c r="E167" i="31"/>
  <c r="U166" i="31"/>
  <c r="Q166" i="31"/>
  <c r="M166" i="31"/>
  <c r="I166" i="31"/>
  <c r="E166" i="31"/>
  <c r="U165" i="31"/>
  <c r="Q165" i="31"/>
  <c r="M165" i="31"/>
  <c r="I165" i="31"/>
  <c r="E165" i="31"/>
  <c r="U164" i="31"/>
  <c r="Q164" i="31"/>
  <c r="M164" i="31"/>
  <c r="I164" i="31"/>
  <c r="E164" i="31"/>
  <c r="U163" i="31"/>
  <c r="Q163" i="31"/>
  <c r="M163" i="31"/>
  <c r="I163" i="31"/>
  <c r="E163" i="31"/>
  <c r="T155" i="31"/>
  <c r="S155" i="31"/>
  <c r="P155" i="31"/>
  <c r="O155" i="31"/>
  <c r="L155" i="31"/>
  <c r="K155" i="31"/>
  <c r="H155" i="31"/>
  <c r="G155" i="31"/>
  <c r="D155" i="31"/>
  <c r="C155" i="31"/>
  <c r="U154" i="31"/>
  <c r="Q154" i="31"/>
  <c r="M154" i="31"/>
  <c r="I154" i="31"/>
  <c r="E154" i="31"/>
  <c r="U151" i="31"/>
  <c r="Q151" i="31"/>
  <c r="M151" i="31"/>
  <c r="I151" i="31"/>
  <c r="E151" i="31"/>
  <c r="T149" i="31"/>
  <c r="P149" i="31"/>
  <c r="L149" i="31"/>
  <c r="H149" i="31"/>
  <c r="D149" i="31"/>
  <c r="U148" i="31"/>
  <c r="Q148" i="31"/>
  <c r="M148" i="31"/>
  <c r="I148" i="31"/>
  <c r="E148" i="31"/>
  <c r="U147" i="31"/>
  <c r="Q147" i="31"/>
  <c r="M147" i="31"/>
  <c r="I147" i="31"/>
  <c r="E147" i="31"/>
  <c r="U146" i="31"/>
  <c r="Q146" i="31"/>
  <c r="M146" i="31"/>
  <c r="I146" i="31"/>
  <c r="E146" i="31"/>
  <c r="U145" i="31"/>
  <c r="Q145" i="31"/>
  <c r="M145" i="31"/>
  <c r="I145" i="31"/>
  <c r="E145" i="31"/>
  <c r="U143" i="31"/>
  <c r="Q143" i="31"/>
  <c r="M143" i="31"/>
  <c r="I143" i="31"/>
  <c r="E143" i="31"/>
  <c r="T141" i="31"/>
  <c r="S141" i="31"/>
  <c r="P141" i="31"/>
  <c r="O141" i="31"/>
  <c r="L141" i="31"/>
  <c r="K141" i="31"/>
  <c r="H141" i="31"/>
  <c r="G141" i="31"/>
  <c r="D141" i="31"/>
  <c r="C141" i="31"/>
  <c r="U140" i="31"/>
  <c r="Q140" i="31"/>
  <c r="M140" i="31"/>
  <c r="I140" i="31"/>
  <c r="E140" i="31"/>
  <c r="U139" i="31"/>
  <c r="Q139" i="31"/>
  <c r="M139" i="31"/>
  <c r="I139" i="31"/>
  <c r="E139" i="31"/>
  <c r="U138" i="31"/>
  <c r="Q138" i="31"/>
  <c r="M138" i="31"/>
  <c r="I138" i="31"/>
  <c r="E138" i="31"/>
  <c r="U137" i="31"/>
  <c r="Q137" i="31"/>
  <c r="M137" i="31"/>
  <c r="I137" i="31"/>
  <c r="E137" i="31"/>
  <c r="U136" i="31"/>
  <c r="Q136" i="31"/>
  <c r="M136" i="31"/>
  <c r="I136" i="31"/>
  <c r="E136" i="31"/>
  <c r="U135" i="31"/>
  <c r="Q135" i="31"/>
  <c r="M135" i="31"/>
  <c r="I135" i="31"/>
  <c r="E135" i="31"/>
  <c r="U134" i="31"/>
  <c r="Q134" i="31"/>
  <c r="M134" i="31"/>
  <c r="I134" i="31"/>
  <c r="E134" i="31"/>
  <c r="U133" i="31"/>
  <c r="Q133" i="31"/>
  <c r="M133" i="31"/>
  <c r="I133" i="31"/>
  <c r="E133" i="31"/>
  <c r="U132" i="31"/>
  <c r="Q132" i="31"/>
  <c r="M132" i="31"/>
  <c r="I132" i="31"/>
  <c r="E132" i="31"/>
  <c r="U131" i="31"/>
  <c r="Q131" i="31"/>
  <c r="M131" i="31"/>
  <c r="I131" i="31"/>
  <c r="E131" i="31"/>
  <c r="U130" i="31"/>
  <c r="Q130" i="31"/>
  <c r="M130" i="31"/>
  <c r="I130" i="31"/>
  <c r="E130" i="31"/>
  <c r="U129" i="31"/>
  <c r="Q129" i="31"/>
  <c r="M129" i="31"/>
  <c r="I129" i="31"/>
  <c r="E129" i="31"/>
  <c r="U128" i="31"/>
  <c r="Q128" i="31"/>
  <c r="M128" i="31"/>
  <c r="I128" i="31"/>
  <c r="E128" i="31"/>
  <c r="W127" i="31"/>
  <c r="U127" i="31"/>
  <c r="Q127" i="31"/>
  <c r="M127" i="31"/>
  <c r="I127" i="31"/>
  <c r="E127" i="31"/>
  <c r="D112" i="31"/>
  <c r="D99" i="31"/>
  <c r="D124" i="31" s="1"/>
  <c r="E111" i="31"/>
  <c r="E110" i="31"/>
  <c r="E109" i="31"/>
  <c r="E108" i="31"/>
  <c r="E107" i="31"/>
  <c r="E106" i="31"/>
  <c r="E105" i="31"/>
  <c r="E104" i="31"/>
  <c r="E103" i="31"/>
  <c r="E101" i="31"/>
  <c r="E98" i="31"/>
  <c r="E97" i="31"/>
  <c r="E96" i="31"/>
  <c r="E93" i="31"/>
  <c r="E92" i="31"/>
  <c r="T85" i="31"/>
  <c r="P85" i="31"/>
  <c r="L85" i="31"/>
  <c r="H85" i="31"/>
  <c r="D85" i="31"/>
  <c r="U84" i="31"/>
  <c r="M84" i="31"/>
  <c r="I84" i="31"/>
  <c r="E84" i="31"/>
  <c r="Y84" i="31" s="1"/>
  <c r="U83" i="31"/>
  <c r="M83" i="31"/>
  <c r="I83" i="31"/>
  <c r="E83" i="31"/>
  <c r="U82" i="31"/>
  <c r="M82" i="31"/>
  <c r="I82" i="31"/>
  <c r="E82" i="31"/>
  <c r="Y82" i="31" s="1"/>
  <c r="U81" i="31"/>
  <c r="M81" i="31"/>
  <c r="I81" i="31"/>
  <c r="E81" i="31"/>
  <c r="Y81" i="31" s="1"/>
  <c r="U80" i="31"/>
  <c r="M80" i="31"/>
  <c r="I80" i="31"/>
  <c r="E80" i="31"/>
  <c r="U79" i="31"/>
  <c r="M79" i="31"/>
  <c r="I79" i="31"/>
  <c r="E79" i="31"/>
  <c r="Y79" i="31" s="1"/>
  <c r="T63" i="31"/>
  <c r="P63" i="31"/>
  <c r="L63" i="31"/>
  <c r="H63" i="31"/>
  <c r="D63" i="31"/>
  <c r="T57" i="31"/>
  <c r="P57" i="31"/>
  <c r="L57" i="31"/>
  <c r="H57" i="31"/>
  <c r="D57" i="31"/>
  <c r="U56" i="31"/>
  <c r="Q56" i="31"/>
  <c r="M56" i="31"/>
  <c r="I56" i="31"/>
  <c r="E56" i="31"/>
  <c r="U55" i="31"/>
  <c r="Q55" i="31"/>
  <c r="M55" i="31"/>
  <c r="I55" i="31"/>
  <c r="E55" i="31"/>
  <c r="U54" i="31"/>
  <c r="Q54" i="31"/>
  <c r="M54" i="31"/>
  <c r="I54" i="31"/>
  <c r="E54" i="31"/>
  <c r="U53" i="31"/>
  <c r="Q53" i="31"/>
  <c r="M53" i="31"/>
  <c r="I53" i="31"/>
  <c r="E53" i="31"/>
  <c r="T49" i="31"/>
  <c r="S49" i="31"/>
  <c r="P49" i="31"/>
  <c r="O49" i="31"/>
  <c r="L49" i="31"/>
  <c r="K49" i="31"/>
  <c r="H49" i="31"/>
  <c r="G49" i="31"/>
  <c r="D49" i="31"/>
  <c r="C49" i="31"/>
  <c r="U48" i="31"/>
  <c r="Q48" i="31"/>
  <c r="M48" i="31"/>
  <c r="I48" i="31"/>
  <c r="E48" i="31"/>
  <c r="U47" i="31"/>
  <c r="Q47" i="31"/>
  <c r="M47" i="31"/>
  <c r="I47" i="31"/>
  <c r="E47" i="31"/>
  <c r="U46" i="31"/>
  <c r="Q46" i="31"/>
  <c r="M46" i="31"/>
  <c r="I46" i="31"/>
  <c r="E46" i="31"/>
  <c r="U45" i="31"/>
  <c r="Q45" i="31"/>
  <c r="M45" i="31"/>
  <c r="I45" i="31"/>
  <c r="E45" i="31"/>
  <c r="U44" i="31"/>
  <c r="Q44" i="31"/>
  <c r="M44" i="31"/>
  <c r="I44" i="31"/>
  <c r="E44" i="31"/>
  <c r="U43" i="31"/>
  <c r="Q43" i="31"/>
  <c r="M43" i="31"/>
  <c r="I43" i="31"/>
  <c r="E43" i="31"/>
  <c r="U42" i="31"/>
  <c r="Q42" i="31"/>
  <c r="M42" i="31"/>
  <c r="I42" i="31"/>
  <c r="E42" i="31"/>
  <c r="U41" i="31"/>
  <c r="Q41" i="31"/>
  <c r="M41" i="31"/>
  <c r="I41" i="31"/>
  <c r="E41" i="31"/>
  <c r="U40" i="31"/>
  <c r="Q40" i="31"/>
  <c r="M40" i="31"/>
  <c r="I40" i="31"/>
  <c r="E40" i="31"/>
  <c r="W39" i="31"/>
  <c r="U39" i="31"/>
  <c r="Q39" i="31"/>
  <c r="M39" i="31"/>
  <c r="I39" i="31"/>
  <c r="E39" i="31"/>
  <c r="E35" i="31"/>
  <c r="E34" i="31"/>
  <c r="E31" i="31"/>
  <c r="E30" i="31"/>
  <c r="E29" i="31"/>
  <c r="V27" i="31"/>
  <c r="V37" i="31" s="1"/>
  <c r="R27" i="31"/>
  <c r="R37" i="31" s="1"/>
  <c r="N27" i="31"/>
  <c r="N37" i="31" s="1"/>
  <c r="J27" i="31"/>
  <c r="J37" i="31" s="1"/>
  <c r="F27" i="31"/>
  <c r="F37" i="31" s="1"/>
  <c r="D26" i="31"/>
  <c r="C26" i="31"/>
  <c r="E25" i="31"/>
  <c r="E24" i="31"/>
  <c r="E23" i="31"/>
  <c r="E22" i="31"/>
  <c r="E21" i="31"/>
  <c r="E20" i="31"/>
  <c r="E19" i="31"/>
  <c r="E17" i="31"/>
  <c r="D15" i="31"/>
  <c r="C15" i="31"/>
  <c r="C32" i="31" s="1"/>
  <c r="G14" i="31"/>
  <c r="K14" i="31" s="1"/>
  <c r="O14" i="31" s="1"/>
  <c r="S14" i="31" s="1"/>
  <c r="W14" i="31" s="1"/>
  <c r="E14" i="31"/>
  <c r="G13" i="31"/>
  <c r="K13" i="31" s="1"/>
  <c r="O13" i="31" s="1"/>
  <c r="S13" i="31" s="1"/>
  <c r="E13" i="31"/>
  <c r="G12" i="31"/>
  <c r="I12" i="31" s="1"/>
  <c r="E12" i="31"/>
  <c r="G11" i="31"/>
  <c r="K11" i="31" s="1"/>
  <c r="O11" i="31" s="1"/>
  <c r="S11" i="31" s="1"/>
  <c r="W11" i="31" s="1"/>
  <c r="E11" i="31"/>
  <c r="G10" i="31"/>
  <c r="K10" i="31" s="1"/>
  <c r="E10" i="31"/>
  <c r="E7" i="31"/>
  <c r="E6" i="31"/>
  <c r="T245" i="29"/>
  <c r="S245" i="29"/>
  <c r="P245" i="29"/>
  <c r="O245" i="29"/>
  <c r="L245" i="29"/>
  <c r="K245" i="29"/>
  <c r="H245" i="29"/>
  <c r="G245" i="29"/>
  <c r="D245" i="29"/>
  <c r="C245" i="29"/>
  <c r="U244" i="29"/>
  <c r="Q244" i="29"/>
  <c r="M244" i="29"/>
  <c r="I244" i="29"/>
  <c r="E244" i="29"/>
  <c r="U243" i="29"/>
  <c r="Q243" i="29"/>
  <c r="M243" i="29"/>
  <c r="I243" i="29"/>
  <c r="E243" i="29"/>
  <c r="U242" i="29"/>
  <c r="Q242" i="29"/>
  <c r="M242" i="29"/>
  <c r="I242" i="29"/>
  <c r="E242" i="29"/>
  <c r="U241" i="29"/>
  <c r="Q241" i="29"/>
  <c r="M241" i="29"/>
  <c r="I241" i="29"/>
  <c r="E241" i="29"/>
  <c r="U240" i="29"/>
  <c r="Q240" i="29"/>
  <c r="M240" i="29"/>
  <c r="I240" i="29"/>
  <c r="E240" i="29"/>
  <c r="U239" i="29"/>
  <c r="Q239" i="29"/>
  <c r="M239" i="29"/>
  <c r="I239" i="29"/>
  <c r="E239" i="29"/>
  <c r="U238" i="29"/>
  <c r="Q238" i="29"/>
  <c r="M238" i="29"/>
  <c r="I238" i="29"/>
  <c r="E238" i="29"/>
  <c r="U236" i="29"/>
  <c r="Q236" i="29"/>
  <c r="M236" i="29"/>
  <c r="I236" i="29"/>
  <c r="E236" i="29"/>
  <c r="T231" i="29"/>
  <c r="S231" i="29"/>
  <c r="P231" i="29"/>
  <c r="O231" i="29"/>
  <c r="L231" i="29"/>
  <c r="K231" i="29"/>
  <c r="H231" i="29"/>
  <c r="G231" i="29"/>
  <c r="D231" i="29"/>
  <c r="C231" i="29"/>
  <c r="U230" i="29"/>
  <c r="Q230" i="29"/>
  <c r="M230" i="29"/>
  <c r="I230" i="29"/>
  <c r="I231" i="29" s="1"/>
  <c r="E230" i="29"/>
  <c r="T225" i="29"/>
  <c r="S225" i="29"/>
  <c r="P225" i="29"/>
  <c r="O225" i="29"/>
  <c r="L225" i="29"/>
  <c r="K225" i="29"/>
  <c r="H225" i="29"/>
  <c r="G225" i="29"/>
  <c r="D225" i="29"/>
  <c r="C225" i="29"/>
  <c r="U224" i="29"/>
  <c r="Q224" i="29"/>
  <c r="M224" i="29"/>
  <c r="I224" i="29"/>
  <c r="E224" i="29"/>
  <c r="U223" i="29"/>
  <c r="Q223" i="29"/>
  <c r="M223" i="29"/>
  <c r="I223" i="29"/>
  <c r="E223" i="29"/>
  <c r="U222" i="29"/>
  <c r="Q222" i="29"/>
  <c r="M222" i="29"/>
  <c r="I222" i="29"/>
  <c r="E222" i="29"/>
  <c r="U221" i="29"/>
  <c r="Q221" i="29"/>
  <c r="M221" i="29"/>
  <c r="I221" i="29"/>
  <c r="E221" i="29"/>
  <c r="W219" i="29"/>
  <c r="U219" i="29"/>
  <c r="Q219" i="29"/>
  <c r="M219" i="29"/>
  <c r="I219" i="29"/>
  <c r="E219" i="29"/>
  <c r="T217" i="29"/>
  <c r="S217" i="29"/>
  <c r="P217" i="29"/>
  <c r="O217" i="29"/>
  <c r="L217" i="29"/>
  <c r="K217" i="29"/>
  <c r="H217" i="29"/>
  <c r="G217" i="29"/>
  <c r="D217" i="29"/>
  <c r="C217" i="29"/>
  <c r="U216" i="29"/>
  <c r="Q216" i="29"/>
  <c r="M216" i="29"/>
  <c r="I216" i="29"/>
  <c r="E216" i="29"/>
  <c r="U215" i="29"/>
  <c r="Q215" i="29"/>
  <c r="M215" i="29"/>
  <c r="I215" i="29"/>
  <c r="E215" i="29"/>
  <c r="U214" i="29"/>
  <c r="Q214" i="29"/>
  <c r="M214" i="29"/>
  <c r="I214" i="29"/>
  <c r="E214" i="29"/>
  <c r="U213" i="29"/>
  <c r="Q213" i="29"/>
  <c r="M213" i="29"/>
  <c r="I213" i="29"/>
  <c r="E213" i="29"/>
  <c r="U212" i="29"/>
  <c r="Q212" i="29"/>
  <c r="M212" i="29"/>
  <c r="I212" i="29"/>
  <c r="E212" i="29"/>
  <c r="U211" i="29"/>
  <c r="Q211" i="29"/>
  <c r="M211" i="29"/>
  <c r="I211" i="29"/>
  <c r="E211" i="29"/>
  <c r="U210" i="29"/>
  <c r="Q210" i="29"/>
  <c r="M210" i="29"/>
  <c r="I210" i="29"/>
  <c r="E210" i="29"/>
  <c r="U209" i="29"/>
  <c r="Q209" i="29"/>
  <c r="M209" i="29"/>
  <c r="I209" i="29"/>
  <c r="E209" i="29"/>
  <c r="U208" i="29"/>
  <c r="Q208" i="29"/>
  <c r="M208" i="29"/>
  <c r="I208" i="29"/>
  <c r="E208" i="29"/>
  <c r="W207" i="29"/>
  <c r="U207" i="29"/>
  <c r="Q207" i="29"/>
  <c r="M207" i="29"/>
  <c r="I207" i="29"/>
  <c r="E207" i="29"/>
  <c r="C203" i="29"/>
  <c r="C202" i="29"/>
  <c r="E202" i="29" s="1"/>
  <c r="C186" i="29"/>
  <c r="C199" i="29" s="1"/>
  <c r="V196" i="29"/>
  <c r="V205" i="29" s="1"/>
  <c r="R196" i="29"/>
  <c r="R247" i="29" s="1"/>
  <c r="N196" i="29"/>
  <c r="J196" i="29"/>
  <c r="J205" i="29" s="1"/>
  <c r="J246" i="29" s="1"/>
  <c r="F196" i="29"/>
  <c r="D195" i="29"/>
  <c r="D186" i="29"/>
  <c r="E194" i="29"/>
  <c r="E193" i="29"/>
  <c r="E192" i="29"/>
  <c r="E191" i="29"/>
  <c r="E188" i="29"/>
  <c r="E185" i="29"/>
  <c r="E184" i="29"/>
  <c r="T173" i="29"/>
  <c r="P173" i="29"/>
  <c r="L173" i="29"/>
  <c r="H173" i="29"/>
  <c r="D173" i="29"/>
  <c r="U172" i="29"/>
  <c r="Q172" i="29"/>
  <c r="M172" i="29"/>
  <c r="I172" i="29"/>
  <c r="E172" i="29"/>
  <c r="U171" i="29"/>
  <c r="Q171" i="29"/>
  <c r="M171" i="29"/>
  <c r="I171" i="29"/>
  <c r="E171" i="29"/>
  <c r="U170" i="29"/>
  <c r="Q170" i="29"/>
  <c r="M170" i="29"/>
  <c r="I170" i="29"/>
  <c r="E170" i="29"/>
  <c r="U169" i="29"/>
  <c r="Q169" i="29"/>
  <c r="M169" i="29"/>
  <c r="I169" i="29"/>
  <c r="E169" i="29"/>
  <c r="U168" i="29"/>
  <c r="Q168" i="29"/>
  <c r="M168" i="29"/>
  <c r="I168" i="29"/>
  <c r="E168" i="29"/>
  <c r="U167" i="29"/>
  <c r="Q167" i="29"/>
  <c r="M167" i="29"/>
  <c r="I167" i="29"/>
  <c r="E167" i="29"/>
  <c r="U166" i="29"/>
  <c r="Q166" i="29"/>
  <c r="M166" i="29"/>
  <c r="I166" i="29"/>
  <c r="E166" i="29"/>
  <c r="U165" i="29"/>
  <c r="Q165" i="29"/>
  <c r="M165" i="29"/>
  <c r="I165" i="29"/>
  <c r="E165" i="29"/>
  <c r="U164" i="29"/>
  <c r="Q164" i="29"/>
  <c r="M164" i="29"/>
  <c r="I164" i="29"/>
  <c r="E164" i="29"/>
  <c r="U163" i="29"/>
  <c r="Q163" i="29"/>
  <c r="M163" i="29"/>
  <c r="I163" i="29"/>
  <c r="E163" i="29"/>
  <c r="U162" i="29"/>
  <c r="Q162" i="29"/>
  <c r="M162" i="29"/>
  <c r="I162" i="29"/>
  <c r="E162" i="29"/>
  <c r="U158" i="29"/>
  <c r="Q158" i="29"/>
  <c r="M158" i="29"/>
  <c r="I158" i="29"/>
  <c r="E158" i="29"/>
  <c r="W157" i="29"/>
  <c r="U157" i="29"/>
  <c r="Q157" i="29"/>
  <c r="M157" i="29"/>
  <c r="I157" i="29"/>
  <c r="E157" i="29"/>
  <c r="T155" i="29"/>
  <c r="S155" i="29"/>
  <c r="P155" i="29"/>
  <c r="O155" i="29"/>
  <c r="L155" i="29"/>
  <c r="K155" i="29"/>
  <c r="H155" i="29"/>
  <c r="G155" i="29"/>
  <c r="D155" i="29"/>
  <c r="C155" i="29"/>
  <c r="U154" i="29"/>
  <c r="Q154" i="29"/>
  <c r="M154" i="29"/>
  <c r="I154" i="29"/>
  <c r="E154" i="29"/>
  <c r="U152" i="29"/>
  <c r="U151" i="29"/>
  <c r="Q152" i="29"/>
  <c r="M152" i="29"/>
  <c r="I152" i="29"/>
  <c r="E152" i="29"/>
  <c r="W151" i="29"/>
  <c r="Q151" i="29"/>
  <c r="M151" i="29"/>
  <c r="I151" i="29"/>
  <c r="E151" i="29"/>
  <c r="T149" i="29"/>
  <c r="P149" i="29"/>
  <c r="L149" i="29"/>
  <c r="H149" i="29"/>
  <c r="D149" i="29"/>
  <c r="U148" i="29"/>
  <c r="Q148" i="29"/>
  <c r="M148" i="29"/>
  <c r="I148" i="29"/>
  <c r="E148" i="29"/>
  <c r="U147" i="29"/>
  <c r="Q147" i="29"/>
  <c r="M147" i="29"/>
  <c r="I147" i="29"/>
  <c r="E147" i="29"/>
  <c r="U146" i="29"/>
  <c r="Q146" i="29"/>
  <c r="M146" i="29"/>
  <c r="I146" i="29"/>
  <c r="E146" i="29"/>
  <c r="U145" i="29"/>
  <c r="Q145" i="29"/>
  <c r="M145" i="29"/>
  <c r="I145" i="29"/>
  <c r="E145" i="29"/>
  <c r="U144" i="29"/>
  <c r="Q144" i="29"/>
  <c r="M144" i="29"/>
  <c r="I144" i="29"/>
  <c r="E144" i="29"/>
  <c r="W143" i="29"/>
  <c r="U143" i="29"/>
  <c r="Q143" i="29"/>
  <c r="M143" i="29"/>
  <c r="E143" i="29"/>
  <c r="I143" i="29"/>
  <c r="T141" i="29"/>
  <c r="S141" i="29"/>
  <c r="P141" i="29"/>
  <c r="O141" i="29"/>
  <c r="L141" i="29"/>
  <c r="K141" i="29"/>
  <c r="H141" i="29"/>
  <c r="G141" i="29"/>
  <c r="D141" i="29"/>
  <c r="C141" i="29"/>
  <c r="U140" i="29"/>
  <c r="Q140" i="29"/>
  <c r="M140" i="29"/>
  <c r="I140" i="29"/>
  <c r="E140" i="29"/>
  <c r="U139" i="29"/>
  <c r="Q139" i="29"/>
  <c r="M139" i="29"/>
  <c r="I139" i="29"/>
  <c r="E139" i="29"/>
  <c r="U138" i="29"/>
  <c r="Q138" i="29"/>
  <c r="M138" i="29"/>
  <c r="I138" i="29"/>
  <c r="E138" i="29"/>
  <c r="U137" i="29"/>
  <c r="Q137" i="29"/>
  <c r="M137" i="29"/>
  <c r="I137" i="29"/>
  <c r="E137" i="29"/>
  <c r="U136" i="29"/>
  <c r="Q136" i="29"/>
  <c r="M136" i="29"/>
  <c r="I136" i="29"/>
  <c r="E136" i="29"/>
  <c r="U135" i="29"/>
  <c r="Q135" i="29"/>
  <c r="M135" i="29"/>
  <c r="I135" i="29"/>
  <c r="E135" i="29"/>
  <c r="U134" i="29"/>
  <c r="Q134" i="29"/>
  <c r="M134" i="29"/>
  <c r="I134" i="29"/>
  <c r="E134" i="29"/>
  <c r="U133" i="29"/>
  <c r="Q133" i="29"/>
  <c r="M133" i="29"/>
  <c r="I133" i="29"/>
  <c r="E133" i="29"/>
  <c r="U132" i="29"/>
  <c r="Q132" i="29"/>
  <c r="M132" i="29"/>
  <c r="I132" i="29"/>
  <c r="E132" i="29"/>
  <c r="U131" i="29"/>
  <c r="Q131" i="29"/>
  <c r="M131" i="29"/>
  <c r="I131" i="29"/>
  <c r="E131" i="29"/>
  <c r="U130" i="29"/>
  <c r="Q130" i="29"/>
  <c r="M130" i="29"/>
  <c r="I130" i="29"/>
  <c r="E130" i="29"/>
  <c r="U129" i="29"/>
  <c r="Q129" i="29"/>
  <c r="M129" i="29"/>
  <c r="I129" i="29"/>
  <c r="E129" i="29"/>
  <c r="U128" i="29"/>
  <c r="Q128" i="29"/>
  <c r="M128" i="29"/>
  <c r="I128" i="29"/>
  <c r="E128" i="29"/>
  <c r="W127" i="29"/>
  <c r="U127" i="29"/>
  <c r="Q127" i="29"/>
  <c r="E127" i="29"/>
  <c r="I127" i="29"/>
  <c r="M127" i="29"/>
  <c r="D112" i="29"/>
  <c r="E111" i="29"/>
  <c r="E110" i="29"/>
  <c r="E109" i="29"/>
  <c r="E108" i="29"/>
  <c r="E107" i="29"/>
  <c r="E106" i="29"/>
  <c r="E105" i="29"/>
  <c r="E104" i="29"/>
  <c r="E103" i="29"/>
  <c r="E102" i="29"/>
  <c r="D99" i="29"/>
  <c r="E98" i="29"/>
  <c r="E97" i="29"/>
  <c r="E95" i="29"/>
  <c r="E92" i="29"/>
  <c r="T85" i="29"/>
  <c r="S85" i="29"/>
  <c r="P85" i="29"/>
  <c r="O85" i="29"/>
  <c r="L85" i="29"/>
  <c r="K85" i="29"/>
  <c r="H85" i="29"/>
  <c r="G85" i="29"/>
  <c r="D85" i="29"/>
  <c r="C85" i="29"/>
  <c r="U84" i="29"/>
  <c r="M84" i="29"/>
  <c r="I84" i="29"/>
  <c r="E84" i="29"/>
  <c r="U83" i="29"/>
  <c r="M83" i="29"/>
  <c r="I83" i="29"/>
  <c r="E83" i="29"/>
  <c r="U82" i="29"/>
  <c r="M82" i="29"/>
  <c r="I82" i="29"/>
  <c r="E82" i="29"/>
  <c r="U81" i="29"/>
  <c r="M81" i="29"/>
  <c r="I81" i="29"/>
  <c r="E81" i="29"/>
  <c r="U80" i="29"/>
  <c r="M80" i="29"/>
  <c r="I80" i="29"/>
  <c r="E80" i="29"/>
  <c r="U79" i="29"/>
  <c r="M79" i="29"/>
  <c r="I79" i="29"/>
  <c r="E79" i="29"/>
  <c r="U78" i="29"/>
  <c r="M78" i="29"/>
  <c r="I78" i="29"/>
  <c r="E78" i="29"/>
  <c r="U77" i="29"/>
  <c r="M77" i="29"/>
  <c r="I77" i="29"/>
  <c r="E77" i="29"/>
  <c r="U76" i="29"/>
  <c r="M76" i="29"/>
  <c r="I76" i="29"/>
  <c r="E76" i="29"/>
  <c r="U75" i="29"/>
  <c r="M75" i="29"/>
  <c r="I75" i="29"/>
  <c r="E75" i="29"/>
  <c r="U72" i="29"/>
  <c r="M72" i="29"/>
  <c r="I72" i="29"/>
  <c r="E72" i="29"/>
  <c r="U70" i="29"/>
  <c r="M70" i="29"/>
  <c r="I70" i="29"/>
  <c r="E70" i="29"/>
  <c r="U67" i="29"/>
  <c r="M67" i="29"/>
  <c r="I67" i="29"/>
  <c r="E67" i="29"/>
  <c r="T57" i="29"/>
  <c r="S57" i="29"/>
  <c r="P57" i="29"/>
  <c r="O57" i="29"/>
  <c r="L57" i="29"/>
  <c r="K57" i="29"/>
  <c r="H57" i="29"/>
  <c r="G57" i="29"/>
  <c r="D57" i="29"/>
  <c r="C57" i="29"/>
  <c r="U56" i="29"/>
  <c r="Q56" i="29"/>
  <c r="M56" i="29"/>
  <c r="I56" i="29"/>
  <c r="E56" i="29"/>
  <c r="U55" i="29"/>
  <c r="Q55" i="29"/>
  <c r="M55" i="29"/>
  <c r="I55" i="29"/>
  <c r="E55" i="29"/>
  <c r="U54" i="29"/>
  <c r="Q54" i="29"/>
  <c r="M54" i="29"/>
  <c r="I54" i="29"/>
  <c r="E54" i="29"/>
  <c r="U53" i="29"/>
  <c r="Q53" i="29"/>
  <c r="M53" i="29"/>
  <c r="I53" i="29"/>
  <c r="E53" i="29"/>
  <c r="U52" i="29"/>
  <c r="Q52" i="29"/>
  <c r="M52" i="29"/>
  <c r="I52" i="29"/>
  <c r="E52" i="29"/>
  <c r="T49" i="29"/>
  <c r="S49" i="29"/>
  <c r="P49" i="29"/>
  <c r="O49" i="29"/>
  <c r="L49" i="29"/>
  <c r="K49" i="29"/>
  <c r="H49" i="29"/>
  <c r="G49" i="29"/>
  <c r="D49" i="29"/>
  <c r="C49" i="29"/>
  <c r="U48" i="29"/>
  <c r="Q48" i="29"/>
  <c r="M48" i="29"/>
  <c r="I48" i="29"/>
  <c r="E48" i="29"/>
  <c r="U47" i="29"/>
  <c r="Q47" i="29"/>
  <c r="M47" i="29"/>
  <c r="I47" i="29"/>
  <c r="E47" i="29"/>
  <c r="U46" i="29"/>
  <c r="Q46" i="29"/>
  <c r="M46" i="29"/>
  <c r="I46" i="29"/>
  <c r="E46" i="29"/>
  <c r="U45" i="29"/>
  <c r="Q45" i="29"/>
  <c r="M45" i="29"/>
  <c r="I45" i="29"/>
  <c r="E45" i="29"/>
  <c r="U44" i="29"/>
  <c r="Q44" i="29"/>
  <c r="M44" i="29"/>
  <c r="I44" i="29"/>
  <c r="E44" i="29"/>
  <c r="U43" i="29"/>
  <c r="Q43" i="29"/>
  <c r="M43" i="29"/>
  <c r="I43" i="29"/>
  <c r="E43" i="29"/>
  <c r="U42" i="29"/>
  <c r="Q42" i="29"/>
  <c r="M42" i="29"/>
  <c r="I42" i="29"/>
  <c r="E42" i="29"/>
  <c r="U41" i="29"/>
  <c r="Q41" i="29"/>
  <c r="M41" i="29"/>
  <c r="I41" i="29"/>
  <c r="E41" i="29"/>
  <c r="U40" i="29"/>
  <c r="Q40" i="29"/>
  <c r="M40" i="29"/>
  <c r="I40" i="29"/>
  <c r="E40" i="29"/>
  <c r="W39" i="29"/>
  <c r="U39" i="29"/>
  <c r="Q39" i="29"/>
  <c r="M39" i="29"/>
  <c r="I39" i="29"/>
  <c r="E39" i="29"/>
  <c r="E35" i="29"/>
  <c r="E34" i="29"/>
  <c r="E31" i="29"/>
  <c r="E29" i="29"/>
  <c r="V27" i="29"/>
  <c r="V37" i="29" s="1"/>
  <c r="R27" i="29"/>
  <c r="N27" i="29"/>
  <c r="N37" i="29" s="1"/>
  <c r="J27" i="29"/>
  <c r="J37" i="29" s="1"/>
  <c r="F27" i="29"/>
  <c r="E25" i="29"/>
  <c r="E24" i="29"/>
  <c r="E22" i="29"/>
  <c r="E21" i="29"/>
  <c r="E20" i="29"/>
  <c r="E19" i="29"/>
  <c r="D15" i="29"/>
  <c r="C15" i="29"/>
  <c r="G14" i="29"/>
  <c r="E14" i="29"/>
  <c r="G13" i="29"/>
  <c r="E13" i="29"/>
  <c r="G12" i="29"/>
  <c r="E12" i="29"/>
  <c r="G11" i="29"/>
  <c r="E11" i="29"/>
  <c r="G9" i="29"/>
  <c r="K9" i="29" s="1"/>
  <c r="O9" i="29" s="1"/>
  <c r="E9" i="29"/>
  <c r="T245" i="9"/>
  <c r="U244" i="9"/>
  <c r="Q244" i="9"/>
  <c r="M244" i="9"/>
  <c r="I244" i="9"/>
  <c r="U242" i="9"/>
  <c r="Q242" i="9"/>
  <c r="M242" i="9"/>
  <c r="I242" i="9"/>
  <c r="I241" i="9"/>
  <c r="E241" i="9"/>
  <c r="U240" i="9"/>
  <c r="Q240" i="9"/>
  <c r="M240" i="9"/>
  <c r="I240" i="9"/>
  <c r="U238" i="9"/>
  <c r="Q238" i="9"/>
  <c r="M238" i="9"/>
  <c r="I238" i="9"/>
  <c r="U236" i="9"/>
  <c r="Q236" i="9"/>
  <c r="M236" i="9"/>
  <c r="I236" i="9"/>
  <c r="M234" i="9"/>
  <c r="T231" i="9"/>
  <c r="P231" i="9"/>
  <c r="L231" i="9"/>
  <c r="U229" i="9"/>
  <c r="Q229" i="9"/>
  <c r="U228" i="9"/>
  <c r="Q228" i="9"/>
  <c r="P225" i="9"/>
  <c r="U224" i="9"/>
  <c r="Q224" i="9"/>
  <c r="M224" i="9"/>
  <c r="I224" i="9"/>
  <c r="U222" i="9"/>
  <c r="Q222" i="9"/>
  <c r="M222" i="9"/>
  <c r="I222" i="9"/>
  <c r="I221" i="9"/>
  <c r="E221" i="9"/>
  <c r="T217" i="9"/>
  <c r="S217" i="9"/>
  <c r="P217" i="9"/>
  <c r="O217" i="9"/>
  <c r="L217" i="9"/>
  <c r="K217" i="9"/>
  <c r="U216" i="9"/>
  <c r="Q216" i="9"/>
  <c r="M216" i="9"/>
  <c r="I216" i="9"/>
  <c r="U214" i="9"/>
  <c r="Q214" i="9"/>
  <c r="M214" i="9"/>
  <c r="I214" i="9"/>
  <c r="I213" i="9"/>
  <c r="E213" i="9"/>
  <c r="U212" i="9"/>
  <c r="Q212" i="9"/>
  <c r="M212" i="9"/>
  <c r="I212" i="9"/>
  <c r="U210" i="9"/>
  <c r="Q210" i="9"/>
  <c r="M210" i="9"/>
  <c r="I210" i="9"/>
  <c r="I209" i="9"/>
  <c r="E209" i="9"/>
  <c r="U208" i="9"/>
  <c r="Q208" i="9"/>
  <c r="M208" i="9"/>
  <c r="I208" i="9"/>
  <c r="E194" i="9"/>
  <c r="E191" i="9"/>
  <c r="M172" i="9"/>
  <c r="I172" i="9"/>
  <c r="U170" i="9"/>
  <c r="Q170" i="9"/>
  <c r="M170" i="9"/>
  <c r="I170" i="9"/>
  <c r="U169" i="9"/>
  <c r="Q169" i="9"/>
  <c r="U168" i="9"/>
  <c r="Q168" i="9"/>
  <c r="M168" i="9"/>
  <c r="I168" i="9"/>
  <c r="U167" i="9"/>
  <c r="Q167" i="9"/>
  <c r="M167" i="9"/>
  <c r="I165" i="9"/>
  <c r="E165" i="9"/>
  <c r="I161" i="9"/>
  <c r="E161" i="9"/>
  <c r="M158" i="9"/>
  <c r="I158" i="9"/>
  <c r="P155" i="9"/>
  <c r="I153" i="9"/>
  <c r="E153" i="9"/>
  <c r="W151" i="9"/>
  <c r="P149" i="9"/>
  <c r="U148" i="9"/>
  <c r="Q148" i="9"/>
  <c r="M148" i="9"/>
  <c r="I148" i="9"/>
  <c r="U146" i="9"/>
  <c r="Q146" i="9"/>
  <c r="M146" i="9"/>
  <c r="I146" i="9"/>
  <c r="I145" i="9"/>
  <c r="E145" i="9"/>
  <c r="T141" i="9"/>
  <c r="S141" i="9"/>
  <c r="P141" i="9"/>
  <c r="O141" i="9"/>
  <c r="L141" i="9"/>
  <c r="K141" i="9"/>
  <c r="U139" i="9"/>
  <c r="Q139" i="9"/>
  <c r="M139" i="9"/>
  <c r="I139" i="9"/>
  <c r="U137" i="9"/>
  <c r="Q137" i="9"/>
  <c r="U135" i="9"/>
  <c r="Q135" i="9"/>
  <c r="M135" i="9"/>
  <c r="I135" i="9"/>
  <c r="E135" i="9"/>
  <c r="U134" i="9"/>
  <c r="Q134" i="9"/>
  <c r="M134" i="9"/>
  <c r="I134" i="9"/>
  <c r="I133" i="9"/>
  <c r="E133" i="9"/>
  <c r="U132" i="9"/>
  <c r="Q132" i="9"/>
  <c r="M132" i="9"/>
  <c r="I132" i="9"/>
  <c r="U130" i="9"/>
  <c r="Q130" i="9"/>
  <c r="M130" i="9"/>
  <c r="I130" i="9"/>
  <c r="U128" i="9"/>
  <c r="Q128" i="9"/>
  <c r="M128" i="9"/>
  <c r="I128" i="9"/>
  <c r="E109" i="9"/>
  <c r="E108" i="9"/>
  <c r="E96" i="9"/>
  <c r="U82" i="9"/>
  <c r="M82" i="9"/>
  <c r="I82" i="9"/>
  <c r="E82" i="9"/>
  <c r="U81" i="9"/>
  <c r="M81" i="9"/>
  <c r="I81" i="9"/>
  <c r="E81" i="9"/>
  <c r="U80" i="9"/>
  <c r="M80" i="9"/>
  <c r="I80" i="9"/>
  <c r="E80" i="9"/>
  <c r="U79" i="9"/>
  <c r="M79" i="9"/>
  <c r="I79" i="9"/>
  <c r="E79" i="9"/>
  <c r="U78" i="9"/>
  <c r="M78" i="9"/>
  <c r="I78" i="9"/>
  <c r="E78" i="9"/>
  <c r="I70" i="9"/>
  <c r="E68" i="9"/>
  <c r="D63" i="9"/>
  <c r="I61" i="9"/>
  <c r="E61" i="9"/>
  <c r="U60" i="9"/>
  <c r="Q60" i="9"/>
  <c r="E60" i="9"/>
  <c r="I56" i="9"/>
  <c r="E56" i="9"/>
  <c r="U48" i="9"/>
  <c r="Q48" i="9"/>
  <c r="E48" i="9"/>
  <c r="U47" i="9"/>
  <c r="Q47" i="9"/>
  <c r="M47" i="9"/>
  <c r="I47" i="9"/>
  <c r="I45" i="9"/>
  <c r="I40" i="9"/>
  <c r="M39" i="9"/>
  <c r="I39" i="9"/>
  <c r="E34" i="9"/>
  <c r="E31" i="9"/>
  <c r="C203" i="9"/>
  <c r="E35" i="9"/>
  <c r="E203" i="32"/>
  <c r="D217" i="9"/>
  <c r="H217" i="9"/>
  <c r="F174" i="23"/>
  <c r="F176" i="23" s="1"/>
  <c r="E121" i="23"/>
  <c r="E201" i="30"/>
  <c r="Q203" i="32"/>
  <c r="I29" i="32"/>
  <c r="U234" i="9"/>
  <c r="U235" i="9"/>
  <c r="U237" i="9"/>
  <c r="U239" i="9"/>
  <c r="U241" i="9"/>
  <c r="U243" i="9"/>
  <c r="U233" i="9"/>
  <c r="Q234" i="9"/>
  <c r="Q235" i="9"/>
  <c r="Q237" i="9"/>
  <c r="Q239" i="9"/>
  <c r="Q241" i="9"/>
  <c r="Q243" i="9"/>
  <c r="Q233" i="9"/>
  <c r="M235" i="9"/>
  <c r="M237" i="9"/>
  <c r="M239" i="9"/>
  <c r="M241" i="9"/>
  <c r="M243" i="9"/>
  <c r="M233" i="9"/>
  <c r="I234" i="9"/>
  <c r="I235" i="9"/>
  <c r="I237" i="9"/>
  <c r="E237" i="9"/>
  <c r="I239" i="9"/>
  <c r="I243" i="9"/>
  <c r="I233" i="9"/>
  <c r="E234" i="9"/>
  <c r="E235" i="9"/>
  <c r="E236" i="9"/>
  <c r="E238" i="9"/>
  <c r="E239" i="9"/>
  <c r="E240" i="9"/>
  <c r="E242" i="9"/>
  <c r="E243" i="9"/>
  <c r="E244" i="9"/>
  <c r="U230" i="9"/>
  <c r="U227" i="9"/>
  <c r="Q230" i="9"/>
  <c r="Q227" i="9"/>
  <c r="M228" i="9"/>
  <c r="M227" i="9"/>
  <c r="M229" i="9"/>
  <c r="M230" i="9"/>
  <c r="I228" i="9"/>
  <c r="I227" i="9"/>
  <c r="I229" i="9"/>
  <c r="I230" i="9"/>
  <c r="E228" i="9"/>
  <c r="E229" i="9"/>
  <c r="E230" i="9"/>
  <c r="U221" i="9"/>
  <c r="U223" i="9"/>
  <c r="Q221" i="9"/>
  <c r="Q223" i="9"/>
  <c r="M221" i="9"/>
  <c r="M223" i="9"/>
  <c r="I223" i="9"/>
  <c r="U209" i="9"/>
  <c r="U211" i="9"/>
  <c r="U213" i="9"/>
  <c r="U215" i="9"/>
  <c r="U207" i="9"/>
  <c r="Q209" i="9"/>
  <c r="Q211" i="9"/>
  <c r="Q213" i="9"/>
  <c r="Q215" i="9"/>
  <c r="Q207" i="9"/>
  <c r="M209" i="9"/>
  <c r="M211" i="9"/>
  <c r="M213" i="9"/>
  <c r="M215" i="9"/>
  <c r="M207" i="9"/>
  <c r="I211" i="9"/>
  <c r="I215" i="9"/>
  <c r="I207" i="9"/>
  <c r="F196" i="9"/>
  <c r="J196" i="9"/>
  <c r="N196" i="9"/>
  <c r="N247" i="9" s="1"/>
  <c r="R196" i="9"/>
  <c r="R247" i="9" s="1"/>
  <c r="V196" i="9"/>
  <c r="V247" i="9" s="1"/>
  <c r="E189" i="9"/>
  <c r="E190" i="9"/>
  <c r="E192" i="9"/>
  <c r="E193" i="9"/>
  <c r="E182" i="9"/>
  <c r="E184" i="9"/>
  <c r="E185" i="9"/>
  <c r="D186" i="9"/>
  <c r="U158" i="9"/>
  <c r="U159" i="9"/>
  <c r="U160" i="9"/>
  <c r="U161" i="9"/>
  <c r="U162" i="9"/>
  <c r="U163" i="9"/>
  <c r="U164" i="9"/>
  <c r="U165" i="9"/>
  <c r="U166" i="9"/>
  <c r="U171" i="9"/>
  <c r="U172" i="9"/>
  <c r="U157" i="9"/>
  <c r="Q158" i="9"/>
  <c r="Q159" i="9"/>
  <c r="Q160" i="9"/>
  <c r="Q161" i="9"/>
  <c r="Q162" i="9"/>
  <c r="Q163" i="9"/>
  <c r="Q164" i="9"/>
  <c r="Q165" i="9"/>
  <c r="Q166" i="9"/>
  <c r="Q171" i="9"/>
  <c r="Q172" i="9"/>
  <c r="Q157" i="9"/>
  <c r="M159" i="9"/>
  <c r="M160" i="9"/>
  <c r="M161" i="9"/>
  <c r="M162" i="9"/>
  <c r="M163" i="9"/>
  <c r="M164" i="9"/>
  <c r="M165" i="9"/>
  <c r="M166" i="9"/>
  <c r="M169" i="9"/>
  <c r="M171" i="9"/>
  <c r="M157" i="9"/>
  <c r="I159" i="9"/>
  <c r="I160" i="9"/>
  <c r="I162" i="9"/>
  <c r="I163" i="9"/>
  <c r="E163" i="9"/>
  <c r="I164" i="9"/>
  <c r="I166" i="9"/>
  <c r="I167" i="9"/>
  <c r="I169" i="9"/>
  <c r="I171" i="9"/>
  <c r="E171" i="9"/>
  <c r="I157" i="9"/>
  <c r="E158" i="9"/>
  <c r="E159" i="9"/>
  <c r="E160" i="9"/>
  <c r="E162" i="9"/>
  <c r="E164" i="9"/>
  <c r="E166" i="9"/>
  <c r="E167" i="9"/>
  <c r="E168" i="9"/>
  <c r="E169" i="9"/>
  <c r="E170" i="9"/>
  <c r="E172" i="9"/>
  <c r="U152" i="9"/>
  <c r="U153" i="9"/>
  <c r="U154" i="9"/>
  <c r="U151" i="9"/>
  <c r="Q152" i="9"/>
  <c r="Q153" i="9"/>
  <c r="Q154" i="9"/>
  <c r="Q151" i="9"/>
  <c r="M152" i="9"/>
  <c r="M153" i="9"/>
  <c r="M154" i="9"/>
  <c r="M151" i="9"/>
  <c r="I152" i="9"/>
  <c r="I154" i="9"/>
  <c r="I151" i="9"/>
  <c r="E152" i="9"/>
  <c r="E154" i="9"/>
  <c r="U145" i="9"/>
  <c r="U147" i="9"/>
  <c r="Q145" i="9"/>
  <c r="Q147" i="9"/>
  <c r="M145" i="9"/>
  <c r="M147" i="9"/>
  <c r="I147" i="9"/>
  <c r="E146" i="9"/>
  <c r="E147" i="9"/>
  <c r="E148" i="9"/>
  <c r="D149" i="9"/>
  <c r="U127" i="9"/>
  <c r="U129" i="9"/>
  <c r="U131" i="9"/>
  <c r="U133" i="9"/>
  <c r="U136" i="9"/>
  <c r="U138" i="9"/>
  <c r="U140" i="9"/>
  <c r="Q129" i="9"/>
  <c r="Q131" i="9"/>
  <c r="Q133" i="9"/>
  <c r="Q136" i="9"/>
  <c r="Q138" i="9"/>
  <c r="Q140" i="9"/>
  <c r="Q127" i="9"/>
  <c r="M127" i="9"/>
  <c r="M129" i="9"/>
  <c r="M131" i="9"/>
  <c r="M133" i="9"/>
  <c r="M136" i="9"/>
  <c r="M137" i="9"/>
  <c r="M138" i="9"/>
  <c r="M140" i="9"/>
  <c r="I129" i="9"/>
  <c r="I131" i="9"/>
  <c r="I136" i="9"/>
  <c r="I137" i="9"/>
  <c r="I138" i="9"/>
  <c r="I140" i="9"/>
  <c r="I127" i="9"/>
  <c r="E128" i="9"/>
  <c r="E129" i="9"/>
  <c r="E130" i="9"/>
  <c r="E131" i="9"/>
  <c r="E132" i="9"/>
  <c r="E134" i="9"/>
  <c r="E136" i="9"/>
  <c r="E137" i="9"/>
  <c r="E138" i="9"/>
  <c r="E139" i="9"/>
  <c r="E140" i="9"/>
  <c r="E104" i="9"/>
  <c r="E105" i="9"/>
  <c r="E106" i="9"/>
  <c r="E107" i="9"/>
  <c r="E110" i="9"/>
  <c r="E111" i="9"/>
  <c r="E93" i="9"/>
  <c r="E94" i="9"/>
  <c r="E95" i="9"/>
  <c r="E97" i="9"/>
  <c r="E98" i="9"/>
  <c r="F27" i="9"/>
  <c r="F37" i="9" s="1"/>
  <c r="F88" i="9" s="1"/>
  <c r="J27" i="9"/>
  <c r="J37" i="9" s="1"/>
  <c r="J87" i="9" s="1"/>
  <c r="N27" i="9"/>
  <c r="N37" i="9" s="1"/>
  <c r="R27" i="9"/>
  <c r="R37" i="9" s="1"/>
  <c r="V27" i="9"/>
  <c r="V37" i="9" s="1"/>
  <c r="U67" i="9"/>
  <c r="U68" i="9"/>
  <c r="U69" i="9"/>
  <c r="U70" i="9"/>
  <c r="U71" i="9"/>
  <c r="U72" i="9"/>
  <c r="U73" i="9"/>
  <c r="U74" i="9"/>
  <c r="U75" i="9"/>
  <c r="U76" i="9"/>
  <c r="U77" i="9"/>
  <c r="U83" i="9"/>
  <c r="U84" i="9"/>
  <c r="U65" i="9"/>
  <c r="M67" i="9"/>
  <c r="M68" i="9"/>
  <c r="M69" i="9"/>
  <c r="M70" i="9"/>
  <c r="M71" i="9"/>
  <c r="M72" i="9"/>
  <c r="M73" i="9"/>
  <c r="M74" i="9"/>
  <c r="M75" i="9"/>
  <c r="M76" i="9"/>
  <c r="M77" i="9"/>
  <c r="M83" i="9"/>
  <c r="M84" i="9"/>
  <c r="M65" i="9"/>
  <c r="I67" i="9"/>
  <c r="I68" i="9"/>
  <c r="I69" i="9"/>
  <c r="I71" i="9"/>
  <c r="I72" i="9"/>
  <c r="I73" i="9"/>
  <c r="I74" i="9"/>
  <c r="I75" i="9"/>
  <c r="I76" i="9"/>
  <c r="I77" i="9"/>
  <c r="I83" i="9"/>
  <c r="I84" i="9"/>
  <c r="I65" i="9"/>
  <c r="E67" i="9"/>
  <c r="E69" i="9"/>
  <c r="E70" i="9"/>
  <c r="E71" i="9"/>
  <c r="E72" i="9"/>
  <c r="E73" i="9"/>
  <c r="E74" i="9"/>
  <c r="E75" i="9"/>
  <c r="E76" i="9"/>
  <c r="E77" i="9"/>
  <c r="E83" i="9"/>
  <c r="E84" i="9"/>
  <c r="U61" i="9"/>
  <c r="U62" i="9"/>
  <c r="U59" i="9"/>
  <c r="Q61" i="9"/>
  <c r="Q62" i="9"/>
  <c r="Q59" i="9"/>
  <c r="M60" i="9"/>
  <c r="M61" i="9"/>
  <c r="M62" i="9"/>
  <c r="M59" i="9"/>
  <c r="E59" i="9"/>
  <c r="E62" i="9"/>
  <c r="I59" i="9"/>
  <c r="I60" i="9"/>
  <c r="I62" i="9"/>
  <c r="U52" i="9"/>
  <c r="U53" i="9"/>
  <c r="U55" i="9"/>
  <c r="U56" i="9"/>
  <c r="U51" i="9"/>
  <c r="Q52" i="9"/>
  <c r="Q53" i="9"/>
  <c r="Q55" i="9"/>
  <c r="Q56" i="9"/>
  <c r="Q51" i="9"/>
  <c r="M51" i="9"/>
  <c r="M53" i="9"/>
  <c r="M55" i="9"/>
  <c r="M56" i="9"/>
  <c r="I52" i="9"/>
  <c r="I51" i="9"/>
  <c r="I53" i="9"/>
  <c r="I55" i="9"/>
  <c r="E52" i="9"/>
  <c r="E53" i="9"/>
  <c r="E55" i="9"/>
  <c r="E51" i="9"/>
  <c r="U40" i="9"/>
  <c r="U41" i="9"/>
  <c r="U42" i="9"/>
  <c r="U43" i="9"/>
  <c r="U44" i="9"/>
  <c r="U45" i="9"/>
  <c r="U46" i="9"/>
  <c r="U39" i="9"/>
  <c r="Q40" i="9"/>
  <c r="Q41" i="9"/>
  <c r="Q42" i="9"/>
  <c r="Q43" i="9"/>
  <c r="Q44" i="9"/>
  <c r="Q45" i="9"/>
  <c r="Q46" i="9"/>
  <c r="Q39" i="9"/>
  <c r="M40" i="9"/>
  <c r="M41" i="9"/>
  <c r="M42" i="9"/>
  <c r="M43" i="9"/>
  <c r="M44" i="9"/>
  <c r="M45" i="9"/>
  <c r="M46" i="9"/>
  <c r="M48" i="9"/>
  <c r="I41" i="9"/>
  <c r="I42" i="9"/>
  <c r="I43" i="9"/>
  <c r="I44" i="9"/>
  <c r="I46" i="9"/>
  <c r="I48" i="9"/>
  <c r="E40" i="9"/>
  <c r="E41" i="9"/>
  <c r="E42" i="9"/>
  <c r="E43" i="9"/>
  <c r="E44" i="9"/>
  <c r="E45" i="9"/>
  <c r="E46" i="9"/>
  <c r="E47" i="9"/>
  <c r="E233" i="9"/>
  <c r="E227" i="9"/>
  <c r="E222" i="9"/>
  <c r="E223" i="9"/>
  <c r="E224" i="9"/>
  <c r="E208" i="9"/>
  <c r="E210" i="9"/>
  <c r="E211" i="9"/>
  <c r="E212" i="9"/>
  <c r="E214" i="9"/>
  <c r="E215" i="9"/>
  <c r="E216" i="9"/>
  <c r="E207" i="9"/>
  <c r="E188" i="9"/>
  <c r="E180" i="9"/>
  <c r="E157" i="9"/>
  <c r="E151" i="9"/>
  <c r="E127" i="9"/>
  <c r="E65" i="9"/>
  <c r="E39" i="9"/>
  <c r="E29" i="9"/>
  <c r="E23" i="9"/>
  <c r="E24" i="9"/>
  <c r="E25" i="9"/>
  <c r="E9" i="9"/>
  <c r="E11" i="9"/>
  <c r="E12" i="9"/>
  <c r="E13" i="9"/>
  <c r="E14" i="9"/>
  <c r="U29" i="32"/>
  <c r="W82" i="9"/>
  <c r="W81" i="9"/>
  <c r="S245" i="9"/>
  <c r="P245" i="9"/>
  <c r="O245" i="9"/>
  <c r="L245" i="9"/>
  <c r="K245" i="9"/>
  <c r="H245" i="9"/>
  <c r="G245" i="9"/>
  <c r="D245" i="9"/>
  <c r="C245" i="9"/>
  <c r="T173" i="9"/>
  <c r="P173" i="9"/>
  <c r="L173" i="9"/>
  <c r="H173" i="9"/>
  <c r="D173" i="9"/>
  <c r="D99" i="9"/>
  <c r="W39" i="9"/>
  <c r="W233" i="9"/>
  <c r="W227" i="9"/>
  <c r="W207" i="9"/>
  <c r="W157" i="9"/>
  <c r="W128" i="9"/>
  <c r="W127" i="9"/>
  <c r="W65" i="9"/>
  <c r="W59" i="9"/>
  <c r="W51" i="9"/>
  <c r="S231" i="9"/>
  <c r="T225" i="9"/>
  <c r="S225" i="9"/>
  <c r="T155" i="9"/>
  <c r="S155" i="9"/>
  <c r="T149" i="9"/>
  <c r="T63" i="9"/>
  <c r="S63" i="9"/>
  <c r="S57" i="9"/>
  <c r="T49" i="9"/>
  <c r="S49" i="9"/>
  <c r="O231" i="9"/>
  <c r="O225" i="9"/>
  <c r="O155" i="9"/>
  <c r="C155" i="9"/>
  <c r="G155" i="9"/>
  <c r="K155" i="9"/>
  <c r="P63" i="9"/>
  <c r="O63" i="9"/>
  <c r="C63" i="9"/>
  <c r="G63" i="9"/>
  <c r="K63" i="9"/>
  <c r="O57" i="9"/>
  <c r="P49" i="9"/>
  <c r="O49" i="9"/>
  <c r="K225" i="9"/>
  <c r="L225" i="9"/>
  <c r="L149" i="9"/>
  <c r="D141" i="9"/>
  <c r="H141" i="9"/>
  <c r="K49" i="9"/>
  <c r="L49" i="9"/>
  <c r="G225" i="9"/>
  <c r="G217" i="9"/>
  <c r="C217" i="9"/>
  <c r="H225" i="9"/>
  <c r="G141" i="9"/>
  <c r="H149" i="9"/>
  <c r="G49" i="9"/>
  <c r="H49" i="9"/>
  <c r="C225" i="9"/>
  <c r="E202" i="9"/>
  <c r="C195" i="9"/>
  <c r="C201" i="9" s="1"/>
  <c r="C186" i="9"/>
  <c r="D225" i="9"/>
  <c r="C141" i="9"/>
  <c r="C49" i="9"/>
  <c r="D49" i="9"/>
  <c r="C57" i="9"/>
  <c r="D57" i="9"/>
  <c r="G57" i="9"/>
  <c r="K57" i="9"/>
  <c r="H63" i="9"/>
  <c r="L63" i="9"/>
  <c r="D155" i="9"/>
  <c r="H155" i="9"/>
  <c r="L155" i="9"/>
  <c r="C231" i="9"/>
  <c r="G231" i="9"/>
  <c r="K231" i="9"/>
  <c r="D231" i="9"/>
  <c r="H231" i="9"/>
  <c r="H57" i="9"/>
  <c r="P57" i="9"/>
  <c r="T57" i="9"/>
  <c r="D195" i="9"/>
  <c r="D201" i="9" s="1"/>
  <c r="D201" i="33" s="1"/>
  <c r="P203" i="23"/>
  <c r="T203" i="23" s="1"/>
  <c r="P181" i="23"/>
  <c r="T181" i="23" s="1"/>
  <c r="M32" i="23"/>
  <c r="K34" i="30"/>
  <c r="O34" i="30" s="1"/>
  <c r="S34" i="30" s="1"/>
  <c r="W34" i="30" s="1"/>
  <c r="E62" i="29"/>
  <c r="C63" i="29"/>
  <c r="C63" i="32"/>
  <c r="X93" i="32"/>
  <c r="E62" i="32"/>
  <c r="M29" i="32"/>
  <c r="X24" i="30"/>
  <c r="X11" i="30"/>
  <c r="X192" i="24"/>
  <c r="E30" i="9"/>
  <c r="U202" i="32"/>
  <c r="E123" i="32"/>
  <c r="W29" i="32"/>
  <c r="I29" i="9"/>
  <c r="W101" i="29"/>
  <c r="X199" i="23"/>
  <c r="M29" i="9"/>
  <c r="Q29" i="9"/>
  <c r="U29" i="9"/>
  <c r="W191" i="23"/>
  <c r="W92" i="23"/>
  <c r="I194" i="30"/>
  <c r="M194" i="30"/>
  <c r="K202" i="38"/>
  <c r="S57" i="31"/>
  <c r="I24" i="32"/>
  <c r="W105" i="32"/>
  <c r="M62" i="32"/>
  <c r="I110" i="32"/>
  <c r="W184" i="30"/>
  <c r="X32" i="30"/>
  <c r="I34" i="30"/>
  <c r="R205" i="24"/>
  <c r="R246" i="24" s="1"/>
  <c r="R247" i="24"/>
  <c r="I93" i="24"/>
  <c r="W30" i="24"/>
  <c r="W184" i="24"/>
  <c r="F247" i="23"/>
  <c r="W34" i="23"/>
  <c r="W94" i="23"/>
  <c r="M106" i="23"/>
  <c r="W111" i="32"/>
  <c r="I19" i="32"/>
  <c r="X108" i="30"/>
  <c r="W110" i="30"/>
  <c r="Q29" i="30"/>
  <c r="W32" i="23"/>
  <c r="W192" i="23"/>
  <c r="M191" i="23"/>
  <c r="I101" i="24"/>
  <c r="W52" i="24"/>
  <c r="I13" i="9"/>
  <c r="I14" i="9"/>
  <c r="I34" i="9"/>
  <c r="W104" i="9"/>
  <c r="I180" i="9"/>
  <c r="X105" i="32"/>
  <c r="W25" i="32"/>
  <c r="G63" i="32"/>
  <c r="K63" i="32"/>
  <c r="E23" i="29"/>
  <c r="E121" i="30"/>
  <c r="E116" i="30"/>
  <c r="I14" i="30"/>
  <c r="K20" i="30"/>
  <c r="O20" i="30" s="1"/>
  <c r="K21" i="30"/>
  <c r="O23" i="30"/>
  <c r="S23" i="30" s="1"/>
  <c r="P94" i="30"/>
  <c r="T94" i="30" s="1"/>
  <c r="X94" i="30" s="1"/>
  <c r="L107" i="30"/>
  <c r="W19" i="30"/>
  <c r="X103" i="30"/>
  <c r="V174" i="30"/>
  <c r="V176" i="30" s="1"/>
  <c r="K191" i="30"/>
  <c r="M191" i="30" s="1"/>
  <c r="M25" i="39"/>
  <c r="K202" i="39"/>
  <c r="M202" i="39" s="1"/>
  <c r="I23" i="23"/>
  <c r="I34" i="23"/>
  <c r="I108" i="23"/>
  <c r="I106" i="23"/>
  <c r="X20" i="23"/>
  <c r="I30" i="23"/>
  <c r="E119" i="23"/>
  <c r="I19" i="23"/>
  <c r="I32" i="23"/>
  <c r="N174" i="23"/>
  <c r="N176" i="23" s="1"/>
  <c r="E115" i="23"/>
  <c r="T106" i="23"/>
  <c r="X106" i="23" s="1"/>
  <c r="L10" i="23"/>
  <c r="P10" i="23" s="1"/>
  <c r="X93" i="23"/>
  <c r="L8" i="23"/>
  <c r="P8" i="23" s="1"/>
  <c r="T8" i="23" s="1"/>
  <c r="X8" i="23" s="1"/>
  <c r="L185" i="23"/>
  <c r="U191" i="23"/>
  <c r="W182" i="23"/>
  <c r="W35" i="23"/>
  <c r="X191" i="23"/>
  <c r="E120" i="23"/>
  <c r="I21" i="23"/>
  <c r="T111" i="23"/>
  <c r="X111" i="23" s="1"/>
  <c r="I18" i="23"/>
  <c r="I22" i="23"/>
  <c r="I25" i="23"/>
  <c r="I31" i="23"/>
  <c r="M31" i="23"/>
  <c r="W95" i="23"/>
  <c r="I93" i="23"/>
  <c r="I20" i="23"/>
  <c r="E116" i="23"/>
  <c r="E118" i="23"/>
  <c r="I24" i="23"/>
  <c r="T13" i="23"/>
  <c r="X13" i="23" s="1"/>
  <c r="T12" i="23"/>
  <c r="I35" i="23"/>
  <c r="P180" i="23"/>
  <c r="T180" i="23" s="1"/>
  <c r="X180" i="23" s="1"/>
  <c r="L182" i="23"/>
  <c r="P182" i="23" s="1"/>
  <c r="T182" i="23" s="1"/>
  <c r="I182" i="23"/>
  <c r="H118" i="23"/>
  <c r="L118" i="23" s="1"/>
  <c r="P118" i="23" s="1"/>
  <c r="D124" i="23"/>
  <c r="E117" i="23"/>
  <c r="M25" i="23"/>
  <c r="I97" i="9"/>
  <c r="I24" i="9"/>
  <c r="I98" i="9"/>
  <c r="I31" i="9"/>
  <c r="I110" i="9"/>
  <c r="W193" i="9"/>
  <c r="I25" i="9"/>
  <c r="I104" i="9"/>
  <c r="I12" i="9"/>
  <c r="I115" i="9"/>
  <c r="I185" i="9"/>
  <c r="I9" i="9"/>
  <c r="I111" i="9"/>
  <c r="I190" i="9"/>
  <c r="I193" i="9"/>
  <c r="E115" i="9"/>
  <c r="I11" i="9"/>
  <c r="I95" i="9"/>
  <c r="H195" i="9"/>
  <c r="H201" i="9" s="1"/>
  <c r="I23" i="9"/>
  <c r="I93" i="9"/>
  <c r="I191" i="9"/>
  <c r="W11" i="9"/>
  <c r="I35" i="9"/>
  <c r="T30" i="24"/>
  <c r="X30" i="24" s="1"/>
  <c r="K188" i="24"/>
  <c r="I185" i="24"/>
  <c r="W181" i="24"/>
  <c r="X23" i="24"/>
  <c r="I111" i="24"/>
  <c r="U52" i="24"/>
  <c r="C196" i="24"/>
  <c r="I192" i="24"/>
  <c r="E52" i="24"/>
  <c r="I188" i="24"/>
  <c r="E115" i="24"/>
  <c r="P201" i="24"/>
  <c r="T201" i="24" s="1"/>
  <c r="X201" i="24" s="1"/>
  <c r="P17" i="24"/>
  <c r="T17" i="24" s="1"/>
  <c r="X17" i="24" s="1"/>
  <c r="K35" i="24"/>
  <c r="I35" i="24"/>
  <c r="O194" i="24"/>
  <c r="S194" i="24" s="1"/>
  <c r="X9" i="24"/>
  <c r="I103" i="24"/>
  <c r="X21" i="24"/>
  <c r="X31" i="24"/>
  <c r="L112" i="39"/>
  <c r="M109" i="39"/>
  <c r="X106" i="30"/>
  <c r="I106" i="30"/>
  <c r="I24" i="30"/>
  <c r="W29" i="30"/>
  <c r="M29" i="30"/>
  <c r="P7" i="30"/>
  <c r="T7" i="30" s="1"/>
  <c r="K11" i="30"/>
  <c r="O11" i="30" s="1"/>
  <c r="S11" i="30" s="1"/>
  <c r="S194" i="30"/>
  <c r="Q194" i="30"/>
  <c r="L185" i="30"/>
  <c r="K192" i="30"/>
  <c r="O192" i="30" s="1"/>
  <c r="I192" i="30"/>
  <c r="L200" i="30"/>
  <c r="W98" i="30"/>
  <c r="E101" i="29"/>
  <c r="W25" i="29"/>
  <c r="C195" i="29"/>
  <c r="L92" i="29"/>
  <c r="P92" i="29" s="1"/>
  <c r="T92" i="29" s="1"/>
  <c r="E190" i="29"/>
  <c r="I104" i="29"/>
  <c r="W19" i="29"/>
  <c r="I103" i="29"/>
  <c r="L95" i="32"/>
  <c r="P95" i="32" s="1"/>
  <c r="T95" i="32" s="1"/>
  <c r="W62" i="32"/>
  <c r="I105" i="32"/>
  <c r="I109" i="32"/>
  <c r="H26" i="32"/>
  <c r="H33" i="32" s="1"/>
  <c r="I20" i="32"/>
  <c r="I21" i="32"/>
  <c r="I25" i="32"/>
  <c r="M109" i="32"/>
  <c r="I107" i="32"/>
  <c r="I108" i="32"/>
  <c r="I106" i="32"/>
  <c r="I22" i="32"/>
  <c r="I98" i="32"/>
  <c r="I104" i="32"/>
  <c r="I103" i="32"/>
  <c r="I193" i="32"/>
  <c r="F174" i="32"/>
  <c r="F176" i="32" s="1"/>
  <c r="I203" i="32"/>
  <c r="X194" i="32"/>
  <c r="I194" i="32"/>
  <c r="I23" i="32"/>
  <c r="M23" i="32"/>
  <c r="I192" i="32"/>
  <c r="I111" i="32"/>
  <c r="N174" i="31"/>
  <c r="I115" i="31"/>
  <c r="P199" i="31"/>
  <c r="T199" i="31" s="1"/>
  <c r="W109" i="31"/>
  <c r="I51" i="31"/>
  <c r="L7" i="31"/>
  <c r="P7" i="31" s="1"/>
  <c r="T7" i="31" s="1"/>
  <c r="F174" i="31"/>
  <c r="F176" i="31" s="1"/>
  <c r="I30" i="9"/>
  <c r="M101" i="39"/>
  <c r="M106" i="39"/>
  <c r="M111" i="39"/>
  <c r="M103" i="39"/>
  <c r="M30" i="39"/>
  <c r="Q30" i="39"/>
  <c r="X201" i="39"/>
  <c r="T200" i="38"/>
  <c r="U121" i="38"/>
  <c r="Q92" i="38"/>
  <c r="X19" i="30"/>
  <c r="W104" i="32"/>
  <c r="X14" i="24"/>
  <c r="V205" i="32"/>
  <c r="V246" i="32" s="1"/>
  <c r="V248" i="32" s="1"/>
  <c r="U29" i="30"/>
  <c r="T182" i="30"/>
  <c r="X182" i="30" s="1"/>
  <c r="P202" i="23"/>
  <c r="G198" i="9"/>
  <c r="E198" i="9"/>
  <c r="R174" i="9"/>
  <c r="R176" i="9" s="1"/>
  <c r="F174" i="9"/>
  <c r="F176" i="9" s="1"/>
  <c r="N174" i="24"/>
  <c r="N176" i="24" s="1"/>
  <c r="K17" i="24"/>
  <c r="M17" i="24" s="1"/>
  <c r="I17" i="24"/>
  <c r="V205" i="30"/>
  <c r="V246" i="30" s="1"/>
  <c r="V248" i="30" s="1"/>
  <c r="L120" i="24"/>
  <c r="P120" i="24" s="1"/>
  <c r="T120" i="24" s="1"/>
  <c r="O189" i="24"/>
  <c r="L202" i="24"/>
  <c r="P202" i="24" s="1"/>
  <c r="T202" i="24" s="1"/>
  <c r="X202" i="24" s="1"/>
  <c r="P18" i="24"/>
  <c r="T18" i="24" s="1"/>
  <c r="P93" i="24"/>
  <c r="T93" i="24" s="1"/>
  <c r="X93" i="24" s="1"/>
  <c r="X95" i="24"/>
  <c r="K191" i="24"/>
  <c r="W192" i="24"/>
  <c r="L117" i="24"/>
  <c r="X13" i="24"/>
  <c r="Q20" i="32"/>
  <c r="M23" i="23"/>
  <c r="X119" i="23"/>
  <c r="X193" i="23"/>
  <c r="P108" i="23"/>
  <c r="P98" i="30"/>
  <c r="T98" i="30" s="1"/>
  <c r="X98" i="30" s="1"/>
  <c r="L98" i="32"/>
  <c r="P110" i="31"/>
  <c r="K190" i="31"/>
  <c r="O190" i="31" s="1"/>
  <c r="K192" i="31"/>
  <c r="O192" i="31" s="1"/>
  <c r="W23" i="29"/>
  <c r="W97" i="23"/>
  <c r="X97" i="9"/>
  <c r="M9" i="9"/>
  <c r="L186" i="9"/>
  <c r="W116" i="30"/>
  <c r="X22" i="23"/>
  <c r="X35" i="23"/>
  <c r="M35" i="23"/>
  <c r="M24" i="23"/>
  <c r="M111" i="23"/>
  <c r="M93" i="23"/>
  <c r="X109" i="9"/>
  <c r="X105" i="9"/>
  <c r="M111" i="9"/>
  <c r="X107" i="9"/>
  <c r="M93" i="9"/>
  <c r="O188" i="24"/>
  <c r="S188" i="24" s="1"/>
  <c r="M106" i="30"/>
  <c r="M106" i="32"/>
  <c r="M107" i="32"/>
  <c r="Q105" i="32"/>
  <c r="M105" i="32"/>
  <c r="M20" i="32"/>
  <c r="M194" i="32"/>
  <c r="S35" i="31"/>
  <c r="W109" i="39"/>
  <c r="W106" i="39"/>
  <c r="W95" i="39"/>
  <c r="W110" i="39"/>
  <c r="W105" i="39"/>
  <c r="Q111" i="39"/>
  <c r="P117" i="24"/>
  <c r="T117" i="24" s="1"/>
  <c r="W96" i="23"/>
  <c r="X19" i="23"/>
  <c r="T108" i="23"/>
  <c r="X108" i="23" s="1"/>
  <c r="W93" i="23"/>
  <c r="W106" i="32"/>
  <c r="J174" i="9"/>
  <c r="J176" i="9" s="1"/>
  <c r="M192" i="24"/>
  <c r="I105" i="9"/>
  <c r="Q93" i="23"/>
  <c r="W109" i="9"/>
  <c r="X34" i="23"/>
  <c r="W31" i="23"/>
  <c r="W110" i="9"/>
  <c r="W108" i="24"/>
  <c r="W109" i="32"/>
  <c r="W103" i="39"/>
  <c r="U93" i="23"/>
  <c r="W110" i="32"/>
  <c r="W104" i="30"/>
  <c r="M107" i="9"/>
  <c r="W107" i="32"/>
  <c r="W108" i="32"/>
  <c r="W98" i="31"/>
  <c r="M97" i="9"/>
  <c r="W121" i="30"/>
  <c r="W106" i="9"/>
  <c r="W105" i="9"/>
  <c r="E124" i="39" l="1"/>
  <c r="D5" i="41"/>
  <c r="E32" i="29"/>
  <c r="D199" i="29"/>
  <c r="E199" i="29"/>
  <c r="I149" i="39"/>
  <c r="E149" i="39"/>
  <c r="C36" i="31"/>
  <c r="E32" i="31"/>
  <c r="E199" i="31"/>
  <c r="C201" i="32"/>
  <c r="E201" i="32" s="1"/>
  <c r="C201" i="33"/>
  <c r="E201" i="33" s="1"/>
  <c r="X63" i="28"/>
  <c r="Y84" i="23"/>
  <c r="I117" i="23"/>
  <c r="I189" i="23"/>
  <c r="C200" i="9"/>
  <c r="C199" i="9"/>
  <c r="H194" i="33"/>
  <c r="H24" i="33"/>
  <c r="W45" i="33"/>
  <c r="X59" i="33"/>
  <c r="X137" i="33"/>
  <c r="W169" i="33"/>
  <c r="W213" i="33"/>
  <c r="X227" i="33"/>
  <c r="W238" i="33"/>
  <c r="W74" i="33"/>
  <c r="C115" i="33"/>
  <c r="E115" i="33" s="1"/>
  <c r="I191" i="24"/>
  <c r="H188" i="33"/>
  <c r="Q116" i="24"/>
  <c r="H189" i="33"/>
  <c r="I20" i="24"/>
  <c r="X68" i="33"/>
  <c r="U116" i="24"/>
  <c r="H190" i="33"/>
  <c r="H191" i="33"/>
  <c r="W116" i="24"/>
  <c r="E116" i="24"/>
  <c r="H192" i="33"/>
  <c r="X51" i="33"/>
  <c r="X65" i="33"/>
  <c r="H107" i="33"/>
  <c r="G194" i="33"/>
  <c r="G102" i="33"/>
  <c r="C119" i="30"/>
  <c r="E119" i="30" s="1"/>
  <c r="H21" i="33"/>
  <c r="K190" i="30"/>
  <c r="X234" i="33"/>
  <c r="U225" i="30"/>
  <c r="X159" i="33"/>
  <c r="W160" i="33"/>
  <c r="X94" i="39"/>
  <c r="M141" i="39"/>
  <c r="U141" i="39"/>
  <c r="U173" i="39"/>
  <c r="I173" i="39"/>
  <c r="Q173" i="39"/>
  <c r="E217" i="39"/>
  <c r="M217" i="39"/>
  <c r="X160" i="33"/>
  <c r="U49" i="39"/>
  <c r="Q49" i="39"/>
  <c r="I57" i="39"/>
  <c r="K231" i="39"/>
  <c r="K228" i="33"/>
  <c r="M228" i="33" s="1"/>
  <c r="M173" i="39"/>
  <c r="I217" i="39"/>
  <c r="I225" i="39"/>
  <c r="E245" i="39"/>
  <c r="W65" i="33"/>
  <c r="W234" i="33"/>
  <c r="X45" i="33"/>
  <c r="W79" i="33"/>
  <c r="W135" i="33"/>
  <c r="W148" i="33"/>
  <c r="X169" i="33"/>
  <c r="X213" i="33"/>
  <c r="X219" i="33"/>
  <c r="X230" i="33"/>
  <c r="X235" i="33"/>
  <c r="X238" i="33"/>
  <c r="G92" i="33"/>
  <c r="X158" i="33"/>
  <c r="X69" i="33"/>
  <c r="W157" i="33"/>
  <c r="X157" i="33"/>
  <c r="W235" i="33"/>
  <c r="W70" i="33"/>
  <c r="W73" i="33"/>
  <c r="W77" i="33"/>
  <c r="G180" i="33"/>
  <c r="X77" i="33"/>
  <c r="X72" i="33"/>
  <c r="W144" i="33"/>
  <c r="I123" i="33"/>
  <c r="X144" i="33"/>
  <c r="W220" i="33"/>
  <c r="X228" i="33"/>
  <c r="W236" i="33"/>
  <c r="X220" i="33"/>
  <c r="X236" i="33"/>
  <c r="W237" i="33"/>
  <c r="H184" i="33"/>
  <c r="X71" i="33"/>
  <c r="X233" i="33"/>
  <c r="X237" i="33"/>
  <c r="X29" i="33"/>
  <c r="X73" i="33"/>
  <c r="W76" i="33"/>
  <c r="W233" i="33"/>
  <c r="W161" i="33"/>
  <c r="W158" i="33"/>
  <c r="G7" i="33"/>
  <c r="X161" i="33"/>
  <c r="W59" i="33"/>
  <c r="Y59" i="33" s="1"/>
  <c r="X74" i="33"/>
  <c r="W227" i="33"/>
  <c r="W159" i="33"/>
  <c r="G25" i="33"/>
  <c r="W43" i="33"/>
  <c r="X79" i="33"/>
  <c r="D118" i="33"/>
  <c r="X135" i="33"/>
  <c r="X148" i="33"/>
  <c r="W167" i="33"/>
  <c r="G189" i="33"/>
  <c r="W211" i="33"/>
  <c r="L17" i="31"/>
  <c r="H33" i="31"/>
  <c r="H10" i="33"/>
  <c r="H25" i="33"/>
  <c r="X43" i="33"/>
  <c r="W56" i="33"/>
  <c r="H98" i="33"/>
  <c r="H108" i="33"/>
  <c r="W133" i="33"/>
  <c r="W146" i="33"/>
  <c r="X154" i="33"/>
  <c r="X162" i="33"/>
  <c r="X167" i="33"/>
  <c r="X211" i="33"/>
  <c r="W224" i="33"/>
  <c r="W243" i="33"/>
  <c r="D36" i="31"/>
  <c r="Y80" i="31"/>
  <c r="Y83" i="31"/>
  <c r="E198" i="31"/>
  <c r="C198" i="33"/>
  <c r="E198" i="33" s="1"/>
  <c r="K192" i="33"/>
  <c r="H19" i="33"/>
  <c r="X56" i="33"/>
  <c r="W84" i="33"/>
  <c r="X146" i="33"/>
  <c r="W152" i="33"/>
  <c r="W165" i="33"/>
  <c r="X243" i="33"/>
  <c r="G111" i="33"/>
  <c r="H201" i="33"/>
  <c r="G181" i="33"/>
  <c r="X41" i="33"/>
  <c r="W48" i="33"/>
  <c r="W54" i="33"/>
  <c r="X84" i="33"/>
  <c r="H101" i="33"/>
  <c r="H109" i="33"/>
  <c r="X152" i="33"/>
  <c r="X165" i="33"/>
  <c r="W172" i="33"/>
  <c r="G190" i="33"/>
  <c r="I190" i="33" s="1"/>
  <c r="W216" i="33"/>
  <c r="W241" i="33"/>
  <c r="G110" i="33"/>
  <c r="W162" i="33"/>
  <c r="G182" i="33"/>
  <c r="K190" i="33"/>
  <c r="X48" i="33"/>
  <c r="X54" i="33"/>
  <c r="W82" i="33"/>
  <c r="X172" i="33"/>
  <c r="Y172" i="33" s="1"/>
  <c r="X216" i="33"/>
  <c r="X241" i="33"/>
  <c r="G109" i="33"/>
  <c r="H20" i="33"/>
  <c r="X39" i="33"/>
  <c r="W46" i="33"/>
  <c r="X60" i="33"/>
  <c r="X82" i="33"/>
  <c r="H102" i="33"/>
  <c r="H110" i="33"/>
  <c r="W129" i="33"/>
  <c r="X138" i="33"/>
  <c r="W170" i="33"/>
  <c r="W214" i="33"/>
  <c r="W239" i="33"/>
  <c r="G108" i="33"/>
  <c r="X46" i="33"/>
  <c r="W80" i="33"/>
  <c r="T93" i="33"/>
  <c r="X170" i="33"/>
  <c r="G191" i="33"/>
  <c r="I191" i="33" s="1"/>
  <c r="X214" i="33"/>
  <c r="X239" i="33"/>
  <c r="G117" i="33"/>
  <c r="G107" i="33"/>
  <c r="H181" i="33"/>
  <c r="G12" i="33"/>
  <c r="G22" i="33"/>
  <c r="X80" i="33"/>
  <c r="H103" i="33"/>
  <c r="H111" i="33"/>
  <c r="X136" i="33"/>
  <c r="W163" i="33"/>
  <c r="W168" i="33"/>
  <c r="W212" i="33"/>
  <c r="G106" i="33"/>
  <c r="H22" i="33"/>
  <c r="W78" i="33"/>
  <c r="W134" i="33"/>
  <c r="W147" i="33"/>
  <c r="X163" i="33"/>
  <c r="X168" i="33"/>
  <c r="X212" i="33"/>
  <c r="W244" i="33"/>
  <c r="G105" i="33"/>
  <c r="W143" i="33"/>
  <c r="W219" i="33"/>
  <c r="Y219" i="33" s="1"/>
  <c r="H92" i="33"/>
  <c r="L185" i="31"/>
  <c r="H185" i="33"/>
  <c r="X78" i="33"/>
  <c r="H104" i="33"/>
  <c r="W127" i="33"/>
  <c r="X134" i="33"/>
  <c r="X147" i="33"/>
  <c r="W166" i="33"/>
  <c r="G192" i="33"/>
  <c r="X244" i="33"/>
  <c r="G104" i="33"/>
  <c r="X81" i="33"/>
  <c r="H180" i="33"/>
  <c r="G13" i="33"/>
  <c r="G23" i="33"/>
  <c r="X42" i="33"/>
  <c r="X127" i="33"/>
  <c r="W132" i="33"/>
  <c r="X166" i="33"/>
  <c r="X210" i="33"/>
  <c r="W223" i="33"/>
  <c r="W242" i="33"/>
  <c r="G103" i="33"/>
  <c r="T93" i="31"/>
  <c r="P93" i="33"/>
  <c r="H182" i="33"/>
  <c r="H23" i="33"/>
  <c r="X55" i="33"/>
  <c r="H105" i="33"/>
  <c r="X132" i="33"/>
  <c r="W139" i="33"/>
  <c r="W164" i="33"/>
  <c r="X223" i="33"/>
  <c r="W229" i="33"/>
  <c r="X242" i="33"/>
  <c r="G101" i="33"/>
  <c r="G20" i="33"/>
  <c r="X40" i="33"/>
  <c r="W47" i="33"/>
  <c r="W130" i="33"/>
  <c r="X139" i="33"/>
  <c r="X164" i="33"/>
  <c r="G193" i="33"/>
  <c r="I193" i="33" s="1"/>
  <c r="X208" i="33"/>
  <c r="W221" i="33"/>
  <c r="X229" i="33"/>
  <c r="G8" i="33"/>
  <c r="H8" i="33"/>
  <c r="G24" i="33"/>
  <c r="I24" i="33" s="1"/>
  <c r="X47" i="33"/>
  <c r="X53" i="33"/>
  <c r="H106" i="33"/>
  <c r="H116" i="33"/>
  <c r="X130" i="33"/>
  <c r="Y130" i="33" s="1"/>
  <c r="W137" i="33"/>
  <c r="X143" i="33"/>
  <c r="H203" i="33"/>
  <c r="X215" i="33"/>
  <c r="X221" i="33"/>
  <c r="G17" i="33"/>
  <c r="W75" i="33"/>
  <c r="W131" i="33"/>
  <c r="X140" i="33"/>
  <c r="X209" i="33"/>
  <c r="W222" i="33"/>
  <c r="X75" i="33"/>
  <c r="X131" i="33"/>
  <c r="W138" i="33"/>
  <c r="W207" i="33"/>
  <c r="X222" i="33"/>
  <c r="X207" i="33"/>
  <c r="X129" i="33"/>
  <c r="W136" i="33"/>
  <c r="W44" i="33"/>
  <c r="W140" i="33"/>
  <c r="X44" i="33"/>
  <c r="W55" i="33"/>
  <c r="W145" i="33"/>
  <c r="X153" i="33"/>
  <c r="X224" i="33"/>
  <c r="X76" i="33"/>
  <c r="W83" i="33"/>
  <c r="X145" i="33"/>
  <c r="W151" i="33"/>
  <c r="W53" i="33"/>
  <c r="X61" i="33"/>
  <c r="X83" i="33"/>
  <c r="X115" i="33"/>
  <c r="X151" i="33"/>
  <c r="W171" i="33"/>
  <c r="W215" i="33"/>
  <c r="W240" i="33"/>
  <c r="X133" i="33"/>
  <c r="W81" i="33"/>
  <c r="X171" i="33"/>
  <c r="X240" i="33"/>
  <c r="I33" i="31"/>
  <c r="G18" i="33"/>
  <c r="E33" i="23"/>
  <c r="E36" i="23" s="1"/>
  <c r="F205" i="38"/>
  <c r="F246" i="38" s="1"/>
  <c r="F248" i="38" s="1"/>
  <c r="W52" i="33"/>
  <c r="G231" i="38"/>
  <c r="W42" i="33"/>
  <c r="W40" i="33"/>
  <c r="X200" i="38"/>
  <c r="K9" i="38"/>
  <c r="G9" i="33"/>
  <c r="L14" i="38"/>
  <c r="H31" i="38"/>
  <c r="H14" i="33"/>
  <c r="K98" i="38"/>
  <c r="G98" i="33"/>
  <c r="H18" i="33"/>
  <c r="H35" i="38"/>
  <c r="H35" i="33" s="1"/>
  <c r="L97" i="38"/>
  <c r="H97" i="33"/>
  <c r="L117" i="38"/>
  <c r="H117" i="33"/>
  <c r="K97" i="38"/>
  <c r="M97" i="38" s="1"/>
  <c r="G97" i="33"/>
  <c r="O117" i="38"/>
  <c r="C120" i="33"/>
  <c r="E120" i="33" s="1"/>
  <c r="I93" i="38"/>
  <c r="G93" i="33"/>
  <c r="K96" i="38"/>
  <c r="G96" i="33"/>
  <c r="O116" i="38"/>
  <c r="G35" i="38"/>
  <c r="G35" i="33" s="1"/>
  <c r="G19" i="33"/>
  <c r="G32" i="38"/>
  <c r="G121" i="38"/>
  <c r="C121" i="33"/>
  <c r="E121" i="33" s="1"/>
  <c r="K184" i="38"/>
  <c r="K186" i="38" s="1"/>
  <c r="G184" i="33"/>
  <c r="E118" i="38"/>
  <c r="L121" i="38"/>
  <c r="H121" i="33"/>
  <c r="H118" i="38"/>
  <c r="K11" i="38"/>
  <c r="G11" i="33"/>
  <c r="G21" i="33"/>
  <c r="G34" i="38"/>
  <c r="G34" i="33" s="1"/>
  <c r="W210" i="33"/>
  <c r="G118" i="38"/>
  <c r="C118" i="33"/>
  <c r="T95" i="38"/>
  <c r="S95" i="38"/>
  <c r="D124" i="38"/>
  <c r="L11" i="38"/>
  <c r="H11" i="33"/>
  <c r="K185" i="38"/>
  <c r="G185" i="33"/>
  <c r="E116" i="38"/>
  <c r="C116" i="33"/>
  <c r="E116" i="33" s="1"/>
  <c r="H17" i="33"/>
  <c r="H34" i="38"/>
  <c r="H34" i="33" s="1"/>
  <c r="E30" i="38"/>
  <c r="C30" i="33"/>
  <c r="E30" i="33" s="1"/>
  <c r="G63" i="38"/>
  <c r="I62" i="33"/>
  <c r="W208" i="33"/>
  <c r="X52" i="33"/>
  <c r="L9" i="38"/>
  <c r="P9" i="38" s="1"/>
  <c r="H9" i="33"/>
  <c r="U180" i="38"/>
  <c r="C202" i="33"/>
  <c r="E202" i="33" s="1"/>
  <c r="W8" i="38"/>
  <c r="L93" i="38"/>
  <c r="L93" i="33" s="1"/>
  <c r="H93" i="33"/>
  <c r="L12" i="38"/>
  <c r="H12" i="33"/>
  <c r="I12" i="33" s="1"/>
  <c r="I94" i="38"/>
  <c r="H94" i="33"/>
  <c r="I94" i="33" s="1"/>
  <c r="C203" i="33"/>
  <c r="E203" i="33" s="1"/>
  <c r="Y45" i="38"/>
  <c r="W41" i="33"/>
  <c r="O18" i="38"/>
  <c r="L7" i="38"/>
  <c r="M7" i="38" s="1"/>
  <c r="H7" i="33"/>
  <c r="I95" i="38"/>
  <c r="H95" i="33"/>
  <c r="I95" i="33" s="1"/>
  <c r="E33" i="38"/>
  <c r="W7" i="38"/>
  <c r="H30" i="38"/>
  <c r="H30" i="33" s="1"/>
  <c r="H13" i="33"/>
  <c r="L202" i="38"/>
  <c r="M202" i="38" s="1"/>
  <c r="H202" i="33"/>
  <c r="W39" i="33"/>
  <c r="X128" i="33"/>
  <c r="K189" i="38"/>
  <c r="K10" i="38"/>
  <c r="G10" i="33"/>
  <c r="I10" i="33" s="1"/>
  <c r="K14" i="38"/>
  <c r="G14" i="33"/>
  <c r="G30" i="38"/>
  <c r="L96" i="38"/>
  <c r="H96" i="33"/>
  <c r="I188" i="38"/>
  <c r="G188" i="33"/>
  <c r="W209" i="33"/>
  <c r="S115" i="38"/>
  <c r="W128" i="33"/>
  <c r="H6" i="33"/>
  <c r="G6" i="33"/>
  <c r="D204" i="32"/>
  <c r="W32" i="28"/>
  <c r="C200" i="29"/>
  <c r="E200" i="29" s="1"/>
  <c r="D199" i="9"/>
  <c r="D199" i="33" s="1"/>
  <c r="D200" i="9"/>
  <c r="D200" i="33" s="1"/>
  <c r="D119" i="33"/>
  <c r="E85" i="28"/>
  <c r="E49" i="28"/>
  <c r="L199" i="9"/>
  <c r="L200" i="9"/>
  <c r="K29" i="24"/>
  <c r="M29" i="24" s="1"/>
  <c r="O6" i="24"/>
  <c r="S6" i="24" s="1"/>
  <c r="K85" i="32"/>
  <c r="K12" i="32"/>
  <c r="L10" i="32"/>
  <c r="L194" i="31"/>
  <c r="H63" i="29"/>
  <c r="H63" i="33"/>
  <c r="I94" i="39"/>
  <c r="I96" i="39"/>
  <c r="Q155" i="39"/>
  <c r="K94" i="32"/>
  <c r="K109" i="38"/>
  <c r="Q228" i="30"/>
  <c r="K61" i="23"/>
  <c r="K61" i="33" s="1"/>
  <c r="M61" i="33" s="1"/>
  <c r="X193" i="30"/>
  <c r="L108" i="38"/>
  <c r="L108" i="33" s="1"/>
  <c r="K9" i="32"/>
  <c r="O17" i="24"/>
  <c r="S17" i="24" s="1"/>
  <c r="E117" i="24"/>
  <c r="M200" i="39"/>
  <c r="W31" i="30"/>
  <c r="R174" i="24"/>
  <c r="R176" i="24" s="1"/>
  <c r="K182" i="32"/>
  <c r="K11" i="32"/>
  <c r="M11" i="32" s="1"/>
  <c r="I180" i="23"/>
  <c r="L9" i="32"/>
  <c r="M190" i="38"/>
  <c r="L101" i="38"/>
  <c r="L105" i="38"/>
  <c r="L105" i="33" s="1"/>
  <c r="Q149" i="39"/>
  <c r="Y160" i="39"/>
  <c r="D196" i="39"/>
  <c r="D205" i="39" s="1"/>
  <c r="E117" i="30"/>
  <c r="W225" i="24"/>
  <c r="U173" i="33"/>
  <c r="S173" i="33"/>
  <c r="E120" i="30"/>
  <c r="L8" i="32"/>
  <c r="L191" i="31"/>
  <c r="L191" i="33" s="1"/>
  <c r="U149" i="39"/>
  <c r="Y167" i="39"/>
  <c r="K107" i="38"/>
  <c r="K102" i="30"/>
  <c r="S154" i="32"/>
  <c r="S154" i="33" s="1"/>
  <c r="U154" i="33" s="1"/>
  <c r="K60" i="23"/>
  <c r="K60" i="33" s="1"/>
  <c r="M60" i="33" s="1"/>
  <c r="L181" i="32"/>
  <c r="M192" i="38"/>
  <c r="K23" i="38"/>
  <c r="K23" i="33" s="1"/>
  <c r="K110" i="38"/>
  <c r="O110" i="38" s="1"/>
  <c r="P98" i="32"/>
  <c r="W12" i="30"/>
  <c r="G29" i="24"/>
  <c r="I29" i="24" s="1"/>
  <c r="K184" i="32"/>
  <c r="O184" i="32" s="1"/>
  <c r="I198" i="32"/>
  <c r="K7" i="32"/>
  <c r="L198" i="9"/>
  <c r="L198" i="33" s="1"/>
  <c r="X190" i="30"/>
  <c r="L7" i="32"/>
  <c r="L180" i="32"/>
  <c r="X115" i="31"/>
  <c r="W153" i="32"/>
  <c r="W153" i="33" s="1"/>
  <c r="M188" i="38"/>
  <c r="L102" i="38"/>
  <c r="L102" i="33" s="1"/>
  <c r="L110" i="38"/>
  <c r="L110" i="33" s="1"/>
  <c r="I141" i="39"/>
  <c r="E225" i="39"/>
  <c r="K106" i="38"/>
  <c r="K106" i="33" s="1"/>
  <c r="E115" i="30"/>
  <c r="O228" i="39"/>
  <c r="K231" i="30"/>
  <c r="G85" i="33"/>
  <c r="L11" i="32"/>
  <c r="L104" i="38"/>
  <c r="L104" i="33" s="1"/>
  <c r="Y138" i="33"/>
  <c r="L17" i="38"/>
  <c r="I32" i="32"/>
  <c r="M32" i="32"/>
  <c r="I185" i="30"/>
  <c r="I107" i="23"/>
  <c r="O10" i="32"/>
  <c r="U63" i="32"/>
  <c r="X191" i="30"/>
  <c r="L14" i="32"/>
  <c r="L185" i="32"/>
  <c r="L188" i="31"/>
  <c r="L188" i="33" s="1"/>
  <c r="N205" i="38"/>
  <c r="N246" i="38" s="1"/>
  <c r="N248" i="38" s="1"/>
  <c r="I109" i="38"/>
  <c r="L23" i="38"/>
  <c r="E155" i="38"/>
  <c r="I191" i="38"/>
  <c r="M217" i="38"/>
  <c r="Q217" i="38"/>
  <c r="E231" i="38"/>
  <c r="I49" i="39"/>
  <c r="D113" i="39"/>
  <c r="K98" i="32"/>
  <c r="K105" i="38"/>
  <c r="E31" i="28"/>
  <c r="G155" i="32"/>
  <c r="L97" i="32"/>
  <c r="U32" i="32"/>
  <c r="I29" i="29"/>
  <c r="K180" i="32"/>
  <c r="K185" i="32"/>
  <c r="Q29" i="32"/>
  <c r="Y29" i="32" s="1"/>
  <c r="I193" i="23"/>
  <c r="X192" i="30"/>
  <c r="L13" i="32"/>
  <c r="L184" i="32"/>
  <c r="I105" i="38"/>
  <c r="Q49" i="38"/>
  <c r="U49" i="38"/>
  <c r="L103" i="38"/>
  <c r="L103" i="33" s="1"/>
  <c r="L107" i="38"/>
  <c r="L107" i="33" s="1"/>
  <c r="L111" i="38"/>
  <c r="L111" i="33" s="1"/>
  <c r="Q155" i="38"/>
  <c r="K194" i="38"/>
  <c r="M35" i="28"/>
  <c r="M49" i="39"/>
  <c r="M225" i="39"/>
  <c r="I245" i="39"/>
  <c r="K97" i="32"/>
  <c r="O102" i="38"/>
  <c r="K92" i="38"/>
  <c r="K13" i="32"/>
  <c r="K95" i="32"/>
  <c r="K101" i="38"/>
  <c r="M155" i="33"/>
  <c r="K155" i="33"/>
  <c r="I95" i="32"/>
  <c r="X9" i="39"/>
  <c r="I117" i="24"/>
  <c r="Q32" i="32"/>
  <c r="W32" i="32"/>
  <c r="K14" i="32"/>
  <c r="M97" i="24"/>
  <c r="X194" i="30"/>
  <c r="L12" i="32"/>
  <c r="L96" i="32"/>
  <c r="L182" i="32"/>
  <c r="L189" i="31"/>
  <c r="L189" i="33" s="1"/>
  <c r="L193" i="31"/>
  <c r="L193" i="33" s="1"/>
  <c r="I192" i="38"/>
  <c r="M189" i="38"/>
  <c r="I189" i="38"/>
  <c r="Y131" i="33"/>
  <c r="Q57" i="39"/>
  <c r="I155" i="39"/>
  <c r="Y163" i="39"/>
  <c r="Q217" i="39"/>
  <c r="Y217" i="39" s="1"/>
  <c r="M245" i="39"/>
  <c r="Y245" i="39" s="1"/>
  <c r="K96" i="32"/>
  <c r="K111" i="38"/>
  <c r="K103" i="38"/>
  <c r="M228" i="39"/>
  <c r="M231" i="39" s="1"/>
  <c r="K51" i="32"/>
  <c r="K51" i="33" s="1"/>
  <c r="M51" i="33" s="1"/>
  <c r="H85" i="33"/>
  <c r="I85" i="33"/>
  <c r="E199" i="32"/>
  <c r="K199" i="32"/>
  <c r="I6" i="23"/>
  <c r="Y214" i="23"/>
  <c r="Y223" i="23"/>
  <c r="G201" i="23"/>
  <c r="K201" i="23" s="1"/>
  <c r="O201" i="23" s="1"/>
  <c r="S201" i="23" s="1"/>
  <c r="W201" i="23" s="1"/>
  <c r="J205" i="23"/>
  <c r="J246" i="23" s="1"/>
  <c r="J248" i="23" s="1"/>
  <c r="W189" i="23"/>
  <c r="Y68" i="23"/>
  <c r="I92" i="23"/>
  <c r="W200" i="23"/>
  <c r="G202" i="23"/>
  <c r="K202" i="23" s="1"/>
  <c r="O202" i="23" s="1"/>
  <c r="S202" i="23" s="1"/>
  <c r="W202" i="23" s="1"/>
  <c r="I194" i="23"/>
  <c r="I121" i="23"/>
  <c r="I101" i="23"/>
  <c r="H195" i="23"/>
  <c r="I110" i="23"/>
  <c r="N247" i="23"/>
  <c r="N248" i="23" s="1"/>
  <c r="Q57" i="23"/>
  <c r="M202" i="23"/>
  <c r="X109" i="23"/>
  <c r="Y242" i="23"/>
  <c r="Y143" i="23"/>
  <c r="Y227" i="23"/>
  <c r="Y230" i="23"/>
  <c r="X189" i="23"/>
  <c r="Q96" i="23"/>
  <c r="K11" i="23"/>
  <c r="M11" i="23" s="1"/>
  <c r="I105" i="23"/>
  <c r="Y62" i="23"/>
  <c r="D196" i="23"/>
  <c r="D205" i="23" s="1"/>
  <c r="D246" i="23" s="1"/>
  <c r="D248" i="23" s="1"/>
  <c r="Y219" i="23"/>
  <c r="M192" i="23"/>
  <c r="M189" i="23"/>
  <c r="X192" i="23"/>
  <c r="M96" i="23"/>
  <c r="Y96" i="23" s="1"/>
  <c r="X96" i="23"/>
  <c r="I96" i="23"/>
  <c r="Y56" i="23"/>
  <c r="F248" i="23"/>
  <c r="Y236" i="23"/>
  <c r="Y238" i="23"/>
  <c r="M200" i="23"/>
  <c r="H186" i="23"/>
  <c r="I109" i="23"/>
  <c r="U49" i="23"/>
  <c r="Y161" i="23"/>
  <c r="Y171" i="23"/>
  <c r="X231" i="23"/>
  <c r="Y133" i="23"/>
  <c r="I192" i="23"/>
  <c r="X201" i="23"/>
  <c r="K180" i="23"/>
  <c r="K186" i="23" s="1"/>
  <c r="X149" i="23"/>
  <c r="E186" i="23"/>
  <c r="Y234" i="23"/>
  <c r="Y237" i="23"/>
  <c r="W245" i="23"/>
  <c r="X9" i="23"/>
  <c r="G198" i="23"/>
  <c r="I198" i="23" s="1"/>
  <c r="H15" i="23"/>
  <c r="Y83" i="23"/>
  <c r="M141" i="23"/>
  <c r="I97" i="23"/>
  <c r="H112" i="23"/>
  <c r="Y59" i="23"/>
  <c r="Q245" i="23"/>
  <c r="E245" i="23"/>
  <c r="Y241" i="23"/>
  <c r="Y243" i="23"/>
  <c r="Y244" i="23"/>
  <c r="I102" i="23"/>
  <c r="Y53" i="23"/>
  <c r="W57" i="23"/>
  <c r="Q231" i="23"/>
  <c r="K193" i="23"/>
  <c r="O193" i="23" s="1"/>
  <c r="Q193" i="23" s="1"/>
  <c r="X95" i="23"/>
  <c r="I10" i="23"/>
  <c r="I14" i="23"/>
  <c r="Y43" i="23"/>
  <c r="Y45" i="23"/>
  <c r="X141" i="23"/>
  <c r="J174" i="23"/>
  <c r="J176" i="23" s="1"/>
  <c r="I95" i="23"/>
  <c r="Y213" i="23"/>
  <c r="I217" i="23"/>
  <c r="W225" i="23"/>
  <c r="P94" i="23"/>
  <c r="T94" i="23" s="1"/>
  <c r="T99" i="23" s="1"/>
  <c r="L99" i="23"/>
  <c r="J87" i="23"/>
  <c r="J88" i="23" s="1"/>
  <c r="M182" i="23"/>
  <c r="G29" i="23"/>
  <c r="E57" i="23"/>
  <c r="Y52" i="23"/>
  <c r="Y55" i="23"/>
  <c r="Y129" i="23"/>
  <c r="Y148" i="23"/>
  <c r="Y221" i="23"/>
  <c r="Y224" i="23"/>
  <c r="I231" i="23"/>
  <c r="U231" i="23"/>
  <c r="M97" i="23"/>
  <c r="I94" i="23"/>
  <c r="K6" i="23"/>
  <c r="M6" i="23" s="1"/>
  <c r="Y40" i="23"/>
  <c r="M217" i="23"/>
  <c r="Y215" i="23"/>
  <c r="M109" i="23"/>
  <c r="U57" i="23"/>
  <c r="X57" i="23"/>
  <c r="E195" i="23"/>
  <c r="W217" i="23"/>
  <c r="M225" i="23"/>
  <c r="E225" i="23"/>
  <c r="I7" i="23"/>
  <c r="E49" i="23"/>
  <c r="Y44" i="23"/>
  <c r="Y160" i="23"/>
  <c r="Y165" i="23"/>
  <c r="Y167" i="23"/>
  <c r="Y168" i="23"/>
  <c r="Y172" i="23"/>
  <c r="Y208" i="23"/>
  <c r="Q217" i="23"/>
  <c r="Y212" i="23"/>
  <c r="X217" i="23"/>
  <c r="Y77" i="23"/>
  <c r="M101" i="23"/>
  <c r="G199" i="23"/>
  <c r="Y153" i="23"/>
  <c r="L186" i="23"/>
  <c r="H204" i="23"/>
  <c r="U149" i="23"/>
  <c r="E173" i="23"/>
  <c r="Q173" i="23"/>
  <c r="Y162" i="23"/>
  <c r="Y166" i="23"/>
  <c r="Y233" i="23"/>
  <c r="Y239" i="23"/>
  <c r="M181" i="23"/>
  <c r="X6" i="23"/>
  <c r="W194" i="23"/>
  <c r="E112" i="23"/>
  <c r="Y135" i="23"/>
  <c r="Y137" i="23"/>
  <c r="Y151" i="23"/>
  <c r="Y152" i="23"/>
  <c r="Y154" i="23"/>
  <c r="Y229" i="23"/>
  <c r="T200" i="23"/>
  <c r="U200" i="23" s="1"/>
  <c r="Q200" i="23"/>
  <c r="O10" i="23"/>
  <c r="S10" i="23" s="1"/>
  <c r="M10" i="23"/>
  <c r="O14" i="23"/>
  <c r="S14" i="23" s="1"/>
  <c r="W14" i="23" s="1"/>
  <c r="M14" i="23"/>
  <c r="Q110" i="23"/>
  <c r="O188" i="23"/>
  <c r="M188" i="23"/>
  <c r="P188" i="23"/>
  <c r="T188" i="23" s="1"/>
  <c r="S184" i="23"/>
  <c r="W184" i="23" s="1"/>
  <c r="M98" i="23"/>
  <c r="U217" i="23"/>
  <c r="Q12" i="23"/>
  <c r="V205" i="23"/>
  <c r="V246" i="23" s="1"/>
  <c r="V248" i="23" s="1"/>
  <c r="Y39" i="23"/>
  <c r="Y42" i="23"/>
  <c r="Y47" i="23"/>
  <c r="U141" i="23"/>
  <c r="I141" i="23"/>
  <c r="Y134" i="23"/>
  <c r="U173" i="23"/>
  <c r="Y159" i="23"/>
  <c r="Y164" i="23"/>
  <c r="Y170" i="23"/>
  <c r="L204" i="23"/>
  <c r="H124" i="23"/>
  <c r="M9" i="23"/>
  <c r="L116" i="23"/>
  <c r="L124" i="23" s="1"/>
  <c r="Y228" i="23"/>
  <c r="U155" i="23"/>
  <c r="I200" i="23"/>
  <c r="I98" i="23"/>
  <c r="I185" i="23"/>
  <c r="Q155" i="23"/>
  <c r="I191" i="23"/>
  <c r="E203" i="23"/>
  <c r="E204" i="23" s="1"/>
  <c r="Y65" i="23"/>
  <c r="Y70" i="23"/>
  <c r="Y74" i="23"/>
  <c r="Y76" i="23"/>
  <c r="Y78" i="23"/>
  <c r="Y80" i="23"/>
  <c r="Y82" i="23"/>
  <c r="D113" i="23"/>
  <c r="D125" i="23" s="1"/>
  <c r="D174" i="23" s="1"/>
  <c r="D176" i="23" s="1"/>
  <c r="V175" i="23"/>
  <c r="V176" i="23" s="1"/>
  <c r="Q7" i="23"/>
  <c r="O9" i="23"/>
  <c r="X49" i="23"/>
  <c r="Y54" i="23"/>
  <c r="W141" i="23"/>
  <c r="M149" i="23"/>
  <c r="Y146" i="23"/>
  <c r="Y211" i="23"/>
  <c r="Y216" i="23"/>
  <c r="Q181" i="23"/>
  <c r="X97" i="23"/>
  <c r="I49" i="23"/>
  <c r="G186" i="23"/>
  <c r="W8" i="23"/>
  <c r="P184" i="23"/>
  <c r="T184" i="23" s="1"/>
  <c r="I9" i="23"/>
  <c r="I8" i="23"/>
  <c r="Y127" i="23"/>
  <c r="I190" i="23"/>
  <c r="M108" i="23"/>
  <c r="M49" i="23"/>
  <c r="Y46" i="23"/>
  <c r="E141" i="23"/>
  <c r="Y130" i="23"/>
  <c r="Y136" i="23"/>
  <c r="Y138" i="23"/>
  <c r="Y139" i="23"/>
  <c r="X155" i="23"/>
  <c r="Y157" i="23"/>
  <c r="Y163" i="23"/>
  <c r="Y169" i="23"/>
  <c r="X203" i="23"/>
  <c r="I120" i="23"/>
  <c r="M190" i="23"/>
  <c r="I111" i="23"/>
  <c r="M103" i="23"/>
  <c r="G195" i="23"/>
  <c r="I188" i="23"/>
  <c r="Y79" i="23"/>
  <c r="Y81" i="23"/>
  <c r="X85" i="23"/>
  <c r="X173" i="23"/>
  <c r="Q98" i="23"/>
  <c r="Q190" i="23"/>
  <c r="Y235" i="23"/>
  <c r="P104" i="23"/>
  <c r="T104" i="23" s="1"/>
  <c r="H99" i="23"/>
  <c r="H113" i="23" s="1"/>
  <c r="H125" i="23" s="1"/>
  <c r="H174" i="23" s="1"/>
  <c r="H176" i="23" s="1"/>
  <c r="X103" i="23"/>
  <c r="I181" i="23"/>
  <c r="X190" i="23"/>
  <c r="M7" i="23"/>
  <c r="M155" i="23"/>
  <c r="W155" i="23"/>
  <c r="I225" i="23"/>
  <c r="Y222" i="23"/>
  <c r="U225" i="23"/>
  <c r="E231" i="23"/>
  <c r="I245" i="23"/>
  <c r="U245" i="23"/>
  <c r="M245" i="23"/>
  <c r="Y240" i="23"/>
  <c r="X98" i="23"/>
  <c r="M110" i="23"/>
  <c r="L15" i="23"/>
  <c r="C204" i="23"/>
  <c r="C205" i="23" s="1"/>
  <c r="M231" i="23"/>
  <c r="G15" i="23"/>
  <c r="I104" i="23"/>
  <c r="I184" i="23"/>
  <c r="Q191" i="23"/>
  <c r="E15" i="23"/>
  <c r="Q149" i="23"/>
  <c r="Y147" i="23"/>
  <c r="Y207" i="23"/>
  <c r="Y210" i="23"/>
  <c r="T203" i="9"/>
  <c r="X203" i="9" s="1"/>
  <c r="Q203" i="9"/>
  <c r="R205" i="9"/>
  <c r="R246" i="9" s="1"/>
  <c r="Y207" i="9"/>
  <c r="Y237" i="9"/>
  <c r="I198" i="9"/>
  <c r="Y235" i="9"/>
  <c r="Y74" i="9"/>
  <c r="Y79" i="9"/>
  <c r="Y220" i="9"/>
  <c r="Y53" i="9"/>
  <c r="W245" i="9"/>
  <c r="Y210" i="9"/>
  <c r="Y127" i="9"/>
  <c r="Y153" i="9"/>
  <c r="Y51" i="9"/>
  <c r="V174" i="9"/>
  <c r="V176" i="9" s="1"/>
  <c r="M49" i="9"/>
  <c r="Y145" i="9"/>
  <c r="Y168" i="9"/>
  <c r="Q63" i="9"/>
  <c r="K198" i="9"/>
  <c r="O198" i="9" s="1"/>
  <c r="I202" i="9"/>
  <c r="M35" i="24"/>
  <c r="Y214" i="24"/>
  <c r="I18" i="24"/>
  <c r="M30" i="24"/>
  <c r="I107" i="24"/>
  <c r="C37" i="24"/>
  <c r="I189" i="24"/>
  <c r="X106" i="24"/>
  <c r="Y135" i="24"/>
  <c r="U200" i="24"/>
  <c r="I30" i="24"/>
  <c r="Q193" i="24"/>
  <c r="L194" i="24"/>
  <c r="P194" i="24" s="1"/>
  <c r="T194" i="24" s="1"/>
  <c r="Q231" i="24"/>
  <c r="Q8" i="24"/>
  <c r="I24" i="24"/>
  <c r="X8" i="24"/>
  <c r="X155" i="24"/>
  <c r="D113" i="24"/>
  <c r="M9" i="24"/>
  <c r="O9" i="24"/>
  <c r="S9" i="24" s="1"/>
  <c r="I9" i="24"/>
  <c r="J174" i="24"/>
  <c r="J176" i="24" s="1"/>
  <c r="I155" i="24"/>
  <c r="Q155" i="24"/>
  <c r="W106" i="24"/>
  <c r="M121" i="24"/>
  <c r="X116" i="24"/>
  <c r="I97" i="24"/>
  <c r="J205" i="24"/>
  <c r="J246" i="24" s="1"/>
  <c r="J248" i="24" s="1"/>
  <c r="I116" i="24"/>
  <c r="P97" i="24"/>
  <c r="T97" i="24" s="1"/>
  <c r="X97" i="24" s="1"/>
  <c r="W34" i="24"/>
  <c r="W121" i="24"/>
  <c r="E202" i="24"/>
  <c r="G186" i="24"/>
  <c r="G198" i="24"/>
  <c r="I198" i="24" s="1"/>
  <c r="E121" i="24"/>
  <c r="X200" i="24"/>
  <c r="M63" i="24"/>
  <c r="X217" i="24"/>
  <c r="Q17" i="24"/>
  <c r="I121" i="24"/>
  <c r="I25" i="24"/>
  <c r="M116" i="24"/>
  <c r="I108" i="24"/>
  <c r="U192" i="24"/>
  <c r="W8" i="24"/>
  <c r="U8" i="24"/>
  <c r="S93" i="24"/>
  <c r="W93" i="24" s="1"/>
  <c r="G201" i="24"/>
  <c r="K201" i="24" s="1"/>
  <c r="O201" i="24" s="1"/>
  <c r="I12" i="24"/>
  <c r="U12" i="24"/>
  <c r="M191" i="24"/>
  <c r="W190" i="24"/>
  <c r="U173" i="24"/>
  <c r="Y171" i="24"/>
  <c r="Y209" i="24"/>
  <c r="K14" i="24"/>
  <c r="O14" i="24" s="1"/>
  <c r="U120" i="24"/>
  <c r="W119" i="24"/>
  <c r="M8" i="24"/>
  <c r="Y136" i="24"/>
  <c r="M7" i="24"/>
  <c r="M190" i="24"/>
  <c r="X96" i="24"/>
  <c r="W13" i="24"/>
  <c r="X11" i="24"/>
  <c r="Q192" i="24"/>
  <c r="Y192" i="24" s="1"/>
  <c r="I104" i="24"/>
  <c r="D124" i="24"/>
  <c r="Y79" i="24"/>
  <c r="I231" i="24"/>
  <c r="Y229" i="24"/>
  <c r="X57" i="24"/>
  <c r="U63" i="24"/>
  <c r="M231" i="24"/>
  <c r="I8" i="24"/>
  <c r="R88" i="24"/>
  <c r="E26" i="24"/>
  <c r="E36" i="24"/>
  <c r="Y207" i="24"/>
  <c r="W217" i="24"/>
  <c r="X225" i="24"/>
  <c r="O202" i="24"/>
  <c r="M202" i="24"/>
  <c r="T191" i="24"/>
  <c r="X191" i="24" s="1"/>
  <c r="P32" i="24"/>
  <c r="O94" i="24"/>
  <c r="S94" i="24" s="1"/>
  <c r="M104" i="24"/>
  <c r="Y164" i="24"/>
  <c r="Y219" i="24"/>
  <c r="K198" i="24"/>
  <c r="M198" i="24" s="1"/>
  <c r="I7" i="24"/>
  <c r="I120" i="24"/>
  <c r="W7" i="24"/>
  <c r="I33" i="24"/>
  <c r="E119" i="24"/>
  <c r="D196" i="24"/>
  <c r="D205" i="24" s="1"/>
  <c r="D246" i="24" s="1"/>
  <c r="D248" i="24" s="1"/>
  <c r="I217" i="24"/>
  <c r="U217" i="24"/>
  <c r="I98" i="24"/>
  <c r="O35" i="24"/>
  <c r="O180" i="24"/>
  <c r="Q180" i="24" s="1"/>
  <c r="M33" i="24"/>
  <c r="I95" i="24"/>
  <c r="X19" i="24"/>
  <c r="X141" i="24"/>
  <c r="Y146" i="24"/>
  <c r="Y148" i="24"/>
  <c r="I110" i="24"/>
  <c r="M111" i="24"/>
  <c r="I92" i="24"/>
  <c r="Y44" i="24"/>
  <c r="Y161" i="24"/>
  <c r="Y169" i="24"/>
  <c r="U95" i="24"/>
  <c r="W22" i="24"/>
  <c r="I202" i="24"/>
  <c r="M95" i="24"/>
  <c r="W182" i="24"/>
  <c r="H26" i="24"/>
  <c r="W95" i="24"/>
  <c r="E15" i="24"/>
  <c r="Y43" i="24"/>
  <c r="Y48" i="24"/>
  <c r="Y70" i="24"/>
  <c r="Y72" i="24"/>
  <c r="Q141" i="24"/>
  <c r="Y129" i="24"/>
  <c r="Y137" i="24"/>
  <c r="E173" i="24"/>
  <c r="Q173" i="24"/>
  <c r="Y168" i="24"/>
  <c r="E231" i="24"/>
  <c r="Y237" i="24"/>
  <c r="Y242" i="24"/>
  <c r="Y244" i="24"/>
  <c r="Q13" i="24"/>
  <c r="M23" i="24"/>
  <c r="U98" i="24"/>
  <c r="Y223" i="24"/>
  <c r="I22" i="24"/>
  <c r="P181" i="24"/>
  <c r="T181" i="24" s="1"/>
  <c r="I96" i="24"/>
  <c r="X149" i="24"/>
  <c r="E155" i="24"/>
  <c r="Y153" i="24"/>
  <c r="Y227" i="24"/>
  <c r="Y230" i="24"/>
  <c r="M184" i="24"/>
  <c r="I181" i="24"/>
  <c r="W96" i="24"/>
  <c r="Y45" i="24"/>
  <c r="Y159" i="24"/>
  <c r="Q95" i="24"/>
  <c r="M12" i="24"/>
  <c r="Q120" i="24"/>
  <c r="Q98" i="24"/>
  <c r="U96" i="24"/>
  <c r="Q117" i="24"/>
  <c r="I105" i="24"/>
  <c r="M182" i="24"/>
  <c r="Y60" i="24"/>
  <c r="F174" i="24"/>
  <c r="F176" i="24" s="1"/>
  <c r="Y143" i="24"/>
  <c r="Y224" i="24"/>
  <c r="Y81" i="24"/>
  <c r="U34" i="24"/>
  <c r="M105" i="24"/>
  <c r="E120" i="24"/>
  <c r="Y39" i="24"/>
  <c r="Y61" i="24"/>
  <c r="Y167" i="24"/>
  <c r="X181" i="24"/>
  <c r="M96" i="24"/>
  <c r="Y228" i="24"/>
  <c r="X110" i="24"/>
  <c r="W120" i="24"/>
  <c r="M188" i="24"/>
  <c r="X33" i="24"/>
  <c r="I182" i="24"/>
  <c r="X193" i="24"/>
  <c r="Y51" i="24"/>
  <c r="Y56" i="24"/>
  <c r="Y131" i="24"/>
  <c r="M149" i="24"/>
  <c r="Y213" i="24"/>
  <c r="Q245" i="24"/>
  <c r="E245" i="24"/>
  <c r="Y238" i="24"/>
  <c r="Y239" i="24"/>
  <c r="Y241" i="24"/>
  <c r="Y243" i="24"/>
  <c r="L112" i="24"/>
  <c r="L204" i="24"/>
  <c r="S103" i="24"/>
  <c r="W103" i="24" s="1"/>
  <c r="M106" i="24"/>
  <c r="Q181" i="24"/>
  <c r="S21" i="24"/>
  <c r="U21" i="24" s="1"/>
  <c r="Q21" i="24"/>
  <c r="P25" i="24"/>
  <c r="T25" i="24" s="1"/>
  <c r="U25" i="24" s="1"/>
  <c r="O32" i="24"/>
  <c r="M32" i="24"/>
  <c r="O185" i="24"/>
  <c r="Q185" i="24" s="1"/>
  <c r="M185" i="24"/>
  <c r="K186" i="24"/>
  <c r="P189" i="24"/>
  <c r="T189" i="24" s="1"/>
  <c r="L195" i="24"/>
  <c r="M189" i="24"/>
  <c r="O102" i="24"/>
  <c r="M102" i="24"/>
  <c r="M109" i="24"/>
  <c r="Q94" i="24"/>
  <c r="T94" i="24"/>
  <c r="X117" i="24"/>
  <c r="O11" i="24"/>
  <c r="M11" i="24"/>
  <c r="V175" i="24"/>
  <c r="V174" i="24"/>
  <c r="P6" i="24"/>
  <c r="M6" i="24"/>
  <c r="M24" i="24"/>
  <c r="P24" i="24"/>
  <c r="T105" i="24"/>
  <c r="X105" i="24" s="1"/>
  <c r="Q105" i="24"/>
  <c r="O107" i="24"/>
  <c r="S107" i="24" s="1"/>
  <c r="P22" i="24"/>
  <c r="M22" i="24"/>
  <c r="S97" i="24"/>
  <c r="W97" i="24" s="1"/>
  <c r="O18" i="24"/>
  <c r="K26" i="24"/>
  <c r="H124" i="24"/>
  <c r="L118" i="24"/>
  <c r="P118" i="24" s="1"/>
  <c r="T118" i="24" s="1"/>
  <c r="U118" i="24" s="1"/>
  <c r="P20" i="24"/>
  <c r="T20" i="24" s="1"/>
  <c r="U20" i="24" s="1"/>
  <c r="L26" i="24"/>
  <c r="M20" i="24"/>
  <c r="L99" i="24"/>
  <c r="P92" i="24"/>
  <c r="Q111" i="24"/>
  <c r="S111" i="24"/>
  <c r="W111" i="24" s="1"/>
  <c r="W105" i="24"/>
  <c r="W118" i="24"/>
  <c r="M117" i="24"/>
  <c r="Q34" i="24"/>
  <c r="M194" i="24"/>
  <c r="M21" i="24"/>
  <c r="H204" i="24"/>
  <c r="P190" i="24"/>
  <c r="P184" i="24"/>
  <c r="T184" i="24" s="1"/>
  <c r="U184" i="24" s="1"/>
  <c r="E118" i="24"/>
  <c r="O19" i="24"/>
  <c r="S19" i="24" s="1"/>
  <c r="U19" i="24" s="1"/>
  <c r="G15" i="24"/>
  <c r="M31" i="24"/>
  <c r="I6" i="24"/>
  <c r="H99" i="24"/>
  <c r="I102" i="24"/>
  <c r="W104" i="24"/>
  <c r="H195" i="24"/>
  <c r="W141" i="24"/>
  <c r="Y147" i="24"/>
  <c r="Y222" i="24"/>
  <c r="G26" i="24"/>
  <c r="M107" i="24"/>
  <c r="M193" i="24"/>
  <c r="Q33" i="24"/>
  <c r="L186" i="24"/>
  <c r="M200" i="24"/>
  <c r="Y212" i="24"/>
  <c r="I190" i="24"/>
  <c r="H112" i="24"/>
  <c r="I200" i="24"/>
  <c r="Y200" i="24" s="1"/>
  <c r="I106" i="24"/>
  <c r="W63" i="24"/>
  <c r="Y65" i="24"/>
  <c r="Y73" i="24"/>
  <c r="Y75" i="24"/>
  <c r="Y77" i="24"/>
  <c r="Y83" i="24"/>
  <c r="Y128" i="24"/>
  <c r="Y130" i="24"/>
  <c r="Y133" i="24"/>
  <c r="Y138" i="24"/>
  <c r="Y139" i="24"/>
  <c r="E195" i="24"/>
  <c r="M217" i="24"/>
  <c r="C113" i="24"/>
  <c r="W98" i="24"/>
  <c r="I118" i="24"/>
  <c r="Q19" i="24"/>
  <c r="M13" i="24"/>
  <c r="U231" i="24"/>
  <c r="H186" i="24"/>
  <c r="W200" i="24"/>
  <c r="I119" i="24"/>
  <c r="I32" i="24"/>
  <c r="X34" i="24"/>
  <c r="I94" i="24"/>
  <c r="M94" i="24"/>
  <c r="Q49" i="24"/>
  <c r="Y42" i="24"/>
  <c r="U49" i="24"/>
  <c r="Y47" i="24"/>
  <c r="W49" i="24"/>
  <c r="I63" i="24"/>
  <c r="M173" i="24"/>
  <c r="Y162" i="24"/>
  <c r="Y170" i="24"/>
  <c r="Y172" i="24"/>
  <c r="E186" i="24"/>
  <c r="X245" i="24"/>
  <c r="K110" i="24"/>
  <c r="L36" i="24"/>
  <c r="M34" i="24"/>
  <c r="M103" i="24"/>
  <c r="I21" i="24"/>
  <c r="T121" i="24"/>
  <c r="X121" i="24" s="1"/>
  <c r="I180" i="24"/>
  <c r="P7" i="24"/>
  <c r="I23" i="24"/>
  <c r="W31" i="24"/>
  <c r="U155" i="24"/>
  <c r="Y154" i="24"/>
  <c r="Y240" i="24"/>
  <c r="Q184" i="24"/>
  <c r="Q200" i="24"/>
  <c r="G195" i="24"/>
  <c r="G196" i="24" s="1"/>
  <c r="I19" i="24"/>
  <c r="Y152" i="24"/>
  <c r="S189" i="24"/>
  <c r="W189" i="24" s="1"/>
  <c r="W25" i="24"/>
  <c r="I49" i="24"/>
  <c r="I109" i="24"/>
  <c r="H36" i="24"/>
  <c r="I11" i="24"/>
  <c r="I13" i="24"/>
  <c r="R248" i="24"/>
  <c r="Y68" i="24"/>
  <c r="Y74" i="24"/>
  <c r="Y76" i="24"/>
  <c r="Y78" i="24"/>
  <c r="Y80" i="24"/>
  <c r="Y82" i="24"/>
  <c r="Y84" i="24"/>
  <c r="E99" i="24"/>
  <c r="E112" i="24"/>
  <c r="U141" i="24"/>
  <c r="I141" i="24"/>
  <c r="Y132" i="24"/>
  <c r="Y134" i="24"/>
  <c r="Y140" i="24"/>
  <c r="Y210" i="24"/>
  <c r="Y215" i="24"/>
  <c r="Y216" i="24"/>
  <c r="X18" i="24"/>
  <c r="Q12" i="24"/>
  <c r="G36" i="24"/>
  <c r="I10" i="24"/>
  <c r="M98" i="24"/>
  <c r="T185" i="24"/>
  <c r="X98" i="24"/>
  <c r="M25" i="24"/>
  <c r="I184" i="24"/>
  <c r="V205" i="24"/>
  <c r="V246" i="24" s="1"/>
  <c r="V248" i="24" s="1"/>
  <c r="I34" i="24"/>
  <c r="I193" i="24"/>
  <c r="I195" i="24" s="1"/>
  <c r="H15" i="24"/>
  <c r="H27" i="24" s="1"/>
  <c r="I31" i="24"/>
  <c r="Y41" i="24"/>
  <c r="E49" i="24"/>
  <c r="Y46" i="24"/>
  <c r="X49" i="24"/>
  <c r="Y59" i="24"/>
  <c r="E63" i="24"/>
  <c r="Y62" i="24"/>
  <c r="Y157" i="24"/>
  <c r="Y158" i="24"/>
  <c r="Y160" i="24"/>
  <c r="Y163" i="24"/>
  <c r="Y165" i="24"/>
  <c r="Y166" i="24"/>
  <c r="X173" i="24"/>
  <c r="Y131" i="39"/>
  <c r="I63" i="39"/>
  <c r="Y161" i="39"/>
  <c r="X85" i="39"/>
  <c r="Y166" i="39"/>
  <c r="Y165" i="39"/>
  <c r="M57" i="39"/>
  <c r="Y168" i="39"/>
  <c r="Y169" i="39"/>
  <c r="U193" i="39"/>
  <c r="K198" i="39"/>
  <c r="X57" i="39"/>
  <c r="T195" i="39"/>
  <c r="X195" i="39" s="1"/>
  <c r="X49" i="39"/>
  <c r="E198" i="39"/>
  <c r="C204" i="39"/>
  <c r="D246" i="39"/>
  <c r="D248" i="39" s="1"/>
  <c r="I180" i="39"/>
  <c r="I98" i="39"/>
  <c r="E173" i="39"/>
  <c r="W11" i="39"/>
  <c r="Y84" i="39"/>
  <c r="I201" i="39"/>
  <c r="N205" i="39"/>
  <c r="N246" i="39" s="1"/>
  <c r="N248" i="39" s="1"/>
  <c r="X13" i="39"/>
  <c r="I11" i="39"/>
  <c r="X11" i="39"/>
  <c r="W49" i="39"/>
  <c r="H124" i="39"/>
  <c r="M29" i="39"/>
  <c r="Y157" i="39"/>
  <c r="E186" i="39"/>
  <c r="E195" i="39"/>
  <c r="C196" i="39"/>
  <c r="E231" i="39"/>
  <c r="X245" i="39"/>
  <c r="M190" i="39"/>
  <c r="M193" i="39"/>
  <c r="U8" i="39"/>
  <c r="U12" i="39"/>
  <c r="Y225" i="39"/>
  <c r="Y220" i="39"/>
  <c r="Y221" i="39"/>
  <c r="Y223" i="39"/>
  <c r="Y224" i="39"/>
  <c r="Y238" i="39"/>
  <c r="M11" i="39"/>
  <c r="U63" i="39"/>
  <c r="U155" i="39"/>
  <c r="Q11" i="39"/>
  <c r="Y60" i="39"/>
  <c r="Y62" i="39"/>
  <c r="Y65" i="39"/>
  <c r="Y69" i="39"/>
  <c r="Y70" i="39"/>
  <c r="Y71" i="39"/>
  <c r="Y72" i="39"/>
  <c r="Y73" i="39"/>
  <c r="Y74" i="39"/>
  <c r="Y75" i="39"/>
  <c r="Y76" i="39"/>
  <c r="Y77" i="39"/>
  <c r="Y78" i="39"/>
  <c r="Y79" i="39"/>
  <c r="Y80" i="39"/>
  <c r="Y81" i="39"/>
  <c r="Y82" i="39"/>
  <c r="Y83" i="39"/>
  <c r="Y144" i="39"/>
  <c r="Y145" i="39"/>
  <c r="F175" i="39"/>
  <c r="F174" i="39"/>
  <c r="Q192" i="39"/>
  <c r="S192" i="39"/>
  <c r="W192" i="39" s="1"/>
  <c r="W63" i="39"/>
  <c r="X184" i="39"/>
  <c r="Q14" i="39"/>
  <c r="Y219" i="39"/>
  <c r="X63" i="39"/>
  <c r="X231" i="39"/>
  <c r="Y235" i="39"/>
  <c r="Y237" i="39"/>
  <c r="Y241" i="39"/>
  <c r="Y243" i="39"/>
  <c r="Y244" i="39"/>
  <c r="I189" i="39"/>
  <c r="Y153" i="39"/>
  <c r="W8" i="39"/>
  <c r="L199" i="39"/>
  <c r="Q63" i="39"/>
  <c r="Y63" i="39" s="1"/>
  <c r="Y127" i="39"/>
  <c r="Y132" i="39"/>
  <c r="Y136" i="39"/>
  <c r="Y137" i="39"/>
  <c r="Y138" i="39"/>
  <c r="Y140" i="39"/>
  <c r="X141" i="39"/>
  <c r="Y230" i="39"/>
  <c r="Q93" i="39"/>
  <c r="M97" i="39"/>
  <c r="W14" i="39"/>
  <c r="X98" i="39"/>
  <c r="I14" i="39"/>
  <c r="X14" i="39"/>
  <c r="D124" i="39"/>
  <c r="D125" i="39" s="1"/>
  <c r="D174" i="39" s="1"/>
  <c r="D176" i="39" s="1"/>
  <c r="J247" i="39"/>
  <c r="J248" i="39" s="1"/>
  <c r="Y52" i="39"/>
  <c r="Y53" i="39"/>
  <c r="Y54" i="39"/>
  <c r="Y55" i="39"/>
  <c r="Y56" i="39"/>
  <c r="Q8" i="39"/>
  <c r="Q193" i="39"/>
  <c r="Y59" i="39"/>
  <c r="X12" i="39"/>
  <c r="X182" i="39"/>
  <c r="I185" i="39"/>
  <c r="N174" i="39"/>
  <c r="N176" i="39" s="1"/>
  <c r="W97" i="39"/>
  <c r="I10" i="39"/>
  <c r="Y39" i="39"/>
  <c r="Y41" i="39"/>
  <c r="Y42" i="39"/>
  <c r="Y43" i="39"/>
  <c r="Y44" i="39"/>
  <c r="Y45" i="39"/>
  <c r="Y46" i="39"/>
  <c r="Y47" i="39"/>
  <c r="Y48" i="39"/>
  <c r="Y208" i="39"/>
  <c r="Y212" i="39"/>
  <c r="Y213" i="39"/>
  <c r="Y214" i="39"/>
  <c r="Y216" i="39"/>
  <c r="X217" i="39"/>
  <c r="U94" i="39"/>
  <c r="M98" i="39"/>
  <c r="I97" i="39"/>
  <c r="X96" i="39"/>
  <c r="I8" i="39"/>
  <c r="X10" i="39"/>
  <c r="H186" i="39"/>
  <c r="H196" i="39" s="1"/>
  <c r="H205" i="39" s="1"/>
  <c r="H246" i="39" s="1"/>
  <c r="H248" i="39" s="1"/>
  <c r="E15" i="39"/>
  <c r="M180" i="39"/>
  <c r="M201" i="39"/>
  <c r="X95" i="39"/>
  <c r="I181" i="39"/>
  <c r="M8" i="39"/>
  <c r="M93" i="39"/>
  <c r="W149" i="39"/>
  <c r="P185" i="39"/>
  <c r="T185" i="39" s="1"/>
  <c r="M189" i="39"/>
  <c r="O189" i="39"/>
  <c r="Q181" i="39"/>
  <c r="T97" i="39"/>
  <c r="Q97" i="39"/>
  <c r="O182" i="39"/>
  <c r="S182" i="39" s="1"/>
  <c r="M182" i="39"/>
  <c r="U201" i="39"/>
  <c r="Q201" i="39"/>
  <c r="M203" i="39"/>
  <c r="O203" i="39"/>
  <c r="U194" i="39"/>
  <c r="W194" i="39"/>
  <c r="U11" i="39"/>
  <c r="M95" i="39"/>
  <c r="O185" i="39"/>
  <c r="M185" i="39"/>
  <c r="O96" i="39"/>
  <c r="M96" i="39"/>
  <c r="Q194" i="39"/>
  <c r="Q200" i="39"/>
  <c r="P99" i="39"/>
  <c r="L99" i="39"/>
  <c r="L113" i="39" s="1"/>
  <c r="I200" i="39"/>
  <c r="R174" i="39"/>
  <c r="R176" i="39" s="1"/>
  <c r="I93" i="39"/>
  <c r="I17" i="39"/>
  <c r="M94" i="39"/>
  <c r="I182" i="39"/>
  <c r="E49" i="39"/>
  <c r="Y61" i="39"/>
  <c r="W94" i="39"/>
  <c r="M181" i="39"/>
  <c r="Q94" i="39"/>
  <c r="Y233" i="39"/>
  <c r="I12" i="39"/>
  <c r="Q12" i="39"/>
  <c r="Y162" i="39"/>
  <c r="Y164" i="39"/>
  <c r="Y170" i="39"/>
  <c r="Y171" i="39"/>
  <c r="Y172" i="39"/>
  <c r="G195" i="39"/>
  <c r="Q29" i="39"/>
  <c r="O202" i="39"/>
  <c r="L186" i="39"/>
  <c r="L196" i="39" s="1"/>
  <c r="G15" i="39"/>
  <c r="I32" i="39" s="1"/>
  <c r="X149" i="39"/>
  <c r="Y154" i="39"/>
  <c r="Y229" i="39"/>
  <c r="X93" i="39"/>
  <c r="I203" i="39"/>
  <c r="Q141" i="39"/>
  <c r="Y141" i="39" s="1"/>
  <c r="H99" i="39"/>
  <c r="H113" i="39" s="1"/>
  <c r="Y146" i="39"/>
  <c r="Y147" i="39"/>
  <c r="Y148" i="39"/>
  <c r="W217" i="39"/>
  <c r="Y222" i="39"/>
  <c r="M194" i="39"/>
  <c r="Y207" i="39"/>
  <c r="I9" i="39"/>
  <c r="W12" i="39"/>
  <c r="Y128" i="39"/>
  <c r="Y129" i="39"/>
  <c r="Y130" i="39"/>
  <c r="Y133" i="39"/>
  <c r="Y134" i="39"/>
  <c r="Y135" i="39"/>
  <c r="Y139" i="39"/>
  <c r="G186" i="39"/>
  <c r="Y210" i="39"/>
  <c r="Y211" i="39"/>
  <c r="Y215" i="39"/>
  <c r="M12" i="39"/>
  <c r="Y236" i="39"/>
  <c r="Y239" i="39"/>
  <c r="Y240" i="39"/>
  <c r="Y242" i="39"/>
  <c r="Y227" i="30"/>
  <c r="I102" i="30"/>
  <c r="R247" i="30"/>
  <c r="R248" i="30" s="1"/>
  <c r="X102" i="30"/>
  <c r="M102" i="30"/>
  <c r="Y145" i="30"/>
  <c r="I182" i="30"/>
  <c r="Y165" i="30"/>
  <c r="M11" i="30"/>
  <c r="X25" i="30"/>
  <c r="E15" i="30"/>
  <c r="Y66" i="30"/>
  <c r="E118" i="30"/>
  <c r="Y70" i="30"/>
  <c r="M228" i="30"/>
  <c r="M231" i="30" s="1"/>
  <c r="Y233" i="30"/>
  <c r="Y236" i="30"/>
  <c r="I19" i="30"/>
  <c r="Y129" i="30"/>
  <c r="Y234" i="30"/>
  <c r="Y242" i="30"/>
  <c r="I17" i="30"/>
  <c r="K188" i="30"/>
  <c r="K188" i="33" s="1"/>
  <c r="D124" i="30"/>
  <c r="U110" i="30"/>
  <c r="I200" i="30"/>
  <c r="O120" i="30"/>
  <c r="Q120" i="30" s="1"/>
  <c r="M120" i="30"/>
  <c r="Q104" i="30"/>
  <c r="H15" i="30"/>
  <c r="X111" i="30"/>
  <c r="I96" i="30"/>
  <c r="Y139" i="30"/>
  <c r="Y244" i="30"/>
  <c r="I180" i="30"/>
  <c r="K17" i="30"/>
  <c r="X85" i="30"/>
  <c r="Y230" i="30"/>
  <c r="I109" i="30"/>
  <c r="G202" i="30"/>
  <c r="H204" i="30"/>
  <c r="Y167" i="30"/>
  <c r="Y209" i="30"/>
  <c r="R88" i="30"/>
  <c r="I193" i="30"/>
  <c r="U57" i="30"/>
  <c r="Y55" i="30"/>
  <c r="D196" i="30"/>
  <c r="D205" i="30" s="1"/>
  <c r="D246" i="30" s="1"/>
  <c r="D248" i="30" s="1"/>
  <c r="Y42" i="30"/>
  <c r="U155" i="30"/>
  <c r="U104" i="30"/>
  <c r="W96" i="30"/>
  <c r="X10" i="30"/>
  <c r="Y153" i="30"/>
  <c r="I120" i="30"/>
  <c r="F205" i="30"/>
  <c r="F246" i="30" s="1"/>
  <c r="F248" i="30" s="1"/>
  <c r="X104" i="30"/>
  <c r="M149" i="30"/>
  <c r="L15" i="30"/>
  <c r="M34" i="30"/>
  <c r="Q192" i="30"/>
  <c r="S192" i="30"/>
  <c r="U192" i="30" s="1"/>
  <c r="M192" i="30"/>
  <c r="N174" i="30"/>
  <c r="N176" i="30" s="1"/>
  <c r="Y127" i="30"/>
  <c r="Y128" i="30"/>
  <c r="Y132" i="30"/>
  <c r="Y136" i="30"/>
  <c r="E245" i="30"/>
  <c r="U245" i="30"/>
  <c r="M21" i="30"/>
  <c r="Y81" i="30"/>
  <c r="X245" i="30"/>
  <c r="Y59" i="30"/>
  <c r="I31" i="30"/>
  <c r="X109" i="30"/>
  <c r="M225" i="30"/>
  <c r="Y224" i="30"/>
  <c r="U25" i="30"/>
  <c r="I98" i="30"/>
  <c r="G117" i="30"/>
  <c r="K117" i="30" s="1"/>
  <c r="O117" i="30" s="1"/>
  <c r="S117" i="30" s="1"/>
  <c r="M193" i="30"/>
  <c r="X97" i="30"/>
  <c r="G26" i="30"/>
  <c r="G30" i="30" s="1"/>
  <c r="I30" i="30" s="1"/>
  <c r="Y210" i="30"/>
  <c r="K109" i="30"/>
  <c r="I105" i="30"/>
  <c r="M24" i="30"/>
  <c r="X105" i="30"/>
  <c r="E26" i="30"/>
  <c r="Y39" i="30"/>
  <c r="Y45" i="30"/>
  <c r="Y48" i="30"/>
  <c r="C196" i="30"/>
  <c r="I35" i="30"/>
  <c r="H186" i="30"/>
  <c r="H196" i="30" s="1"/>
  <c r="I181" i="30"/>
  <c r="Y158" i="30"/>
  <c r="Y161" i="30"/>
  <c r="Y166" i="30"/>
  <c r="Y171" i="30"/>
  <c r="I23" i="30"/>
  <c r="G186" i="30"/>
  <c r="W24" i="30"/>
  <c r="O107" i="30"/>
  <c r="S107" i="30" s="1"/>
  <c r="P22" i="30"/>
  <c r="T22" i="30" s="1"/>
  <c r="J175" i="30"/>
  <c r="J174" i="30"/>
  <c r="K118" i="30"/>
  <c r="O118" i="30" s="1"/>
  <c r="S118" i="30" s="1"/>
  <c r="I118" i="30"/>
  <c r="K105" i="30"/>
  <c r="I116" i="30"/>
  <c r="I110" i="30"/>
  <c r="X110" i="30"/>
  <c r="X21" i="30"/>
  <c r="Y40" i="30"/>
  <c r="Y41" i="30"/>
  <c r="Y43" i="30"/>
  <c r="Q49" i="30"/>
  <c r="Y46" i="30"/>
  <c r="Y47" i="30"/>
  <c r="X63" i="30"/>
  <c r="Y151" i="30"/>
  <c r="M155" i="30"/>
  <c r="Y154" i="30"/>
  <c r="M20" i="30"/>
  <c r="K97" i="30"/>
  <c r="M110" i="30"/>
  <c r="I21" i="30"/>
  <c r="Y54" i="30"/>
  <c r="Y56" i="30"/>
  <c r="Y143" i="30"/>
  <c r="Y221" i="30"/>
  <c r="L23" i="30"/>
  <c r="L26" i="30" s="1"/>
  <c r="K35" i="30"/>
  <c r="O35" i="30" s="1"/>
  <c r="S35" i="30" s="1"/>
  <c r="W35" i="30" s="1"/>
  <c r="U184" i="30"/>
  <c r="K200" i="30"/>
  <c r="M200" i="30" s="1"/>
  <c r="C204" i="30"/>
  <c r="L31" i="30"/>
  <c r="E99" i="30"/>
  <c r="Q155" i="30"/>
  <c r="Y213" i="30"/>
  <c r="Q245" i="30"/>
  <c r="I245" i="30"/>
  <c r="Y240" i="30"/>
  <c r="Y243" i="30"/>
  <c r="Q110" i="30"/>
  <c r="I121" i="30"/>
  <c r="I13" i="30"/>
  <c r="H36" i="30"/>
  <c r="I184" i="30"/>
  <c r="H99" i="30"/>
  <c r="Y72" i="30"/>
  <c r="Y78" i="30"/>
  <c r="X173" i="30"/>
  <c r="Y229" i="30"/>
  <c r="X231" i="30"/>
  <c r="I111" i="30"/>
  <c r="O21" i="30"/>
  <c r="X95" i="30"/>
  <c r="Y134" i="30"/>
  <c r="Y137" i="30"/>
  <c r="Q225" i="30"/>
  <c r="E225" i="30"/>
  <c r="Y223" i="30"/>
  <c r="I94" i="30"/>
  <c r="K26" i="30"/>
  <c r="K30" i="30" s="1"/>
  <c r="M30" i="30" s="1"/>
  <c r="E231" i="30"/>
  <c r="I97" i="30"/>
  <c r="I107" i="30"/>
  <c r="I95" i="30"/>
  <c r="X57" i="30"/>
  <c r="Y211" i="30"/>
  <c r="I217" i="30"/>
  <c r="X217" i="30"/>
  <c r="X49" i="30"/>
  <c r="Y65" i="30"/>
  <c r="Y71" i="30"/>
  <c r="Y73" i="30"/>
  <c r="Y75" i="30"/>
  <c r="Y77" i="30"/>
  <c r="Y79" i="30"/>
  <c r="Y83" i="30"/>
  <c r="Y160" i="30"/>
  <c r="Y162" i="30"/>
  <c r="Y170" i="30"/>
  <c r="Y239" i="30"/>
  <c r="I92" i="30"/>
  <c r="T195" i="30"/>
  <c r="X195" i="30" s="1"/>
  <c r="Q106" i="30"/>
  <c r="F175" i="30"/>
  <c r="F174" i="30"/>
  <c r="M9" i="30"/>
  <c r="M12" i="30"/>
  <c r="P121" i="30"/>
  <c r="M121" i="30"/>
  <c r="W23" i="30"/>
  <c r="O185" i="30"/>
  <c r="S185" i="30" s="1"/>
  <c r="R175" i="30"/>
  <c r="R174" i="30"/>
  <c r="O103" i="30"/>
  <c r="M103" i="30"/>
  <c r="O22" i="30"/>
  <c r="S22" i="30" s="1"/>
  <c r="M22" i="30"/>
  <c r="L99" i="30"/>
  <c r="P96" i="30"/>
  <c r="T96" i="30" s="1"/>
  <c r="U96" i="30" s="1"/>
  <c r="M180" i="30"/>
  <c r="O182" i="30"/>
  <c r="S182" i="30" s="1"/>
  <c r="U182" i="30" s="1"/>
  <c r="M182" i="30"/>
  <c r="K186" i="30"/>
  <c r="M19" i="30"/>
  <c r="P180" i="30"/>
  <c r="Q108" i="30"/>
  <c r="S108" i="30"/>
  <c r="U108" i="30" s="1"/>
  <c r="H124" i="30"/>
  <c r="O191" i="30"/>
  <c r="M245" i="30"/>
  <c r="E203" i="30"/>
  <c r="Q25" i="30"/>
  <c r="M25" i="30"/>
  <c r="Y219" i="30"/>
  <c r="I22" i="30"/>
  <c r="M184" i="30"/>
  <c r="X119" i="30"/>
  <c r="Y237" i="30"/>
  <c r="Q217" i="30"/>
  <c r="Y216" i="30"/>
  <c r="M101" i="30"/>
  <c r="M49" i="30"/>
  <c r="I49" i="30"/>
  <c r="I12" i="30"/>
  <c r="M181" i="30"/>
  <c r="I103" i="30"/>
  <c r="X101" i="30"/>
  <c r="U49" i="30"/>
  <c r="E173" i="30"/>
  <c r="I173" i="30"/>
  <c r="Y164" i="30"/>
  <c r="Y169" i="30"/>
  <c r="Y172" i="30"/>
  <c r="E195" i="30"/>
  <c r="K111" i="30"/>
  <c r="W25" i="30"/>
  <c r="E49" i="30"/>
  <c r="I20" i="30"/>
  <c r="I104" i="30"/>
  <c r="Y214" i="30"/>
  <c r="X35" i="30"/>
  <c r="W49" i="30"/>
  <c r="D113" i="30"/>
  <c r="M141" i="30"/>
  <c r="Y140" i="30"/>
  <c r="W141" i="30"/>
  <c r="U149" i="30"/>
  <c r="Y148" i="30"/>
  <c r="E155" i="30"/>
  <c r="C113" i="30"/>
  <c r="Q11" i="30"/>
  <c r="J205" i="30"/>
  <c r="J246" i="30" s="1"/>
  <c r="J248" i="30" s="1"/>
  <c r="H26" i="30"/>
  <c r="M116" i="30"/>
  <c r="Y238" i="30"/>
  <c r="Y241" i="30"/>
  <c r="S106" i="30"/>
  <c r="U106" i="30" s="1"/>
  <c r="I9" i="30"/>
  <c r="H112" i="30"/>
  <c r="I101" i="30"/>
  <c r="M108" i="30"/>
  <c r="M217" i="30"/>
  <c r="U217" i="30"/>
  <c r="Y212" i="30"/>
  <c r="Y215" i="30"/>
  <c r="M104" i="30"/>
  <c r="Q184" i="30"/>
  <c r="K203" i="30"/>
  <c r="O203" i="30" s="1"/>
  <c r="Q203" i="30" s="1"/>
  <c r="I25" i="30"/>
  <c r="Y222" i="30"/>
  <c r="I108" i="30"/>
  <c r="Y44" i="30"/>
  <c r="U85" i="30"/>
  <c r="U173" i="30"/>
  <c r="Y163" i="30"/>
  <c r="Y168" i="30"/>
  <c r="I225" i="30"/>
  <c r="Y235" i="30"/>
  <c r="Y74" i="30"/>
  <c r="Y76" i="30"/>
  <c r="Y80" i="30"/>
  <c r="Y82" i="30"/>
  <c r="Y84" i="30"/>
  <c r="I141" i="30"/>
  <c r="Q141" i="30"/>
  <c r="Y130" i="30"/>
  <c r="U141" i="30"/>
  <c r="Y133" i="30"/>
  <c r="Y135" i="30"/>
  <c r="Y138" i="30"/>
  <c r="X141" i="30"/>
  <c r="Q149" i="30"/>
  <c r="Y147" i="30"/>
  <c r="W245" i="30"/>
  <c r="U217" i="38"/>
  <c r="M155" i="38"/>
  <c r="K191" i="38"/>
  <c r="I155" i="38"/>
  <c r="M103" i="38"/>
  <c r="M49" i="38"/>
  <c r="I217" i="38"/>
  <c r="O190" i="38"/>
  <c r="G195" i="38"/>
  <c r="U155" i="38"/>
  <c r="P196" i="38"/>
  <c r="I194" i="38"/>
  <c r="I111" i="38"/>
  <c r="R247" i="38"/>
  <c r="R248" i="38" s="1"/>
  <c r="I141" i="38"/>
  <c r="O188" i="38"/>
  <c r="Q188" i="38" s="1"/>
  <c r="I102" i="38"/>
  <c r="Y209" i="38"/>
  <c r="I184" i="38"/>
  <c r="C196" i="38"/>
  <c r="O185" i="38"/>
  <c r="M185" i="38"/>
  <c r="E49" i="38"/>
  <c r="Y222" i="38"/>
  <c r="Y166" i="38"/>
  <c r="Y212" i="38"/>
  <c r="I96" i="38"/>
  <c r="Q149" i="38"/>
  <c r="I104" i="38"/>
  <c r="O192" i="38"/>
  <c r="O192" i="33" s="1"/>
  <c r="I185" i="38"/>
  <c r="Y242" i="38"/>
  <c r="I203" i="38"/>
  <c r="W95" i="38"/>
  <c r="Y236" i="38"/>
  <c r="W245" i="38"/>
  <c r="M141" i="38"/>
  <c r="Y136" i="38"/>
  <c r="Y138" i="38"/>
  <c r="Y140" i="38"/>
  <c r="E202" i="38"/>
  <c r="Y223" i="38"/>
  <c r="Y216" i="38"/>
  <c r="V174" i="38"/>
  <c r="V176" i="38" s="1"/>
  <c r="U92" i="38"/>
  <c r="Y237" i="38"/>
  <c r="S117" i="38"/>
  <c r="Y168" i="38"/>
  <c r="E186" i="38"/>
  <c r="G186" i="38"/>
  <c r="Y228" i="38"/>
  <c r="U95" i="38"/>
  <c r="I202" i="38"/>
  <c r="Y53" i="38"/>
  <c r="X149" i="38"/>
  <c r="M96" i="38"/>
  <c r="Y152" i="38"/>
  <c r="J205" i="38"/>
  <c r="J246" i="38" s="1"/>
  <c r="J248" i="38" s="1"/>
  <c r="Y127" i="38"/>
  <c r="O189" i="38"/>
  <c r="H196" i="38"/>
  <c r="M117" i="38"/>
  <c r="H112" i="38"/>
  <c r="X231" i="38"/>
  <c r="Y153" i="38"/>
  <c r="Y154" i="38"/>
  <c r="X155" i="38"/>
  <c r="Y198" i="38"/>
  <c r="Y235" i="38"/>
  <c r="I117" i="38"/>
  <c r="I97" i="38"/>
  <c r="X57" i="38"/>
  <c r="Y59" i="38"/>
  <c r="Y60" i="38"/>
  <c r="X225" i="38"/>
  <c r="F175" i="38"/>
  <c r="F176" i="38" s="1"/>
  <c r="X63" i="38"/>
  <c r="D113" i="38"/>
  <c r="D125" i="38" s="1"/>
  <c r="D174" i="38" s="1"/>
  <c r="D176" i="38" s="1"/>
  <c r="Y161" i="38"/>
  <c r="I12" i="38"/>
  <c r="U141" i="38"/>
  <c r="K62" i="38"/>
  <c r="O62" i="38" s="1"/>
  <c r="X119" i="38"/>
  <c r="P35" i="32"/>
  <c r="T35" i="32" s="1"/>
  <c r="I154" i="32"/>
  <c r="I155" i="32" s="1"/>
  <c r="E200" i="32"/>
  <c r="S63" i="32"/>
  <c r="J205" i="32"/>
  <c r="J246" i="32" s="1"/>
  <c r="J248" i="32" s="1"/>
  <c r="I62" i="32"/>
  <c r="Y62" i="32" s="1"/>
  <c r="U153" i="32"/>
  <c r="Y165" i="32"/>
  <c r="O63" i="32"/>
  <c r="Q62" i="32"/>
  <c r="Q63" i="32" s="1"/>
  <c r="X141" i="32"/>
  <c r="Y230" i="32"/>
  <c r="I182" i="32"/>
  <c r="J174" i="32"/>
  <c r="J176" i="32" s="1"/>
  <c r="M7" i="32"/>
  <c r="G30" i="32"/>
  <c r="I30" i="32" s="1"/>
  <c r="D113" i="32"/>
  <c r="I185" i="32"/>
  <c r="N205" i="32"/>
  <c r="N246" i="32" s="1"/>
  <c r="Y53" i="32"/>
  <c r="W31" i="32"/>
  <c r="Y221" i="32"/>
  <c r="Y203" i="32"/>
  <c r="Y55" i="32"/>
  <c r="I31" i="32"/>
  <c r="M141" i="32"/>
  <c r="Y151" i="32"/>
  <c r="Y77" i="32"/>
  <c r="Y79" i="32"/>
  <c r="Y133" i="32"/>
  <c r="Y222" i="32"/>
  <c r="Y56" i="32"/>
  <c r="Y74" i="32"/>
  <c r="Y213" i="32"/>
  <c r="Y238" i="32"/>
  <c r="Y42" i="32"/>
  <c r="Y159" i="32"/>
  <c r="L31" i="32"/>
  <c r="P31" i="32" s="1"/>
  <c r="T31" i="32" s="1"/>
  <c r="U31" i="32" s="1"/>
  <c r="Q49" i="32"/>
  <c r="Y44" i="32"/>
  <c r="X49" i="32"/>
  <c r="U217" i="32"/>
  <c r="Y209" i="32"/>
  <c r="Y212" i="32"/>
  <c r="Y214" i="32"/>
  <c r="Y215" i="32"/>
  <c r="X217" i="32"/>
  <c r="W115" i="32"/>
  <c r="P97" i="32"/>
  <c r="Y84" i="32"/>
  <c r="Y131" i="32"/>
  <c r="Y136" i="32"/>
  <c r="Y139" i="32"/>
  <c r="Y211" i="32"/>
  <c r="X225" i="32"/>
  <c r="Y241" i="32"/>
  <c r="Y32" i="32"/>
  <c r="Y59" i="32"/>
  <c r="M63" i="32"/>
  <c r="X63" i="32"/>
  <c r="Y167" i="32"/>
  <c r="Y168" i="32"/>
  <c r="Y170" i="32"/>
  <c r="Y229" i="32"/>
  <c r="X231" i="32"/>
  <c r="I12" i="32"/>
  <c r="Y52" i="32"/>
  <c r="Y152" i="32"/>
  <c r="Y164" i="32"/>
  <c r="Y172" i="32"/>
  <c r="Y224" i="32"/>
  <c r="U49" i="32"/>
  <c r="Y43" i="32"/>
  <c r="Y46" i="32"/>
  <c r="Y48" i="32"/>
  <c r="E99" i="32"/>
  <c r="Y145" i="32"/>
  <c r="Y148" i="32"/>
  <c r="Q149" i="32"/>
  <c r="X155" i="32"/>
  <c r="M217" i="32"/>
  <c r="E217" i="32"/>
  <c r="Y71" i="32"/>
  <c r="X245" i="32"/>
  <c r="N248" i="32"/>
  <c r="Y69" i="32"/>
  <c r="Y73" i="32"/>
  <c r="Y75" i="32"/>
  <c r="Y81" i="32"/>
  <c r="I141" i="32"/>
  <c r="U141" i="32"/>
  <c r="Y130" i="32"/>
  <c r="Y140" i="32"/>
  <c r="Y147" i="32"/>
  <c r="I217" i="32"/>
  <c r="Y240" i="32"/>
  <c r="Y242" i="32"/>
  <c r="Y243" i="32"/>
  <c r="I93" i="32"/>
  <c r="Y134" i="32"/>
  <c r="Y166" i="32"/>
  <c r="Y169" i="32"/>
  <c r="Y228" i="32"/>
  <c r="Y239" i="32"/>
  <c r="M14" i="32"/>
  <c r="O98" i="32"/>
  <c r="M98" i="32"/>
  <c r="O95" i="32"/>
  <c r="M95" i="32"/>
  <c r="P92" i="33"/>
  <c r="R175" i="32"/>
  <c r="R174" i="32"/>
  <c r="Y45" i="32"/>
  <c r="X57" i="32"/>
  <c r="M115" i="32"/>
  <c r="Y115" i="32" s="1"/>
  <c r="Y237" i="32"/>
  <c r="K30" i="32"/>
  <c r="Q141" i="32"/>
  <c r="W202" i="32"/>
  <c r="H99" i="32"/>
  <c r="Q115" i="32"/>
  <c r="S155" i="32"/>
  <c r="M34" i="32"/>
  <c r="K35" i="32"/>
  <c r="O35" i="32" s="1"/>
  <c r="I34" i="32"/>
  <c r="I35" i="32"/>
  <c r="I96" i="32"/>
  <c r="W203" i="32"/>
  <c r="I97" i="32"/>
  <c r="I180" i="32"/>
  <c r="O7" i="32"/>
  <c r="E63" i="32"/>
  <c r="I94" i="32"/>
  <c r="N174" i="32"/>
  <c r="N176" i="32" s="1"/>
  <c r="I202" i="32"/>
  <c r="Y47" i="32"/>
  <c r="Y54" i="32"/>
  <c r="Y61" i="32"/>
  <c r="Y83" i="32"/>
  <c r="Y207" i="32"/>
  <c r="Y216" i="32"/>
  <c r="K198" i="32"/>
  <c r="Y137" i="32"/>
  <c r="I11" i="32"/>
  <c r="M94" i="32"/>
  <c r="Y60" i="32"/>
  <c r="I7" i="32"/>
  <c r="I123" i="32"/>
  <c r="Y138" i="32"/>
  <c r="Y146" i="32"/>
  <c r="Y153" i="32"/>
  <c r="M173" i="32"/>
  <c r="Y163" i="32"/>
  <c r="Y171" i="32"/>
  <c r="Q217" i="32"/>
  <c r="Y210" i="32"/>
  <c r="Y223" i="32"/>
  <c r="W225" i="32"/>
  <c r="U231" i="32"/>
  <c r="Y236" i="32"/>
  <c r="Y244" i="32"/>
  <c r="I10" i="32"/>
  <c r="K123" i="32"/>
  <c r="K123" i="33" s="1"/>
  <c r="P180" i="32"/>
  <c r="H186" i="32"/>
  <c r="V174" i="32"/>
  <c r="V176" i="32" s="1"/>
  <c r="M202" i="32"/>
  <c r="I14" i="32"/>
  <c r="X34" i="32"/>
  <c r="X32" i="32"/>
  <c r="M13" i="32"/>
  <c r="I13" i="32"/>
  <c r="I9" i="32"/>
  <c r="M10" i="32"/>
  <c r="H15" i="32"/>
  <c r="H27" i="32" s="1"/>
  <c r="Y70" i="32"/>
  <c r="Y72" i="32"/>
  <c r="Y76" i="32"/>
  <c r="Y78" i="32"/>
  <c r="Y80" i="32"/>
  <c r="Y82" i="32"/>
  <c r="Y132" i="32"/>
  <c r="Y135" i="32"/>
  <c r="Y162" i="32"/>
  <c r="W231" i="32"/>
  <c r="G203" i="31"/>
  <c r="I203" i="31" s="1"/>
  <c r="I96" i="31"/>
  <c r="U49" i="31"/>
  <c r="X109" i="31"/>
  <c r="I19" i="31"/>
  <c r="I109" i="31"/>
  <c r="I22" i="31"/>
  <c r="I35" i="31"/>
  <c r="X31" i="31"/>
  <c r="G29" i="33"/>
  <c r="I29" i="33" s="1"/>
  <c r="Q98" i="31"/>
  <c r="M34" i="31"/>
  <c r="O34" i="31"/>
  <c r="S34" i="31" s="1"/>
  <c r="Y41" i="31"/>
  <c r="Y46" i="31"/>
  <c r="X173" i="31"/>
  <c r="V247" i="31"/>
  <c r="I202" i="31"/>
  <c r="M49" i="28"/>
  <c r="I225" i="28"/>
  <c r="Q49" i="28"/>
  <c r="Q217" i="28"/>
  <c r="M225" i="28"/>
  <c r="U217" i="28"/>
  <c r="Q225" i="28"/>
  <c r="U225" i="28"/>
  <c r="W17" i="24"/>
  <c r="U17" i="24"/>
  <c r="U11" i="30"/>
  <c r="W11" i="30"/>
  <c r="U97" i="23"/>
  <c r="W20" i="24"/>
  <c r="T117" i="30"/>
  <c r="Q117" i="30"/>
  <c r="U95" i="30"/>
  <c r="Q95" i="30"/>
  <c r="S193" i="30"/>
  <c r="U193" i="30" s="1"/>
  <c r="Q193" i="30"/>
  <c r="M7" i="30"/>
  <c r="P200" i="30"/>
  <c r="L204" i="30"/>
  <c r="L186" i="30"/>
  <c r="P185" i="30"/>
  <c r="E203" i="9"/>
  <c r="G203" i="9"/>
  <c r="U24" i="30"/>
  <c r="M95" i="30"/>
  <c r="M182" i="32"/>
  <c r="U194" i="30"/>
  <c r="Y194" i="30" s="1"/>
  <c r="W194" i="30"/>
  <c r="P119" i="24"/>
  <c r="P124" i="24" s="1"/>
  <c r="M119" i="24"/>
  <c r="M185" i="23"/>
  <c r="M107" i="30"/>
  <c r="P107" i="30"/>
  <c r="Q19" i="30"/>
  <c r="R87" i="9"/>
  <c r="J205" i="9"/>
  <c r="J246" i="9" s="1"/>
  <c r="J247" i="9"/>
  <c r="I63" i="30"/>
  <c r="Y60" i="30"/>
  <c r="Y131" i="30"/>
  <c r="E141" i="30"/>
  <c r="E149" i="30"/>
  <c r="Y146" i="30"/>
  <c r="Y152" i="30"/>
  <c r="I155" i="30"/>
  <c r="M173" i="30"/>
  <c r="Y157" i="30"/>
  <c r="Q173" i="30"/>
  <c r="Y159" i="30"/>
  <c r="I201" i="30"/>
  <c r="J87" i="24"/>
  <c r="U98" i="30"/>
  <c r="X120" i="24"/>
  <c r="Q96" i="24"/>
  <c r="U117" i="24"/>
  <c r="T10" i="23"/>
  <c r="U10" i="23" s="1"/>
  <c r="Q24" i="30"/>
  <c r="L112" i="30"/>
  <c r="P194" i="23"/>
  <c r="Q194" i="23" s="1"/>
  <c r="M194" i="23"/>
  <c r="M8" i="23"/>
  <c r="X94" i="24"/>
  <c r="Q182" i="23"/>
  <c r="Q49" i="9"/>
  <c r="X95" i="32"/>
  <c r="W193" i="39"/>
  <c r="X182" i="23"/>
  <c r="Q97" i="23"/>
  <c r="W180" i="39"/>
  <c r="M9" i="32"/>
  <c r="M185" i="30"/>
  <c r="W188" i="24"/>
  <c r="O185" i="23"/>
  <c r="T35" i="24"/>
  <c r="X35" i="24" s="1"/>
  <c r="U12" i="23"/>
  <c r="X12" i="23"/>
  <c r="P101" i="23"/>
  <c r="Q101" i="23" s="1"/>
  <c r="L112" i="23"/>
  <c r="Y207" i="30"/>
  <c r="R205" i="32"/>
  <c r="R246" i="32" s="1"/>
  <c r="R248" i="32" s="1"/>
  <c r="Q63" i="24"/>
  <c r="M141" i="24"/>
  <c r="K203" i="23"/>
  <c r="I149" i="23"/>
  <c r="Y41" i="23"/>
  <c r="M12" i="23"/>
  <c r="V88" i="24"/>
  <c r="I199" i="23"/>
  <c r="K199" i="23"/>
  <c r="I12" i="23"/>
  <c r="N247" i="30"/>
  <c r="N248" i="30" s="1"/>
  <c r="Y40" i="31"/>
  <c r="Y48" i="31"/>
  <c r="G186" i="32"/>
  <c r="G200" i="32" s="1"/>
  <c r="K181" i="32"/>
  <c r="I181" i="32"/>
  <c r="K13" i="23"/>
  <c r="I13" i="23"/>
  <c r="N87" i="23"/>
  <c r="Q49" i="23"/>
  <c r="Y48" i="23"/>
  <c r="W49" i="23"/>
  <c r="I57" i="23"/>
  <c r="M57" i="23"/>
  <c r="X63" i="23"/>
  <c r="E99" i="23"/>
  <c r="Y128" i="23"/>
  <c r="Y132" i="23"/>
  <c r="Y140" i="23"/>
  <c r="E217" i="23"/>
  <c r="Y209" i="23"/>
  <c r="Q225" i="23"/>
  <c r="Y220" i="23"/>
  <c r="D27" i="24"/>
  <c r="D37" i="24" s="1"/>
  <c r="N247" i="24"/>
  <c r="N205" i="24"/>
  <c r="N246" i="24" s="1"/>
  <c r="G199" i="24"/>
  <c r="C204" i="24"/>
  <c r="C205" i="24" s="1"/>
  <c r="C247" i="24" s="1"/>
  <c r="E247" i="24" s="1"/>
  <c r="E203" i="24"/>
  <c r="G203" i="24"/>
  <c r="Q217" i="24"/>
  <c r="Y208" i="24"/>
  <c r="E217" i="24"/>
  <c r="Y211" i="24"/>
  <c r="F205" i="32"/>
  <c r="F246" i="32" s="1"/>
  <c r="F248" i="32" s="1"/>
  <c r="Y40" i="24"/>
  <c r="M49" i="24"/>
  <c r="I173" i="24"/>
  <c r="Y145" i="23"/>
  <c r="I155" i="23"/>
  <c r="P185" i="23"/>
  <c r="F205" i="24"/>
  <c r="F246" i="24" s="1"/>
  <c r="F248" i="24" s="1"/>
  <c r="W231" i="9"/>
  <c r="X49" i="9"/>
  <c r="V87" i="9"/>
  <c r="V88" i="9"/>
  <c r="K8" i="32"/>
  <c r="I8" i="32"/>
  <c r="D27" i="32"/>
  <c r="D37" i="32" s="1"/>
  <c r="D86" i="32" s="1"/>
  <c r="D88" i="32" s="1"/>
  <c r="D124" i="32"/>
  <c r="E186" i="32"/>
  <c r="E231" i="32"/>
  <c r="Y227" i="32"/>
  <c r="I245" i="32"/>
  <c r="Y233" i="32"/>
  <c r="I7" i="30"/>
  <c r="G15" i="30"/>
  <c r="K10" i="30"/>
  <c r="I10" i="30"/>
  <c r="Y62" i="30"/>
  <c r="E112" i="30"/>
  <c r="I149" i="30"/>
  <c r="E186" i="30"/>
  <c r="G198" i="30"/>
  <c r="I198" i="30" s="1"/>
  <c r="E198" i="30"/>
  <c r="R247" i="23"/>
  <c r="R205" i="23"/>
  <c r="R246" i="23" s="1"/>
  <c r="F247" i="31"/>
  <c r="F205" i="31"/>
  <c r="F246" i="31" s="1"/>
  <c r="E217" i="30"/>
  <c r="Y208" i="30"/>
  <c r="V88" i="23"/>
  <c r="Y131" i="23"/>
  <c r="Q141" i="23"/>
  <c r="E149" i="23"/>
  <c r="Y144" i="23"/>
  <c r="Y127" i="24"/>
  <c r="E141" i="24"/>
  <c r="M155" i="24"/>
  <c r="Y151" i="24"/>
  <c r="M202" i="9"/>
  <c r="P202" i="9"/>
  <c r="T202" i="9" s="1"/>
  <c r="X57" i="31"/>
  <c r="E141" i="32"/>
  <c r="E173" i="32"/>
  <c r="U173" i="32"/>
  <c r="W217" i="32"/>
  <c r="W155" i="30"/>
  <c r="W231" i="23"/>
  <c r="E149" i="24"/>
  <c r="U149" i="24"/>
  <c r="I225" i="24"/>
  <c r="W231" i="24"/>
  <c r="I245" i="24"/>
  <c r="G195" i="30"/>
  <c r="I191" i="30"/>
  <c r="W12" i="24"/>
  <c r="X117" i="23"/>
  <c r="Y136" i="9"/>
  <c r="Y131" i="9"/>
  <c r="Y154" i="9"/>
  <c r="Y163" i="9"/>
  <c r="Y236" i="9"/>
  <c r="Y243" i="9"/>
  <c r="I231" i="31"/>
  <c r="E231" i="31"/>
  <c r="U231" i="31"/>
  <c r="Y243" i="31"/>
  <c r="E49" i="32"/>
  <c r="E85" i="32"/>
  <c r="M149" i="32"/>
  <c r="Q231" i="32"/>
  <c r="E245" i="32"/>
  <c r="U245" i="32"/>
  <c r="X225" i="30"/>
  <c r="I231" i="30"/>
  <c r="X225" i="23"/>
  <c r="X245" i="23"/>
  <c r="X63" i="24"/>
  <c r="W155" i="24"/>
  <c r="M225" i="24"/>
  <c r="X231" i="24"/>
  <c r="Q85" i="30"/>
  <c r="P107" i="24"/>
  <c r="Y151" i="38"/>
  <c r="Q141" i="38"/>
  <c r="Y130" i="38"/>
  <c r="Y131" i="38"/>
  <c r="Y132" i="38"/>
  <c r="Y134" i="38"/>
  <c r="Y137" i="38"/>
  <c r="Y163" i="38"/>
  <c r="Y165" i="38"/>
  <c r="Y172" i="38"/>
  <c r="I57" i="30"/>
  <c r="E202" i="31"/>
  <c r="I57" i="31"/>
  <c r="Y127" i="32"/>
  <c r="M13" i="30"/>
  <c r="M10" i="24"/>
  <c r="M14" i="24"/>
  <c r="I103" i="23"/>
  <c r="W10" i="23"/>
  <c r="I184" i="32"/>
  <c r="W181" i="23"/>
  <c r="X34" i="30"/>
  <c r="W49" i="9"/>
  <c r="W217" i="9"/>
  <c r="W63" i="9"/>
  <c r="X173" i="9"/>
  <c r="X245" i="9"/>
  <c r="Y65" i="9"/>
  <c r="I49" i="9"/>
  <c r="I57" i="9"/>
  <c r="Y83" i="9"/>
  <c r="Y67" i="9"/>
  <c r="Y166" i="9"/>
  <c r="Q173" i="9"/>
  <c r="Y239" i="9"/>
  <c r="Y234" i="9"/>
  <c r="Y133" i="31"/>
  <c r="Y135" i="31"/>
  <c r="Q231" i="31"/>
  <c r="E155" i="32"/>
  <c r="Q173" i="32"/>
  <c r="M245" i="32"/>
  <c r="D27" i="30"/>
  <c r="D37" i="30" s="1"/>
  <c r="D86" i="30" s="1"/>
  <c r="D88" i="30" s="1"/>
  <c r="M63" i="30"/>
  <c r="X149" i="30"/>
  <c r="W217" i="30"/>
  <c r="Q231" i="30"/>
  <c r="Q149" i="24"/>
  <c r="E225" i="24"/>
  <c r="U225" i="24"/>
  <c r="Y234" i="24"/>
  <c r="L123" i="32"/>
  <c r="L123" i="33" s="1"/>
  <c r="L98" i="38"/>
  <c r="L106" i="38"/>
  <c r="L106" i="33" s="1"/>
  <c r="I193" i="38"/>
  <c r="K193" i="38"/>
  <c r="D196" i="38"/>
  <c r="D205" i="38" s="1"/>
  <c r="D246" i="38" s="1"/>
  <c r="D248" i="38" s="1"/>
  <c r="X195" i="38"/>
  <c r="X186" i="38"/>
  <c r="H36" i="32"/>
  <c r="Y143" i="39"/>
  <c r="M149" i="39"/>
  <c r="Y149" i="39" s="1"/>
  <c r="Y151" i="39"/>
  <c r="E155" i="39"/>
  <c r="Y133" i="38"/>
  <c r="Y135" i="38"/>
  <c r="Y146" i="38"/>
  <c r="Y148" i="38"/>
  <c r="Y171" i="38"/>
  <c r="I194" i="31"/>
  <c r="I101" i="38"/>
  <c r="H15" i="39"/>
  <c r="O10" i="39"/>
  <c r="M10" i="39"/>
  <c r="K13" i="39"/>
  <c r="K15" i="39" s="1"/>
  <c r="I13" i="39"/>
  <c r="Y227" i="39"/>
  <c r="G99" i="30"/>
  <c r="G119" i="30" s="1"/>
  <c r="K94" i="30"/>
  <c r="K99" i="30" s="1"/>
  <c r="K119" i="30" s="1"/>
  <c r="G115" i="39"/>
  <c r="I115" i="39" s="1"/>
  <c r="K92" i="39"/>
  <c r="K99" i="39" s="1"/>
  <c r="K113" i="39" s="1"/>
  <c r="I92" i="39"/>
  <c r="G99" i="39"/>
  <c r="K184" i="39"/>
  <c r="J175" i="39"/>
  <c r="J174" i="39"/>
  <c r="V175" i="39"/>
  <c r="V174" i="39"/>
  <c r="Q190" i="39"/>
  <c r="W190" i="39"/>
  <c r="Y61" i="38"/>
  <c r="I201" i="38"/>
  <c r="L201" i="38"/>
  <c r="M14" i="39"/>
  <c r="E99" i="39"/>
  <c r="Q34" i="32"/>
  <c r="K155" i="32"/>
  <c r="M154" i="32"/>
  <c r="M155" i="32" s="1"/>
  <c r="W154" i="32"/>
  <c r="Y53" i="24"/>
  <c r="I191" i="39"/>
  <c r="K191" i="39"/>
  <c r="K195" i="39" s="1"/>
  <c r="K199" i="30"/>
  <c r="O199" i="30" s="1"/>
  <c r="S199" i="30" s="1"/>
  <c r="K71" i="38"/>
  <c r="K71" i="33" s="1"/>
  <c r="M71" i="33" s="1"/>
  <c r="I71" i="38"/>
  <c r="I85" i="38" s="1"/>
  <c r="E112" i="39"/>
  <c r="W155" i="39"/>
  <c r="W149" i="23"/>
  <c r="G113" i="23"/>
  <c r="O231" i="30"/>
  <c r="S228" i="30"/>
  <c r="S34" i="32"/>
  <c r="G85" i="24"/>
  <c r="M67" i="24"/>
  <c r="M85" i="24" s="1"/>
  <c r="L13" i="38"/>
  <c r="L19" i="38"/>
  <c r="L19" i="33" s="1"/>
  <c r="K22" i="38"/>
  <c r="K22" i="33" s="1"/>
  <c r="O9" i="39"/>
  <c r="M9" i="39"/>
  <c r="Y40" i="39"/>
  <c r="F247" i="39"/>
  <c r="F205" i="39"/>
  <c r="F246" i="39" s="1"/>
  <c r="G115" i="24"/>
  <c r="I115" i="24" s="1"/>
  <c r="G99" i="24"/>
  <c r="O155" i="32"/>
  <c r="Q154" i="32"/>
  <c r="W149" i="24"/>
  <c r="C26" i="9"/>
  <c r="M190" i="30"/>
  <c r="O190" i="30"/>
  <c r="W173" i="38"/>
  <c r="E141" i="38"/>
  <c r="E195" i="38"/>
  <c r="G26" i="39"/>
  <c r="W141" i="39"/>
  <c r="U188" i="39"/>
  <c r="Y188" i="39" s="1"/>
  <c r="W173" i="30"/>
  <c r="C124" i="39"/>
  <c r="C124" i="24"/>
  <c r="C113" i="23"/>
  <c r="C125" i="23" s="1"/>
  <c r="C174" i="23" s="1"/>
  <c r="W63" i="30"/>
  <c r="Y143" i="38"/>
  <c r="X173" i="38"/>
  <c r="C27" i="38"/>
  <c r="X93" i="38"/>
  <c r="Y208" i="38"/>
  <c r="Y210" i="38"/>
  <c r="Y211" i="38"/>
  <c r="Y213" i="38"/>
  <c r="Y214" i="38"/>
  <c r="Y215" i="38"/>
  <c r="Y227" i="38"/>
  <c r="Y229" i="38"/>
  <c r="Y238" i="38"/>
  <c r="Y239" i="38"/>
  <c r="Y240" i="38"/>
  <c r="Y241" i="38"/>
  <c r="Y243" i="38"/>
  <c r="Y244" i="38"/>
  <c r="X245" i="38"/>
  <c r="X155" i="39"/>
  <c r="C124" i="30"/>
  <c r="W225" i="38"/>
  <c r="G5" i="41"/>
  <c r="F5" i="41"/>
  <c r="H99" i="28"/>
  <c r="H119" i="28" s="1"/>
  <c r="E5" i="41"/>
  <c r="L22" i="38"/>
  <c r="I22" i="38"/>
  <c r="M191" i="38"/>
  <c r="I118" i="38"/>
  <c r="L203" i="38"/>
  <c r="H204" i="38"/>
  <c r="Y207" i="38"/>
  <c r="E217" i="38"/>
  <c r="K230" i="38"/>
  <c r="K230" i="33" s="1"/>
  <c r="M230" i="33" s="1"/>
  <c r="I230" i="38"/>
  <c r="R175" i="38"/>
  <c r="R174" i="38"/>
  <c r="L20" i="38"/>
  <c r="L20" i="33" s="1"/>
  <c r="L92" i="38"/>
  <c r="I92" i="38"/>
  <c r="Y73" i="38"/>
  <c r="L116" i="38"/>
  <c r="H124" i="38"/>
  <c r="I116" i="38"/>
  <c r="Y220" i="38"/>
  <c r="Y221" i="38"/>
  <c r="Y224" i="38"/>
  <c r="K108" i="38"/>
  <c r="K108" i="33" s="1"/>
  <c r="I108" i="38"/>
  <c r="K104" i="38"/>
  <c r="K104" i="33" s="1"/>
  <c r="Q115" i="38"/>
  <c r="W115" i="38"/>
  <c r="K200" i="38"/>
  <c r="M180" i="38"/>
  <c r="Y180" i="38" s="1"/>
  <c r="T199" i="38"/>
  <c r="X199" i="38" s="1"/>
  <c r="Q95" i="38"/>
  <c r="I106" i="38"/>
  <c r="M111" i="38"/>
  <c r="O202" i="38"/>
  <c r="K19" i="38"/>
  <c r="E112" i="38"/>
  <c r="E120" i="38"/>
  <c r="G120" i="38"/>
  <c r="O121" i="38"/>
  <c r="S94" i="38"/>
  <c r="O200" i="38"/>
  <c r="Q181" i="38"/>
  <c r="W181" i="38"/>
  <c r="K21" i="38"/>
  <c r="M94" i="38"/>
  <c r="P108" i="38"/>
  <c r="L109" i="38"/>
  <c r="L109" i="33" s="1"/>
  <c r="X217" i="38"/>
  <c r="W217" i="38"/>
  <c r="W149" i="38"/>
  <c r="K93" i="38"/>
  <c r="W203" i="38"/>
  <c r="C204" i="38"/>
  <c r="I107" i="38"/>
  <c r="I110" i="38"/>
  <c r="E200" i="38"/>
  <c r="L10" i="38"/>
  <c r="L24" i="38"/>
  <c r="L24" i="33" s="1"/>
  <c r="L25" i="38"/>
  <c r="L25" i="33" s="1"/>
  <c r="Y56" i="38"/>
  <c r="Y129" i="38"/>
  <c r="Y139" i="38"/>
  <c r="Y144" i="38"/>
  <c r="Y145" i="38"/>
  <c r="Y147" i="38"/>
  <c r="U173" i="38"/>
  <c r="Y167" i="38"/>
  <c r="Y169" i="38"/>
  <c r="Y170" i="38"/>
  <c r="T196" i="38"/>
  <c r="G199" i="38"/>
  <c r="E199" i="38"/>
  <c r="J175" i="38"/>
  <c r="J174" i="38"/>
  <c r="S200" i="38"/>
  <c r="U182" i="38"/>
  <c r="Y182" i="38" s="1"/>
  <c r="W182" i="38"/>
  <c r="V205" i="38"/>
  <c r="V246" i="38" s="1"/>
  <c r="V248" i="38" s="1"/>
  <c r="I98" i="38"/>
  <c r="I8" i="38"/>
  <c r="L8" i="38"/>
  <c r="Y29" i="38"/>
  <c r="Y40" i="38"/>
  <c r="Y41" i="38"/>
  <c r="Y42" i="38"/>
  <c r="Y43" i="38"/>
  <c r="Y44" i="38"/>
  <c r="Y46" i="38"/>
  <c r="Y47" i="38"/>
  <c r="Y48" i="38"/>
  <c r="X49" i="38"/>
  <c r="Y162" i="38"/>
  <c r="Y219" i="38"/>
  <c r="D27" i="38"/>
  <c r="D37" i="38" s="1"/>
  <c r="D86" i="38" s="1"/>
  <c r="D88" i="38" s="1"/>
  <c r="D339" i="38" s="1"/>
  <c r="L21" i="38"/>
  <c r="L21" i="33" s="1"/>
  <c r="I23" i="38"/>
  <c r="K24" i="38"/>
  <c r="W49" i="38"/>
  <c r="X141" i="38"/>
  <c r="U149" i="38"/>
  <c r="Y160" i="38"/>
  <c r="I200" i="38"/>
  <c r="Y234" i="38"/>
  <c r="Y72" i="38"/>
  <c r="P121" i="38"/>
  <c r="P23" i="38"/>
  <c r="W6" i="38"/>
  <c r="I11" i="38"/>
  <c r="K25" i="38"/>
  <c r="Y77" i="38"/>
  <c r="Y82" i="38"/>
  <c r="Y84" i="38"/>
  <c r="Y157" i="38"/>
  <c r="M225" i="38"/>
  <c r="C113" i="38"/>
  <c r="T94" i="38"/>
  <c r="E32" i="39"/>
  <c r="M57" i="30"/>
  <c r="C5" i="41"/>
  <c r="I66" i="9"/>
  <c r="I85" i="9" s="1"/>
  <c r="C27" i="30"/>
  <c r="D124" i="9"/>
  <c r="L85" i="24"/>
  <c r="I67" i="24"/>
  <c r="I85" i="24" s="1"/>
  <c r="K12" i="38"/>
  <c r="I25" i="38"/>
  <c r="Y52" i="38"/>
  <c r="Y54" i="38"/>
  <c r="Y55" i="38"/>
  <c r="Y76" i="38"/>
  <c r="Y78" i="38"/>
  <c r="Y79" i="38"/>
  <c r="Y81" i="38"/>
  <c r="Q6" i="38"/>
  <c r="T6" i="38"/>
  <c r="U6" i="38" s="1"/>
  <c r="W10" i="38"/>
  <c r="I18" i="38"/>
  <c r="L18" i="38"/>
  <c r="Y39" i="38"/>
  <c r="I49" i="38"/>
  <c r="K20" i="38"/>
  <c r="K20" i="33" s="1"/>
  <c r="I24" i="38"/>
  <c r="K13" i="38"/>
  <c r="I13" i="38"/>
  <c r="I21" i="38"/>
  <c r="I10" i="38"/>
  <c r="G33" i="38"/>
  <c r="I14" i="38"/>
  <c r="I9" i="38"/>
  <c r="I19" i="38"/>
  <c r="I7" i="38"/>
  <c r="Y75" i="38"/>
  <c r="Y80" i="38"/>
  <c r="Y83" i="38"/>
  <c r="W225" i="9"/>
  <c r="U85" i="39"/>
  <c r="W225" i="30"/>
  <c r="E85" i="30"/>
  <c r="Q245" i="32"/>
  <c r="I51" i="32"/>
  <c r="I57" i="32" s="1"/>
  <c r="E15" i="28"/>
  <c r="E195" i="32"/>
  <c r="M217" i="28"/>
  <c r="E26" i="28"/>
  <c r="Y26" i="28" s="1"/>
  <c r="L62" i="29"/>
  <c r="V247" i="29"/>
  <c r="X49" i="29"/>
  <c r="Q19" i="23"/>
  <c r="M19" i="23"/>
  <c r="W190" i="9"/>
  <c r="W194" i="9"/>
  <c r="M191" i="9"/>
  <c r="M180" i="9"/>
  <c r="M182" i="9"/>
  <c r="M105" i="9"/>
  <c r="X96" i="9"/>
  <c r="Q96" i="9"/>
  <c r="M98" i="9"/>
  <c r="M96" i="9"/>
  <c r="U103" i="39"/>
  <c r="U109" i="39"/>
  <c r="U105" i="39"/>
  <c r="U107" i="39"/>
  <c r="U104" i="39"/>
  <c r="X106" i="39"/>
  <c r="Q106" i="39"/>
  <c r="Q109" i="39"/>
  <c r="U110" i="39"/>
  <c r="Q103" i="39"/>
  <c r="Q107" i="39"/>
  <c r="Q110" i="39"/>
  <c r="Q105" i="39"/>
  <c r="X107" i="39"/>
  <c r="Q108" i="39"/>
  <c r="Y108" i="39" s="1"/>
  <c r="X108" i="39"/>
  <c r="X109" i="39"/>
  <c r="Q101" i="39"/>
  <c r="X101" i="39"/>
  <c r="W193" i="32"/>
  <c r="X200" i="32"/>
  <c r="U193" i="32"/>
  <c r="Q193" i="32"/>
  <c r="X193" i="32"/>
  <c r="U192" i="32"/>
  <c r="Q192" i="32"/>
  <c r="M192" i="32"/>
  <c r="W191" i="32"/>
  <c r="U105" i="32"/>
  <c r="Y105" i="32" s="1"/>
  <c r="X106" i="32"/>
  <c r="X109" i="32"/>
  <c r="U107" i="32"/>
  <c r="Q103" i="32"/>
  <c r="U103" i="32"/>
  <c r="U104" i="32"/>
  <c r="Q104" i="32"/>
  <c r="Q106" i="32"/>
  <c r="M103" i="32"/>
  <c r="M104" i="32"/>
  <c r="Q109" i="32"/>
  <c r="Y109" i="32" s="1"/>
  <c r="Q107" i="32"/>
  <c r="U20" i="32"/>
  <c r="Y20" i="32" s="1"/>
  <c r="X20" i="32"/>
  <c r="X18" i="32"/>
  <c r="X22" i="32"/>
  <c r="M24" i="32"/>
  <c r="X24" i="32"/>
  <c r="M22" i="32"/>
  <c r="X85" i="31"/>
  <c r="E26" i="39"/>
  <c r="X24" i="23"/>
  <c r="X21" i="23"/>
  <c r="X25" i="23"/>
  <c r="X23" i="23"/>
  <c r="M21" i="23"/>
  <c r="H26" i="23"/>
  <c r="H33" i="23" s="1"/>
  <c r="I26" i="23"/>
  <c r="X17" i="9"/>
  <c r="G15" i="9"/>
  <c r="I57" i="24"/>
  <c r="Q57" i="24"/>
  <c r="Y52" i="24"/>
  <c r="E85" i="24"/>
  <c r="Q57" i="30"/>
  <c r="G85" i="38"/>
  <c r="I62" i="38"/>
  <c r="E63" i="38"/>
  <c r="M57" i="38"/>
  <c r="S18" i="38"/>
  <c r="K17" i="38"/>
  <c r="K17" i="33" s="1"/>
  <c r="I17" i="38"/>
  <c r="E32" i="38"/>
  <c r="E36" i="38" s="1"/>
  <c r="Y67" i="39"/>
  <c r="O67" i="32"/>
  <c r="M67" i="32"/>
  <c r="M85" i="32" s="1"/>
  <c r="I29" i="30"/>
  <c r="Y29" i="30" s="1"/>
  <c r="E85" i="23"/>
  <c r="U106" i="32"/>
  <c r="X189" i="9"/>
  <c r="T118" i="23"/>
  <c r="X118" i="23" s="1"/>
  <c r="O191" i="24"/>
  <c r="K195" i="24"/>
  <c r="M95" i="23"/>
  <c r="M92" i="23"/>
  <c r="M93" i="24"/>
  <c r="P204" i="23"/>
  <c r="T202" i="23"/>
  <c r="Q108" i="32"/>
  <c r="X108" i="32"/>
  <c r="X194" i="24"/>
  <c r="U19" i="30"/>
  <c r="Q194" i="32"/>
  <c r="T101" i="24"/>
  <c r="X101" i="24" s="1"/>
  <c r="T10" i="24"/>
  <c r="Q10" i="24"/>
  <c r="U33" i="24"/>
  <c r="Q111" i="32"/>
  <c r="X7" i="30"/>
  <c r="X180" i="24"/>
  <c r="T120" i="30"/>
  <c r="S201" i="24"/>
  <c r="W201" i="24" s="1"/>
  <c r="Q201" i="24"/>
  <c r="U111" i="39"/>
  <c r="Y111" i="39" s="1"/>
  <c r="X111" i="39"/>
  <c r="O30" i="32"/>
  <c r="S20" i="30"/>
  <c r="S193" i="24"/>
  <c r="U193" i="24" s="1"/>
  <c r="M120" i="24"/>
  <c r="L124" i="24"/>
  <c r="M18" i="24"/>
  <c r="I29" i="23"/>
  <c r="X7" i="23"/>
  <c r="U7" i="23"/>
  <c r="Q25" i="32"/>
  <c r="U25" i="32"/>
  <c r="Q191" i="32"/>
  <c r="U191" i="32"/>
  <c r="U190" i="23"/>
  <c r="U104" i="23"/>
  <c r="X104" i="23"/>
  <c r="T112" i="39"/>
  <c r="X104" i="39"/>
  <c r="W194" i="24"/>
  <c r="U98" i="23"/>
  <c r="Y98" i="23" s="1"/>
  <c r="U182" i="23"/>
  <c r="R248" i="9"/>
  <c r="L118" i="30"/>
  <c r="Q189" i="9"/>
  <c r="P104" i="24"/>
  <c r="P108" i="24"/>
  <c r="P13" i="30"/>
  <c r="P112" i="39"/>
  <c r="T200" i="39"/>
  <c r="T181" i="39"/>
  <c r="L26" i="32"/>
  <c r="L33" i="32" s="1"/>
  <c r="P13" i="32"/>
  <c r="Q23" i="32"/>
  <c r="M111" i="32"/>
  <c r="M21" i="32"/>
  <c r="M180" i="24"/>
  <c r="M201" i="24"/>
  <c r="V205" i="9"/>
  <c r="V246" i="9" s="1"/>
  <c r="V248" i="9" s="1"/>
  <c r="J88" i="9"/>
  <c r="K195" i="30"/>
  <c r="Y157" i="9"/>
  <c r="Y43" i="9"/>
  <c r="Y52" i="9"/>
  <c r="Y152" i="9"/>
  <c r="Q49" i="31"/>
  <c r="I49" i="31"/>
  <c r="Y43" i="31"/>
  <c r="Y44" i="31"/>
  <c r="Y47" i="31"/>
  <c r="W49" i="31"/>
  <c r="X49" i="31"/>
  <c r="Y53" i="31"/>
  <c r="Y54" i="31"/>
  <c r="Y55" i="31"/>
  <c r="X63" i="31"/>
  <c r="P203" i="24"/>
  <c r="P105" i="23"/>
  <c r="T105" i="23" s="1"/>
  <c r="P14" i="30"/>
  <c r="P20" i="30"/>
  <c r="P116" i="30"/>
  <c r="M198" i="39"/>
  <c r="M193" i="32"/>
  <c r="P195" i="32"/>
  <c r="M108" i="32"/>
  <c r="M25" i="32"/>
  <c r="M96" i="30"/>
  <c r="L15" i="24"/>
  <c r="W19" i="24"/>
  <c r="Q18" i="32"/>
  <c r="M184" i="23"/>
  <c r="X181" i="23"/>
  <c r="Y29" i="9"/>
  <c r="Y223" i="9"/>
  <c r="Y44" i="9"/>
  <c r="Y41" i="9"/>
  <c r="Y55" i="9"/>
  <c r="Q57" i="9"/>
  <c r="U57" i="9"/>
  <c r="Y76" i="9"/>
  <c r="Y72" i="9"/>
  <c r="Y84" i="9"/>
  <c r="Y75" i="9"/>
  <c r="Y140" i="9"/>
  <c r="Y130" i="9"/>
  <c r="Y137" i="9"/>
  <c r="Y129" i="9"/>
  <c r="Y138" i="9"/>
  <c r="Y133" i="9"/>
  <c r="X149" i="9"/>
  <c r="M149" i="9"/>
  <c r="Y147" i="9"/>
  <c r="I155" i="9"/>
  <c r="Q155" i="9"/>
  <c r="Y159" i="9"/>
  <c r="Y171" i="9"/>
  <c r="Y164" i="9"/>
  <c r="Y211" i="9"/>
  <c r="Y213" i="9"/>
  <c r="Y221" i="9"/>
  <c r="U225" i="9"/>
  <c r="Y230" i="9"/>
  <c r="Y244" i="9"/>
  <c r="Y241" i="9"/>
  <c r="Y45" i="9"/>
  <c r="Y47" i="9"/>
  <c r="Y56" i="9"/>
  <c r="U63" i="9"/>
  <c r="Y78" i="9"/>
  <c r="Y80" i="9"/>
  <c r="Y81" i="9"/>
  <c r="Y82" i="9"/>
  <c r="Y132" i="9"/>
  <c r="Y134" i="9"/>
  <c r="Y135" i="9"/>
  <c r="Y139" i="9"/>
  <c r="W141" i="9"/>
  <c r="Y148" i="9"/>
  <c r="Y161" i="9"/>
  <c r="Y167" i="9"/>
  <c r="Y170" i="9"/>
  <c r="Y212" i="9"/>
  <c r="Y214" i="9"/>
  <c r="Y222" i="9"/>
  <c r="Y242" i="9"/>
  <c r="Y135" i="29"/>
  <c r="U141" i="31"/>
  <c r="Y165" i="31"/>
  <c r="Y209" i="31"/>
  <c r="Y244" i="31"/>
  <c r="I49" i="32"/>
  <c r="Y41" i="32"/>
  <c r="O9" i="30"/>
  <c r="P109" i="24"/>
  <c r="P188" i="24"/>
  <c r="P11" i="23"/>
  <c r="P14" i="23"/>
  <c r="M102" i="23"/>
  <c r="P102" i="23"/>
  <c r="M120" i="23"/>
  <c r="P120" i="23"/>
  <c r="P9" i="30"/>
  <c r="P12" i="30"/>
  <c r="P30" i="30"/>
  <c r="X30" i="30" s="1"/>
  <c r="P10" i="32"/>
  <c r="Q24" i="32"/>
  <c r="P94" i="32"/>
  <c r="P204" i="32"/>
  <c r="T199" i="32"/>
  <c r="U18" i="32"/>
  <c r="O198" i="39"/>
  <c r="X25" i="32"/>
  <c r="K15" i="24"/>
  <c r="X21" i="32"/>
  <c r="L195" i="23"/>
  <c r="L195" i="32"/>
  <c r="E124" i="23"/>
  <c r="M14" i="30"/>
  <c r="W14" i="30"/>
  <c r="M191" i="32"/>
  <c r="W12" i="23"/>
  <c r="X63" i="9"/>
  <c r="W57" i="9"/>
  <c r="W155" i="9"/>
  <c r="M217" i="9"/>
  <c r="Q225" i="9"/>
  <c r="Y228" i="9"/>
  <c r="Y227" i="9"/>
  <c r="Q245" i="9"/>
  <c r="Y39" i="9"/>
  <c r="Y48" i="9"/>
  <c r="Y68" i="9"/>
  <c r="E155" i="9"/>
  <c r="I173" i="9"/>
  <c r="Y165" i="9"/>
  <c r="U217" i="9"/>
  <c r="X217" i="9"/>
  <c r="Y240" i="9"/>
  <c r="I57" i="29"/>
  <c r="E57" i="29"/>
  <c r="Y42" i="31"/>
  <c r="P182" i="24"/>
  <c r="P17" i="30"/>
  <c r="O181" i="30"/>
  <c r="P112" i="32"/>
  <c r="T199" i="30"/>
  <c r="X173" i="32"/>
  <c r="W192" i="32"/>
  <c r="M173" i="23"/>
  <c r="E57" i="24"/>
  <c r="U57" i="24"/>
  <c r="I149" i="24"/>
  <c r="U245" i="24"/>
  <c r="Y51" i="30"/>
  <c r="Y70" i="9"/>
  <c r="P103" i="24"/>
  <c r="L30" i="32"/>
  <c r="I191" i="32"/>
  <c r="M98" i="31"/>
  <c r="H204" i="32"/>
  <c r="I199" i="32"/>
  <c r="Y129" i="32"/>
  <c r="Q155" i="32"/>
  <c r="I231" i="32"/>
  <c r="C86" i="24"/>
  <c r="Q225" i="24"/>
  <c r="Y236" i="24"/>
  <c r="W49" i="32"/>
  <c r="Y77" i="9"/>
  <c r="G195" i="32"/>
  <c r="G201" i="32" s="1"/>
  <c r="I201" i="32" s="1"/>
  <c r="W57" i="30"/>
  <c r="X12" i="24"/>
  <c r="X121" i="23"/>
  <c r="H195" i="32"/>
  <c r="M49" i="32"/>
  <c r="Y65" i="32"/>
  <c r="M231" i="32"/>
  <c r="W245" i="32"/>
  <c r="Q63" i="30"/>
  <c r="M85" i="30"/>
  <c r="M57" i="24"/>
  <c r="H186" i="9"/>
  <c r="M21" i="29"/>
  <c r="C204" i="32"/>
  <c r="Y66" i="32"/>
  <c r="X85" i="32"/>
  <c r="E63" i="30"/>
  <c r="U63" i="30"/>
  <c r="E26" i="23"/>
  <c r="I173" i="23"/>
  <c r="X188" i="30"/>
  <c r="I190" i="32"/>
  <c r="Y190" i="32" s="1"/>
  <c r="L204" i="32"/>
  <c r="M199" i="32"/>
  <c r="W57" i="24"/>
  <c r="W51" i="31"/>
  <c r="E199" i="30"/>
  <c r="I23" i="29"/>
  <c r="P96" i="38"/>
  <c r="W155" i="38"/>
  <c r="L196" i="38"/>
  <c r="U70" i="38"/>
  <c r="Y70" i="38" s="1"/>
  <c r="X70" i="38"/>
  <c r="X70" i="33" s="1"/>
  <c r="T85" i="38"/>
  <c r="X85" i="38" s="1"/>
  <c r="M18" i="32"/>
  <c r="I20" i="38"/>
  <c r="E85" i="38"/>
  <c r="Y67" i="38"/>
  <c r="I18" i="32"/>
  <c r="H15" i="38"/>
  <c r="I6" i="38"/>
  <c r="L120" i="38"/>
  <c r="E199" i="39"/>
  <c r="O101" i="30"/>
  <c r="W141" i="38"/>
  <c r="W141" i="32"/>
  <c r="U225" i="32"/>
  <c r="Y66" i="38"/>
  <c r="Y74" i="38"/>
  <c r="Y128" i="38"/>
  <c r="E245" i="38"/>
  <c r="Y233" i="38"/>
  <c r="Q85" i="39"/>
  <c r="W225" i="39"/>
  <c r="Y65" i="38"/>
  <c r="E99" i="38"/>
  <c r="Y158" i="38"/>
  <c r="U245" i="38"/>
  <c r="Q173" i="38"/>
  <c r="Y159" i="38"/>
  <c r="M173" i="38"/>
  <c r="Y164" i="38"/>
  <c r="W180" i="38"/>
  <c r="Q245" i="38"/>
  <c r="U101" i="39"/>
  <c r="X192" i="39"/>
  <c r="I231" i="39"/>
  <c r="G99" i="32"/>
  <c r="K93" i="32"/>
  <c r="S93" i="39"/>
  <c r="G113" i="39"/>
  <c r="W173" i="24"/>
  <c r="G112" i="24"/>
  <c r="L17" i="39"/>
  <c r="L26" i="39" s="1"/>
  <c r="G119" i="38"/>
  <c r="C124" i="38"/>
  <c r="W149" i="30"/>
  <c r="K101" i="24"/>
  <c r="H27" i="39"/>
  <c r="H37" i="39" s="1"/>
  <c r="H86" i="39" s="1"/>
  <c r="H88" i="39" s="1"/>
  <c r="G112" i="38"/>
  <c r="G112" i="30"/>
  <c r="K92" i="24"/>
  <c r="Q225" i="32"/>
  <c r="W173" i="9"/>
  <c r="U149" i="32"/>
  <c r="U225" i="38"/>
  <c r="Q225" i="38"/>
  <c r="U57" i="38"/>
  <c r="Q57" i="38"/>
  <c r="M245" i="38"/>
  <c r="M225" i="32"/>
  <c r="M149" i="38"/>
  <c r="I225" i="38"/>
  <c r="I225" i="32"/>
  <c r="L112" i="32"/>
  <c r="I173" i="38"/>
  <c r="I57" i="38"/>
  <c r="I149" i="38"/>
  <c r="I245" i="38"/>
  <c r="H112" i="32"/>
  <c r="G99" i="38"/>
  <c r="C124" i="32"/>
  <c r="E225" i="32"/>
  <c r="E15" i="32"/>
  <c r="H26" i="38"/>
  <c r="I149" i="32"/>
  <c r="G15" i="38"/>
  <c r="G31" i="38" s="1"/>
  <c r="G31" i="33" s="1"/>
  <c r="G15" i="32"/>
  <c r="G27" i="32" s="1"/>
  <c r="E149" i="38"/>
  <c r="E225" i="38"/>
  <c r="E57" i="32"/>
  <c r="E26" i="32"/>
  <c r="H99" i="38"/>
  <c r="E15" i="38"/>
  <c r="E173" i="38"/>
  <c r="E149" i="32"/>
  <c r="G27" i="23"/>
  <c r="E26" i="38"/>
  <c r="E112" i="32"/>
  <c r="E113" i="32" s="1"/>
  <c r="D196" i="32"/>
  <c r="D205" i="32" s="1"/>
  <c r="D246" i="32" s="1"/>
  <c r="D248" i="32" s="1"/>
  <c r="C27" i="39"/>
  <c r="C113" i="32"/>
  <c r="C196" i="32"/>
  <c r="C27" i="32"/>
  <c r="E57" i="30"/>
  <c r="E85" i="39"/>
  <c r="D27" i="23"/>
  <c r="G26" i="38"/>
  <c r="E57" i="38"/>
  <c r="C27" i="23"/>
  <c r="C37" i="23" s="1"/>
  <c r="D86" i="24"/>
  <c r="D88" i="24" s="1"/>
  <c r="D36" i="23"/>
  <c r="I63" i="38"/>
  <c r="D15" i="9"/>
  <c r="D32" i="33" s="1"/>
  <c r="D27" i="39"/>
  <c r="D37" i="39" s="1"/>
  <c r="I33" i="32"/>
  <c r="G36" i="23"/>
  <c r="M184" i="29"/>
  <c r="K8" i="33"/>
  <c r="I49" i="29"/>
  <c r="Q49" i="29"/>
  <c r="U49" i="29"/>
  <c r="Y45" i="29"/>
  <c r="Y48" i="29"/>
  <c r="Y56" i="29"/>
  <c r="U85" i="29"/>
  <c r="Y138" i="29"/>
  <c r="Q173" i="29"/>
  <c r="I108" i="29"/>
  <c r="H186" i="29"/>
  <c r="H199" i="29" s="1"/>
  <c r="D26" i="29"/>
  <c r="D27" i="29" s="1"/>
  <c r="R205" i="29"/>
  <c r="R246" i="29" s="1"/>
  <c r="R248" i="29" s="1"/>
  <c r="I185" i="29"/>
  <c r="D124" i="29"/>
  <c r="I188" i="29"/>
  <c r="Y72" i="29"/>
  <c r="Q149" i="29"/>
  <c r="X149" i="29"/>
  <c r="Q155" i="29"/>
  <c r="I101" i="29"/>
  <c r="I105" i="29"/>
  <c r="I107" i="29"/>
  <c r="C36" i="29"/>
  <c r="C37" i="29" s="1"/>
  <c r="G115" i="29"/>
  <c r="I115" i="29" s="1"/>
  <c r="Q85" i="29"/>
  <c r="Y76" i="29"/>
  <c r="I141" i="29"/>
  <c r="Y128" i="29"/>
  <c r="Y133" i="29"/>
  <c r="Y134" i="29"/>
  <c r="Y137" i="29"/>
  <c r="Y139" i="29"/>
  <c r="Y144" i="29"/>
  <c r="Y146" i="29"/>
  <c r="Y167" i="29"/>
  <c r="E186" i="29"/>
  <c r="D196" i="29"/>
  <c r="Y213" i="29"/>
  <c r="Q141" i="29"/>
  <c r="I11" i="29"/>
  <c r="E85" i="29"/>
  <c r="Y79" i="29"/>
  <c r="E149" i="29"/>
  <c r="Y147" i="29"/>
  <c r="Y148" i="29"/>
  <c r="M155" i="29"/>
  <c r="Y154" i="29"/>
  <c r="M173" i="29"/>
  <c r="Y169" i="29"/>
  <c r="I217" i="29"/>
  <c r="Y214" i="29"/>
  <c r="Y221" i="29"/>
  <c r="Y223" i="29"/>
  <c r="U245" i="29"/>
  <c r="Y244" i="29"/>
  <c r="Y145" i="29"/>
  <c r="I190" i="29"/>
  <c r="Y41" i="29"/>
  <c r="Y43" i="29"/>
  <c r="Y44" i="29"/>
  <c r="Y47" i="29"/>
  <c r="Y52" i="29"/>
  <c r="Y53" i="29"/>
  <c r="Y54" i="29"/>
  <c r="Y55" i="29"/>
  <c r="I193" i="29"/>
  <c r="I24" i="29"/>
  <c r="O62" i="29"/>
  <c r="K63" i="29"/>
  <c r="Y39" i="29"/>
  <c r="M49" i="29"/>
  <c r="Y42" i="29"/>
  <c r="U57" i="29"/>
  <c r="W57" i="29"/>
  <c r="I19" i="29"/>
  <c r="I34" i="29"/>
  <c r="I106" i="29"/>
  <c r="X20" i="29"/>
  <c r="I20" i="29"/>
  <c r="M141" i="29"/>
  <c r="Y129" i="29"/>
  <c r="N205" i="29"/>
  <c r="N246" i="29" s="1"/>
  <c r="N247" i="29"/>
  <c r="I111" i="29"/>
  <c r="G63" i="29"/>
  <c r="I62" i="29"/>
  <c r="I63" i="29" s="1"/>
  <c r="M19" i="29"/>
  <c r="Y127" i="29"/>
  <c r="E141" i="29"/>
  <c r="U141" i="29"/>
  <c r="Y132" i="29"/>
  <c r="Y136" i="29"/>
  <c r="W141" i="29"/>
  <c r="I149" i="29"/>
  <c r="M149" i="29"/>
  <c r="Y168" i="29"/>
  <c r="I98" i="29"/>
  <c r="M92" i="29"/>
  <c r="O92" i="29"/>
  <c r="W49" i="29"/>
  <c r="Y67" i="29"/>
  <c r="X85" i="29"/>
  <c r="U149" i="29"/>
  <c r="U155" i="29"/>
  <c r="Y210" i="29"/>
  <c r="I92" i="29"/>
  <c r="Y208" i="29"/>
  <c r="W217" i="29"/>
  <c r="Y211" i="29"/>
  <c r="Q225" i="29"/>
  <c r="M57" i="29"/>
  <c r="I85" i="29"/>
  <c r="Y230" i="29"/>
  <c r="E49" i="29"/>
  <c r="I14" i="29"/>
  <c r="E155" i="29"/>
  <c r="I22" i="29"/>
  <c r="W85" i="31"/>
  <c r="P34" i="31"/>
  <c r="E201" i="31"/>
  <c r="G201" i="31"/>
  <c r="I201" i="31" s="1"/>
  <c r="E85" i="31"/>
  <c r="W101" i="31"/>
  <c r="M92" i="31"/>
  <c r="K194" i="31"/>
  <c r="G57" i="31"/>
  <c r="X199" i="31"/>
  <c r="I10" i="31"/>
  <c r="K12" i="31"/>
  <c r="O12" i="31" s="1"/>
  <c r="S12" i="31" s="1"/>
  <c r="I6" i="31"/>
  <c r="W22" i="31"/>
  <c r="R174" i="31"/>
  <c r="R176" i="31" s="1"/>
  <c r="I92" i="31"/>
  <c r="C196" i="31"/>
  <c r="Y221" i="31"/>
  <c r="Y239" i="31"/>
  <c r="Y242" i="31"/>
  <c r="K17" i="31"/>
  <c r="O17" i="31" s="1"/>
  <c r="S17" i="31" s="1"/>
  <c r="I17" i="31"/>
  <c r="I34" i="31"/>
  <c r="X7" i="31"/>
  <c r="N205" i="31"/>
  <c r="N246" i="31" s="1"/>
  <c r="N248" i="31" s="1"/>
  <c r="Y230" i="31"/>
  <c r="I98" i="31"/>
  <c r="I20" i="31"/>
  <c r="D113" i="31"/>
  <c r="D125" i="31" s="1"/>
  <c r="D174" i="31" s="1"/>
  <c r="D176" i="31" s="1"/>
  <c r="V248" i="31"/>
  <c r="I11" i="31"/>
  <c r="H186" i="31"/>
  <c r="N176" i="31"/>
  <c r="C27" i="31"/>
  <c r="E26" i="31"/>
  <c r="D27" i="31"/>
  <c r="I85" i="31"/>
  <c r="Y129" i="31"/>
  <c r="Y130" i="31"/>
  <c r="Y131" i="31"/>
  <c r="Y132" i="31"/>
  <c r="Y134" i="31"/>
  <c r="Y136" i="31"/>
  <c r="Y137" i="31"/>
  <c r="Y138" i="31"/>
  <c r="Y139" i="31"/>
  <c r="Y140" i="31"/>
  <c r="Y143" i="31"/>
  <c r="Q149" i="31"/>
  <c r="Y145" i="31"/>
  <c r="Y147" i="31"/>
  <c r="X149" i="31"/>
  <c r="E155" i="31"/>
  <c r="U155" i="31"/>
  <c r="Y154" i="31"/>
  <c r="Y163" i="31"/>
  <c r="Y164" i="31"/>
  <c r="Y167" i="31"/>
  <c r="Y168" i="31"/>
  <c r="Y169" i="31"/>
  <c r="Y171" i="31"/>
  <c r="Y172" i="31"/>
  <c r="E195" i="31"/>
  <c r="Y208" i="31"/>
  <c r="U217" i="31"/>
  <c r="Y210" i="31"/>
  <c r="Y211" i="31"/>
  <c r="Y212" i="31"/>
  <c r="Y214" i="31"/>
  <c r="Y215" i="31"/>
  <c r="Y216" i="31"/>
  <c r="X217" i="31"/>
  <c r="E225" i="31"/>
  <c r="U225" i="31"/>
  <c r="I225" i="31"/>
  <c r="Q225" i="31"/>
  <c r="Y224" i="31"/>
  <c r="X225" i="31"/>
  <c r="I245" i="31"/>
  <c r="Q245" i="31"/>
  <c r="U245" i="31"/>
  <c r="Y241" i="31"/>
  <c r="W245" i="31"/>
  <c r="X245" i="31"/>
  <c r="I191" i="31"/>
  <c r="Q106" i="31"/>
  <c r="T106" i="31"/>
  <c r="U106" i="31" s="1"/>
  <c r="K15" i="31"/>
  <c r="K32" i="31" s="1"/>
  <c r="G15" i="31"/>
  <c r="I7" i="31"/>
  <c r="E245" i="31"/>
  <c r="I104" i="31"/>
  <c r="G186" i="31"/>
  <c r="G199" i="31" s="1"/>
  <c r="S192" i="31"/>
  <c r="W192" i="31" s="1"/>
  <c r="Q141" i="31"/>
  <c r="I141" i="31"/>
  <c r="Y166" i="31"/>
  <c r="Y170" i="31"/>
  <c r="I217" i="31"/>
  <c r="Y213" i="31"/>
  <c r="I31" i="31"/>
  <c r="L192" i="31"/>
  <c r="L192" i="33" s="1"/>
  <c r="I192" i="31"/>
  <c r="L200" i="31"/>
  <c r="L204" i="31" s="1"/>
  <c r="H204" i="31"/>
  <c r="I200" i="31"/>
  <c r="O57" i="31"/>
  <c r="Q51" i="31"/>
  <c r="Q57" i="31" s="1"/>
  <c r="J175" i="31"/>
  <c r="J174" i="31"/>
  <c r="S105" i="31"/>
  <c r="W105" i="31" s="1"/>
  <c r="I184" i="31"/>
  <c r="K184" i="31"/>
  <c r="I111" i="31"/>
  <c r="K111" i="31"/>
  <c r="O111" i="31" s="1"/>
  <c r="K107" i="31"/>
  <c r="O107" i="31" s="1"/>
  <c r="I107" i="31"/>
  <c r="I103" i="31"/>
  <c r="K103" i="31"/>
  <c r="M103" i="31" s="1"/>
  <c r="S121" i="33"/>
  <c r="O202" i="31"/>
  <c r="Q202" i="31" s="1"/>
  <c r="S190" i="31"/>
  <c r="O10" i="31"/>
  <c r="M10" i="31"/>
  <c r="M141" i="31"/>
  <c r="Y127" i="31"/>
  <c r="Y128" i="31"/>
  <c r="E141" i="31"/>
  <c r="R247" i="31"/>
  <c r="R205" i="31"/>
  <c r="R246" i="31" s="1"/>
  <c r="Y207" i="31"/>
  <c r="M217" i="31"/>
  <c r="M225" i="31"/>
  <c r="Y222" i="31"/>
  <c r="M231" i="31"/>
  <c r="Y229" i="31"/>
  <c r="L101" i="31"/>
  <c r="P101" i="31" s="1"/>
  <c r="T101" i="31" s="1"/>
  <c r="I101" i="31"/>
  <c r="H112" i="31"/>
  <c r="E217" i="31"/>
  <c r="M245" i="31"/>
  <c r="Y219" i="31"/>
  <c r="P23" i="31"/>
  <c r="W34" i="31"/>
  <c r="G195" i="31"/>
  <c r="I189" i="31"/>
  <c r="E15" i="31"/>
  <c r="W141" i="31"/>
  <c r="I149" i="31"/>
  <c r="E149" i="31"/>
  <c r="U149" i="31"/>
  <c r="Y148" i="31"/>
  <c r="Q217" i="31"/>
  <c r="I30" i="31"/>
  <c r="C57" i="31"/>
  <c r="E51" i="31"/>
  <c r="E57" i="31" s="1"/>
  <c r="K110" i="31"/>
  <c r="I110" i="31"/>
  <c r="I63" i="31"/>
  <c r="W23" i="31"/>
  <c r="C204" i="31"/>
  <c r="M49" i="31"/>
  <c r="I106" i="31"/>
  <c r="L11" i="31"/>
  <c r="P11" i="31" s="1"/>
  <c r="Q11" i="31" s="1"/>
  <c r="X92" i="31"/>
  <c r="E36" i="31"/>
  <c r="E49" i="31"/>
  <c r="Y39" i="31"/>
  <c r="Y45" i="31"/>
  <c r="U57" i="31"/>
  <c r="Y56" i="31"/>
  <c r="E112" i="31"/>
  <c r="L97" i="31"/>
  <c r="L99" i="31" s="1"/>
  <c r="L124" i="31" s="1"/>
  <c r="I97" i="31"/>
  <c r="I108" i="31"/>
  <c r="L184" i="31"/>
  <c r="K191" i="31"/>
  <c r="M191" i="31" s="1"/>
  <c r="K193" i="31"/>
  <c r="I193" i="31"/>
  <c r="S104" i="31"/>
  <c r="X24" i="31"/>
  <c r="M106" i="31"/>
  <c r="W106" i="31"/>
  <c r="H99" i="31"/>
  <c r="H124" i="31" s="1"/>
  <c r="Y223" i="31"/>
  <c r="W225" i="31"/>
  <c r="K21" i="31"/>
  <c r="I21" i="31"/>
  <c r="X96" i="31"/>
  <c r="I185" i="31"/>
  <c r="K188" i="31"/>
  <c r="I188" i="31"/>
  <c r="K57" i="31"/>
  <c r="M51" i="31"/>
  <c r="M57" i="31" s="1"/>
  <c r="S108" i="31"/>
  <c r="W108" i="31" s="1"/>
  <c r="M85" i="31"/>
  <c r="E186" i="31"/>
  <c r="D196" i="31"/>
  <c r="D205" i="31" s="1"/>
  <c r="D246" i="31" s="1"/>
  <c r="D248" i="31" s="1"/>
  <c r="X155" i="31"/>
  <c r="W217" i="31"/>
  <c r="P17" i="31"/>
  <c r="K24" i="31"/>
  <c r="G26" i="31"/>
  <c r="I24" i="31"/>
  <c r="M35" i="31"/>
  <c r="M109" i="31"/>
  <c r="H26" i="31"/>
  <c r="P107" i="31"/>
  <c r="L190" i="31"/>
  <c r="L190" i="33" s="1"/>
  <c r="H195" i="31"/>
  <c r="I190" i="31"/>
  <c r="V175" i="31"/>
  <c r="V174" i="31"/>
  <c r="W13" i="31"/>
  <c r="O200" i="31"/>
  <c r="X93" i="31"/>
  <c r="I29" i="31"/>
  <c r="M20" i="31"/>
  <c r="P20" i="31"/>
  <c r="K25" i="31"/>
  <c r="I25" i="31"/>
  <c r="P189" i="31"/>
  <c r="P189" i="33" s="1"/>
  <c r="T103" i="31"/>
  <c r="X103" i="31" s="1"/>
  <c r="K202" i="31"/>
  <c r="X21" i="31"/>
  <c r="W35" i="31"/>
  <c r="X10" i="31"/>
  <c r="X141" i="31"/>
  <c r="P12" i="31"/>
  <c r="T111" i="31"/>
  <c r="X111" i="31" s="1"/>
  <c r="L13" i="31"/>
  <c r="I13" i="31"/>
  <c r="H15" i="31"/>
  <c r="P19" i="31"/>
  <c r="L22" i="31"/>
  <c r="I23" i="31"/>
  <c r="P25" i="31"/>
  <c r="T25" i="31" s="1"/>
  <c r="L30" i="31"/>
  <c r="T98" i="31"/>
  <c r="U98" i="31" s="1"/>
  <c r="P104" i="31"/>
  <c r="I105" i="31"/>
  <c r="T110" i="31"/>
  <c r="X110" i="31" s="1"/>
  <c r="X108" i="31"/>
  <c r="P201" i="31"/>
  <c r="M149" i="31"/>
  <c r="Y146" i="31"/>
  <c r="J247" i="31"/>
  <c r="J205" i="31"/>
  <c r="J246" i="31" s="1"/>
  <c r="L14" i="31"/>
  <c r="I14" i="31"/>
  <c r="P35" i="31"/>
  <c r="T35" i="31" s="1"/>
  <c r="W149" i="31"/>
  <c r="O20" i="31"/>
  <c r="P97" i="31"/>
  <c r="T97" i="31" s="1"/>
  <c r="G112" i="31"/>
  <c r="K102" i="33"/>
  <c r="I155" i="31"/>
  <c r="W231" i="31"/>
  <c r="Q85" i="31"/>
  <c r="C113" i="31"/>
  <c r="U85" i="31"/>
  <c r="X231" i="31"/>
  <c r="Q155" i="31"/>
  <c r="M155" i="31"/>
  <c r="M63" i="31"/>
  <c r="I173" i="31"/>
  <c r="M173" i="31"/>
  <c r="W231" i="29"/>
  <c r="I155" i="29"/>
  <c r="Y151" i="29"/>
  <c r="Y158" i="23"/>
  <c r="W173" i="23"/>
  <c r="E149" i="9"/>
  <c r="I149" i="9"/>
  <c r="U155" i="9"/>
  <c r="Y151" i="9"/>
  <c r="E173" i="9"/>
  <c r="Y162" i="9"/>
  <c r="M173" i="9"/>
  <c r="E195" i="9"/>
  <c r="F247" i="9"/>
  <c r="F205" i="9"/>
  <c r="F246" i="9" s="1"/>
  <c r="I225" i="9"/>
  <c r="Y229" i="9"/>
  <c r="E231" i="9"/>
  <c r="I245" i="9"/>
  <c r="Y128" i="9"/>
  <c r="Q141" i="9"/>
  <c r="Y172" i="9"/>
  <c r="I217" i="9"/>
  <c r="Y208" i="9"/>
  <c r="E217" i="9"/>
  <c r="Y209" i="9"/>
  <c r="Q217" i="9"/>
  <c r="M245" i="9"/>
  <c r="U191" i="9"/>
  <c r="W191" i="9"/>
  <c r="W111" i="9"/>
  <c r="U107" i="9"/>
  <c r="M141" i="9"/>
  <c r="U189" i="9"/>
  <c r="M185" i="9"/>
  <c r="Q104" i="9"/>
  <c r="K195" i="9"/>
  <c r="K201" i="9" s="1"/>
  <c r="E141" i="9"/>
  <c r="E186" i="9"/>
  <c r="Y215" i="9"/>
  <c r="E49" i="9"/>
  <c r="Y40" i="9"/>
  <c r="U49" i="9"/>
  <c r="E57" i="9"/>
  <c r="Y62" i="9"/>
  <c r="I63" i="9"/>
  <c r="E63" i="9"/>
  <c r="Y59" i="9"/>
  <c r="Y60" i="9"/>
  <c r="M63" i="9"/>
  <c r="N87" i="9"/>
  <c r="N88" i="9" s="1"/>
  <c r="Q105" i="9"/>
  <c r="M190" i="9"/>
  <c r="W107" i="9"/>
  <c r="Q107" i="9"/>
  <c r="M198" i="9"/>
  <c r="W192" i="9"/>
  <c r="U182" i="9"/>
  <c r="Q182" i="9"/>
  <c r="X231" i="9"/>
  <c r="X225" i="9"/>
  <c r="E201" i="9"/>
  <c r="I106" i="9"/>
  <c r="M110" i="9"/>
  <c r="Q95" i="9"/>
  <c r="G186" i="9"/>
  <c r="I182" i="9"/>
  <c r="X191" i="9"/>
  <c r="I194" i="9"/>
  <c r="M192" i="9"/>
  <c r="I192" i="9"/>
  <c r="U93" i="9"/>
  <c r="X155" i="9"/>
  <c r="C196" i="9"/>
  <c r="U231" i="9"/>
  <c r="X141" i="9"/>
  <c r="Q231" i="9"/>
  <c r="Q191" i="9"/>
  <c r="W182" i="9"/>
  <c r="I107" i="9"/>
  <c r="N205" i="9"/>
  <c r="N246" i="9" s="1"/>
  <c r="N248" i="9" s="1"/>
  <c r="I231" i="9"/>
  <c r="Y158" i="9"/>
  <c r="N174" i="9"/>
  <c r="N176" i="9" s="1"/>
  <c r="X202" i="9"/>
  <c r="U149" i="9"/>
  <c r="X108" i="9"/>
  <c r="H99" i="9"/>
  <c r="W185" i="9"/>
  <c r="I189" i="9"/>
  <c r="W189" i="9"/>
  <c r="G195" i="9"/>
  <c r="G201" i="9" s="1"/>
  <c r="S202" i="9"/>
  <c r="Q202" i="9"/>
  <c r="M108" i="9"/>
  <c r="K66" i="33"/>
  <c r="M231" i="9"/>
  <c r="Y238" i="9"/>
  <c r="U245" i="9"/>
  <c r="Y61" i="9"/>
  <c r="I109" i="9"/>
  <c r="I184" i="9"/>
  <c r="I103" i="9"/>
  <c r="H112" i="9"/>
  <c r="H120" i="33" s="1"/>
  <c r="M189" i="9"/>
  <c r="X57" i="9"/>
  <c r="E99" i="9"/>
  <c r="Y216" i="9"/>
  <c r="Y224" i="9"/>
  <c r="E245" i="9"/>
  <c r="Y233" i="9"/>
  <c r="Y46" i="9"/>
  <c r="Y42" i="9"/>
  <c r="M57" i="9"/>
  <c r="Y73" i="9"/>
  <c r="Y69" i="9"/>
  <c r="Y71" i="9"/>
  <c r="I141" i="9"/>
  <c r="U141" i="9"/>
  <c r="Y146" i="9"/>
  <c r="M155" i="9"/>
  <c r="Y169" i="9"/>
  <c r="Y160" i="9"/>
  <c r="U173" i="9"/>
  <c r="X95" i="9"/>
  <c r="I94" i="9"/>
  <c r="I99" i="9" s="1"/>
  <c r="G112" i="9"/>
  <c r="H85" i="9"/>
  <c r="E112" i="9"/>
  <c r="Q149" i="9"/>
  <c r="M225" i="9"/>
  <c r="W149" i="9"/>
  <c r="K112" i="9"/>
  <c r="H26" i="9"/>
  <c r="E85" i="9"/>
  <c r="E225" i="9"/>
  <c r="Y144" i="9"/>
  <c r="E15" i="9"/>
  <c r="D26" i="9"/>
  <c r="Q97" i="9"/>
  <c r="W97" i="9"/>
  <c r="U97" i="9"/>
  <c r="W96" i="9"/>
  <c r="Q98" i="9"/>
  <c r="U98" i="9"/>
  <c r="M95" i="9"/>
  <c r="W93" i="9"/>
  <c r="O99" i="9"/>
  <c r="Q115" i="9"/>
  <c r="M115" i="9"/>
  <c r="C113" i="9"/>
  <c r="Y235" i="24"/>
  <c r="M245" i="24"/>
  <c r="Y233" i="24"/>
  <c r="W245" i="24"/>
  <c r="Y152" i="29"/>
  <c r="W149" i="29"/>
  <c r="Y143" i="29"/>
  <c r="G124" i="39"/>
  <c r="I112" i="39"/>
  <c r="M112" i="39"/>
  <c r="Y106" i="39"/>
  <c r="W101" i="39"/>
  <c r="S112" i="39"/>
  <c r="C113" i="39"/>
  <c r="Q173" i="31"/>
  <c r="U173" i="31"/>
  <c r="W173" i="31"/>
  <c r="E173" i="31"/>
  <c r="W155" i="31"/>
  <c r="Y151" i="31"/>
  <c r="G99" i="31"/>
  <c r="E99" i="31"/>
  <c r="I93" i="31"/>
  <c r="M115" i="31"/>
  <c r="E115" i="31"/>
  <c r="M115" i="30"/>
  <c r="M92" i="30"/>
  <c r="W173" i="32"/>
  <c r="I173" i="32"/>
  <c r="X149" i="32"/>
  <c r="W149" i="32"/>
  <c r="I112" i="32"/>
  <c r="N113" i="33"/>
  <c r="G155" i="28"/>
  <c r="F113" i="33"/>
  <c r="J113" i="33"/>
  <c r="R205" i="28"/>
  <c r="R246" i="28" s="1"/>
  <c r="R248" i="28" s="1"/>
  <c r="R113" i="33"/>
  <c r="U149" i="28"/>
  <c r="Y54" i="28"/>
  <c r="M107" i="28"/>
  <c r="H195" i="28"/>
  <c r="M106" i="28"/>
  <c r="I106" i="28"/>
  <c r="Q107" i="28"/>
  <c r="I107" i="28"/>
  <c r="Y138" i="28"/>
  <c r="Y198" i="28"/>
  <c r="Y209" i="28"/>
  <c r="Y212" i="28"/>
  <c r="Y213" i="28"/>
  <c r="Y214" i="28"/>
  <c r="Y215" i="28"/>
  <c r="I49" i="28"/>
  <c r="I141" i="28"/>
  <c r="V247" i="28"/>
  <c r="V248" i="28" s="1"/>
  <c r="I85" i="32"/>
  <c r="G57" i="32"/>
  <c r="Y129" i="28"/>
  <c r="Y224" i="28"/>
  <c r="Y244" i="28"/>
  <c r="I110" i="28"/>
  <c r="X57" i="28"/>
  <c r="Q141" i="28"/>
  <c r="U141" i="28"/>
  <c r="Y132" i="28"/>
  <c r="Y136" i="28"/>
  <c r="N205" i="28"/>
  <c r="E203" i="28"/>
  <c r="G203" i="28"/>
  <c r="X217" i="28"/>
  <c r="Y228" i="28"/>
  <c r="X106" i="28"/>
  <c r="X173" i="28"/>
  <c r="Y47" i="28"/>
  <c r="Y83" i="28"/>
  <c r="R37" i="28"/>
  <c r="Y29" i="28"/>
  <c r="U49" i="28"/>
  <c r="I57" i="28"/>
  <c r="Y56" i="28"/>
  <c r="Y77" i="28"/>
  <c r="M141" i="28"/>
  <c r="Y127" i="28"/>
  <c r="Y131" i="28"/>
  <c r="Y133" i="28"/>
  <c r="Y134" i="28"/>
  <c r="Y139" i="28"/>
  <c r="G186" i="28"/>
  <c r="F247" i="28"/>
  <c r="F205" i="28"/>
  <c r="E225" i="28"/>
  <c r="Y221" i="28"/>
  <c r="Y223" i="28"/>
  <c r="Y227" i="28"/>
  <c r="Y240" i="28"/>
  <c r="Y243" i="28"/>
  <c r="V125" i="28"/>
  <c r="V175" i="28" s="1"/>
  <c r="V113" i="33"/>
  <c r="R175" i="28"/>
  <c r="R176" i="28" s="1"/>
  <c r="J175" i="28"/>
  <c r="J174" i="28"/>
  <c r="Y75" i="28"/>
  <c r="Y74" i="28"/>
  <c r="X155" i="28"/>
  <c r="Y40" i="28"/>
  <c r="Y41" i="28"/>
  <c r="Y42" i="28"/>
  <c r="Y43" i="28"/>
  <c r="Y44" i="28"/>
  <c r="Y46" i="28"/>
  <c r="Y48" i="28"/>
  <c r="W49" i="28"/>
  <c r="Q57" i="28"/>
  <c r="Y55" i="28"/>
  <c r="Y59" i="28"/>
  <c r="Y60" i="28"/>
  <c r="Y61" i="28"/>
  <c r="Y76" i="28"/>
  <c r="Y79" i="28"/>
  <c r="Y80" i="28"/>
  <c r="Y81" i="28"/>
  <c r="Y84" i="28"/>
  <c r="Y216" i="28"/>
  <c r="Y229" i="28"/>
  <c r="W141" i="28"/>
  <c r="Y146" i="28"/>
  <c r="Y147" i="28"/>
  <c r="Y148" i="28"/>
  <c r="X149" i="28"/>
  <c r="Y152" i="28"/>
  <c r="Y153" i="28"/>
  <c r="Y165" i="28"/>
  <c r="Y166" i="28"/>
  <c r="Y167" i="28"/>
  <c r="Y168" i="28"/>
  <c r="Y169" i="28"/>
  <c r="Y170" i="28"/>
  <c r="Y171" i="28"/>
  <c r="Y172" i="28"/>
  <c r="C113" i="28"/>
  <c r="Y73" i="28"/>
  <c r="X85" i="28"/>
  <c r="W23" i="32"/>
  <c r="Q22" i="32"/>
  <c r="U19" i="32"/>
  <c r="Y19" i="32" s="1"/>
  <c r="W22" i="32"/>
  <c r="U22" i="32"/>
  <c r="W21" i="32"/>
  <c r="U21" i="32"/>
  <c r="W20" i="32"/>
  <c r="Q21" i="32"/>
  <c r="O26" i="32"/>
  <c r="O33" i="32" s="1"/>
  <c r="Q17" i="32"/>
  <c r="W17" i="32"/>
  <c r="M17" i="32"/>
  <c r="I17" i="32"/>
  <c r="I111" i="28"/>
  <c r="M149" i="28"/>
  <c r="Y145" i="28"/>
  <c r="E155" i="28"/>
  <c r="Y151" i="28"/>
  <c r="I173" i="28"/>
  <c r="I193" i="28"/>
  <c r="I194" i="28"/>
  <c r="J205" i="28"/>
  <c r="J247" i="28"/>
  <c r="I109" i="28"/>
  <c r="Y65" i="28"/>
  <c r="Y39" i="28"/>
  <c r="X49" i="28"/>
  <c r="J5" i="41" s="1"/>
  <c r="X141" i="28"/>
  <c r="F175" i="28"/>
  <c r="F174" i="28"/>
  <c r="K36" i="28"/>
  <c r="Y45" i="28"/>
  <c r="Y71" i="28"/>
  <c r="Y78" i="28"/>
  <c r="Y82" i="28"/>
  <c r="E202" i="28"/>
  <c r="L203" i="28"/>
  <c r="N175" i="28"/>
  <c r="N176" i="28" s="1"/>
  <c r="Y222" i="28"/>
  <c r="Y241" i="28"/>
  <c r="Y242" i="28"/>
  <c r="Y53" i="28"/>
  <c r="X107" i="28"/>
  <c r="Y128" i="28"/>
  <c r="Y130" i="28"/>
  <c r="Y135" i="28"/>
  <c r="Y137" i="28"/>
  <c r="Y140" i="28"/>
  <c r="W107" i="28"/>
  <c r="E201" i="28"/>
  <c r="U57" i="28"/>
  <c r="E141" i="28"/>
  <c r="E217" i="28"/>
  <c r="X231" i="28"/>
  <c r="H112" i="28"/>
  <c r="E173" i="28"/>
  <c r="I217" i="28"/>
  <c r="E149" i="28"/>
  <c r="X245" i="28"/>
  <c r="I149" i="28"/>
  <c r="E63" i="28"/>
  <c r="G173" i="28"/>
  <c r="G85" i="28"/>
  <c r="I85" i="28"/>
  <c r="Q149" i="28"/>
  <c r="I63" i="28"/>
  <c r="G63" i="28"/>
  <c r="K63" i="28"/>
  <c r="E30" i="28"/>
  <c r="G112" i="28"/>
  <c r="I108" i="28"/>
  <c r="L195" i="28"/>
  <c r="D27" i="28"/>
  <c r="D36" i="28"/>
  <c r="W180" i="9"/>
  <c r="W225" i="29"/>
  <c r="M194" i="29"/>
  <c r="W24" i="29"/>
  <c r="Y239" i="29"/>
  <c r="Y243" i="29"/>
  <c r="T185" i="29"/>
  <c r="X185" i="29" s="1"/>
  <c r="M245" i="29"/>
  <c r="Y238" i="29"/>
  <c r="X190" i="29"/>
  <c r="X92" i="29"/>
  <c r="X231" i="29"/>
  <c r="P14" i="29"/>
  <c r="T14" i="29" s="1"/>
  <c r="I102" i="29"/>
  <c r="H112" i="29"/>
  <c r="H204" i="29"/>
  <c r="L200" i="29"/>
  <c r="J125" i="29"/>
  <c r="L63" i="29"/>
  <c r="M62" i="29"/>
  <c r="M63" i="29" s="1"/>
  <c r="V246" i="29"/>
  <c r="R37" i="29"/>
  <c r="W191" i="29"/>
  <c r="G99" i="29"/>
  <c r="E115" i="29"/>
  <c r="C124" i="29"/>
  <c r="P62" i="29"/>
  <c r="S9" i="29"/>
  <c r="X34" i="29"/>
  <c r="K11" i="29"/>
  <c r="K13" i="29"/>
  <c r="I13" i="29"/>
  <c r="Q217" i="29"/>
  <c r="Y209" i="29"/>
  <c r="E217" i="29"/>
  <c r="U217" i="29"/>
  <c r="Y212" i="29"/>
  <c r="Y216" i="29"/>
  <c r="Y219" i="29"/>
  <c r="I225" i="29"/>
  <c r="M225" i="29"/>
  <c r="Y222" i="29"/>
  <c r="U225" i="29"/>
  <c r="Y224" i="29"/>
  <c r="Q231" i="29"/>
  <c r="E231" i="29"/>
  <c r="U231" i="29"/>
  <c r="L11" i="29"/>
  <c r="O34" i="29"/>
  <c r="L98" i="29"/>
  <c r="W108" i="29"/>
  <c r="Y236" i="29"/>
  <c r="Y241" i="29"/>
  <c r="L9" i="29"/>
  <c r="M24" i="29"/>
  <c r="L97" i="29"/>
  <c r="M188" i="29"/>
  <c r="I194" i="29"/>
  <c r="G195" i="29"/>
  <c r="R175" i="29"/>
  <c r="K97" i="29"/>
  <c r="I97" i="29"/>
  <c r="I9" i="29"/>
  <c r="Y240" i="29"/>
  <c r="M185" i="29"/>
  <c r="E63" i="29"/>
  <c r="M85" i="29"/>
  <c r="Y70" i="29"/>
  <c r="Y75" i="29"/>
  <c r="Y77" i="29"/>
  <c r="Y78" i="29"/>
  <c r="Y80" i="29"/>
  <c r="Y81" i="29"/>
  <c r="Y82" i="29"/>
  <c r="Y83" i="29"/>
  <c r="Y84" i="29"/>
  <c r="D113" i="29"/>
  <c r="D125" i="29" s="1"/>
  <c r="D174" i="29" s="1"/>
  <c r="D176" i="29" s="1"/>
  <c r="Y158" i="29"/>
  <c r="I173" i="29"/>
  <c r="E173" i="29"/>
  <c r="U173" i="29"/>
  <c r="Y163" i="29"/>
  <c r="Y164" i="29"/>
  <c r="Y171" i="29"/>
  <c r="Y172" i="29"/>
  <c r="X245" i="29"/>
  <c r="L94" i="33"/>
  <c r="H99" i="29"/>
  <c r="H124" i="29" s="1"/>
  <c r="G186" i="29"/>
  <c r="L195" i="29"/>
  <c r="I191" i="29"/>
  <c r="H195" i="29"/>
  <c r="E99" i="29"/>
  <c r="X141" i="29"/>
  <c r="W155" i="29"/>
  <c r="Y165" i="29"/>
  <c r="F247" i="29"/>
  <c r="E203" i="29"/>
  <c r="G203" i="29"/>
  <c r="H15" i="29"/>
  <c r="L13" i="29"/>
  <c r="O184" i="29"/>
  <c r="F125" i="29"/>
  <c r="K117" i="33"/>
  <c r="E15" i="29"/>
  <c r="F37" i="29"/>
  <c r="T184" i="29"/>
  <c r="X192" i="29"/>
  <c r="M217" i="29"/>
  <c r="G15" i="29"/>
  <c r="E225" i="29"/>
  <c r="Y242" i="29"/>
  <c r="Q57" i="29"/>
  <c r="I192" i="29"/>
  <c r="M101" i="29"/>
  <c r="X35" i="29"/>
  <c r="Y40" i="29"/>
  <c r="F205" i="29"/>
  <c r="Y46" i="29"/>
  <c r="Y170" i="29"/>
  <c r="X57" i="29"/>
  <c r="M231" i="29"/>
  <c r="Y157" i="29"/>
  <c r="K14" i="29"/>
  <c r="Y131" i="29"/>
  <c r="Y130" i="29"/>
  <c r="X155" i="29"/>
  <c r="J247" i="29"/>
  <c r="X225" i="29"/>
  <c r="P12" i="29"/>
  <c r="M20" i="29"/>
  <c r="K35" i="29"/>
  <c r="O185" i="29"/>
  <c r="I184" i="29"/>
  <c r="L202" i="29"/>
  <c r="I21" i="29"/>
  <c r="V125" i="29"/>
  <c r="O98" i="29"/>
  <c r="G112" i="29"/>
  <c r="K115" i="29"/>
  <c r="M115" i="29" s="1"/>
  <c r="Y162" i="29"/>
  <c r="Y207" i="29"/>
  <c r="Y166" i="29"/>
  <c r="Y215" i="29"/>
  <c r="I35" i="29"/>
  <c r="I110" i="29"/>
  <c r="I12" i="29"/>
  <c r="K12" i="29"/>
  <c r="Y140" i="29"/>
  <c r="X173" i="29"/>
  <c r="G202" i="29"/>
  <c r="G202" i="33" s="1"/>
  <c r="X217" i="29"/>
  <c r="L95" i="33"/>
  <c r="L186" i="29"/>
  <c r="L199" i="29" s="1"/>
  <c r="L203" i="29"/>
  <c r="H26" i="29"/>
  <c r="H30" i="29"/>
  <c r="N175" i="29"/>
  <c r="I109" i="29"/>
  <c r="E195" i="29"/>
  <c r="I245" i="29"/>
  <c r="E26" i="29"/>
  <c r="K26" i="29"/>
  <c r="I200" i="32"/>
  <c r="I245" i="28"/>
  <c r="E245" i="28"/>
  <c r="G245" i="28"/>
  <c r="Y210" i="28"/>
  <c r="W217" i="28"/>
  <c r="Y208" i="28"/>
  <c r="Y207" i="28"/>
  <c r="E195" i="28"/>
  <c r="D196" i="28"/>
  <c r="H186" i="28"/>
  <c r="C196" i="28"/>
  <c r="E186" i="28"/>
  <c r="M85" i="39"/>
  <c r="W85" i="39"/>
  <c r="E30" i="29"/>
  <c r="X23" i="39"/>
  <c r="X24" i="39"/>
  <c r="U24" i="39"/>
  <c r="Y24" i="39" s="1"/>
  <c r="U23" i="39"/>
  <c r="Q19" i="39"/>
  <c r="X21" i="39"/>
  <c r="M20" i="39"/>
  <c r="U21" i="39"/>
  <c r="Q21" i="39"/>
  <c r="M21" i="39"/>
  <c r="Q23" i="39"/>
  <c r="X19" i="39"/>
  <c r="Q22" i="39"/>
  <c r="U22" i="39"/>
  <c r="Q25" i="39"/>
  <c r="U25" i="39"/>
  <c r="W22" i="39"/>
  <c r="M22" i="39"/>
  <c r="W21" i="39"/>
  <c r="K26" i="39"/>
  <c r="M19" i="39"/>
  <c r="X34" i="39"/>
  <c r="W30" i="39"/>
  <c r="M35" i="39"/>
  <c r="L36" i="39"/>
  <c r="X32" i="39"/>
  <c r="P36" i="39"/>
  <c r="W35" i="39"/>
  <c r="U34" i="39"/>
  <c r="Q34" i="39"/>
  <c r="M34" i="39"/>
  <c r="Y30" i="39"/>
  <c r="M31" i="39"/>
  <c r="I31" i="39"/>
  <c r="Q35" i="23"/>
  <c r="Q31" i="23"/>
  <c r="M34" i="23"/>
  <c r="U31" i="23"/>
  <c r="M30" i="23"/>
  <c r="U35" i="23"/>
  <c r="X31" i="23"/>
  <c r="Q30" i="23"/>
  <c r="U30" i="23"/>
  <c r="M35" i="9"/>
  <c r="Q35" i="9"/>
  <c r="M34" i="9"/>
  <c r="X34" i="9"/>
  <c r="M31" i="9"/>
  <c r="M30" i="9"/>
  <c r="W31" i="9"/>
  <c r="Q30" i="9"/>
  <c r="X23" i="9"/>
  <c r="W20" i="9"/>
  <c r="W23" i="9"/>
  <c r="M23" i="9"/>
  <c r="M24" i="9"/>
  <c r="X20" i="9"/>
  <c r="M25" i="9"/>
  <c r="X7" i="9"/>
  <c r="W9" i="9"/>
  <c r="M13" i="9"/>
  <c r="M11" i="9"/>
  <c r="U9" i="9"/>
  <c r="X9" i="9"/>
  <c r="X13" i="9"/>
  <c r="Q11" i="9"/>
  <c r="L15" i="9"/>
  <c r="U11" i="9"/>
  <c r="X12" i="9"/>
  <c r="M14" i="9"/>
  <c r="P15" i="9"/>
  <c r="X6" i="9"/>
  <c r="Q13" i="9"/>
  <c r="K15" i="9"/>
  <c r="W14" i="9"/>
  <c r="M12" i="9"/>
  <c r="Q9" i="9"/>
  <c r="W13" i="9"/>
  <c r="M121" i="23"/>
  <c r="M117" i="23"/>
  <c r="I118" i="23"/>
  <c r="I119" i="23"/>
  <c r="W115" i="23"/>
  <c r="U115" i="23"/>
  <c r="G124" i="23"/>
  <c r="G125" i="23" s="1"/>
  <c r="Y93" i="23"/>
  <c r="W99" i="23"/>
  <c r="Q108" i="23"/>
  <c r="W104" i="23"/>
  <c r="W106" i="23"/>
  <c r="Q104" i="23"/>
  <c r="M107" i="23"/>
  <c r="O112" i="23"/>
  <c r="O113" i="23" s="1"/>
  <c r="W102" i="23"/>
  <c r="Q102" i="23"/>
  <c r="K112" i="23"/>
  <c r="Q23" i="23"/>
  <c r="M20" i="23"/>
  <c r="K26" i="23"/>
  <c r="K33" i="23" s="1"/>
  <c r="U19" i="23"/>
  <c r="M22" i="23"/>
  <c r="Q25" i="23"/>
  <c r="W24" i="23"/>
  <c r="Q24" i="23"/>
  <c r="W19" i="23"/>
  <c r="W25" i="23"/>
  <c r="W18" i="23"/>
  <c r="U63" i="31"/>
  <c r="Q63" i="31"/>
  <c r="E63" i="31"/>
  <c r="W63" i="31"/>
  <c r="D196" i="9"/>
  <c r="D204" i="9" s="1"/>
  <c r="I188" i="9"/>
  <c r="L112" i="9"/>
  <c r="M103" i="9"/>
  <c r="D113" i="9"/>
  <c r="I85" i="39"/>
  <c r="Y66" i="39"/>
  <c r="Y68" i="39"/>
  <c r="M61" i="23"/>
  <c r="G63" i="23"/>
  <c r="E63" i="23"/>
  <c r="K63" i="23"/>
  <c r="I60" i="23"/>
  <c r="M60" i="23"/>
  <c r="C27" i="28"/>
  <c r="W31" i="39"/>
  <c r="Q31" i="39"/>
  <c r="O26" i="39"/>
  <c r="I20" i="39"/>
  <c r="W33" i="39"/>
  <c r="X33" i="39"/>
  <c r="O26" i="29"/>
  <c r="W17" i="29"/>
  <c r="G26" i="29"/>
  <c r="Y57" i="39"/>
  <c r="Y51" i="39"/>
  <c r="W57" i="39"/>
  <c r="W30" i="29"/>
  <c r="E112" i="29"/>
  <c r="C113" i="29"/>
  <c r="W85" i="29"/>
  <c r="W173" i="29"/>
  <c r="Q245" i="29"/>
  <c r="W245" i="29"/>
  <c r="E245" i="29"/>
  <c r="C196" i="29"/>
  <c r="C36" i="38"/>
  <c r="Y51" i="38"/>
  <c r="W57" i="38"/>
  <c r="G195" i="28"/>
  <c r="E199" i="28"/>
  <c r="X225" i="28"/>
  <c r="W225" i="28"/>
  <c r="W149" i="28"/>
  <c r="E112" i="28"/>
  <c r="M57" i="28"/>
  <c r="Y52" i="28"/>
  <c r="W57" i="28"/>
  <c r="E57" i="28"/>
  <c r="C36" i="28"/>
  <c r="C124" i="28"/>
  <c r="W85" i="30"/>
  <c r="I85" i="30"/>
  <c r="X173" i="39"/>
  <c r="W173" i="39"/>
  <c r="Y67" i="23"/>
  <c r="Y66" i="23"/>
  <c r="K69" i="33"/>
  <c r="M69" i="33" s="1"/>
  <c r="I69" i="23"/>
  <c r="E118" i="33" l="1"/>
  <c r="I103" i="33"/>
  <c r="R339" i="28"/>
  <c r="J6" i="41"/>
  <c r="I119" i="28"/>
  <c r="Y234" i="33"/>
  <c r="D6" i="41"/>
  <c r="E27" i="30"/>
  <c r="G32" i="30"/>
  <c r="I32" i="30" s="1"/>
  <c r="I36" i="30" s="1"/>
  <c r="I199" i="29"/>
  <c r="D204" i="29"/>
  <c r="D205" i="29" s="1"/>
  <c r="D246" i="29" s="1"/>
  <c r="D248" i="29" s="1"/>
  <c r="I32" i="29"/>
  <c r="H31" i="29"/>
  <c r="H31" i="33" s="1"/>
  <c r="I31" i="33" s="1"/>
  <c r="Y173" i="39"/>
  <c r="Y155" i="39"/>
  <c r="Y145" i="33"/>
  <c r="P67" i="33"/>
  <c r="C37" i="31"/>
  <c r="C87" i="31" s="1"/>
  <c r="E87" i="31" s="1"/>
  <c r="D33" i="33"/>
  <c r="I92" i="33"/>
  <c r="G32" i="31"/>
  <c r="G36" i="31" s="1"/>
  <c r="E204" i="31"/>
  <c r="G124" i="31"/>
  <c r="K18" i="33"/>
  <c r="G204" i="32"/>
  <c r="G201" i="33"/>
  <c r="I201" i="33" s="1"/>
  <c r="Y40" i="33"/>
  <c r="Y216" i="33"/>
  <c r="Y45" i="33"/>
  <c r="N339" i="9"/>
  <c r="V339" i="9"/>
  <c r="Y165" i="33"/>
  <c r="Y157" i="33"/>
  <c r="I184" i="33"/>
  <c r="I192" i="33"/>
  <c r="I194" i="33"/>
  <c r="I98" i="33"/>
  <c r="Y47" i="33"/>
  <c r="Y242" i="33"/>
  <c r="Y166" i="33"/>
  <c r="Y53" i="33"/>
  <c r="I101" i="33"/>
  <c r="Y77" i="33"/>
  <c r="Y74" i="33"/>
  <c r="E204" i="32"/>
  <c r="Y227" i="33"/>
  <c r="I109" i="33"/>
  <c r="I107" i="33"/>
  <c r="H196" i="23"/>
  <c r="Y237" i="33"/>
  <c r="I108" i="33"/>
  <c r="Y233" i="33"/>
  <c r="Y169" i="33"/>
  <c r="G200" i="9"/>
  <c r="G199" i="9"/>
  <c r="I102" i="33"/>
  <c r="I188" i="33"/>
  <c r="I180" i="33"/>
  <c r="W9" i="24"/>
  <c r="D125" i="24"/>
  <c r="D174" i="24" s="1"/>
  <c r="D176" i="24" s="1"/>
  <c r="D339" i="24" s="1"/>
  <c r="K101" i="33"/>
  <c r="I19" i="33"/>
  <c r="O29" i="24"/>
  <c r="Y65" i="33"/>
  <c r="P108" i="33"/>
  <c r="K36" i="24"/>
  <c r="I21" i="33"/>
  <c r="I189" i="33"/>
  <c r="K67" i="33"/>
  <c r="M67" i="33" s="1"/>
  <c r="L194" i="33"/>
  <c r="C87" i="24"/>
  <c r="E87" i="24" s="1"/>
  <c r="Y139" i="33"/>
  <c r="Y223" i="33"/>
  <c r="O190" i="33"/>
  <c r="K10" i="33"/>
  <c r="Y152" i="33"/>
  <c r="I186" i="30"/>
  <c r="L23" i="33"/>
  <c r="M23" i="33" s="1"/>
  <c r="K109" i="33"/>
  <c r="M109" i="33" s="1"/>
  <c r="I117" i="33"/>
  <c r="G196" i="30"/>
  <c r="K94" i="33"/>
  <c r="M94" i="33" s="1"/>
  <c r="K105" i="33"/>
  <c r="O231" i="39"/>
  <c r="O228" i="33"/>
  <c r="Q228" i="33" s="1"/>
  <c r="K92" i="33"/>
  <c r="I17" i="33"/>
  <c r="I20" i="33"/>
  <c r="U190" i="39"/>
  <c r="Y220" i="33"/>
  <c r="K191" i="33"/>
  <c r="M191" i="33" s="1"/>
  <c r="G196" i="39"/>
  <c r="C32" i="33"/>
  <c r="E32" i="33" s="1"/>
  <c r="I104" i="33"/>
  <c r="K13" i="33"/>
  <c r="Y164" i="33"/>
  <c r="P62" i="33"/>
  <c r="P63" i="33" s="1"/>
  <c r="O62" i="33"/>
  <c r="I106" i="33"/>
  <c r="C199" i="33"/>
  <c r="E199" i="33" s="1"/>
  <c r="K6" i="33"/>
  <c r="L62" i="33"/>
  <c r="L63" i="33" s="1"/>
  <c r="K95" i="33"/>
  <c r="M95" i="33" s="1"/>
  <c r="Y48" i="33"/>
  <c r="I25" i="33"/>
  <c r="Y75" i="33"/>
  <c r="C200" i="33"/>
  <c r="E200" i="33" s="1"/>
  <c r="Y208" i="33"/>
  <c r="C204" i="29"/>
  <c r="Y127" i="33"/>
  <c r="I22" i="33"/>
  <c r="X231" i="33"/>
  <c r="G115" i="33"/>
  <c r="I115" i="33" s="1"/>
  <c r="M9" i="38"/>
  <c r="Y229" i="33"/>
  <c r="I110" i="33"/>
  <c r="M102" i="38"/>
  <c r="W245" i="33"/>
  <c r="Y243" i="33"/>
  <c r="M104" i="33"/>
  <c r="M188" i="33"/>
  <c r="E124" i="38"/>
  <c r="Y217" i="38"/>
  <c r="I23" i="33"/>
  <c r="I7" i="33"/>
  <c r="X225" i="33"/>
  <c r="X95" i="38"/>
  <c r="O23" i="38"/>
  <c r="O23" i="33" s="1"/>
  <c r="M110" i="38"/>
  <c r="I181" i="33"/>
  <c r="I185" i="33"/>
  <c r="I111" i="33"/>
  <c r="K185" i="33"/>
  <c r="Y143" i="33"/>
  <c r="I105" i="33"/>
  <c r="I13" i="33"/>
  <c r="L9" i="33"/>
  <c r="I8" i="33"/>
  <c r="O11" i="32"/>
  <c r="Y222" i="33"/>
  <c r="L96" i="33"/>
  <c r="G30" i="33"/>
  <c r="I30" i="33" s="1"/>
  <c r="L116" i="33"/>
  <c r="M123" i="33"/>
  <c r="K182" i="33"/>
  <c r="Y207" i="33"/>
  <c r="Y162" i="33"/>
  <c r="G199" i="33"/>
  <c r="O121" i="33"/>
  <c r="K193" i="33"/>
  <c r="M193" i="33" s="1"/>
  <c r="K189" i="33"/>
  <c r="M189" i="33" s="1"/>
  <c r="X245" i="33"/>
  <c r="K194" i="33"/>
  <c r="K110" i="33"/>
  <c r="M110" i="33" s="1"/>
  <c r="L11" i="33"/>
  <c r="K103" i="33"/>
  <c r="M103" i="33" s="1"/>
  <c r="L121" i="33"/>
  <c r="L33" i="31"/>
  <c r="M33" i="31" s="1"/>
  <c r="K181" i="33"/>
  <c r="S10" i="31"/>
  <c r="O10" i="33"/>
  <c r="K111" i="33"/>
  <c r="M111" i="33" s="1"/>
  <c r="M102" i="33"/>
  <c r="K12" i="33"/>
  <c r="Y39" i="33"/>
  <c r="L200" i="33"/>
  <c r="L181" i="33"/>
  <c r="K24" i="33"/>
  <c r="M24" i="33" s="1"/>
  <c r="I202" i="33"/>
  <c r="G121" i="33"/>
  <c r="I121" i="33" s="1"/>
  <c r="D37" i="31"/>
  <c r="D86" i="31" s="1"/>
  <c r="D88" i="31" s="1"/>
  <c r="D339" i="31" s="1"/>
  <c r="G116" i="33"/>
  <c r="I116" i="33" s="1"/>
  <c r="I198" i="31"/>
  <c r="G198" i="33"/>
  <c r="I198" i="33" s="1"/>
  <c r="L182" i="33"/>
  <c r="L180" i="33"/>
  <c r="P185" i="31"/>
  <c r="L185" i="33"/>
  <c r="T20" i="31"/>
  <c r="P20" i="33"/>
  <c r="P184" i="31"/>
  <c r="L184" i="33"/>
  <c r="K25" i="33"/>
  <c r="M25" i="33" s="1"/>
  <c r="M192" i="33"/>
  <c r="H36" i="31"/>
  <c r="L22" i="33"/>
  <c r="M22" i="33" s="1"/>
  <c r="M190" i="33"/>
  <c r="M6" i="31"/>
  <c r="K21" i="33"/>
  <c r="M21" i="33" s="1"/>
  <c r="K107" i="33"/>
  <c r="M107" i="33" s="1"/>
  <c r="K7" i="33"/>
  <c r="I182" i="33"/>
  <c r="G203" i="33"/>
  <c r="I203" i="33" s="1"/>
  <c r="M29" i="31"/>
  <c r="O185" i="33"/>
  <c r="I14" i="33"/>
  <c r="Y44" i="33"/>
  <c r="K180" i="33"/>
  <c r="L101" i="33"/>
  <c r="Y151" i="33"/>
  <c r="H199" i="28"/>
  <c r="I199" i="28" s="1"/>
  <c r="L203" i="33"/>
  <c r="I18" i="33"/>
  <c r="I33" i="23"/>
  <c r="H33" i="33"/>
  <c r="Y155" i="38"/>
  <c r="I9" i="33"/>
  <c r="M108" i="33"/>
  <c r="M184" i="38"/>
  <c r="M105" i="33"/>
  <c r="M11" i="38"/>
  <c r="O191" i="38"/>
  <c r="P101" i="38"/>
  <c r="P101" i="33" s="1"/>
  <c r="P105" i="38"/>
  <c r="P105" i="33" s="1"/>
  <c r="P11" i="38"/>
  <c r="T11" i="38" s="1"/>
  <c r="M105" i="38"/>
  <c r="K199" i="38"/>
  <c r="I34" i="38"/>
  <c r="I121" i="38"/>
  <c r="I11" i="33"/>
  <c r="P21" i="38"/>
  <c r="P21" i="33" s="1"/>
  <c r="E196" i="38"/>
  <c r="K121" i="38"/>
  <c r="M121" i="38" s="1"/>
  <c r="G196" i="38"/>
  <c r="Y128" i="33"/>
  <c r="I34" i="33"/>
  <c r="T9" i="38"/>
  <c r="I33" i="38"/>
  <c r="I35" i="38"/>
  <c r="T120" i="38"/>
  <c r="S120" i="38"/>
  <c r="K121" i="33"/>
  <c r="U115" i="38"/>
  <c r="Y115" i="38" s="1"/>
  <c r="Q200" i="38"/>
  <c r="M200" i="38"/>
  <c r="I31" i="38"/>
  <c r="P97" i="38"/>
  <c r="L97" i="33"/>
  <c r="I35" i="33"/>
  <c r="I199" i="38"/>
  <c r="W93" i="38"/>
  <c r="K93" i="33"/>
  <c r="M93" i="33" s="1"/>
  <c r="M101" i="38"/>
  <c r="P202" i="38"/>
  <c r="L202" i="33"/>
  <c r="P7" i="38"/>
  <c r="L7" i="33"/>
  <c r="O11" i="38"/>
  <c r="K11" i="33"/>
  <c r="S116" i="38"/>
  <c r="P8" i="38"/>
  <c r="L8" i="33"/>
  <c r="M8" i="33" s="1"/>
  <c r="K19" i="33"/>
  <c r="M19" i="33" s="1"/>
  <c r="K35" i="38"/>
  <c r="K32" i="38"/>
  <c r="M106" i="33"/>
  <c r="L118" i="38"/>
  <c r="H118" i="33"/>
  <c r="I96" i="33"/>
  <c r="P13" i="38"/>
  <c r="L30" i="38"/>
  <c r="L13" i="33"/>
  <c r="W117" i="38"/>
  <c r="K34" i="38"/>
  <c r="P12" i="38"/>
  <c r="L12" i="33"/>
  <c r="O96" i="38"/>
  <c r="Q96" i="38" s="1"/>
  <c r="K96" i="33"/>
  <c r="M62" i="38"/>
  <c r="M63" i="38" s="1"/>
  <c r="K62" i="33"/>
  <c r="O18" i="33"/>
  <c r="I93" i="33"/>
  <c r="O98" i="38"/>
  <c r="K98" i="33"/>
  <c r="W92" i="38"/>
  <c r="M20" i="33"/>
  <c r="X121" i="38"/>
  <c r="P98" i="38"/>
  <c r="L98" i="33"/>
  <c r="O14" i="38"/>
  <c r="K30" i="38"/>
  <c r="K30" i="33" s="1"/>
  <c r="K14" i="33"/>
  <c r="M107" i="38"/>
  <c r="P14" i="38"/>
  <c r="Q14" i="38" s="1"/>
  <c r="L31" i="38"/>
  <c r="L14" i="33"/>
  <c r="L120" i="33"/>
  <c r="G120" i="33"/>
  <c r="I120" i="33" s="1"/>
  <c r="G204" i="38"/>
  <c r="L18" i="33"/>
  <c r="L35" i="38"/>
  <c r="L35" i="33" s="1"/>
  <c r="L17" i="33"/>
  <c r="M17" i="33" s="1"/>
  <c r="L34" i="38"/>
  <c r="L34" i="33" s="1"/>
  <c r="O184" i="38"/>
  <c r="K184" i="33"/>
  <c r="I97" i="33"/>
  <c r="P10" i="38"/>
  <c r="P10" i="33" s="1"/>
  <c r="L10" i="33"/>
  <c r="O97" i="38"/>
  <c r="K97" i="33"/>
  <c r="O9" i="38"/>
  <c r="Q9" i="38" s="1"/>
  <c r="K9" i="33"/>
  <c r="M92" i="38"/>
  <c r="Y92" i="38" s="1"/>
  <c r="L92" i="33"/>
  <c r="K118" i="38"/>
  <c r="G118" i="33"/>
  <c r="P117" i="38"/>
  <c r="L117" i="33"/>
  <c r="M117" i="33" s="1"/>
  <c r="L66" i="33"/>
  <c r="L85" i="33" s="1"/>
  <c r="L6" i="33"/>
  <c r="E124" i="32"/>
  <c r="C119" i="33"/>
  <c r="E119" i="33" s="1"/>
  <c r="E124" i="33" s="1"/>
  <c r="E125" i="33" s="1"/>
  <c r="E174" i="33" s="1"/>
  <c r="G119" i="33"/>
  <c r="Y225" i="30"/>
  <c r="Y158" i="33"/>
  <c r="G200" i="29"/>
  <c r="I200" i="29" s="1"/>
  <c r="E204" i="29"/>
  <c r="E86" i="24"/>
  <c r="E199" i="9"/>
  <c r="C27" i="9"/>
  <c r="C36" i="9"/>
  <c r="D124" i="33"/>
  <c r="D125" i="33" s="1"/>
  <c r="D174" i="33" s="1"/>
  <c r="D176" i="33" s="1"/>
  <c r="H99" i="33"/>
  <c r="Y52" i="33"/>
  <c r="Y49" i="32"/>
  <c r="H196" i="9"/>
  <c r="H200" i="9"/>
  <c r="H200" i="33" s="1"/>
  <c r="H199" i="9"/>
  <c r="H204" i="9" s="1"/>
  <c r="C125" i="30"/>
  <c r="C87" i="23"/>
  <c r="E87" i="23" s="1"/>
  <c r="Q189" i="38"/>
  <c r="M51" i="32"/>
  <c r="M57" i="32" s="1"/>
  <c r="O97" i="32"/>
  <c r="Q97" i="32" s="1"/>
  <c r="O180" i="32"/>
  <c r="I6" i="33"/>
  <c r="G15" i="33"/>
  <c r="P185" i="32"/>
  <c r="Y148" i="33"/>
  <c r="G195" i="33"/>
  <c r="Q155" i="33"/>
  <c r="O155" i="33"/>
  <c r="O85" i="32"/>
  <c r="Y49" i="38"/>
  <c r="Q192" i="38"/>
  <c r="P106" i="38"/>
  <c r="P106" i="33" s="1"/>
  <c r="M97" i="32"/>
  <c r="H125" i="39"/>
  <c r="H174" i="39" s="1"/>
  <c r="H176" i="39" s="1"/>
  <c r="H339" i="39" s="1"/>
  <c r="L124" i="39"/>
  <c r="L125" i="39" s="1"/>
  <c r="L174" i="39" s="1"/>
  <c r="L176" i="39" s="1"/>
  <c r="Y193" i="39"/>
  <c r="Y116" i="24"/>
  <c r="E196" i="23"/>
  <c r="P182" i="32"/>
  <c r="W225" i="33"/>
  <c r="Y132" i="33"/>
  <c r="P107" i="38"/>
  <c r="P107" i="33" s="1"/>
  <c r="W217" i="33"/>
  <c r="I155" i="33"/>
  <c r="G155" i="33"/>
  <c r="O105" i="38"/>
  <c r="Y147" i="33"/>
  <c r="Y55" i="33"/>
  <c r="H15" i="33"/>
  <c r="S10" i="32"/>
  <c r="Y160" i="33"/>
  <c r="Y238" i="33"/>
  <c r="S155" i="33"/>
  <c r="P7" i="32"/>
  <c r="O60" i="23"/>
  <c r="O60" i="33" s="1"/>
  <c r="Q60" i="33" s="1"/>
  <c r="U154" i="32"/>
  <c r="U155" i="32" s="1"/>
  <c r="O107" i="38"/>
  <c r="O107" i="33" s="1"/>
  <c r="Y213" i="33"/>
  <c r="Y78" i="33"/>
  <c r="Y136" i="33"/>
  <c r="Y68" i="33"/>
  <c r="O182" i="32"/>
  <c r="O94" i="32"/>
  <c r="Y171" i="33"/>
  <c r="Y80" i="33"/>
  <c r="Y209" i="33"/>
  <c r="P11" i="32"/>
  <c r="I63" i="33"/>
  <c r="G63" i="33"/>
  <c r="X57" i="33"/>
  <c r="O9" i="32"/>
  <c r="I231" i="33"/>
  <c r="G231" i="33"/>
  <c r="M173" i="33"/>
  <c r="K173" i="33"/>
  <c r="S92" i="29"/>
  <c r="X92" i="38"/>
  <c r="T119" i="24"/>
  <c r="X119" i="24" s="1"/>
  <c r="M185" i="32"/>
  <c r="M180" i="32"/>
  <c r="X35" i="32"/>
  <c r="Q182" i="30"/>
  <c r="Y182" i="30" s="1"/>
  <c r="W182" i="30"/>
  <c r="E27" i="24"/>
  <c r="U184" i="23"/>
  <c r="Q35" i="28"/>
  <c r="O103" i="38"/>
  <c r="O13" i="32"/>
  <c r="X141" i="33"/>
  <c r="Y82" i="33"/>
  <c r="Y210" i="33"/>
  <c r="Y134" i="33"/>
  <c r="Y56" i="33"/>
  <c r="P110" i="38"/>
  <c r="P110" i="33" s="1"/>
  <c r="Y42" i="33"/>
  <c r="Y221" i="33"/>
  <c r="X155" i="33"/>
  <c r="I202" i="28"/>
  <c r="P96" i="32"/>
  <c r="Y81" i="33"/>
  <c r="P103" i="38"/>
  <c r="P103" i="33" s="1"/>
  <c r="P184" i="32"/>
  <c r="Y133" i="33"/>
  <c r="W149" i="33"/>
  <c r="Y214" i="33"/>
  <c r="H112" i="33"/>
  <c r="P9" i="32"/>
  <c r="X149" i="33"/>
  <c r="Y70" i="33"/>
  <c r="M34" i="28"/>
  <c r="G124" i="32"/>
  <c r="U228" i="30"/>
  <c r="Y228" i="30" s="1"/>
  <c r="S95" i="32"/>
  <c r="S192" i="38"/>
  <c r="S192" i="33" s="1"/>
  <c r="U203" i="9"/>
  <c r="P190" i="31"/>
  <c r="P190" i="33" s="1"/>
  <c r="Y182" i="23"/>
  <c r="O22" i="38"/>
  <c r="O22" i="33" s="1"/>
  <c r="T23" i="38"/>
  <c r="L15" i="32"/>
  <c r="E113" i="23"/>
  <c r="T180" i="32"/>
  <c r="S188" i="38"/>
  <c r="Y49" i="39"/>
  <c r="O111" i="38"/>
  <c r="O111" i="33" s="1"/>
  <c r="O14" i="32"/>
  <c r="Y244" i="33"/>
  <c r="Y153" i="33"/>
  <c r="Y54" i="33"/>
  <c r="O194" i="38"/>
  <c r="M194" i="38"/>
  <c r="W141" i="33"/>
  <c r="P14" i="32"/>
  <c r="Y212" i="33"/>
  <c r="P191" i="31"/>
  <c r="P191" i="33" s="1"/>
  <c r="G186" i="33"/>
  <c r="X173" i="33"/>
  <c r="Y215" i="33"/>
  <c r="Y161" i="33"/>
  <c r="M198" i="32"/>
  <c r="Y173" i="32"/>
  <c r="C175" i="23"/>
  <c r="E175" i="23" s="1"/>
  <c r="K99" i="38"/>
  <c r="Y117" i="24"/>
  <c r="L99" i="32"/>
  <c r="L113" i="32" s="1"/>
  <c r="S98" i="32"/>
  <c r="Q228" i="39"/>
  <c r="Q231" i="39" s="1"/>
  <c r="P193" i="31"/>
  <c r="P193" i="33" s="1"/>
  <c r="S102" i="38"/>
  <c r="Y84" i="33"/>
  <c r="W49" i="33"/>
  <c r="H195" i="33"/>
  <c r="O106" i="38"/>
  <c r="O106" i="33" s="1"/>
  <c r="P102" i="38"/>
  <c r="P102" i="33" s="1"/>
  <c r="P198" i="9"/>
  <c r="P198" i="33" s="1"/>
  <c r="Y73" i="33"/>
  <c r="Y135" i="33"/>
  <c r="Y41" i="33"/>
  <c r="X217" i="33"/>
  <c r="Y137" i="33"/>
  <c r="P194" i="31"/>
  <c r="P194" i="33" s="1"/>
  <c r="O51" i="32"/>
  <c r="U192" i="39"/>
  <c r="Y192" i="39" s="1"/>
  <c r="E27" i="23"/>
  <c r="E37" i="23" s="1"/>
  <c r="G196" i="32"/>
  <c r="C246" i="24"/>
  <c r="C248" i="24" s="1"/>
  <c r="T108" i="38"/>
  <c r="C174" i="30"/>
  <c r="C175" i="30"/>
  <c r="E175" i="30" s="1"/>
  <c r="Y14" i="39"/>
  <c r="M12" i="32"/>
  <c r="W63" i="32"/>
  <c r="S228" i="39"/>
  <c r="M201" i="23"/>
  <c r="O96" i="32"/>
  <c r="S96" i="32" s="1"/>
  <c r="W96" i="32" s="1"/>
  <c r="P12" i="32"/>
  <c r="G112" i="33"/>
  <c r="Y224" i="33"/>
  <c r="Y146" i="33"/>
  <c r="Y46" i="33"/>
  <c r="O185" i="32"/>
  <c r="Y236" i="33"/>
  <c r="P188" i="31"/>
  <c r="P188" i="33" s="1"/>
  <c r="H26" i="33"/>
  <c r="P104" i="38"/>
  <c r="P104" i="33" s="1"/>
  <c r="M231" i="33"/>
  <c r="K231" i="33"/>
  <c r="H186" i="33"/>
  <c r="Y239" i="33"/>
  <c r="Y211" i="33"/>
  <c r="P8" i="32"/>
  <c r="Y240" i="33"/>
  <c r="Y79" i="33"/>
  <c r="Y144" i="33"/>
  <c r="O61" i="23"/>
  <c r="O61" i="33" s="1"/>
  <c r="Q61" i="33" s="1"/>
  <c r="O109" i="38"/>
  <c r="Y241" i="33"/>
  <c r="C36" i="39"/>
  <c r="C37" i="39" s="1"/>
  <c r="C87" i="39" s="1"/>
  <c r="P192" i="31"/>
  <c r="P192" i="33" s="1"/>
  <c r="Q192" i="33" s="1"/>
  <c r="K57" i="32"/>
  <c r="S189" i="38"/>
  <c r="K195" i="38"/>
  <c r="K196" i="38" s="1"/>
  <c r="M184" i="32"/>
  <c r="L186" i="32"/>
  <c r="M96" i="32"/>
  <c r="O12" i="32"/>
  <c r="E124" i="30"/>
  <c r="Y11" i="39"/>
  <c r="Y98" i="24"/>
  <c r="O11" i="23"/>
  <c r="S11" i="23" s="1"/>
  <c r="W11" i="23" s="1"/>
  <c r="I201" i="23"/>
  <c r="G204" i="23"/>
  <c r="I57" i="33"/>
  <c r="G57" i="33"/>
  <c r="O101" i="38"/>
  <c r="G99" i="33"/>
  <c r="Y140" i="33"/>
  <c r="Y83" i="33"/>
  <c r="X49" i="33"/>
  <c r="P111" i="38"/>
  <c r="P111" i="33" s="1"/>
  <c r="G36" i="28"/>
  <c r="G37" i="28" s="1"/>
  <c r="I31" i="28"/>
  <c r="Y167" i="33"/>
  <c r="Y76" i="33"/>
  <c r="Y163" i="33"/>
  <c r="P17" i="38"/>
  <c r="Y168" i="33"/>
  <c r="T98" i="32"/>
  <c r="P181" i="32"/>
  <c r="O102" i="30"/>
  <c r="Y170" i="33"/>
  <c r="Y129" i="33"/>
  <c r="Y43" i="33"/>
  <c r="E113" i="30"/>
  <c r="D204" i="33"/>
  <c r="D205" i="33" s="1"/>
  <c r="D246" i="33" s="1"/>
  <c r="D248" i="33" s="1"/>
  <c r="C205" i="39"/>
  <c r="C246" i="39" s="1"/>
  <c r="O199" i="32"/>
  <c r="K124" i="32"/>
  <c r="H36" i="9"/>
  <c r="D36" i="29"/>
  <c r="D37" i="29" s="1"/>
  <c r="D86" i="29" s="1"/>
  <c r="D88" i="29" s="1"/>
  <c r="E33" i="32"/>
  <c r="E36" i="32" s="1"/>
  <c r="M31" i="28"/>
  <c r="M30" i="28"/>
  <c r="I30" i="28"/>
  <c r="H36" i="28"/>
  <c r="H37" i="28" s="1"/>
  <c r="T194" i="23"/>
  <c r="H205" i="23"/>
  <c r="H246" i="23" s="1"/>
  <c r="H248" i="23" s="1"/>
  <c r="E125" i="23"/>
  <c r="E174" i="23" s="1"/>
  <c r="Q184" i="23"/>
  <c r="Y184" i="23" s="1"/>
  <c r="S193" i="23"/>
  <c r="W193" i="23" s="1"/>
  <c r="P195" i="23"/>
  <c r="K195" i="23"/>
  <c r="K196" i="23" s="1"/>
  <c r="I112" i="23"/>
  <c r="X188" i="23"/>
  <c r="M193" i="23"/>
  <c r="M195" i="23" s="1"/>
  <c r="I202" i="23"/>
  <c r="X184" i="23"/>
  <c r="Y173" i="23"/>
  <c r="P99" i="23"/>
  <c r="X99" i="23" s="1"/>
  <c r="G196" i="23"/>
  <c r="Y217" i="23"/>
  <c r="U94" i="23"/>
  <c r="Q10" i="23"/>
  <c r="Y10" i="23" s="1"/>
  <c r="Y155" i="23"/>
  <c r="I99" i="23"/>
  <c r="T101" i="23"/>
  <c r="U101" i="23" s="1"/>
  <c r="Y101" i="23" s="1"/>
  <c r="Y141" i="23"/>
  <c r="I186" i="23"/>
  <c r="X94" i="23"/>
  <c r="M112" i="23"/>
  <c r="Y190" i="23"/>
  <c r="T204" i="23"/>
  <c r="X200" i="23"/>
  <c r="Y97" i="23"/>
  <c r="L113" i="23"/>
  <c r="N88" i="23"/>
  <c r="K198" i="23"/>
  <c r="M198" i="23" s="1"/>
  <c r="O180" i="23"/>
  <c r="M180" i="23"/>
  <c r="M186" i="23" s="1"/>
  <c r="X10" i="23"/>
  <c r="Q94" i="23"/>
  <c r="Y191" i="23"/>
  <c r="Q192" i="23"/>
  <c r="U192" i="23"/>
  <c r="M94" i="23"/>
  <c r="Y245" i="23"/>
  <c r="I195" i="23"/>
  <c r="K29" i="23"/>
  <c r="M29" i="23" s="1"/>
  <c r="O6" i="23"/>
  <c r="Q6" i="23" s="1"/>
  <c r="X105" i="23"/>
  <c r="P116" i="23"/>
  <c r="Y49" i="23"/>
  <c r="S188" i="23"/>
  <c r="O195" i="23"/>
  <c r="M116" i="23"/>
  <c r="Y12" i="23"/>
  <c r="L125" i="23"/>
  <c r="L174" i="23" s="1"/>
  <c r="L176" i="23" s="1"/>
  <c r="E205" i="23"/>
  <c r="E246" i="23" s="1"/>
  <c r="C247" i="23"/>
  <c r="E247" i="23" s="1"/>
  <c r="C246" i="23"/>
  <c r="Q188" i="23"/>
  <c r="Y200" i="23"/>
  <c r="Y225" i="23"/>
  <c r="Q9" i="23"/>
  <c r="S9" i="23"/>
  <c r="U9" i="23" s="1"/>
  <c r="Y57" i="23"/>
  <c r="U193" i="23"/>
  <c r="Y193" i="23" s="1"/>
  <c r="Y149" i="23"/>
  <c r="Y231" i="23"/>
  <c r="Y155" i="9"/>
  <c r="C124" i="9"/>
  <c r="C125" i="9" s="1"/>
  <c r="Y63" i="9"/>
  <c r="S198" i="9"/>
  <c r="D27" i="9"/>
  <c r="V205" i="33"/>
  <c r="V246" i="33" s="1"/>
  <c r="V248" i="33" s="1"/>
  <c r="G27" i="24"/>
  <c r="G37" i="24" s="1"/>
  <c r="I26" i="24"/>
  <c r="Y120" i="24"/>
  <c r="U94" i="24"/>
  <c r="Y94" i="24" s="1"/>
  <c r="Y8" i="24"/>
  <c r="P15" i="24"/>
  <c r="Y33" i="24"/>
  <c r="W21" i="24"/>
  <c r="I36" i="24"/>
  <c r="M36" i="24"/>
  <c r="Y12" i="24"/>
  <c r="I201" i="24"/>
  <c r="O15" i="24"/>
  <c r="L113" i="24"/>
  <c r="E204" i="24"/>
  <c r="L196" i="24"/>
  <c r="L205" i="24" s="1"/>
  <c r="L246" i="24" s="1"/>
  <c r="L248" i="24" s="1"/>
  <c r="Q20" i="24"/>
  <c r="Y155" i="24"/>
  <c r="Y96" i="24"/>
  <c r="Y17" i="24"/>
  <c r="M195" i="24"/>
  <c r="Y141" i="24"/>
  <c r="I124" i="24"/>
  <c r="Y63" i="24"/>
  <c r="Y95" i="24"/>
  <c r="M15" i="24"/>
  <c r="E37" i="24"/>
  <c r="S14" i="24"/>
  <c r="Q14" i="24"/>
  <c r="E124" i="24"/>
  <c r="I186" i="24"/>
  <c r="I196" i="24" s="1"/>
  <c r="I112" i="24"/>
  <c r="I15" i="24"/>
  <c r="E113" i="24"/>
  <c r="G86" i="24"/>
  <c r="Q25" i="24"/>
  <c r="Y25" i="24" s="1"/>
  <c r="U111" i="24"/>
  <c r="Y111" i="24" s="1"/>
  <c r="Y231" i="24"/>
  <c r="X184" i="24"/>
  <c r="I99" i="24"/>
  <c r="C125" i="24"/>
  <c r="C175" i="24" s="1"/>
  <c r="E175" i="24" s="1"/>
  <c r="T32" i="24"/>
  <c r="X32" i="24" s="1"/>
  <c r="P36" i="24"/>
  <c r="X25" i="24"/>
  <c r="Y173" i="24"/>
  <c r="O198" i="24"/>
  <c r="Q198" i="24" s="1"/>
  <c r="S180" i="24"/>
  <c r="Y149" i="24"/>
  <c r="U105" i="24"/>
  <c r="Y105" i="24" s="1"/>
  <c r="W94" i="24"/>
  <c r="Y225" i="24"/>
  <c r="S35" i="24"/>
  <c r="W35" i="24" s="1"/>
  <c r="Q35" i="24"/>
  <c r="Q202" i="24"/>
  <c r="S202" i="24"/>
  <c r="Y49" i="24"/>
  <c r="Y217" i="24"/>
  <c r="Q189" i="24"/>
  <c r="X20" i="24"/>
  <c r="W107" i="24"/>
  <c r="T6" i="24"/>
  <c r="X6" i="24" s="1"/>
  <c r="Q6" i="24"/>
  <c r="U181" i="24"/>
  <c r="Y181" i="24" s="1"/>
  <c r="M118" i="24"/>
  <c r="U189" i="24"/>
  <c r="Q7" i="24"/>
  <c r="T7" i="24"/>
  <c r="U7" i="24" s="1"/>
  <c r="P26" i="24"/>
  <c r="U13" i="24"/>
  <c r="Y13" i="24" s="1"/>
  <c r="Y19" i="24"/>
  <c r="E196" i="24"/>
  <c r="E205" i="24" s="1"/>
  <c r="E246" i="24" s="1"/>
  <c r="E248" i="24" s="1"/>
  <c r="H113" i="24"/>
  <c r="H125" i="24" s="1"/>
  <c r="H174" i="24" s="1"/>
  <c r="H176" i="24" s="1"/>
  <c r="Y34" i="24"/>
  <c r="S18" i="24"/>
  <c r="S26" i="24" s="1"/>
  <c r="O26" i="24"/>
  <c r="V176" i="24"/>
  <c r="X189" i="24"/>
  <c r="G124" i="24"/>
  <c r="S32" i="24"/>
  <c r="Q32" i="24"/>
  <c r="Y193" i="24"/>
  <c r="H37" i="24"/>
  <c r="H86" i="24" s="1"/>
  <c r="H88" i="24" s="1"/>
  <c r="Y184" i="24"/>
  <c r="P99" i="24"/>
  <c r="T92" i="24"/>
  <c r="Q118" i="24"/>
  <c r="H196" i="24"/>
  <c r="H205" i="24" s="1"/>
  <c r="H246" i="24" s="1"/>
  <c r="H248" i="24" s="1"/>
  <c r="T190" i="24"/>
  <c r="Q190" i="24"/>
  <c r="X118" i="24"/>
  <c r="S11" i="24"/>
  <c r="Q11" i="24"/>
  <c r="Q106" i="24"/>
  <c r="Y20" i="24"/>
  <c r="X185" i="24"/>
  <c r="O110" i="24"/>
  <c r="M110" i="24"/>
  <c r="T24" i="24"/>
  <c r="Q24" i="24"/>
  <c r="Q119" i="24"/>
  <c r="Q97" i="24"/>
  <c r="Q194" i="24"/>
  <c r="U194" i="24"/>
  <c r="T22" i="24"/>
  <c r="Q22" i="24"/>
  <c r="S102" i="24"/>
  <c r="U102" i="24" s="1"/>
  <c r="Q102" i="24"/>
  <c r="S185" i="24"/>
  <c r="O186" i="24"/>
  <c r="Y21" i="24"/>
  <c r="Y201" i="39"/>
  <c r="E27" i="39"/>
  <c r="Y194" i="39"/>
  <c r="C125" i="39"/>
  <c r="C174" i="39" s="1"/>
  <c r="I199" i="39"/>
  <c r="I204" i="39" s="1"/>
  <c r="K204" i="39"/>
  <c r="J176" i="39"/>
  <c r="M199" i="39"/>
  <c r="M204" i="39" s="1"/>
  <c r="E196" i="39"/>
  <c r="W199" i="39"/>
  <c r="I195" i="39"/>
  <c r="G204" i="39"/>
  <c r="G205" i="39" s="1"/>
  <c r="G27" i="39"/>
  <c r="Y103" i="39"/>
  <c r="E113" i="39"/>
  <c r="E125" i="39" s="1"/>
  <c r="E174" i="39" s="1"/>
  <c r="I124" i="39"/>
  <c r="P186" i="39"/>
  <c r="P196" i="39" s="1"/>
  <c r="I99" i="39"/>
  <c r="I113" i="39" s="1"/>
  <c r="Y94" i="39"/>
  <c r="C247" i="39"/>
  <c r="E247" i="39" s="1"/>
  <c r="X185" i="39"/>
  <c r="Y8" i="39"/>
  <c r="O32" i="39"/>
  <c r="S32" i="39" s="1"/>
  <c r="U32" i="39" s="1"/>
  <c r="M32" i="39"/>
  <c r="K36" i="39"/>
  <c r="K27" i="39"/>
  <c r="V176" i="39"/>
  <c r="I186" i="39"/>
  <c r="S231" i="39"/>
  <c r="W231" i="39" s="1"/>
  <c r="W228" i="39"/>
  <c r="W228" i="33" s="1"/>
  <c r="L204" i="39"/>
  <c r="L205" i="39" s="1"/>
  <c r="L246" i="39" s="1"/>
  <c r="L248" i="39" s="1"/>
  <c r="P199" i="39"/>
  <c r="F176" i="39"/>
  <c r="G36" i="39"/>
  <c r="P124" i="39"/>
  <c r="X97" i="39"/>
  <c r="U97" i="39"/>
  <c r="Y97" i="39" s="1"/>
  <c r="W182" i="39"/>
  <c r="Y12" i="39"/>
  <c r="S185" i="39"/>
  <c r="Q185" i="39"/>
  <c r="S96" i="39"/>
  <c r="U96" i="39" s="1"/>
  <c r="Q96" i="39"/>
  <c r="Q180" i="39"/>
  <c r="T99" i="39"/>
  <c r="X99" i="39" s="1"/>
  <c r="Q189" i="39"/>
  <c r="S189" i="39"/>
  <c r="F248" i="39"/>
  <c r="Q95" i="39"/>
  <c r="S203" i="39"/>
  <c r="Q203" i="39"/>
  <c r="Y105" i="39"/>
  <c r="Q202" i="39"/>
  <c r="S202" i="39"/>
  <c r="S203" i="30"/>
  <c r="U203" i="30" s="1"/>
  <c r="D125" i="30"/>
  <c r="D174" i="30" s="1"/>
  <c r="D176" i="30" s="1"/>
  <c r="D339" i="30" s="1"/>
  <c r="H27" i="30"/>
  <c r="H37" i="30" s="1"/>
  <c r="H86" i="30" s="1"/>
  <c r="H88" i="30" s="1"/>
  <c r="G27" i="30"/>
  <c r="M188" i="30"/>
  <c r="M195" i="30" s="1"/>
  <c r="O188" i="30"/>
  <c r="W192" i="30"/>
  <c r="Y19" i="30"/>
  <c r="Y106" i="30"/>
  <c r="H205" i="30"/>
  <c r="H246" i="30" s="1"/>
  <c r="H248" i="30" s="1"/>
  <c r="Y149" i="30"/>
  <c r="Y11" i="30"/>
  <c r="S120" i="30"/>
  <c r="W120" i="30" s="1"/>
  <c r="W117" i="30"/>
  <c r="K112" i="30"/>
  <c r="K113" i="30" s="1"/>
  <c r="W107" i="30"/>
  <c r="K202" i="30"/>
  <c r="I202" i="30"/>
  <c r="L27" i="30"/>
  <c r="Y192" i="30"/>
  <c r="E196" i="30"/>
  <c r="L113" i="30"/>
  <c r="M35" i="30"/>
  <c r="C205" i="30"/>
  <c r="C247" i="30" s="1"/>
  <c r="J176" i="30"/>
  <c r="M199" i="30"/>
  <c r="I112" i="30"/>
  <c r="O17" i="30"/>
  <c r="O26" i="30" s="1"/>
  <c r="M17" i="30"/>
  <c r="R176" i="30"/>
  <c r="Y110" i="30"/>
  <c r="I195" i="30"/>
  <c r="I196" i="30" s="1"/>
  <c r="W118" i="30"/>
  <c r="Y25" i="30"/>
  <c r="X96" i="30"/>
  <c r="K198" i="30"/>
  <c r="M198" i="30" s="1"/>
  <c r="M117" i="30"/>
  <c r="Y173" i="30"/>
  <c r="Y245" i="30"/>
  <c r="I99" i="30"/>
  <c r="M203" i="30"/>
  <c r="Y203" i="30" s="1"/>
  <c r="Y141" i="30"/>
  <c r="U117" i="30"/>
  <c r="H113" i="30"/>
  <c r="H125" i="30" s="1"/>
  <c r="H174" i="30" s="1"/>
  <c r="H176" i="30" s="1"/>
  <c r="Q96" i="30"/>
  <c r="Y96" i="30" s="1"/>
  <c r="K196" i="30"/>
  <c r="W106" i="30"/>
  <c r="I117" i="30"/>
  <c r="O109" i="30"/>
  <c r="M109" i="30"/>
  <c r="P31" i="30"/>
  <c r="M31" i="30"/>
  <c r="F176" i="30"/>
  <c r="S21" i="30"/>
  <c r="Q21" i="30"/>
  <c r="O105" i="30"/>
  <c r="M105" i="30"/>
  <c r="U199" i="30"/>
  <c r="X22" i="30"/>
  <c r="K15" i="30"/>
  <c r="Y217" i="30"/>
  <c r="M186" i="30"/>
  <c r="Y104" i="30"/>
  <c r="L36" i="30"/>
  <c r="P23" i="30"/>
  <c r="P26" i="30" s="1"/>
  <c r="M23" i="30"/>
  <c r="O97" i="30"/>
  <c r="M97" i="30"/>
  <c r="M98" i="30"/>
  <c r="Q98" i="30"/>
  <c r="Y184" i="30"/>
  <c r="W203" i="30"/>
  <c r="I15" i="30"/>
  <c r="O111" i="30"/>
  <c r="M111" i="30"/>
  <c r="T121" i="30"/>
  <c r="Q121" i="30"/>
  <c r="Q199" i="30"/>
  <c r="W199" i="30"/>
  <c r="S191" i="30"/>
  <c r="Q191" i="30"/>
  <c r="T180" i="30"/>
  <c r="U180" i="30" s="1"/>
  <c r="Q180" i="30"/>
  <c r="W185" i="30"/>
  <c r="Y108" i="30"/>
  <c r="G204" i="30"/>
  <c r="I199" i="30"/>
  <c r="Y49" i="30"/>
  <c r="W193" i="30"/>
  <c r="Y155" i="30"/>
  <c r="Y193" i="30"/>
  <c r="I26" i="30"/>
  <c r="W108" i="30"/>
  <c r="Q103" i="30"/>
  <c r="S103" i="30"/>
  <c r="C205" i="38"/>
  <c r="C247" i="38" s="1"/>
  <c r="E247" i="38" s="1"/>
  <c r="Y95" i="38"/>
  <c r="I195" i="38"/>
  <c r="Q190" i="38"/>
  <c r="S190" i="38"/>
  <c r="W200" i="38"/>
  <c r="U120" i="38"/>
  <c r="I186" i="38"/>
  <c r="E113" i="38"/>
  <c r="E125" i="38" s="1"/>
  <c r="E174" i="38" s="1"/>
  <c r="K112" i="38"/>
  <c r="K113" i="38" s="1"/>
  <c r="S185" i="38"/>
  <c r="Q185" i="38"/>
  <c r="M71" i="38"/>
  <c r="M85" i="38" s="1"/>
  <c r="M186" i="38"/>
  <c r="K85" i="38"/>
  <c r="O71" i="38"/>
  <c r="O71" i="33" s="1"/>
  <c r="Q71" i="33" s="1"/>
  <c r="R176" i="38"/>
  <c r="M22" i="38"/>
  <c r="C37" i="38"/>
  <c r="M8" i="38"/>
  <c r="Y141" i="38"/>
  <c r="G205" i="38"/>
  <c r="G247" i="38" s="1"/>
  <c r="I247" i="38" s="1"/>
  <c r="L99" i="38"/>
  <c r="K63" i="38"/>
  <c r="I204" i="38"/>
  <c r="I99" i="38"/>
  <c r="Q117" i="38"/>
  <c r="T8" i="38"/>
  <c r="X8" i="38" s="1"/>
  <c r="E204" i="38"/>
  <c r="H205" i="38"/>
  <c r="H246" i="38" s="1"/>
  <c r="H248" i="38" s="1"/>
  <c r="X196" i="38"/>
  <c r="U200" i="38"/>
  <c r="Y181" i="38"/>
  <c r="M93" i="38"/>
  <c r="M10" i="38"/>
  <c r="W121" i="38"/>
  <c r="L15" i="38"/>
  <c r="L32" i="38" s="1"/>
  <c r="M32" i="38" s="1"/>
  <c r="G27" i="38"/>
  <c r="Y202" i="32"/>
  <c r="X180" i="32"/>
  <c r="I63" i="32"/>
  <c r="Y63" i="32" s="1"/>
  <c r="X31" i="32"/>
  <c r="D125" i="32"/>
  <c r="D174" i="32" s="1"/>
  <c r="D176" i="32" s="1"/>
  <c r="D339" i="32" s="1"/>
  <c r="M31" i="32"/>
  <c r="Y217" i="32"/>
  <c r="Q31" i="32"/>
  <c r="W98" i="32"/>
  <c r="Y141" i="32"/>
  <c r="I99" i="32"/>
  <c r="I113" i="32" s="1"/>
  <c r="E196" i="32"/>
  <c r="E205" i="32" s="1"/>
  <c r="E246" i="32" s="1"/>
  <c r="Q180" i="32"/>
  <c r="Q95" i="32"/>
  <c r="T97" i="32"/>
  <c r="M35" i="32"/>
  <c r="Y245" i="32"/>
  <c r="H37" i="32"/>
  <c r="H86" i="32" s="1"/>
  <c r="H88" i="32" s="1"/>
  <c r="W95" i="32"/>
  <c r="Y155" i="32"/>
  <c r="R176" i="32"/>
  <c r="Q35" i="32"/>
  <c r="S35" i="32"/>
  <c r="U35" i="32" s="1"/>
  <c r="I124" i="32"/>
  <c r="O123" i="32"/>
  <c r="O123" i="33" s="1"/>
  <c r="S7" i="32"/>
  <c r="Q7" i="32"/>
  <c r="W155" i="32"/>
  <c r="I36" i="32"/>
  <c r="T92" i="33"/>
  <c r="Q96" i="32"/>
  <c r="S11" i="32"/>
  <c r="L196" i="32"/>
  <c r="L205" i="32" s="1"/>
  <c r="L246" i="32" s="1"/>
  <c r="L248" i="32" s="1"/>
  <c r="L112" i="31"/>
  <c r="L113" i="31" s="1"/>
  <c r="O191" i="31"/>
  <c r="M17" i="31"/>
  <c r="X20" i="31"/>
  <c r="T99" i="31"/>
  <c r="P112" i="31"/>
  <c r="M104" i="31"/>
  <c r="Y231" i="31"/>
  <c r="M11" i="31"/>
  <c r="O103" i="31"/>
  <c r="Q103" i="31" s="1"/>
  <c r="M12" i="31"/>
  <c r="M192" i="31"/>
  <c r="T11" i="31"/>
  <c r="U11" i="31" s="1"/>
  <c r="Y11" i="31" s="1"/>
  <c r="K36" i="31"/>
  <c r="G204" i="31"/>
  <c r="W12" i="31"/>
  <c r="E196" i="31"/>
  <c r="R248" i="31"/>
  <c r="I195" i="31"/>
  <c r="Y231" i="32"/>
  <c r="X202" i="23"/>
  <c r="S67" i="24"/>
  <c r="K85" i="24"/>
  <c r="O8" i="32"/>
  <c r="K15" i="32"/>
  <c r="K27" i="32" s="1"/>
  <c r="M8" i="32"/>
  <c r="M15" i="32" s="1"/>
  <c r="K199" i="24"/>
  <c r="I199" i="24"/>
  <c r="I27" i="24"/>
  <c r="Q185" i="23"/>
  <c r="S185" i="23"/>
  <c r="W185" i="23" s="1"/>
  <c r="O186" i="23"/>
  <c r="I15" i="23"/>
  <c r="I27" i="23" s="1"/>
  <c r="O201" i="30"/>
  <c r="M201" i="30"/>
  <c r="T185" i="30"/>
  <c r="P186" i="30"/>
  <c r="P196" i="30" s="1"/>
  <c r="Q185" i="30"/>
  <c r="G204" i="24"/>
  <c r="G205" i="24" s="1"/>
  <c r="U97" i="31"/>
  <c r="I186" i="9"/>
  <c r="K203" i="31"/>
  <c r="Y98" i="31"/>
  <c r="M30" i="31"/>
  <c r="L26" i="31"/>
  <c r="W17" i="31"/>
  <c r="W104" i="31"/>
  <c r="E27" i="31"/>
  <c r="E37" i="31" s="1"/>
  <c r="Y225" i="32"/>
  <c r="Y149" i="32"/>
  <c r="W94" i="38"/>
  <c r="Q190" i="30"/>
  <c r="S190" i="30"/>
  <c r="U190" i="30" s="1"/>
  <c r="S9" i="39"/>
  <c r="W9" i="39" s="1"/>
  <c r="Q9" i="39"/>
  <c r="S231" i="30"/>
  <c r="W231" i="30" s="1"/>
  <c r="W228" i="30"/>
  <c r="M191" i="39"/>
  <c r="M195" i="39" s="1"/>
  <c r="O191" i="39"/>
  <c r="U34" i="32"/>
  <c r="Y34" i="32" s="1"/>
  <c r="M201" i="38"/>
  <c r="P201" i="38"/>
  <c r="O94" i="30"/>
  <c r="S94" i="30" s="1"/>
  <c r="M94" i="30"/>
  <c r="S10" i="39"/>
  <c r="Q10" i="39"/>
  <c r="P123" i="32"/>
  <c r="P123" i="33" s="1"/>
  <c r="F248" i="31"/>
  <c r="R248" i="23"/>
  <c r="H124" i="32"/>
  <c r="T185" i="23"/>
  <c r="P186" i="23"/>
  <c r="I203" i="24"/>
  <c r="K203" i="24"/>
  <c r="N248" i="24"/>
  <c r="O13" i="23"/>
  <c r="M13" i="23"/>
  <c r="M15" i="23" s="1"/>
  <c r="K15" i="23"/>
  <c r="K27" i="23" s="1"/>
  <c r="O199" i="23"/>
  <c r="M199" i="23"/>
  <c r="O203" i="23"/>
  <c r="M203" i="23"/>
  <c r="W22" i="30"/>
  <c r="U22" i="30"/>
  <c r="Q8" i="23"/>
  <c r="J88" i="24"/>
  <c r="R88" i="9"/>
  <c r="R339" i="9" s="1"/>
  <c r="P112" i="30"/>
  <c r="Q107" i="30"/>
  <c r="T107" i="30"/>
  <c r="X107" i="30" s="1"/>
  <c r="L196" i="30"/>
  <c r="L205" i="30" s="1"/>
  <c r="L246" i="30" s="1"/>
  <c r="L248" i="30" s="1"/>
  <c r="X117" i="30"/>
  <c r="Y245" i="9"/>
  <c r="M107" i="31"/>
  <c r="X25" i="31"/>
  <c r="U10" i="31"/>
  <c r="Y104" i="32"/>
  <c r="E124" i="9"/>
  <c r="M21" i="38"/>
  <c r="P19" i="38"/>
  <c r="P19" i="33" s="1"/>
  <c r="Q182" i="39"/>
  <c r="G124" i="30"/>
  <c r="I15" i="39"/>
  <c r="M193" i="38"/>
  <c r="O193" i="38"/>
  <c r="O193" i="33" s="1"/>
  <c r="O10" i="30"/>
  <c r="S10" i="30" s="1"/>
  <c r="W10" i="30" s="1"/>
  <c r="M10" i="30"/>
  <c r="M15" i="30" s="1"/>
  <c r="I186" i="32"/>
  <c r="I204" i="23"/>
  <c r="Q22" i="30"/>
  <c r="I203" i="9"/>
  <c r="K203" i="9"/>
  <c r="T20" i="30"/>
  <c r="P196" i="23"/>
  <c r="L26" i="38"/>
  <c r="W34" i="32"/>
  <c r="O184" i="39"/>
  <c r="K186" i="39"/>
  <c r="K196" i="39" s="1"/>
  <c r="K205" i="39" s="1"/>
  <c r="M184" i="39"/>
  <c r="O92" i="39"/>
  <c r="K115" i="39"/>
  <c r="M115" i="39" s="1"/>
  <c r="M92" i="39"/>
  <c r="M99" i="39" s="1"/>
  <c r="M113" i="39" s="1"/>
  <c r="O13" i="39"/>
  <c r="M13" i="39"/>
  <c r="L15" i="39"/>
  <c r="L27" i="39" s="1"/>
  <c r="L37" i="39" s="1"/>
  <c r="L86" i="39" s="1"/>
  <c r="L88" i="39" s="1"/>
  <c r="T107" i="24"/>
  <c r="X107" i="24" s="1"/>
  <c r="O181" i="32"/>
  <c r="M181" i="32"/>
  <c r="K186" i="32"/>
  <c r="K200" i="32" s="1"/>
  <c r="J248" i="9"/>
  <c r="Y24" i="30"/>
  <c r="P204" i="30"/>
  <c r="T200" i="30"/>
  <c r="X200" i="30" s="1"/>
  <c r="Y95" i="30"/>
  <c r="F196" i="33"/>
  <c r="F247" i="33" s="1"/>
  <c r="J37" i="33"/>
  <c r="U35" i="28"/>
  <c r="L99" i="28"/>
  <c r="L119" i="28" s="1"/>
  <c r="M119" i="28" s="1"/>
  <c r="P25" i="38"/>
  <c r="P25" i="33" s="1"/>
  <c r="P203" i="38"/>
  <c r="L204" i="38"/>
  <c r="L205" i="38" s="1"/>
  <c r="L246" i="38" s="1"/>
  <c r="L248" i="38" s="1"/>
  <c r="Q191" i="38"/>
  <c r="S191" i="38"/>
  <c r="Y225" i="38"/>
  <c r="Q121" i="38"/>
  <c r="M18" i="38"/>
  <c r="O25" i="38"/>
  <c r="Q23" i="38"/>
  <c r="M98" i="38"/>
  <c r="T10" i="38"/>
  <c r="O21" i="38"/>
  <c r="Q202" i="38"/>
  <c r="S202" i="38"/>
  <c r="S110" i="38"/>
  <c r="M106" i="38"/>
  <c r="M104" i="38"/>
  <c r="O104" i="38"/>
  <c r="O104" i="33" s="1"/>
  <c r="O108" i="38"/>
  <c r="O108" i="33" s="1"/>
  <c r="M108" i="38"/>
  <c r="I231" i="38"/>
  <c r="M23" i="38"/>
  <c r="Y149" i="38"/>
  <c r="I26" i="38"/>
  <c r="T21" i="38"/>
  <c r="T21" i="33" s="1"/>
  <c r="J176" i="38"/>
  <c r="P24" i="38"/>
  <c r="P24" i="33" s="1"/>
  <c r="Q94" i="38"/>
  <c r="U94" i="38"/>
  <c r="O19" i="38"/>
  <c r="M19" i="38"/>
  <c r="K231" i="38"/>
  <c r="M230" i="38"/>
  <c r="M231" i="38" s="1"/>
  <c r="O230" i="38"/>
  <c r="M118" i="38"/>
  <c r="M203" i="38"/>
  <c r="O24" i="38"/>
  <c r="P109" i="38"/>
  <c r="P109" i="33" s="1"/>
  <c r="L112" i="38"/>
  <c r="M109" i="38"/>
  <c r="X20" i="38"/>
  <c r="P22" i="38"/>
  <c r="P22" i="33" s="1"/>
  <c r="G36" i="38"/>
  <c r="O20" i="38"/>
  <c r="O20" i="33" s="1"/>
  <c r="P18" i="38"/>
  <c r="X94" i="38"/>
  <c r="K120" i="38"/>
  <c r="O120" i="38" s="1"/>
  <c r="I120" i="38"/>
  <c r="I112" i="38"/>
  <c r="M116" i="38"/>
  <c r="P116" i="38"/>
  <c r="Y57" i="30"/>
  <c r="Y57" i="9"/>
  <c r="C36" i="30"/>
  <c r="C37" i="30" s="1"/>
  <c r="C87" i="30" s="1"/>
  <c r="E32" i="30"/>
  <c r="E36" i="30" s="1"/>
  <c r="E37" i="30" s="1"/>
  <c r="T67" i="33"/>
  <c r="P85" i="24"/>
  <c r="G36" i="30"/>
  <c r="G37" i="30" s="1"/>
  <c r="O13" i="38"/>
  <c r="M13" i="38"/>
  <c r="S23" i="38"/>
  <c r="S23" i="33" s="1"/>
  <c r="Y57" i="38"/>
  <c r="W18" i="38"/>
  <c r="M14" i="38"/>
  <c r="M35" i="38"/>
  <c r="M24" i="38"/>
  <c r="K15" i="38"/>
  <c r="K31" i="38" s="1"/>
  <c r="X6" i="38"/>
  <c r="X23" i="38"/>
  <c r="M25" i="38"/>
  <c r="M34" i="38"/>
  <c r="O12" i="38"/>
  <c r="M12" i="38"/>
  <c r="Y149" i="9"/>
  <c r="G125" i="39"/>
  <c r="G174" i="39" s="1"/>
  <c r="W57" i="31"/>
  <c r="E113" i="9"/>
  <c r="C205" i="32"/>
  <c r="C247" i="32" s="1"/>
  <c r="E247" i="32" s="1"/>
  <c r="G205" i="32"/>
  <c r="G247" i="32" s="1"/>
  <c r="I247" i="32" s="1"/>
  <c r="C125" i="29"/>
  <c r="Y149" i="29"/>
  <c r="H27" i="29"/>
  <c r="G27" i="29"/>
  <c r="O115" i="29"/>
  <c r="Q115" i="29" s="1"/>
  <c r="H27" i="23"/>
  <c r="G37" i="23"/>
  <c r="X190" i="9"/>
  <c r="Y191" i="9"/>
  <c r="X182" i="9"/>
  <c r="G124" i="9"/>
  <c r="X93" i="9"/>
  <c r="X93" i="33" s="1"/>
  <c r="U96" i="9"/>
  <c r="Y96" i="9" s="1"/>
  <c r="Q93" i="9"/>
  <c r="Y93" i="9" s="1"/>
  <c r="Y109" i="39"/>
  <c r="Y110" i="39"/>
  <c r="Y107" i="39"/>
  <c r="Y104" i="39"/>
  <c r="Y101" i="39"/>
  <c r="X110" i="39"/>
  <c r="Q112" i="39"/>
  <c r="U112" i="39"/>
  <c r="Y193" i="32"/>
  <c r="T195" i="32"/>
  <c r="X195" i="32" s="1"/>
  <c r="Y192" i="32"/>
  <c r="Y191" i="32"/>
  <c r="I195" i="32"/>
  <c r="Y107" i="32"/>
  <c r="X103" i="32"/>
  <c r="Y103" i="32"/>
  <c r="Y106" i="32"/>
  <c r="X104" i="32"/>
  <c r="M112" i="32"/>
  <c r="Y22" i="32"/>
  <c r="Y18" i="32"/>
  <c r="Y25" i="32"/>
  <c r="L36" i="28"/>
  <c r="I204" i="32"/>
  <c r="G36" i="32"/>
  <c r="G37" i="32" s="1"/>
  <c r="C36" i="32"/>
  <c r="C37" i="32" s="1"/>
  <c r="C87" i="32" s="1"/>
  <c r="I30" i="38"/>
  <c r="I201" i="9"/>
  <c r="K113" i="9"/>
  <c r="X17" i="23"/>
  <c r="H27" i="9"/>
  <c r="D37" i="23"/>
  <c r="D86" i="23" s="1"/>
  <c r="D88" i="23" s="1"/>
  <c r="D339" i="23" s="1"/>
  <c r="C86" i="23"/>
  <c r="K33" i="38"/>
  <c r="O17" i="38"/>
  <c r="O17" i="33" s="1"/>
  <c r="E27" i="38"/>
  <c r="E37" i="38" s="1"/>
  <c r="K26" i="38"/>
  <c r="M17" i="38"/>
  <c r="S67" i="32"/>
  <c r="Q67" i="32"/>
  <c r="M26" i="32"/>
  <c r="M110" i="28"/>
  <c r="J196" i="33"/>
  <c r="J247" i="33" s="1"/>
  <c r="Y98" i="9"/>
  <c r="H113" i="9"/>
  <c r="Y189" i="9"/>
  <c r="Y217" i="9"/>
  <c r="Y173" i="9"/>
  <c r="M190" i="31"/>
  <c r="G196" i="31"/>
  <c r="Y245" i="31"/>
  <c r="E27" i="32"/>
  <c r="C125" i="32"/>
  <c r="K112" i="24"/>
  <c r="O101" i="24"/>
  <c r="M101" i="24"/>
  <c r="K99" i="32"/>
  <c r="K113" i="32" s="1"/>
  <c r="O93" i="32"/>
  <c r="O93" i="33" s="1"/>
  <c r="Q93" i="33" s="1"/>
  <c r="M93" i="32"/>
  <c r="Y190" i="39"/>
  <c r="P99" i="38"/>
  <c r="T96" i="38"/>
  <c r="U231" i="30"/>
  <c r="Y231" i="30" s="1"/>
  <c r="I15" i="32"/>
  <c r="Q189" i="23"/>
  <c r="S184" i="32"/>
  <c r="Q184" i="32"/>
  <c r="T182" i="24"/>
  <c r="Q182" i="24"/>
  <c r="Q107" i="24"/>
  <c r="K27" i="24"/>
  <c r="K37" i="24" s="1"/>
  <c r="T204" i="32"/>
  <c r="X199" i="32"/>
  <c r="T10" i="32"/>
  <c r="Q10" i="32"/>
  <c r="P36" i="30"/>
  <c r="T12" i="30"/>
  <c r="Q12" i="30"/>
  <c r="T11" i="23"/>
  <c r="Q11" i="23"/>
  <c r="P15" i="23"/>
  <c r="T109" i="24"/>
  <c r="Q109" i="24"/>
  <c r="Q121" i="24"/>
  <c r="M186" i="24"/>
  <c r="X181" i="39"/>
  <c r="U181" i="39"/>
  <c r="T186" i="39"/>
  <c r="Q98" i="32"/>
  <c r="T13" i="30"/>
  <c r="Q13" i="30"/>
  <c r="T104" i="24"/>
  <c r="Q104" i="24"/>
  <c r="U194" i="23"/>
  <c r="Y194" i="23" s="1"/>
  <c r="T195" i="23"/>
  <c r="X195" i="23" s="1"/>
  <c r="X194" i="23"/>
  <c r="X191" i="32"/>
  <c r="X120" i="30"/>
  <c r="T124" i="24"/>
  <c r="X124" i="24" s="1"/>
  <c r="X111" i="32"/>
  <c r="U111" i="32"/>
  <c r="Y111" i="32" s="1"/>
  <c r="U108" i="32"/>
  <c r="Y108" i="32" s="1"/>
  <c r="Q92" i="23"/>
  <c r="U95" i="23"/>
  <c r="Q95" i="23"/>
  <c r="O36" i="24"/>
  <c r="Q29" i="24"/>
  <c r="E196" i="9"/>
  <c r="Y49" i="29"/>
  <c r="G113" i="38"/>
  <c r="P17" i="39"/>
  <c r="M17" i="39"/>
  <c r="M26" i="39" s="1"/>
  <c r="G113" i="24"/>
  <c r="G113" i="32"/>
  <c r="P120" i="38"/>
  <c r="L124" i="38"/>
  <c r="I15" i="38"/>
  <c r="E204" i="30"/>
  <c r="H196" i="32"/>
  <c r="H205" i="32" s="1"/>
  <c r="H246" i="32" s="1"/>
  <c r="H248" i="32" s="1"/>
  <c r="M123" i="32"/>
  <c r="L26" i="23"/>
  <c r="L33" i="23" s="1"/>
  <c r="M18" i="23"/>
  <c r="X199" i="30"/>
  <c r="T204" i="30"/>
  <c r="P99" i="30"/>
  <c r="T9" i="30"/>
  <c r="P15" i="30"/>
  <c r="T120" i="23"/>
  <c r="X120" i="23" s="1"/>
  <c r="T102" i="23"/>
  <c r="T112" i="23" s="1"/>
  <c r="T113" i="23" s="1"/>
  <c r="T14" i="23"/>
  <c r="U14" i="23" s="1"/>
  <c r="Q14" i="23"/>
  <c r="S9" i="30"/>
  <c r="Q9" i="30"/>
  <c r="T116" i="30"/>
  <c r="Q116" i="30"/>
  <c r="T14" i="30"/>
  <c r="U14" i="30" s="1"/>
  <c r="Q14" i="30"/>
  <c r="Q13" i="32"/>
  <c r="T13" i="32"/>
  <c r="X200" i="39"/>
  <c r="U200" i="39"/>
  <c r="Y200" i="39" s="1"/>
  <c r="T116" i="23"/>
  <c r="X116" i="23" s="1"/>
  <c r="P124" i="23"/>
  <c r="Y7" i="23"/>
  <c r="Q18" i="24"/>
  <c r="W193" i="24"/>
  <c r="U29" i="39"/>
  <c r="Y29" i="39" s="1"/>
  <c r="W29" i="39"/>
  <c r="X101" i="23"/>
  <c r="U181" i="23"/>
  <c r="P205" i="23"/>
  <c r="P246" i="23" s="1"/>
  <c r="P248" i="23" s="1"/>
  <c r="X204" i="23"/>
  <c r="S29" i="24"/>
  <c r="W6" i="24"/>
  <c r="Y225" i="9"/>
  <c r="I99" i="29"/>
  <c r="Y155" i="29"/>
  <c r="K36" i="23"/>
  <c r="H113" i="32"/>
  <c r="G113" i="30"/>
  <c r="C125" i="38"/>
  <c r="Y245" i="38"/>
  <c r="E204" i="39"/>
  <c r="Q93" i="38"/>
  <c r="H32" i="38"/>
  <c r="M20" i="38"/>
  <c r="M6" i="38"/>
  <c r="U34" i="30"/>
  <c r="Q34" i="30"/>
  <c r="T103" i="24"/>
  <c r="U103" i="24" s="1"/>
  <c r="Q103" i="24"/>
  <c r="S181" i="30"/>
  <c r="W181" i="30" s="1"/>
  <c r="Q181" i="30"/>
  <c r="O186" i="30"/>
  <c r="O200" i="30" s="1"/>
  <c r="L196" i="23"/>
  <c r="L205" i="23" s="1"/>
  <c r="L246" i="23" s="1"/>
  <c r="L248" i="23" s="1"/>
  <c r="T188" i="24"/>
  <c r="X188" i="24" s="1"/>
  <c r="Q188" i="24"/>
  <c r="P195" i="24"/>
  <c r="Q30" i="24"/>
  <c r="L27" i="32"/>
  <c r="Q185" i="32"/>
  <c r="Q106" i="23"/>
  <c r="T108" i="24"/>
  <c r="Q108" i="24"/>
  <c r="P118" i="30"/>
  <c r="L124" i="30"/>
  <c r="M118" i="30"/>
  <c r="M26" i="24"/>
  <c r="W20" i="30"/>
  <c r="S30" i="32"/>
  <c r="U201" i="24"/>
  <c r="P112" i="23"/>
  <c r="W194" i="32"/>
  <c r="U194" i="32"/>
  <c r="Y194" i="32" s="1"/>
  <c r="K196" i="24"/>
  <c r="Q7" i="30"/>
  <c r="Y85" i="39"/>
  <c r="Y35" i="23"/>
  <c r="E26" i="9"/>
  <c r="E27" i="9" s="1"/>
  <c r="H113" i="31"/>
  <c r="H125" i="31" s="1"/>
  <c r="H174" i="31" s="1"/>
  <c r="H176" i="31" s="1"/>
  <c r="I36" i="39"/>
  <c r="Y173" i="38"/>
  <c r="H27" i="38"/>
  <c r="K99" i="24"/>
  <c r="O92" i="24"/>
  <c r="K115" i="24"/>
  <c r="M92" i="24"/>
  <c r="K119" i="38"/>
  <c r="G124" i="38"/>
  <c r="I119" i="38"/>
  <c r="W93" i="39"/>
  <c r="U93" i="39"/>
  <c r="Q98" i="39"/>
  <c r="X33" i="38"/>
  <c r="S101" i="30"/>
  <c r="Q101" i="30"/>
  <c r="H113" i="38"/>
  <c r="H125" i="38" s="1"/>
  <c r="H174" i="38" s="1"/>
  <c r="H176" i="38" s="1"/>
  <c r="Y63" i="30"/>
  <c r="Q13" i="23"/>
  <c r="L36" i="32"/>
  <c r="P30" i="32"/>
  <c r="M30" i="32"/>
  <c r="U31" i="24"/>
  <c r="Q31" i="24"/>
  <c r="Y57" i="24"/>
  <c r="Q201" i="23"/>
  <c r="Q110" i="32"/>
  <c r="Q35" i="30"/>
  <c r="T17" i="30"/>
  <c r="O204" i="39"/>
  <c r="Q198" i="39"/>
  <c r="S198" i="39"/>
  <c r="W198" i="39" s="1"/>
  <c r="T94" i="32"/>
  <c r="Q94" i="32"/>
  <c r="P99" i="32"/>
  <c r="P113" i="32" s="1"/>
  <c r="Q9" i="24"/>
  <c r="L27" i="24"/>
  <c r="L37" i="24" s="1"/>
  <c r="L86" i="24" s="1"/>
  <c r="L88" i="24" s="1"/>
  <c r="T203" i="24"/>
  <c r="P204" i="24"/>
  <c r="P26" i="32"/>
  <c r="P33" i="32" s="1"/>
  <c r="Q33" i="32" s="1"/>
  <c r="P113" i="39"/>
  <c r="X112" i="39"/>
  <c r="X113" i="39" s="1"/>
  <c r="Q202" i="23"/>
  <c r="Q23" i="24"/>
  <c r="L125" i="24"/>
  <c r="L174" i="24" s="1"/>
  <c r="L176" i="24" s="1"/>
  <c r="Q110" i="24"/>
  <c r="Q20" i="30"/>
  <c r="P186" i="24"/>
  <c r="U10" i="24"/>
  <c r="Y10" i="24" s="1"/>
  <c r="X10" i="24"/>
  <c r="P112" i="24"/>
  <c r="Q93" i="24"/>
  <c r="Q191" i="24"/>
  <c r="O195" i="24"/>
  <c r="S191" i="24"/>
  <c r="U7" i="30"/>
  <c r="W7" i="30"/>
  <c r="Y155" i="31"/>
  <c r="G113" i="29"/>
  <c r="E196" i="29"/>
  <c r="E205" i="29" s="1"/>
  <c r="E246" i="29" s="1"/>
  <c r="Q19" i="29"/>
  <c r="H196" i="29"/>
  <c r="H205" i="29" s="1"/>
  <c r="H246" i="29" s="1"/>
  <c r="H248" i="29" s="1"/>
  <c r="Y85" i="29"/>
  <c r="Y141" i="29"/>
  <c r="E27" i="29"/>
  <c r="M34" i="29"/>
  <c r="I26" i="29"/>
  <c r="G124" i="29"/>
  <c r="X19" i="29"/>
  <c r="U19" i="29"/>
  <c r="O63" i="29"/>
  <c r="S62" i="29"/>
  <c r="Y245" i="29"/>
  <c r="G204" i="29"/>
  <c r="Y57" i="29"/>
  <c r="Y225" i="29"/>
  <c r="Y57" i="31"/>
  <c r="I199" i="31"/>
  <c r="I204" i="31" s="1"/>
  <c r="U35" i="31"/>
  <c r="Y149" i="31"/>
  <c r="M97" i="31"/>
  <c r="Q185" i="31"/>
  <c r="Y225" i="31"/>
  <c r="Y85" i="31"/>
  <c r="K201" i="31"/>
  <c r="O201" i="31" s="1"/>
  <c r="Y49" i="31"/>
  <c r="I186" i="31"/>
  <c r="Y141" i="31"/>
  <c r="X106" i="31"/>
  <c r="O194" i="31"/>
  <c r="M194" i="31"/>
  <c r="Y51" i="31"/>
  <c r="M111" i="31"/>
  <c r="E113" i="31"/>
  <c r="X97" i="31"/>
  <c r="C205" i="31"/>
  <c r="C246" i="31" s="1"/>
  <c r="J176" i="31"/>
  <c r="T34" i="31"/>
  <c r="Q34" i="31"/>
  <c r="M96" i="31"/>
  <c r="X35" i="31"/>
  <c r="L195" i="31"/>
  <c r="P99" i="31"/>
  <c r="M108" i="31"/>
  <c r="M31" i="31"/>
  <c r="P200" i="31"/>
  <c r="M200" i="31"/>
  <c r="O21" i="31"/>
  <c r="M21" i="31"/>
  <c r="Q31" i="31"/>
  <c r="I99" i="31"/>
  <c r="O180" i="33"/>
  <c r="Q35" i="31"/>
  <c r="M23" i="31"/>
  <c r="Y217" i="31"/>
  <c r="Q6" i="31"/>
  <c r="O184" i="31"/>
  <c r="M184" i="31"/>
  <c r="K186" i="31"/>
  <c r="K199" i="31" s="1"/>
  <c r="M189" i="31"/>
  <c r="O188" i="31"/>
  <c r="O188" i="33" s="1"/>
  <c r="Q188" i="33" s="1"/>
  <c r="K195" i="31"/>
  <c r="O193" i="31"/>
  <c r="M193" i="31"/>
  <c r="L186" i="31"/>
  <c r="O110" i="31"/>
  <c r="O110" i="33" s="1"/>
  <c r="M110" i="31"/>
  <c r="T23" i="31"/>
  <c r="Q23" i="31"/>
  <c r="M185" i="31"/>
  <c r="W190" i="31"/>
  <c r="S202" i="31"/>
  <c r="U202" i="31" s="1"/>
  <c r="O7" i="33"/>
  <c r="M7" i="31"/>
  <c r="Y106" i="31"/>
  <c r="M101" i="31"/>
  <c r="S20" i="31"/>
  <c r="U20" i="31" s="1"/>
  <c r="Q20" i="31"/>
  <c r="P14" i="31"/>
  <c r="M14" i="31"/>
  <c r="M188" i="31"/>
  <c r="T104" i="31"/>
  <c r="U104" i="31" s="1"/>
  <c r="Q104" i="31"/>
  <c r="P30" i="31"/>
  <c r="Q30" i="31" s="1"/>
  <c r="T19" i="31"/>
  <c r="X19" i="31" s="1"/>
  <c r="M202" i="31"/>
  <c r="M25" i="31"/>
  <c r="O25" i="31"/>
  <c r="Q109" i="31"/>
  <c r="T107" i="31"/>
  <c r="X107" i="31" s="1"/>
  <c r="W30" i="31"/>
  <c r="O24" i="31"/>
  <c r="M24" i="31"/>
  <c r="K26" i="31"/>
  <c r="K27" i="31" s="1"/>
  <c r="C124" i="31"/>
  <c r="E124" i="31"/>
  <c r="Q19" i="31"/>
  <c r="S107" i="31"/>
  <c r="W107" i="31" s="1"/>
  <c r="Q107" i="31"/>
  <c r="G113" i="31"/>
  <c r="Q97" i="31"/>
  <c r="I112" i="31"/>
  <c r="S111" i="31"/>
  <c r="Q111" i="31"/>
  <c r="M105" i="31"/>
  <c r="X101" i="31"/>
  <c r="P22" i="31"/>
  <c r="P26" i="31" s="1"/>
  <c r="M22" i="31"/>
  <c r="T12" i="31"/>
  <c r="Q12" i="31"/>
  <c r="Q10" i="31"/>
  <c r="Y10" i="31" s="1"/>
  <c r="S103" i="31"/>
  <c r="I26" i="31"/>
  <c r="G27" i="31"/>
  <c r="M203" i="31"/>
  <c r="T201" i="31"/>
  <c r="X201" i="31" s="1"/>
  <c r="T189" i="31"/>
  <c r="T189" i="33" s="1"/>
  <c r="H196" i="31"/>
  <c r="H205" i="31" s="1"/>
  <c r="H246" i="31" s="1"/>
  <c r="H248" i="31" s="1"/>
  <c r="H27" i="31"/>
  <c r="K112" i="31"/>
  <c r="O102" i="33"/>
  <c r="S191" i="31"/>
  <c r="O203" i="31"/>
  <c r="Q203" i="31" s="1"/>
  <c r="Q191" i="31"/>
  <c r="J248" i="31"/>
  <c r="X98" i="31"/>
  <c r="M19" i="31"/>
  <c r="W31" i="31"/>
  <c r="P13" i="31"/>
  <c r="M13" i="31"/>
  <c r="L15" i="31"/>
  <c r="W185" i="31"/>
  <c r="S200" i="31"/>
  <c r="V176" i="31"/>
  <c r="I15" i="31"/>
  <c r="T17" i="31"/>
  <c r="E176" i="23"/>
  <c r="C176" i="23"/>
  <c r="I195" i="9"/>
  <c r="X192" i="9"/>
  <c r="Y49" i="9"/>
  <c r="L85" i="9"/>
  <c r="G26" i="9"/>
  <c r="G33" i="33" s="1"/>
  <c r="M193" i="9"/>
  <c r="M94" i="9"/>
  <c r="I112" i="9"/>
  <c r="I113" i="9" s="1"/>
  <c r="K85" i="9"/>
  <c r="M66" i="9"/>
  <c r="O66" i="33"/>
  <c r="P186" i="9"/>
  <c r="Q190" i="9"/>
  <c r="U105" i="9"/>
  <c r="Y105" i="9" s="1"/>
  <c r="U185" i="9"/>
  <c r="Q185" i="9"/>
  <c r="W103" i="9"/>
  <c r="Y231" i="9"/>
  <c r="F248" i="9"/>
  <c r="M184" i="9"/>
  <c r="M186" i="9" s="1"/>
  <c r="K186" i="9"/>
  <c r="W202" i="9"/>
  <c r="U202" i="9"/>
  <c r="Y202" i="9" s="1"/>
  <c r="L99" i="9"/>
  <c r="M194" i="9"/>
  <c r="M106" i="9"/>
  <c r="S195" i="9"/>
  <c r="O195" i="9"/>
  <c r="O201" i="9" s="1"/>
  <c r="Q111" i="9"/>
  <c r="U111" i="9"/>
  <c r="L26" i="9"/>
  <c r="Y97" i="9"/>
  <c r="G113" i="9"/>
  <c r="M109" i="9"/>
  <c r="W108" i="9"/>
  <c r="Q108" i="9"/>
  <c r="U108" i="9"/>
  <c r="G196" i="9"/>
  <c r="Y107" i="9"/>
  <c r="Y182" i="9"/>
  <c r="X110" i="9"/>
  <c r="Q110" i="9"/>
  <c r="U110" i="9"/>
  <c r="Y141" i="9"/>
  <c r="U104" i="9"/>
  <c r="Y104" i="9" s="1"/>
  <c r="X104" i="9"/>
  <c r="W98" i="9"/>
  <c r="W95" i="9"/>
  <c r="W115" i="9"/>
  <c r="U115" i="9"/>
  <c r="Y115" i="9" s="1"/>
  <c r="Y245" i="24"/>
  <c r="K124" i="39"/>
  <c r="K125" i="39" s="1"/>
  <c r="K175" i="39" s="1"/>
  <c r="M175" i="39" s="1"/>
  <c r="M124" i="39"/>
  <c r="W112" i="39"/>
  <c r="Y173" i="31"/>
  <c r="W97" i="31"/>
  <c r="W96" i="31"/>
  <c r="K99" i="31"/>
  <c r="M93" i="31"/>
  <c r="W92" i="31"/>
  <c r="Q92" i="31"/>
  <c r="O99" i="31"/>
  <c r="Q92" i="30"/>
  <c r="W92" i="30"/>
  <c r="E125" i="32"/>
  <c r="E174" i="32" s="1"/>
  <c r="S112" i="32"/>
  <c r="Q110" i="28"/>
  <c r="N37" i="33"/>
  <c r="V196" i="33"/>
  <c r="V247" i="33" s="1"/>
  <c r="V37" i="33"/>
  <c r="R205" i="33"/>
  <c r="R246" i="33" s="1"/>
  <c r="R248" i="33" s="1"/>
  <c r="Y225" i="28"/>
  <c r="N125" i="33"/>
  <c r="R196" i="33"/>
  <c r="R247" i="33" s="1"/>
  <c r="C204" i="28"/>
  <c r="E99" i="28"/>
  <c r="E113" i="28" s="1"/>
  <c r="Q106" i="28"/>
  <c r="G124" i="28"/>
  <c r="K195" i="28"/>
  <c r="I195" i="28"/>
  <c r="H113" i="28"/>
  <c r="G113" i="28"/>
  <c r="V174" i="28"/>
  <c r="N196" i="33"/>
  <c r="N247" i="33" s="1"/>
  <c r="N246" i="28"/>
  <c r="N205" i="33"/>
  <c r="N246" i="33" s="1"/>
  <c r="N248" i="33" s="1"/>
  <c r="W201" i="28"/>
  <c r="Y217" i="28"/>
  <c r="I112" i="28"/>
  <c r="K203" i="28"/>
  <c r="I203" i="28"/>
  <c r="I186" i="28"/>
  <c r="R125" i="33"/>
  <c r="K112" i="28"/>
  <c r="H5" i="41"/>
  <c r="D113" i="28"/>
  <c r="Y149" i="28"/>
  <c r="M62" i="28"/>
  <c r="L112" i="28"/>
  <c r="F205" i="33"/>
  <c r="F246" i="33" s="1"/>
  <c r="F248" i="33" s="1"/>
  <c r="F246" i="28"/>
  <c r="Y49" i="28"/>
  <c r="Q62" i="28"/>
  <c r="Q63" i="28" s="1"/>
  <c r="J176" i="28"/>
  <c r="K186" i="28"/>
  <c r="K199" i="28" s="1"/>
  <c r="Y21" i="32"/>
  <c r="Q26" i="32"/>
  <c r="W24" i="32"/>
  <c r="I26" i="32"/>
  <c r="M33" i="32"/>
  <c r="K36" i="32"/>
  <c r="S26" i="32"/>
  <c r="S33" i="32" s="1"/>
  <c r="U17" i="32"/>
  <c r="W17" i="28"/>
  <c r="Y17" i="28" s="1"/>
  <c r="K173" i="28"/>
  <c r="J246" i="28"/>
  <c r="J205" i="33"/>
  <c r="J246" i="33" s="1"/>
  <c r="J248" i="33" s="1"/>
  <c r="M193" i="28"/>
  <c r="M111" i="28"/>
  <c r="K155" i="28"/>
  <c r="F176" i="28"/>
  <c r="K85" i="28"/>
  <c r="L186" i="28"/>
  <c r="M108" i="28"/>
  <c r="Y141" i="28"/>
  <c r="I201" i="28"/>
  <c r="I155" i="28"/>
  <c r="P203" i="28"/>
  <c r="M109" i="28"/>
  <c r="M194" i="28"/>
  <c r="C37" i="28"/>
  <c r="E27" i="28"/>
  <c r="D37" i="28"/>
  <c r="Q180" i="9"/>
  <c r="L196" i="29"/>
  <c r="M105" i="29"/>
  <c r="P203" i="29"/>
  <c r="M107" i="29"/>
  <c r="W102" i="29"/>
  <c r="P202" i="29"/>
  <c r="L15" i="29"/>
  <c r="H36" i="29"/>
  <c r="I33" i="29"/>
  <c r="K112" i="29"/>
  <c r="L30" i="29"/>
  <c r="L26" i="29"/>
  <c r="M23" i="29"/>
  <c r="P186" i="29"/>
  <c r="P199" i="29" s="1"/>
  <c r="P95" i="29"/>
  <c r="P95" i="33" s="1"/>
  <c r="M12" i="29"/>
  <c r="O12" i="29"/>
  <c r="X22" i="29"/>
  <c r="K99" i="29"/>
  <c r="V175" i="29"/>
  <c r="V174" i="29"/>
  <c r="I15" i="29"/>
  <c r="P97" i="29"/>
  <c r="W188" i="29"/>
  <c r="M98" i="29"/>
  <c r="P98" i="29"/>
  <c r="S34" i="29"/>
  <c r="U34" i="29" s="1"/>
  <c r="Q34" i="29"/>
  <c r="Y217" i="29"/>
  <c r="M13" i="29"/>
  <c r="O13" i="29"/>
  <c r="R37" i="33"/>
  <c r="X14" i="29"/>
  <c r="K186" i="29"/>
  <c r="X24" i="29"/>
  <c r="V248" i="29"/>
  <c r="H113" i="29"/>
  <c r="X194" i="29"/>
  <c r="M103" i="29"/>
  <c r="S98" i="29"/>
  <c r="M193" i="29"/>
  <c r="Q185" i="29"/>
  <c r="S185" i="29"/>
  <c r="Q106" i="29"/>
  <c r="M106" i="29"/>
  <c r="M22" i="29"/>
  <c r="T12" i="29"/>
  <c r="F246" i="29"/>
  <c r="F37" i="33"/>
  <c r="F88" i="33" s="1"/>
  <c r="M108" i="29"/>
  <c r="M110" i="29"/>
  <c r="M25" i="29"/>
  <c r="P13" i="29"/>
  <c r="Q108" i="29"/>
  <c r="P94" i="33"/>
  <c r="L99" i="29"/>
  <c r="L124" i="29" s="1"/>
  <c r="N248" i="29"/>
  <c r="Q24" i="29"/>
  <c r="M97" i="29"/>
  <c r="O97" i="29"/>
  <c r="P9" i="29"/>
  <c r="M9" i="29"/>
  <c r="P200" i="29"/>
  <c r="L204" i="29"/>
  <c r="I112" i="29"/>
  <c r="Q194" i="29"/>
  <c r="R176" i="29"/>
  <c r="M104" i="29"/>
  <c r="K195" i="29"/>
  <c r="M192" i="29"/>
  <c r="O35" i="29"/>
  <c r="M35" i="29"/>
  <c r="O14" i="29"/>
  <c r="M14" i="29"/>
  <c r="O95" i="33"/>
  <c r="M190" i="29"/>
  <c r="M191" i="29"/>
  <c r="J248" i="29"/>
  <c r="X21" i="29"/>
  <c r="Q21" i="29"/>
  <c r="E124" i="29"/>
  <c r="I186" i="29"/>
  <c r="I30" i="29"/>
  <c r="E33" i="29"/>
  <c r="E36" i="29" s="1"/>
  <c r="Q20" i="29"/>
  <c r="M109" i="29"/>
  <c r="N176" i="29"/>
  <c r="K202" i="29"/>
  <c r="K202" i="33" s="1"/>
  <c r="I202" i="29"/>
  <c r="X107" i="29"/>
  <c r="W92" i="29"/>
  <c r="S115" i="29"/>
  <c r="M111" i="29"/>
  <c r="K15" i="29"/>
  <c r="X184" i="29"/>
  <c r="I195" i="29"/>
  <c r="O117" i="33"/>
  <c r="W110" i="29"/>
  <c r="F125" i="33"/>
  <c r="F175" i="29"/>
  <c r="F174" i="29"/>
  <c r="S184" i="29"/>
  <c r="Q184" i="29"/>
  <c r="U92" i="29"/>
  <c r="Q92" i="29"/>
  <c r="I203" i="29"/>
  <c r="K203" i="29"/>
  <c r="Y173" i="29"/>
  <c r="I124" i="29"/>
  <c r="G196" i="29"/>
  <c r="Q188" i="29"/>
  <c r="L112" i="29"/>
  <c r="P11" i="29"/>
  <c r="Y231" i="29"/>
  <c r="O11" i="29"/>
  <c r="M11" i="29"/>
  <c r="W9" i="29"/>
  <c r="T62" i="29"/>
  <c r="Q62" i="29"/>
  <c r="Q63" i="29" s="1"/>
  <c r="P63" i="29"/>
  <c r="J125" i="33"/>
  <c r="J174" i="29"/>
  <c r="J175" i="29"/>
  <c r="M102" i="29"/>
  <c r="C205" i="29"/>
  <c r="C247" i="29" s="1"/>
  <c r="E247" i="29" s="1"/>
  <c r="K195" i="32"/>
  <c r="K245" i="28"/>
  <c r="H196" i="28"/>
  <c r="E196" i="28"/>
  <c r="X33" i="29"/>
  <c r="X17" i="29"/>
  <c r="W25" i="39"/>
  <c r="Y23" i="39"/>
  <c r="Y21" i="39"/>
  <c r="Q20" i="39"/>
  <c r="Y22" i="39"/>
  <c r="Y25" i="39"/>
  <c r="W19" i="39"/>
  <c r="S26" i="39"/>
  <c r="W34" i="39"/>
  <c r="Q32" i="39"/>
  <c r="Y32" i="39" s="1"/>
  <c r="Y34" i="39"/>
  <c r="U35" i="39"/>
  <c r="Q35" i="39"/>
  <c r="Y31" i="23"/>
  <c r="Y30" i="23"/>
  <c r="Q34" i="23"/>
  <c r="U34" i="23"/>
  <c r="Q32" i="23"/>
  <c r="U32" i="23"/>
  <c r="X30" i="23"/>
  <c r="X30" i="9"/>
  <c r="U30" i="9"/>
  <c r="Y30" i="9" s="1"/>
  <c r="W30" i="9"/>
  <c r="Q31" i="9"/>
  <c r="W35" i="9"/>
  <c r="Q34" i="9"/>
  <c r="P26" i="9"/>
  <c r="X18" i="9"/>
  <c r="X24" i="9"/>
  <c r="Q23" i="9"/>
  <c r="X19" i="9"/>
  <c r="Q25" i="9"/>
  <c r="Q24" i="9"/>
  <c r="X11" i="9"/>
  <c r="W6" i="9"/>
  <c r="Q14" i="9"/>
  <c r="Y11" i="9"/>
  <c r="Q12" i="9"/>
  <c r="U13" i="9"/>
  <c r="Y9" i="9"/>
  <c r="O15" i="9"/>
  <c r="I124" i="23"/>
  <c r="K124" i="23"/>
  <c r="Q116" i="23"/>
  <c r="W116" i="23"/>
  <c r="M118" i="23"/>
  <c r="Q120" i="23"/>
  <c r="M119" i="23"/>
  <c r="Q117" i="23"/>
  <c r="Q121" i="23"/>
  <c r="G174" i="23"/>
  <c r="G175" i="23"/>
  <c r="I175" i="23" s="1"/>
  <c r="Y115" i="23"/>
  <c r="U108" i="23"/>
  <c r="W108" i="23"/>
  <c r="Q107" i="23"/>
  <c r="W105" i="23"/>
  <c r="Q105" i="23"/>
  <c r="Y104" i="23"/>
  <c r="W111" i="23"/>
  <c r="Q111" i="23"/>
  <c r="W110" i="23"/>
  <c r="U110" i="23"/>
  <c r="W103" i="23"/>
  <c r="Q103" i="23"/>
  <c r="U106" i="23"/>
  <c r="W109" i="23"/>
  <c r="Q109" i="23"/>
  <c r="W101" i="23"/>
  <c r="K113" i="23"/>
  <c r="Q22" i="23"/>
  <c r="Y19" i="23"/>
  <c r="U23" i="23"/>
  <c r="W23" i="23"/>
  <c r="U24" i="23"/>
  <c r="Q21" i="23"/>
  <c r="U25" i="23"/>
  <c r="Q20" i="23"/>
  <c r="I36" i="23"/>
  <c r="Y63" i="31"/>
  <c r="D205" i="9"/>
  <c r="L195" i="9"/>
  <c r="L201" i="9" s="1"/>
  <c r="L201" i="33" s="1"/>
  <c r="M188" i="9"/>
  <c r="D125" i="9"/>
  <c r="Q103" i="9"/>
  <c r="M63" i="23"/>
  <c r="I63" i="23"/>
  <c r="U31" i="39"/>
  <c r="I26" i="39"/>
  <c r="D86" i="39"/>
  <c r="D88" i="39" s="1"/>
  <c r="D339" i="39" s="1"/>
  <c r="E36" i="39"/>
  <c r="W33" i="29"/>
  <c r="E113" i="29"/>
  <c r="C86" i="38"/>
  <c r="E86" i="38" s="1"/>
  <c r="Q62" i="38"/>
  <c r="S62" i="38"/>
  <c r="S62" i="33" s="1"/>
  <c r="O63" i="38"/>
  <c r="O57" i="32"/>
  <c r="Q51" i="32"/>
  <c r="O63" i="28"/>
  <c r="G196" i="28"/>
  <c r="Y57" i="28"/>
  <c r="C125" i="28"/>
  <c r="Y85" i="30"/>
  <c r="O69" i="23"/>
  <c r="O69" i="33" s="1"/>
  <c r="Q69" i="33" s="1"/>
  <c r="K85" i="23"/>
  <c r="M69" i="23"/>
  <c r="I85" i="23"/>
  <c r="M18" i="33" l="1"/>
  <c r="M196" i="30"/>
  <c r="C86" i="31"/>
  <c r="G32" i="33"/>
  <c r="G205" i="30"/>
  <c r="G247" i="30" s="1"/>
  <c r="M199" i="29"/>
  <c r="E205" i="31"/>
  <c r="E246" i="31" s="1"/>
  <c r="K32" i="30"/>
  <c r="M32" i="30" s="1"/>
  <c r="M36" i="30" s="1"/>
  <c r="D339" i="29"/>
  <c r="M32" i="29"/>
  <c r="K198" i="33"/>
  <c r="M198" i="33" s="1"/>
  <c r="K198" i="31"/>
  <c r="E86" i="31"/>
  <c r="H339" i="30"/>
  <c r="H339" i="24"/>
  <c r="L339" i="24"/>
  <c r="Q67" i="24"/>
  <c r="Q85" i="24" s="1"/>
  <c r="O51" i="33"/>
  <c r="Q51" i="33" s="1"/>
  <c r="S51" i="33"/>
  <c r="U51" i="33" s="1"/>
  <c r="L339" i="39"/>
  <c r="G37" i="31"/>
  <c r="G87" i="31" s="1"/>
  <c r="X99" i="31"/>
  <c r="K124" i="31"/>
  <c r="O116" i="33"/>
  <c r="O124" i="31"/>
  <c r="U31" i="31"/>
  <c r="Y31" i="31" s="1"/>
  <c r="K201" i="32"/>
  <c r="K204" i="32" s="1"/>
  <c r="K116" i="33"/>
  <c r="M116" i="33" s="1"/>
  <c r="Q190" i="33"/>
  <c r="J339" i="9"/>
  <c r="F339" i="9"/>
  <c r="M13" i="33"/>
  <c r="Q20" i="33"/>
  <c r="M96" i="33"/>
  <c r="Q108" i="33"/>
  <c r="Q95" i="33"/>
  <c r="M92" i="33"/>
  <c r="Y35" i="28"/>
  <c r="H199" i="33"/>
  <c r="I199" i="33" s="1"/>
  <c r="M10" i="33"/>
  <c r="Q62" i="33"/>
  <c r="M9" i="33"/>
  <c r="S195" i="23"/>
  <c r="I186" i="33"/>
  <c r="I196" i="23"/>
  <c r="M101" i="33"/>
  <c r="M112" i="33" s="1"/>
  <c r="H37" i="9"/>
  <c r="H86" i="9" s="1"/>
  <c r="H88" i="9" s="1"/>
  <c r="K200" i="9"/>
  <c r="K199" i="9"/>
  <c r="M199" i="9" s="1"/>
  <c r="C88" i="24"/>
  <c r="K87" i="24"/>
  <c r="M194" i="33"/>
  <c r="M195" i="33" s="1"/>
  <c r="O101" i="33"/>
  <c r="Q101" i="33" s="1"/>
  <c r="T108" i="33"/>
  <c r="U32" i="24"/>
  <c r="G87" i="24"/>
  <c r="I87" i="24" s="1"/>
  <c r="O92" i="33"/>
  <c r="Q92" i="33" s="1"/>
  <c r="O67" i="33"/>
  <c r="Q67" i="33" s="1"/>
  <c r="S190" i="33"/>
  <c r="O94" i="33"/>
  <c r="Q94" i="33" s="1"/>
  <c r="M97" i="33"/>
  <c r="O105" i="33"/>
  <c r="Q105" i="33" s="1"/>
  <c r="Q10" i="33"/>
  <c r="P23" i="33"/>
  <c r="Q23" i="33" s="1"/>
  <c r="M184" i="33"/>
  <c r="T20" i="33"/>
  <c r="M185" i="33"/>
  <c r="C246" i="30"/>
  <c r="C10" i="41" s="1"/>
  <c r="O109" i="33"/>
  <c r="Q109" i="33" s="1"/>
  <c r="P205" i="30"/>
  <c r="P246" i="30" s="1"/>
  <c r="P248" i="30" s="1"/>
  <c r="Y228" i="33"/>
  <c r="S30" i="30"/>
  <c r="O30" i="30"/>
  <c r="Q30" i="30" s="1"/>
  <c r="K115" i="33"/>
  <c r="M115" i="33" s="1"/>
  <c r="U228" i="39"/>
  <c r="S228" i="33"/>
  <c r="U228" i="33" s="1"/>
  <c r="Q193" i="33"/>
  <c r="P96" i="33"/>
  <c r="M202" i="33"/>
  <c r="O8" i="33"/>
  <c r="T62" i="33"/>
  <c r="U62" i="33" s="1"/>
  <c r="L186" i="33"/>
  <c r="P121" i="33"/>
  <c r="Q121" i="33" s="1"/>
  <c r="K203" i="33"/>
  <c r="M203" i="33" s="1"/>
  <c r="M62" i="33"/>
  <c r="M63" i="33" s="1"/>
  <c r="G200" i="33"/>
  <c r="I200" i="33" s="1"/>
  <c r="O182" i="33"/>
  <c r="K32" i="33"/>
  <c r="O13" i="33"/>
  <c r="P9" i="33"/>
  <c r="O6" i="33"/>
  <c r="O12" i="33"/>
  <c r="M11" i="33"/>
  <c r="Q106" i="33"/>
  <c r="K195" i="33"/>
  <c r="Y121" i="38"/>
  <c r="Q105" i="38"/>
  <c r="Q11" i="38"/>
  <c r="Q102" i="38"/>
  <c r="M7" i="33"/>
  <c r="M30" i="38"/>
  <c r="T101" i="38"/>
  <c r="T101" i="33" s="1"/>
  <c r="T105" i="38"/>
  <c r="T105" i="33" s="1"/>
  <c r="M200" i="32"/>
  <c r="O186" i="32"/>
  <c r="O200" i="32" s="1"/>
  <c r="M27" i="32"/>
  <c r="M182" i="33"/>
  <c r="Q123" i="33"/>
  <c r="Y31" i="32"/>
  <c r="M121" i="33"/>
  <c r="M180" i="33"/>
  <c r="O25" i="33"/>
  <c r="Q25" i="33" s="1"/>
  <c r="P182" i="33"/>
  <c r="O189" i="33"/>
  <c r="Q189" i="33" s="1"/>
  <c r="I32" i="31"/>
  <c r="I36" i="31" s="1"/>
  <c r="H32" i="33"/>
  <c r="O191" i="33"/>
  <c r="Q191" i="33" s="1"/>
  <c r="O24" i="33"/>
  <c r="Q24" i="33" s="1"/>
  <c r="K29" i="33"/>
  <c r="M29" i="33" s="1"/>
  <c r="P180" i="33"/>
  <c r="Q180" i="33" s="1"/>
  <c r="O103" i="33"/>
  <c r="Q103" i="33" s="1"/>
  <c r="O194" i="33"/>
  <c r="Q194" i="33" s="1"/>
  <c r="T184" i="31"/>
  <c r="P184" i="33"/>
  <c r="P33" i="31"/>
  <c r="H37" i="31"/>
  <c r="H86" i="31" s="1"/>
  <c r="H88" i="31" s="1"/>
  <c r="H339" i="31" s="1"/>
  <c r="P186" i="31"/>
  <c r="P196" i="31" s="1"/>
  <c r="W10" i="31"/>
  <c r="S10" i="33"/>
  <c r="M12" i="33"/>
  <c r="Q192" i="31"/>
  <c r="O181" i="33"/>
  <c r="O21" i="33"/>
  <c r="Q21" i="33" s="1"/>
  <c r="I118" i="33"/>
  <c r="T185" i="31"/>
  <c r="P185" i="33"/>
  <c r="Q185" i="33" s="1"/>
  <c r="M181" i="33"/>
  <c r="S189" i="33"/>
  <c r="U189" i="33" s="1"/>
  <c r="Q102" i="33"/>
  <c r="Q110" i="33"/>
  <c r="P181" i="33"/>
  <c r="P203" i="33"/>
  <c r="S18" i="33"/>
  <c r="E33" i="9"/>
  <c r="C33" i="33"/>
  <c r="E33" i="33" s="1"/>
  <c r="M33" i="23"/>
  <c r="M36" i="23" s="1"/>
  <c r="L33" i="33"/>
  <c r="I33" i="33"/>
  <c r="P11" i="33"/>
  <c r="G246" i="38"/>
  <c r="G248" i="38" s="1"/>
  <c r="O199" i="38"/>
  <c r="M199" i="38"/>
  <c r="S22" i="38"/>
  <c r="S22" i="33" s="1"/>
  <c r="X120" i="38"/>
  <c r="K204" i="38"/>
  <c r="M195" i="38"/>
  <c r="X11" i="38"/>
  <c r="X9" i="38"/>
  <c r="Q101" i="38"/>
  <c r="E205" i="38"/>
  <c r="E246" i="38" s="1"/>
  <c r="E248" i="38" s="1"/>
  <c r="Q107" i="33"/>
  <c r="K205" i="38"/>
  <c r="S97" i="38"/>
  <c r="W97" i="38" s="1"/>
  <c r="O97" i="33"/>
  <c r="Q97" i="38"/>
  <c r="U8" i="38"/>
  <c r="T8" i="33"/>
  <c r="Q111" i="33"/>
  <c r="Q10" i="38"/>
  <c r="L31" i="33"/>
  <c r="P117" i="33"/>
  <c r="Q117" i="33" s="1"/>
  <c r="T117" i="38"/>
  <c r="T14" i="38"/>
  <c r="P31" i="38"/>
  <c r="P14" i="33"/>
  <c r="T12" i="38"/>
  <c r="P12" i="33"/>
  <c r="K35" i="33"/>
  <c r="M35" i="33" s="1"/>
  <c r="P15" i="38"/>
  <c r="P32" i="38" s="1"/>
  <c r="X108" i="38"/>
  <c r="K34" i="33"/>
  <c r="M34" i="33" s="1"/>
  <c r="S184" i="38"/>
  <c r="S186" i="38" s="1"/>
  <c r="W186" i="38" s="1"/>
  <c r="O184" i="33"/>
  <c r="O186" i="38"/>
  <c r="Q184" i="38"/>
  <c r="M98" i="33"/>
  <c r="Q116" i="38"/>
  <c r="P116" i="33"/>
  <c r="M196" i="38"/>
  <c r="O118" i="38"/>
  <c r="K118" i="33"/>
  <c r="M14" i="33"/>
  <c r="S98" i="38"/>
  <c r="O98" i="33"/>
  <c r="Q8" i="38"/>
  <c r="P8" i="33"/>
  <c r="K120" i="33"/>
  <c r="M120" i="33" s="1"/>
  <c r="P17" i="33"/>
  <c r="Q17" i="33" s="1"/>
  <c r="P34" i="38"/>
  <c r="Q22" i="33"/>
  <c r="S14" i="38"/>
  <c r="W14" i="38" s="1"/>
  <c r="O14" i="33"/>
  <c r="O30" i="38"/>
  <c r="L30" i="33"/>
  <c r="M30" i="33" s="1"/>
  <c r="W116" i="38"/>
  <c r="Q104" i="33"/>
  <c r="O34" i="38"/>
  <c r="T13" i="38"/>
  <c r="P30" i="38"/>
  <c r="P13" i="33"/>
  <c r="U10" i="38"/>
  <c r="T10" i="33"/>
  <c r="O11" i="33"/>
  <c r="S11" i="38"/>
  <c r="T97" i="38"/>
  <c r="P97" i="33"/>
  <c r="M31" i="38"/>
  <c r="Q110" i="38"/>
  <c r="Y200" i="38"/>
  <c r="Q7" i="38"/>
  <c r="P7" i="33"/>
  <c r="Q7" i="33" s="1"/>
  <c r="T7" i="38"/>
  <c r="O96" i="33"/>
  <c r="O99" i="38"/>
  <c r="S96" i="38"/>
  <c r="W96" i="38" s="1"/>
  <c r="G125" i="38"/>
  <c r="P35" i="38"/>
  <c r="P35" i="33" s="1"/>
  <c r="P18" i="33"/>
  <c r="Q18" i="33" s="1"/>
  <c r="Q19" i="38"/>
  <c r="O19" i="33"/>
  <c r="Q19" i="33" s="1"/>
  <c r="O35" i="38"/>
  <c r="O32" i="38"/>
  <c r="W189" i="38"/>
  <c r="I196" i="38"/>
  <c r="I205" i="38" s="1"/>
  <c r="I246" i="38" s="1"/>
  <c r="I248" i="38" s="1"/>
  <c r="O9" i="33"/>
  <c r="S9" i="38"/>
  <c r="T98" i="38"/>
  <c r="P98" i="33"/>
  <c r="U189" i="38"/>
  <c r="Y189" i="38" s="1"/>
  <c r="P118" i="38"/>
  <c r="P124" i="38" s="1"/>
  <c r="L118" i="33"/>
  <c r="T202" i="38"/>
  <c r="P202" i="33"/>
  <c r="P66" i="33"/>
  <c r="P85" i="33" s="1"/>
  <c r="M66" i="33"/>
  <c r="M85" i="33" s="1"/>
  <c r="L27" i="31"/>
  <c r="L32" i="31"/>
  <c r="P6" i="33"/>
  <c r="C37" i="9"/>
  <c r="C87" i="9" s="1"/>
  <c r="E87" i="9" s="1"/>
  <c r="L119" i="33"/>
  <c r="H119" i="33"/>
  <c r="I119" i="33" s="1"/>
  <c r="L37" i="30"/>
  <c r="L86" i="30" s="1"/>
  <c r="L88" i="30" s="1"/>
  <c r="L199" i="28"/>
  <c r="M199" i="28" s="1"/>
  <c r="K201" i="33"/>
  <c r="M201" i="33" s="1"/>
  <c r="G113" i="33"/>
  <c r="H27" i="33"/>
  <c r="K200" i="29"/>
  <c r="M200" i="29" s="1"/>
  <c r="K199" i="33"/>
  <c r="H196" i="33"/>
  <c r="H113" i="33"/>
  <c r="I112" i="33"/>
  <c r="M63" i="28"/>
  <c r="M201" i="32"/>
  <c r="M204" i="32" s="1"/>
  <c r="K85" i="33"/>
  <c r="I99" i="33"/>
  <c r="M201" i="9"/>
  <c r="P200" i="9"/>
  <c r="P200" i="33" s="1"/>
  <c r="P199" i="9"/>
  <c r="I199" i="9"/>
  <c r="E125" i="30"/>
  <c r="E174" i="30" s="1"/>
  <c r="E176" i="30" s="1"/>
  <c r="G125" i="32"/>
  <c r="G175" i="32" s="1"/>
  <c r="G87" i="23"/>
  <c r="I87" i="23" s="1"/>
  <c r="L26" i="33"/>
  <c r="G87" i="30"/>
  <c r="I87" i="30" s="1"/>
  <c r="K36" i="30"/>
  <c r="C86" i="29"/>
  <c r="E86" i="29" s="1"/>
  <c r="C87" i="29"/>
  <c r="E87" i="29" s="1"/>
  <c r="C87" i="38"/>
  <c r="E87" i="38" s="1"/>
  <c r="G87" i="32"/>
  <c r="I87" i="32" s="1"/>
  <c r="C87" i="28"/>
  <c r="E87" i="28" s="1"/>
  <c r="C86" i="28"/>
  <c r="I36" i="28"/>
  <c r="I37" i="28" s="1"/>
  <c r="G87" i="28"/>
  <c r="G86" i="28"/>
  <c r="E37" i="32"/>
  <c r="O36" i="28"/>
  <c r="U191" i="38"/>
  <c r="I86" i="24"/>
  <c r="T188" i="31"/>
  <c r="T188" i="33" s="1"/>
  <c r="L99" i="33"/>
  <c r="K186" i="33"/>
  <c r="P15" i="32"/>
  <c r="P27" i="32" s="1"/>
  <c r="K204" i="23"/>
  <c r="S109" i="38"/>
  <c r="X101" i="38"/>
  <c r="T96" i="32"/>
  <c r="T99" i="32" s="1"/>
  <c r="X99" i="32" s="1"/>
  <c r="S103" i="38"/>
  <c r="Q103" i="38"/>
  <c r="Q9" i="32"/>
  <c r="S9" i="32"/>
  <c r="K63" i="33"/>
  <c r="G196" i="33"/>
  <c r="S180" i="32"/>
  <c r="O198" i="32"/>
  <c r="T198" i="9"/>
  <c r="T198" i="33" s="1"/>
  <c r="X198" i="9"/>
  <c r="X198" i="33" s="1"/>
  <c r="L112" i="33"/>
  <c r="Y149" i="33"/>
  <c r="T11" i="32"/>
  <c r="T107" i="38"/>
  <c r="T107" i="33" s="1"/>
  <c r="M6" i="33"/>
  <c r="K15" i="33"/>
  <c r="H125" i="32"/>
  <c r="H174" i="32" s="1"/>
  <c r="H176" i="32" s="1"/>
  <c r="H339" i="32" s="1"/>
  <c r="U119" i="24"/>
  <c r="K27" i="38"/>
  <c r="C174" i="29"/>
  <c r="C175" i="29"/>
  <c r="E175" i="29" s="1"/>
  <c r="Y154" i="32"/>
  <c r="O195" i="38"/>
  <c r="O196" i="38" s="1"/>
  <c r="P186" i="32"/>
  <c r="P196" i="32" s="1"/>
  <c r="P205" i="32" s="1"/>
  <c r="P246" i="32" s="1"/>
  <c r="P248" i="32" s="1"/>
  <c r="T181" i="32"/>
  <c r="T17" i="38"/>
  <c r="T8" i="32"/>
  <c r="T102" i="38"/>
  <c r="T102" i="33" s="1"/>
  <c r="T14" i="32"/>
  <c r="S194" i="38"/>
  <c r="Q194" i="38"/>
  <c r="S111" i="38"/>
  <c r="Q111" i="38"/>
  <c r="U192" i="38"/>
  <c r="Y192" i="38" s="1"/>
  <c r="Q60" i="23"/>
  <c r="S60" i="23"/>
  <c r="S60" i="33" s="1"/>
  <c r="U60" i="33" s="1"/>
  <c r="O63" i="23"/>
  <c r="S105" i="38"/>
  <c r="Y225" i="33"/>
  <c r="I195" i="33"/>
  <c r="W184" i="32"/>
  <c r="M186" i="32"/>
  <c r="I37" i="24"/>
  <c r="X98" i="32"/>
  <c r="S101" i="38"/>
  <c r="S185" i="32"/>
  <c r="S185" i="33" s="1"/>
  <c r="T12" i="32"/>
  <c r="O57" i="33"/>
  <c r="Q57" i="33"/>
  <c r="S106" i="38"/>
  <c r="S106" i="33" s="1"/>
  <c r="W102" i="38"/>
  <c r="T191" i="31"/>
  <c r="T191" i="33" s="1"/>
  <c r="U95" i="32"/>
  <c r="Y95" i="32" s="1"/>
  <c r="T9" i="32"/>
  <c r="X9" i="32" s="1"/>
  <c r="T184" i="32"/>
  <c r="T110" i="38"/>
  <c r="W10" i="32"/>
  <c r="K99" i="33"/>
  <c r="K112" i="33"/>
  <c r="S97" i="32"/>
  <c r="W198" i="9"/>
  <c r="Q22" i="38"/>
  <c r="E248" i="23"/>
  <c r="Q11" i="32"/>
  <c r="G205" i="23"/>
  <c r="G246" i="23" s="1"/>
  <c r="T111" i="38"/>
  <c r="T111" i="33" s="1"/>
  <c r="T104" i="38"/>
  <c r="T104" i="33" s="1"/>
  <c r="Y141" i="33"/>
  <c r="Q198" i="9"/>
  <c r="T7" i="32"/>
  <c r="X7" i="32" s="1"/>
  <c r="Y217" i="33"/>
  <c r="T185" i="32"/>
  <c r="W192" i="38"/>
  <c r="W51" i="32"/>
  <c r="W51" i="33" s="1"/>
  <c r="Y51" i="33" s="1"/>
  <c r="S94" i="32"/>
  <c r="S94" i="33" s="1"/>
  <c r="W94" i="32"/>
  <c r="Q173" i="33"/>
  <c r="O173" i="33"/>
  <c r="Q190" i="31"/>
  <c r="X10" i="38"/>
  <c r="W7" i="32"/>
  <c r="S12" i="32"/>
  <c r="Q12" i="32"/>
  <c r="X11" i="32"/>
  <c r="Y49" i="33"/>
  <c r="T103" i="38"/>
  <c r="T103" i="33" s="1"/>
  <c r="S13" i="32"/>
  <c r="S182" i="32"/>
  <c r="Q182" i="32"/>
  <c r="W182" i="32"/>
  <c r="S107" i="38"/>
  <c r="Q107" i="38"/>
  <c r="T182" i="32"/>
  <c r="K57" i="33"/>
  <c r="M57" i="33"/>
  <c r="M202" i="28"/>
  <c r="S61" i="23"/>
  <c r="S61" i="33" s="1"/>
  <c r="U61" i="33" s="1"/>
  <c r="Q61" i="23"/>
  <c r="Q34" i="28"/>
  <c r="C175" i="39"/>
  <c r="E175" i="39" s="1"/>
  <c r="E176" i="39" s="1"/>
  <c r="P195" i="31"/>
  <c r="T190" i="31"/>
  <c r="T190" i="33" s="1"/>
  <c r="U20" i="30"/>
  <c r="Y20" i="30" s="1"/>
  <c r="I204" i="30"/>
  <c r="I205" i="30" s="1"/>
  <c r="I246" i="30" s="1"/>
  <c r="S15" i="24"/>
  <c r="C175" i="9"/>
  <c r="E175" i="9" s="1"/>
  <c r="S102" i="30"/>
  <c r="Q102" i="30"/>
  <c r="T192" i="31"/>
  <c r="T192" i="33" s="1"/>
  <c r="U192" i="33" s="1"/>
  <c r="L195" i="33"/>
  <c r="T194" i="31"/>
  <c r="T194" i="33" s="1"/>
  <c r="T193" i="31"/>
  <c r="T193" i="33" s="1"/>
  <c r="S14" i="32"/>
  <c r="Q14" i="32"/>
  <c r="U188" i="38"/>
  <c r="Y188" i="38" s="1"/>
  <c r="W188" i="38"/>
  <c r="U180" i="32"/>
  <c r="Y180" i="32" s="1"/>
  <c r="L15" i="33"/>
  <c r="U155" i="33"/>
  <c r="T106" i="38"/>
  <c r="T106" i="33" s="1"/>
  <c r="I15" i="33"/>
  <c r="I196" i="9"/>
  <c r="C125" i="33"/>
  <c r="I125" i="32"/>
  <c r="I174" i="32" s="1"/>
  <c r="E200" i="9"/>
  <c r="E204" i="9" s="1"/>
  <c r="E205" i="9" s="1"/>
  <c r="E246" i="9" s="1"/>
  <c r="C246" i="38"/>
  <c r="C248" i="38" s="1"/>
  <c r="S199" i="32"/>
  <c r="U199" i="32" s="1"/>
  <c r="Q199" i="32"/>
  <c r="H124" i="9"/>
  <c r="H125" i="9" s="1"/>
  <c r="H174" i="9" s="1"/>
  <c r="H176" i="9" s="1"/>
  <c r="K37" i="39"/>
  <c r="G37" i="39"/>
  <c r="I26" i="33"/>
  <c r="G26" i="33"/>
  <c r="G27" i="33" s="1"/>
  <c r="C14" i="41"/>
  <c r="E86" i="23"/>
  <c r="P36" i="9"/>
  <c r="D36" i="9"/>
  <c r="D37" i="9" s="1"/>
  <c r="D86" i="9" s="1"/>
  <c r="D88" i="9" s="1"/>
  <c r="E32" i="9"/>
  <c r="Q30" i="28"/>
  <c r="M32" i="28"/>
  <c r="F174" i="33"/>
  <c r="F175" i="33"/>
  <c r="R174" i="33"/>
  <c r="R175" i="33"/>
  <c r="J175" i="33"/>
  <c r="J174" i="33"/>
  <c r="N175" i="33"/>
  <c r="N174" i="33"/>
  <c r="I113" i="23"/>
  <c r="I125" i="23" s="1"/>
  <c r="I174" i="23" s="1"/>
  <c r="I176" i="23" s="1"/>
  <c r="W9" i="23"/>
  <c r="M26" i="23"/>
  <c r="M27" i="23" s="1"/>
  <c r="C248" i="23"/>
  <c r="G86" i="23"/>
  <c r="X14" i="23"/>
  <c r="M204" i="23"/>
  <c r="Y94" i="23"/>
  <c r="M99" i="23"/>
  <c r="M113" i="23" s="1"/>
  <c r="S180" i="23"/>
  <c r="W180" i="23" s="1"/>
  <c r="O198" i="23"/>
  <c r="Q198" i="23" s="1"/>
  <c r="Q180" i="23"/>
  <c r="Q186" i="23" s="1"/>
  <c r="Y192" i="23"/>
  <c r="S6" i="23"/>
  <c r="S29" i="23" s="1"/>
  <c r="U29" i="23" s="1"/>
  <c r="O29" i="23"/>
  <c r="I205" i="23"/>
  <c r="I246" i="23" s="1"/>
  <c r="W195" i="23"/>
  <c r="Y95" i="23"/>
  <c r="O196" i="23"/>
  <c r="W188" i="23"/>
  <c r="U202" i="23"/>
  <c r="Y202" i="23" s="1"/>
  <c r="I37" i="23"/>
  <c r="Y9" i="23"/>
  <c r="E125" i="9"/>
  <c r="E174" i="9" s="1"/>
  <c r="Y189" i="24"/>
  <c r="C174" i="24"/>
  <c r="C12" i="41" s="1"/>
  <c r="Y119" i="24"/>
  <c r="O27" i="24"/>
  <c r="O37" i="24" s="1"/>
  <c r="P27" i="24"/>
  <c r="P37" i="24" s="1"/>
  <c r="P86" i="24" s="1"/>
  <c r="P88" i="24" s="1"/>
  <c r="T36" i="24"/>
  <c r="X36" i="24" s="1"/>
  <c r="Y7" i="24"/>
  <c r="O196" i="24"/>
  <c r="S27" i="24"/>
  <c r="G125" i="24"/>
  <c r="G175" i="24" s="1"/>
  <c r="I175" i="24" s="1"/>
  <c r="U35" i="24"/>
  <c r="Y35" i="24" s="1"/>
  <c r="U14" i="24"/>
  <c r="Y14" i="24" s="1"/>
  <c r="W14" i="24"/>
  <c r="I113" i="24"/>
  <c r="I125" i="24" s="1"/>
  <c r="I174" i="24" s="1"/>
  <c r="E125" i="24"/>
  <c r="E174" i="24" s="1"/>
  <c r="E176" i="24" s="1"/>
  <c r="Y32" i="24"/>
  <c r="W26" i="24"/>
  <c r="U6" i="24"/>
  <c r="Y6" i="24" s="1"/>
  <c r="X7" i="24"/>
  <c r="Y31" i="24"/>
  <c r="U202" i="24"/>
  <c r="Y202" i="24" s="1"/>
  <c r="W202" i="24"/>
  <c r="T15" i="24"/>
  <c r="S198" i="24"/>
  <c r="U198" i="24" s="1"/>
  <c r="Y198" i="24" s="1"/>
  <c r="W180" i="24"/>
  <c r="U180" i="24"/>
  <c r="Y180" i="24" s="1"/>
  <c r="S186" i="24"/>
  <c r="W186" i="24" s="1"/>
  <c r="U190" i="24"/>
  <c r="Y190" i="24" s="1"/>
  <c r="X190" i="24"/>
  <c r="Y118" i="24"/>
  <c r="Y102" i="24"/>
  <c r="X24" i="24"/>
  <c r="U24" i="24"/>
  <c r="Y24" i="24" s="1"/>
  <c r="U106" i="24"/>
  <c r="Y106" i="24" s="1"/>
  <c r="U22" i="24"/>
  <c r="Y22" i="24" s="1"/>
  <c r="T26" i="24"/>
  <c r="X26" i="24" s="1"/>
  <c r="W102" i="24"/>
  <c r="Y194" i="24"/>
  <c r="U11" i="24"/>
  <c r="Y11" i="24" s="1"/>
  <c r="W11" i="24"/>
  <c r="W185" i="24"/>
  <c r="U185" i="24"/>
  <c r="Y185" i="24" s="1"/>
  <c r="S110" i="24"/>
  <c r="U110" i="24" s="1"/>
  <c r="Y110" i="24" s="1"/>
  <c r="W18" i="24"/>
  <c r="X22" i="24"/>
  <c r="U97" i="24"/>
  <c r="Y97" i="24" s="1"/>
  <c r="T99" i="24"/>
  <c r="X99" i="24" s="1"/>
  <c r="X92" i="24"/>
  <c r="W32" i="24"/>
  <c r="I196" i="39"/>
  <c r="I205" i="39" s="1"/>
  <c r="I246" i="39" s="1"/>
  <c r="O36" i="39"/>
  <c r="W32" i="39"/>
  <c r="M15" i="39"/>
  <c r="M27" i="39" s="1"/>
  <c r="S36" i="39"/>
  <c r="I125" i="39"/>
  <c r="I174" i="39" s="1"/>
  <c r="C248" i="39"/>
  <c r="T199" i="39"/>
  <c r="X199" i="39" s="1"/>
  <c r="Q199" i="39"/>
  <c r="Q204" i="39" s="1"/>
  <c r="P204" i="39"/>
  <c r="P205" i="39" s="1"/>
  <c r="P246" i="39" s="1"/>
  <c r="P248" i="39" s="1"/>
  <c r="W96" i="39"/>
  <c r="P125" i="39"/>
  <c r="P174" i="39" s="1"/>
  <c r="P176" i="39" s="1"/>
  <c r="Y96" i="39"/>
  <c r="T113" i="39"/>
  <c r="U189" i="39"/>
  <c r="Y189" i="39" s="1"/>
  <c r="W189" i="39"/>
  <c r="T124" i="39"/>
  <c r="X124" i="39" s="1"/>
  <c r="X125" i="39" s="1"/>
  <c r="X174" i="39" s="1"/>
  <c r="X176" i="39" s="1"/>
  <c r="U185" i="39"/>
  <c r="Y185" i="39" s="1"/>
  <c r="W185" i="39"/>
  <c r="W202" i="39"/>
  <c r="U202" i="39"/>
  <c r="Y202" i="39" s="1"/>
  <c r="U203" i="39"/>
  <c r="Y203" i="39" s="1"/>
  <c r="W203" i="39"/>
  <c r="U180" i="39"/>
  <c r="Y180" i="39" s="1"/>
  <c r="U95" i="39"/>
  <c r="Y95" i="39" s="1"/>
  <c r="U120" i="30"/>
  <c r="Y120" i="30" s="1"/>
  <c r="O99" i="30"/>
  <c r="M26" i="30"/>
  <c r="Q188" i="30"/>
  <c r="Q195" i="30" s="1"/>
  <c r="S188" i="30"/>
  <c r="I113" i="30"/>
  <c r="O198" i="30"/>
  <c r="O195" i="30"/>
  <c r="O196" i="30" s="1"/>
  <c r="E247" i="30"/>
  <c r="C248" i="30"/>
  <c r="M112" i="30"/>
  <c r="Q94" i="30"/>
  <c r="Q17" i="30"/>
  <c r="M202" i="30"/>
  <c r="M204" i="30" s="1"/>
  <c r="M205" i="30" s="1"/>
  <c r="M246" i="30" s="1"/>
  <c r="O202" i="30"/>
  <c r="O204" i="30" s="1"/>
  <c r="C176" i="30"/>
  <c r="M99" i="30"/>
  <c r="S17" i="30"/>
  <c r="W17" i="30" s="1"/>
  <c r="K204" i="30"/>
  <c r="K205" i="30" s="1"/>
  <c r="K246" i="30" s="1"/>
  <c r="Y34" i="30"/>
  <c r="S109" i="30"/>
  <c r="U109" i="30" s="1"/>
  <c r="Q109" i="30"/>
  <c r="Q10" i="30"/>
  <c r="O15" i="30"/>
  <c r="W190" i="30"/>
  <c r="Y117" i="30"/>
  <c r="S105" i="30"/>
  <c r="U105" i="30" s="1"/>
  <c r="Q105" i="30"/>
  <c r="Y14" i="30"/>
  <c r="S97" i="30"/>
  <c r="U97" i="30" s="1"/>
  <c r="Q97" i="30"/>
  <c r="U21" i="30"/>
  <c r="Y21" i="30" s="1"/>
  <c r="W21" i="30"/>
  <c r="K27" i="30"/>
  <c r="T23" i="30"/>
  <c r="U23" i="30" s="1"/>
  <c r="Q23" i="30"/>
  <c r="Y98" i="30"/>
  <c r="O112" i="30"/>
  <c r="T31" i="30"/>
  <c r="U31" i="30" s="1"/>
  <c r="Q31" i="30"/>
  <c r="G125" i="30"/>
  <c r="G175" i="30" s="1"/>
  <c r="I175" i="30" s="1"/>
  <c r="U9" i="30"/>
  <c r="Y9" i="30" s="1"/>
  <c r="I119" i="30"/>
  <c r="I124" i="30" s="1"/>
  <c r="I125" i="30" s="1"/>
  <c r="I174" i="30" s="1"/>
  <c r="U191" i="30"/>
  <c r="Y191" i="30" s="1"/>
  <c r="W191" i="30"/>
  <c r="Y22" i="30"/>
  <c r="Y199" i="30"/>
  <c r="I27" i="30"/>
  <c r="I37" i="30" s="1"/>
  <c r="Y180" i="30"/>
  <c r="U121" i="30"/>
  <c r="Y121" i="30" s="1"/>
  <c r="X121" i="30"/>
  <c r="U103" i="30"/>
  <c r="Y103" i="30" s="1"/>
  <c r="W103" i="30"/>
  <c r="Y190" i="30"/>
  <c r="Q111" i="30"/>
  <c r="S111" i="30"/>
  <c r="U111" i="30" s="1"/>
  <c r="X180" i="30"/>
  <c r="W115" i="29"/>
  <c r="Y19" i="29"/>
  <c r="L27" i="38"/>
  <c r="Y8" i="38"/>
  <c r="L36" i="38"/>
  <c r="U190" i="38"/>
  <c r="Y190" i="38" s="1"/>
  <c r="W190" i="38"/>
  <c r="I113" i="38"/>
  <c r="U185" i="38"/>
  <c r="W185" i="38"/>
  <c r="M99" i="38"/>
  <c r="O85" i="38"/>
  <c r="G37" i="38"/>
  <c r="G87" i="38" s="1"/>
  <c r="Q71" i="38"/>
  <c r="Q85" i="38" s="1"/>
  <c r="S71" i="38"/>
  <c r="S71" i="33" s="1"/>
  <c r="U71" i="33" s="1"/>
  <c r="Q21" i="38"/>
  <c r="L113" i="38"/>
  <c r="L125" i="38" s="1"/>
  <c r="L174" i="38" s="1"/>
  <c r="L176" i="38" s="1"/>
  <c r="Y94" i="38"/>
  <c r="M120" i="38"/>
  <c r="L124" i="32"/>
  <c r="L125" i="32" s="1"/>
  <c r="L174" i="32" s="1"/>
  <c r="L176" i="32" s="1"/>
  <c r="M124" i="32"/>
  <c r="K37" i="32"/>
  <c r="K86" i="32" s="1"/>
  <c r="Y35" i="32"/>
  <c r="W35" i="32"/>
  <c r="X97" i="32"/>
  <c r="I196" i="32"/>
  <c r="I205" i="32" s="1"/>
  <c r="I246" i="32" s="1"/>
  <c r="I248" i="32" s="1"/>
  <c r="G246" i="32"/>
  <c r="G248" i="32" s="1"/>
  <c r="S123" i="32"/>
  <c r="S123" i="33" s="1"/>
  <c r="U11" i="32"/>
  <c r="Y11" i="32" s="1"/>
  <c r="W11" i="32"/>
  <c r="Y97" i="31"/>
  <c r="M201" i="31"/>
  <c r="K37" i="31"/>
  <c r="K87" i="31" s="1"/>
  <c r="M87" i="31" s="1"/>
  <c r="I196" i="31"/>
  <c r="I205" i="31" s="1"/>
  <c r="I246" i="31" s="1"/>
  <c r="C247" i="31"/>
  <c r="E247" i="31" s="1"/>
  <c r="E248" i="31" s="1"/>
  <c r="M198" i="31"/>
  <c r="K204" i="31"/>
  <c r="P15" i="31"/>
  <c r="M99" i="31"/>
  <c r="G205" i="31"/>
  <c r="G246" i="31" s="1"/>
  <c r="Q189" i="31"/>
  <c r="K196" i="31"/>
  <c r="Q17" i="31"/>
  <c r="X11" i="31"/>
  <c r="U107" i="31"/>
  <c r="Y107" i="31" s="1"/>
  <c r="Y20" i="31"/>
  <c r="K246" i="39"/>
  <c r="K247" i="39"/>
  <c r="M247" i="39" s="1"/>
  <c r="M125" i="39"/>
  <c r="M174" i="39" s="1"/>
  <c r="M176" i="39" s="1"/>
  <c r="Q25" i="38"/>
  <c r="S13" i="39"/>
  <c r="U13" i="39" s="1"/>
  <c r="Q13" i="39"/>
  <c r="S92" i="39"/>
  <c r="S92" i="33" s="1"/>
  <c r="U92" i="33" s="1"/>
  <c r="O115" i="39"/>
  <c r="Q92" i="39"/>
  <c r="O99" i="39"/>
  <c r="T112" i="30"/>
  <c r="X112" i="30" s="1"/>
  <c r="U107" i="30"/>
  <c r="Y107" i="30" s="1"/>
  <c r="K205" i="23"/>
  <c r="O199" i="24"/>
  <c r="K204" i="24"/>
  <c r="K205" i="24" s="1"/>
  <c r="M199" i="24"/>
  <c r="S8" i="32"/>
  <c r="S8" i="33" s="1"/>
  <c r="Q8" i="32"/>
  <c r="O15" i="32"/>
  <c r="M99" i="9"/>
  <c r="I124" i="31"/>
  <c r="W202" i="31"/>
  <c r="O186" i="31"/>
  <c r="O199" i="31" s="1"/>
  <c r="S200" i="30"/>
  <c r="U200" i="30" s="1"/>
  <c r="Q200" i="30"/>
  <c r="U102" i="23"/>
  <c r="Y102" i="23" s="1"/>
  <c r="Y191" i="38"/>
  <c r="P15" i="39"/>
  <c r="M186" i="39"/>
  <c r="M196" i="39" s="1"/>
  <c r="M205" i="39" s="1"/>
  <c r="M246" i="39" s="1"/>
  <c r="U182" i="39"/>
  <c r="Y182" i="39" s="1"/>
  <c r="Q203" i="23"/>
  <c r="S203" i="23"/>
  <c r="S199" i="23"/>
  <c r="O204" i="23"/>
  <c r="Q199" i="23"/>
  <c r="O203" i="24"/>
  <c r="M203" i="24"/>
  <c r="T186" i="23"/>
  <c r="X186" i="23" s="1"/>
  <c r="X196" i="23" s="1"/>
  <c r="X205" i="23" s="1"/>
  <c r="X246" i="23" s="1"/>
  <c r="X248" i="23" s="1"/>
  <c r="X185" i="23"/>
  <c r="T123" i="32"/>
  <c r="T123" i="33" s="1"/>
  <c r="U10" i="39"/>
  <c r="Y10" i="39" s="1"/>
  <c r="Q201" i="38"/>
  <c r="T201" i="38"/>
  <c r="Q191" i="39"/>
  <c r="Q195" i="39" s="1"/>
  <c r="S191" i="39"/>
  <c r="W191" i="39" s="1"/>
  <c r="O195" i="39"/>
  <c r="G246" i="24"/>
  <c r="G247" i="24"/>
  <c r="I247" i="24" s="1"/>
  <c r="S67" i="33"/>
  <c r="U67" i="33" s="1"/>
  <c r="O85" i="24"/>
  <c r="Q26" i="24"/>
  <c r="X67" i="24"/>
  <c r="X67" i="33" s="1"/>
  <c r="S181" i="32"/>
  <c r="Q181" i="32"/>
  <c r="Q186" i="32" s="1"/>
  <c r="X20" i="30"/>
  <c r="T19" i="38"/>
  <c r="T19" i="33" s="1"/>
  <c r="U9" i="39"/>
  <c r="Y9" i="39" s="1"/>
  <c r="U185" i="30"/>
  <c r="Y185" i="30" s="1"/>
  <c r="T186" i="30"/>
  <c r="X185" i="30"/>
  <c r="S201" i="30"/>
  <c r="Q201" i="30"/>
  <c r="K37" i="23"/>
  <c r="Y14" i="23"/>
  <c r="Q20" i="38"/>
  <c r="W191" i="38"/>
  <c r="W181" i="32"/>
  <c r="S184" i="39"/>
  <c r="W184" i="39" s="1"/>
  <c r="Q184" i="39"/>
  <c r="Q186" i="39" s="1"/>
  <c r="O186" i="39"/>
  <c r="M203" i="9"/>
  <c r="Y203" i="9" s="1"/>
  <c r="W203" i="9"/>
  <c r="Q193" i="38"/>
  <c r="S193" i="38"/>
  <c r="S193" i="33" s="1"/>
  <c r="U8" i="23"/>
  <c r="Y8" i="23" s="1"/>
  <c r="S13" i="23"/>
  <c r="U13" i="23" s="1"/>
  <c r="Y13" i="23" s="1"/>
  <c r="O15" i="23"/>
  <c r="W10" i="39"/>
  <c r="W94" i="30"/>
  <c r="S195" i="30"/>
  <c r="O15" i="39"/>
  <c r="U185" i="23"/>
  <c r="Y185" i="23" s="1"/>
  <c r="S186" i="23"/>
  <c r="I204" i="24"/>
  <c r="I205" i="24" s="1"/>
  <c r="I246" i="24" s="1"/>
  <c r="P99" i="28"/>
  <c r="P119" i="28" s="1"/>
  <c r="Q119" i="28" s="1"/>
  <c r="S230" i="38"/>
  <c r="O231" i="38"/>
  <c r="Q230" i="38"/>
  <c r="Q231" i="38" s="1"/>
  <c r="S19" i="38"/>
  <c r="M112" i="38"/>
  <c r="T203" i="38"/>
  <c r="Q203" i="38"/>
  <c r="P204" i="38"/>
  <c r="I27" i="38"/>
  <c r="T116" i="38"/>
  <c r="T116" i="33" s="1"/>
  <c r="T18" i="38"/>
  <c r="P26" i="38"/>
  <c r="Q18" i="38"/>
  <c r="T22" i="38"/>
  <c r="X21" i="38"/>
  <c r="X21" i="33" s="1"/>
  <c r="S108" i="38"/>
  <c r="S108" i="33" s="1"/>
  <c r="Q108" i="38"/>
  <c r="W202" i="38"/>
  <c r="S25" i="38"/>
  <c r="S25" i="33" s="1"/>
  <c r="W120" i="38"/>
  <c r="M204" i="38"/>
  <c r="M205" i="38" s="1"/>
  <c r="M246" i="38" s="1"/>
  <c r="W23" i="38"/>
  <c r="W23" i="33" s="1"/>
  <c r="S104" i="38"/>
  <c r="S104" i="33" s="1"/>
  <c r="Q104" i="38"/>
  <c r="O112" i="38"/>
  <c r="Q106" i="38"/>
  <c r="Q98" i="38"/>
  <c r="T25" i="38"/>
  <c r="T25" i="33" s="1"/>
  <c r="S20" i="38"/>
  <c r="S20" i="33" s="1"/>
  <c r="T109" i="38"/>
  <c r="T109" i="33" s="1"/>
  <c r="Q109" i="38"/>
  <c r="P112" i="38"/>
  <c r="P113" i="38" s="1"/>
  <c r="S24" i="38"/>
  <c r="S24" i="33" s="1"/>
  <c r="T24" i="38"/>
  <c r="T24" i="33" s="1"/>
  <c r="W110" i="38"/>
  <c r="S21" i="38"/>
  <c r="O119" i="30"/>
  <c r="Q119" i="30" s="1"/>
  <c r="G204" i="28"/>
  <c r="G205" i="28" s="1"/>
  <c r="G86" i="30"/>
  <c r="I86" i="30" s="1"/>
  <c r="E87" i="30"/>
  <c r="C86" i="30"/>
  <c r="L113" i="9"/>
  <c r="G86" i="32"/>
  <c r="I86" i="32" s="1"/>
  <c r="T85" i="24"/>
  <c r="X85" i="24" s="1"/>
  <c r="W22" i="38"/>
  <c r="S12" i="38"/>
  <c r="Q12" i="38"/>
  <c r="O15" i="38"/>
  <c r="O31" i="38" s="1"/>
  <c r="Q24" i="38"/>
  <c r="M15" i="38"/>
  <c r="S13" i="38"/>
  <c r="Q13" i="38"/>
  <c r="C204" i="9"/>
  <c r="G175" i="39"/>
  <c r="I175" i="39" s="1"/>
  <c r="K27" i="29"/>
  <c r="C246" i="32"/>
  <c r="C248" i="32" s="1"/>
  <c r="I124" i="9"/>
  <c r="I125" i="9" s="1"/>
  <c r="I174" i="9" s="1"/>
  <c r="G125" i="9"/>
  <c r="E248" i="32"/>
  <c r="H37" i="29"/>
  <c r="H86" i="29" s="1"/>
  <c r="H88" i="29" s="1"/>
  <c r="G125" i="29"/>
  <c r="H36" i="23"/>
  <c r="H37" i="23" s="1"/>
  <c r="H86" i="23" s="1"/>
  <c r="H88" i="23" s="1"/>
  <c r="H339" i="23" s="1"/>
  <c r="W195" i="9"/>
  <c r="L36" i="9"/>
  <c r="Y112" i="39"/>
  <c r="U24" i="29"/>
  <c r="Y24" i="29" s="1"/>
  <c r="K125" i="32"/>
  <c r="K174" i="32" s="1"/>
  <c r="S199" i="38"/>
  <c r="Q199" i="38"/>
  <c r="O204" i="38"/>
  <c r="W201" i="9"/>
  <c r="C88" i="23"/>
  <c r="C339" i="23" s="1"/>
  <c r="L27" i="9"/>
  <c r="M26" i="38"/>
  <c r="M33" i="38"/>
  <c r="M36" i="38" s="1"/>
  <c r="K36" i="38"/>
  <c r="O26" i="38"/>
  <c r="O33" i="38"/>
  <c r="Q17" i="38"/>
  <c r="S17" i="38"/>
  <c r="S17" i="33" s="1"/>
  <c r="W67" i="32"/>
  <c r="S85" i="32"/>
  <c r="W85" i="32" s="1"/>
  <c r="U67" i="32"/>
  <c r="Q85" i="32"/>
  <c r="O36" i="32"/>
  <c r="U23" i="32"/>
  <c r="Y23" i="32" s="1"/>
  <c r="T26" i="32"/>
  <c r="P27" i="30"/>
  <c r="P37" i="30" s="1"/>
  <c r="P86" i="30" s="1"/>
  <c r="P88" i="30" s="1"/>
  <c r="U35" i="30"/>
  <c r="Y35" i="30" s="1"/>
  <c r="G246" i="39"/>
  <c r="G247" i="39"/>
  <c r="I247" i="39" s="1"/>
  <c r="O119" i="38"/>
  <c r="M119" i="38"/>
  <c r="K124" i="38"/>
  <c r="K125" i="38" s="1"/>
  <c r="S36" i="24"/>
  <c r="U29" i="24"/>
  <c r="Y29" i="24" s="1"/>
  <c r="U116" i="30"/>
  <c r="Y116" i="30" s="1"/>
  <c r="T15" i="30"/>
  <c r="X15" i="30" s="1"/>
  <c r="X9" i="30"/>
  <c r="U12" i="30"/>
  <c r="Y12" i="30" s="1"/>
  <c r="X12" i="30"/>
  <c r="M87" i="24"/>
  <c r="K86" i="24"/>
  <c r="M86" i="24" s="1"/>
  <c r="M99" i="32"/>
  <c r="O112" i="24"/>
  <c r="S101" i="24"/>
  <c r="W101" i="24" s="1"/>
  <c r="Q101" i="24"/>
  <c r="Q112" i="24" s="1"/>
  <c r="C175" i="32"/>
  <c r="C174" i="32"/>
  <c r="X103" i="24"/>
  <c r="I113" i="29"/>
  <c r="I125" i="29" s="1"/>
  <c r="I174" i="29" s="1"/>
  <c r="Y35" i="31"/>
  <c r="P113" i="24"/>
  <c r="P125" i="24" s="1"/>
  <c r="P174" i="24" s="1"/>
  <c r="P176" i="24" s="1"/>
  <c r="U10" i="30"/>
  <c r="Y10" i="30" s="1"/>
  <c r="U94" i="32"/>
  <c r="Y94" i="32" s="1"/>
  <c r="Q112" i="32"/>
  <c r="U201" i="23"/>
  <c r="Y201" i="23" s="1"/>
  <c r="P36" i="32"/>
  <c r="T30" i="32"/>
  <c r="U30" i="32" s="1"/>
  <c r="U101" i="30"/>
  <c r="Q99" i="39"/>
  <c r="Y93" i="39"/>
  <c r="O115" i="24"/>
  <c r="S92" i="24"/>
  <c r="W92" i="24" s="1"/>
  <c r="O99" i="24"/>
  <c r="Q92" i="24"/>
  <c r="Q99" i="24" s="1"/>
  <c r="Y7" i="30"/>
  <c r="X112" i="23"/>
  <c r="X113" i="23" s="1"/>
  <c r="P113" i="23"/>
  <c r="P125" i="23" s="1"/>
  <c r="P174" i="23" s="1"/>
  <c r="P176" i="23" s="1"/>
  <c r="T118" i="30"/>
  <c r="Q118" i="30"/>
  <c r="P196" i="24"/>
  <c r="P205" i="24" s="1"/>
  <c r="P246" i="24" s="1"/>
  <c r="P248" i="24" s="1"/>
  <c r="Q186" i="30"/>
  <c r="L36" i="23"/>
  <c r="W17" i="23"/>
  <c r="O26" i="23"/>
  <c r="O33" i="23" s="1"/>
  <c r="U18" i="24"/>
  <c r="T99" i="30"/>
  <c r="Q123" i="32"/>
  <c r="M119" i="30"/>
  <c r="M124" i="30" s="1"/>
  <c r="K124" i="30"/>
  <c r="K125" i="30" s="1"/>
  <c r="W29" i="24"/>
  <c r="S26" i="30"/>
  <c r="W26" i="30" s="1"/>
  <c r="Q99" i="23"/>
  <c r="T196" i="39"/>
  <c r="X186" i="39"/>
  <c r="X196" i="39" s="1"/>
  <c r="Y201" i="24"/>
  <c r="Q15" i="23"/>
  <c r="U10" i="32"/>
  <c r="Y10" i="32" s="1"/>
  <c r="X10" i="32"/>
  <c r="U182" i="24"/>
  <c r="T186" i="24"/>
  <c r="X186" i="24" s="1"/>
  <c r="X182" i="24"/>
  <c r="Q195" i="23"/>
  <c r="K113" i="24"/>
  <c r="X94" i="32"/>
  <c r="W9" i="30"/>
  <c r="U191" i="24"/>
  <c r="Y191" i="24" s="1"/>
  <c r="S195" i="24"/>
  <c r="M196" i="23"/>
  <c r="U9" i="24"/>
  <c r="Y9" i="24" s="1"/>
  <c r="S198" i="30"/>
  <c r="Q198" i="30"/>
  <c r="L125" i="30"/>
  <c r="L174" i="30" s="1"/>
  <c r="L176" i="30" s="1"/>
  <c r="L27" i="23"/>
  <c r="U98" i="32"/>
  <c r="Y98" i="32" s="1"/>
  <c r="X116" i="30"/>
  <c r="X110" i="28"/>
  <c r="C174" i="9"/>
  <c r="S15" i="30"/>
  <c r="S32" i="30" s="1"/>
  <c r="W191" i="24"/>
  <c r="U93" i="24"/>
  <c r="Y93" i="24" s="1"/>
  <c r="Q15" i="24"/>
  <c r="Q27" i="24" s="1"/>
  <c r="T26" i="30"/>
  <c r="X26" i="30" s="1"/>
  <c r="X17" i="30"/>
  <c r="U110" i="32"/>
  <c r="Y110" i="32" s="1"/>
  <c r="X110" i="32"/>
  <c r="G246" i="30"/>
  <c r="D10" i="41" s="1"/>
  <c r="L37" i="32"/>
  <c r="L86" i="32" s="1"/>
  <c r="L88" i="32" s="1"/>
  <c r="P124" i="32"/>
  <c r="P125" i="32" s="1"/>
  <c r="P174" i="32" s="1"/>
  <c r="P176" i="32" s="1"/>
  <c r="U98" i="39"/>
  <c r="I124" i="38"/>
  <c r="W30" i="32"/>
  <c r="M27" i="24"/>
  <c r="M37" i="24" s="1"/>
  <c r="Q195" i="24"/>
  <c r="U24" i="32"/>
  <c r="Y24" i="32" s="1"/>
  <c r="S186" i="30"/>
  <c r="U181" i="30"/>
  <c r="I32" i="38"/>
  <c r="H36" i="38"/>
  <c r="U93" i="38"/>
  <c r="C175" i="38"/>
  <c r="E175" i="38" s="1"/>
  <c r="E176" i="38" s="1"/>
  <c r="C174" i="38"/>
  <c r="C8" i="41" s="1"/>
  <c r="P124" i="30"/>
  <c r="X204" i="30"/>
  <c r="E205" i="30"/>
  <c r="E246" i="30" s="1"/>
  <c r="U92" i="23"/>
  <c r="U99" i="23" s="1"/>
  <c r="T112" i="24"/>
  <c r="U13" i="30"/>
  <c r="Y13" i="30" s="1"/>
  <c r="X13" i="30"/>
  <c r="Y181" i="39"/>
  <c r="U121" i="24"/>
  <c r="Y121" i="24" s="1"/>
  <c r="T15" i="23"/>
  <c r="X15" i="23" s="1"/>
  <c r="U11" i="23"/>
  <c r="X11" i="23"/>
  <c r="T36" i="30"/>
  <c r="X36" i="30" s="1"/>
  <c r="U189" i="23"/>
  <c r="S93" i="32"/>
  <c r="S93" i="33" s="1"/>
  <c r="U93" i="33" s="1"/>
  <c r="O99" i="32"/>
  <c r="Q93" i="32"/>
  <c r="Q99" i="32" s="1"/>
  <c r="M112" i="24"/>
  <c r="X203" i="24"/>
  <c r="T204" i="24"/>
  <c r="Q15" i="30"/>
  <c r="K124" i="24"/>
  <c r="M115" i="24"/>
  <c r="U30" i="24"/>
  <c r="Y30" i="24" s="1"/>
  <c r="Q36" i="24"/>
  <c r="M196" i="24"/>
  <c r="W33" i="32"/>
  <c r="Q94" i="9"/>
  <c r="Q99" i="9" s="1"/>
  <c r="Y185" i="9"/>
  <c r="U94" i="30"/>
  <c r="U23" i="24"/>
  <c r="Y23" i="24" s="1"/>
  <c r="X23" i="32"/>
  <c r="X15" i="24"/>
  <c r="X27" i="24" s="1"/>
  <c r="S204" i="39"/>
  <c r="U198" i="39"/>
  <c r="W101" i="30"/>
  <c r="K246" i="38"/>
  <c r="K247" i="38"/>
  <c r="M247" i="38" s="1"/>
  <c r="G175" i="38"/>
  <c r="I175" i="38" s="1"/>
  <c r="G174" i="38"/>
  <c r="M99" i="24"/>
  <c r="M27" i="30"/>
  <c r="Q186" i="24"/>
  <c r="Q30" i="32"/>
  <c r="Q36" i="32" s="1"/>
  <c r="U108" i="24"/>
  <c r="Y108" i="24" s="1"/>
  <c r="X108" i="24"/>
  <c r="U188" i="24"/>
  <c r="T195" i="24"/>
  <c r="Y103" i="24"/>
  <c r="E205" i="39"/>
  <c r="E246" i="39" s="1"/>
  <c r="E248" i="39" s="1"/>
  <c r="Y181" i="23"/>
  <c r="T124" i="23"/>
  <c r="T125" i="23" s="1"/>
  <c r="T174" i="23" s="1"/>
  <c r="T176" i="23" s="1"/>
  <c r="X13" i="32"/>
  <c r="X102" i="23"/>
  <c r="P113" i="30"/>
  <c r="P26" i="23"/>
  <c r="P33" i="23" s="1"/>
  <c r="P33" i="33" s="1"/>
  <c r="Q18" i="23"/>
  <c r="X204" i="32"/>
  <c r="Y6" i="38"/>
  <c r="Q120" i="38"/>
  <c r="T17" i="39"/>
  <c r="Q17" i="39"/>
  <c r="Q26" i="39" s="1"/>
  <c r="P26" i="39"/>
  <c r="O27" i="30"/>
  <c r="T112" i="32"/>
  <c r="U104" i="24"/>
  <c r="Y104" i="24" s="1"/>
  <c r="X104" i="24"/>
  <c r="U109" i="24"/>
  <c r="Y109" i="24" s="1"/>
  <c r="X109" i="24"/>
  <c r="W15" i="24"/>
  <c r="W27" i="24" s="1"/>
  <c r="U107" i="24"/>
  <c r="Y107" i="24" s="1"/>
  <c r="U184" i="32"/>
  <c r="S186" i="32"/>
  <c r="X96" i="38"/>
  <c r="X14" i="30"/>
  <c r="Y34" i="29"/>
  <c r="L113" i="29"/>
  <c r="L125" i="29" s="1"/>
  <c r="L174" i="29" s="1"/>
  <c r="L176" i="29" s="1"/>
  <c r="Q110" i="29"/>
  <c r="P112" i="29"/>
  <c r="L36" i="29"/>
  <c r="W34" i="29"/>
  <c r="K124" i="29"/>
  <c r="E37" i="29"/>
  <c r="P204" i="29"/>
  <c r="P99" i="29"/>
  <c r="I27" i="29"/>
  <c r="G205" i="29"/>
  <c r="G247" i="29" s="1"/>
  <c r="I247" i="29" s="1"/>
  <c r="L27" i="29"/>
  <c r="S63" i="29"/>
  <c r="W63" i="29" s="1"/>
  <c r="W62" i="29"/>
  <c r="M29" i="29"/>
  <c r="O29" i="33"/>
  <c r="Q29" i="33" s="1"/>
  <c r="S6" i="33"/>
  <c r="U188" i="29"/>
  <c r="Y188" i="29" s="1"/>
  <c r="C88" i="31"/>
  <c r="M199" i="31"/>
  <c r="X104" i="31"/>
  <c r="I113" i="31"/>
  <c r="I125" i="31" s="1"/>
  <c r="I174" i="31" s="1"/>
  <c r="Q29" i="31"/>
  <c r="U185" i="31"/>
  <c r="Y185" i="31" s="1"/>
  <c r="M15" i="31"/>
  <c r="T112" i="31"/>
  <c r="T113" i="31" s="1"/>
  <c r="Y202" i="31"/>
  <c r="X34" i="31"/>
  <c r="U34" i="31"/>
  <c r="Y34" i="31" s="1"/>
  <c r="S194" i="31"/>
  <c r="U194" i="31" s="1"/>
  <c r="Q194" i="31"/>
  <c r="U6" i="31"/>
  <c r="Y6" i="31" s="1"/>
  <c r="W6" i="31"/>
  <c r="S21" i="31"/>
  <c r="U21" i="31" s="1"/>
  <c r="Q21" i="31"/>
  <c r="T200" i="31"/>
  <c r="Q108" i="31"/>
  <c r="Q200" i="31"/>
  <c r="O26" i="31"/>
  <c r="M26" i="31"/>
  <c r="U23" i="31"/>
  <c r="Y23" i="31" s="1"/>
  <c r="X23" i="31"/>
  <c r="L196" i="31"/>
  <c r="L205" i="31" s="1"/>
  <c r="L246" i="31" s="1"/>
  <c r="L248" i="31" s="1"/>
  <c r="P204" i="31"/>
  <c r="Q96" i="31"/>
  <c r="P113" i="31"/>
  <c r="Q193" i="31"/>
  <c r="S193" i="31"/>
  <c r="U193" i="31" s="1"/>
  <c r="Y104" i="31"/>
  <c r="Q7" i="31"/>
  <c r="O15" i="31"/>
  <c r="O32" i="31" s="1"/>
  <c r="S110" i="31"/>
  <c r="U110" i="31" s="1"/>
  <c r="Q110" i="31"/>
  <c r="S184" i="31"/>
  <c r="U184" i="31" s="1"/>
  <c r="Q184" i="31"/>
  <c r="W189" i="31"/>
  <c r="S116" i="33"/>
  <c r="S188" i="31"/>
  <c r="W188" i="31" s="1"/>
  <c r="O195" i="31"/>
  <c r="O198" i="31" s="1"/>
  <c r="Q198" i="31" s="1"/>
  <c r="I87" i="31"/>
  <c r="G86" i="31"/>
  <c r="M186" i="31"/>
  <c r="S203" i="31"/>
  <c r="U191" i="31"/>
  <c r="Y191" i="31" s="1"/>
  <c r="X12" i="31"/>
  <c r="U12" i="31"/>
  <c r="U111" i="31"/>
  <c r="Y111" i="31" s="1"/>
  <c r="W111" i="31"/>
  <c r="T13" i="31"/>
  <c r="Q13" i="31"/>
  <c r="Q22" i="31"/>
  <c r="T22" i="31"/>
  <c r="U22" i="31" s="1"/>
  <c r="T30" i="31"/>
  <c r="U30" i="31" s="1"/>
  <c r="Q101" i="31"/>
  <c r="C125" i="31"/>
  <c r="M195" i="31"/>
  <c r="K113" i="31"/>
  <c r="U17" i="31"/>
  <c r="Y17" i="31" s="1"/>
  <c r="W20" i="31"/>
  <c r="O112" i="31"/>
  <c r="O113" i="31" s="1"/>
  <c r="S102" i="33"/>
  <c r="I27" i="31"/>
  <c r="U105" i="31"/>
  <c r="Q105" i="31"/>
  <c r="S24" i="31"/>
  <c r="Q24" i="31"/>
  <c r="U109" i="31"/>
  <c r="Y109" i="31" s="1"/>
  <c r="W200" i="31"/>
  <c r="T195" i="31"/>
  <c r="U189" i="31"/>
  <c r="U190" i="31"/>
  <c r="Y190" i="31" s="1"/>
  <c r="X190" i="31"/>
  <c r="X190" i="33" s="1"/>
  <c r="U103" i="31"/>
  <c r="Y103" i="31" s="1"/>
  <c r="W103" i="31"/>
  <c r="S201" i="31"/>
  <c r="Q201" i="31"/>
  <c r="Q25" i="31"/>
  <c r="S25" i="31"/>
  <c r="W25" i="31" s="1"/>
  <c r="L125" i="31"/>
  <c r="L174" i="31" s="1"/>
  <c r="L176" i="31" s="1"/>
  <c r="Q188" i="31"/>
  <c r="T14" i="31"/>
  <c r="Q14" i="31"/>
  <c r="M112" i="31"/>
  <c r="X189" i="31"/>
  <c r="X189" i="33" s="1"/>
  <c r="W191" i="31"/>
  <c r="X17" i="31"/>
  <c r="Y110" i="9"/>
  <c r="Y108" i="9"/>
  <c r="T112" i="9"/>
  <c r="T120" i="33" s="1"/>
  <c r="P112" i="9"/>
  <c r="P120" i="33" s="1"/>
  <c r="M112" i="9"/>
  <c r="U192" i="9"/>
  <c r="Q192" i="9"/>
  <c r="U194" i="9"/>
  <c r="Q194" i="9"/>
  <c r="K196" i="9"/>
  <c r="O112" i="9"/>
  <c r="X185" i="9"/>
  <c r="X92" i="33"/>
  <c r="P99" i="9"/>
  <c r="I15" i="9"/>
  <c r="G27" i="9"/>
  <c r="X111" i="9"/>
  <c r="U109" i="9"/>
  <c r="Q109" i="9"/>
  <c r="Y111" i="9"/>
  <c r="Q184" i="9"/>
  <c r="Q186" i="9" s="1"/>
  <c r="S186" i="9"/>
  <c r="I32" i="9"/>
  <c r="U190" i="9"/>
  <c r="Y190" i="9" s="1"/>
  <c r="S66" i="9"/>
  <c r="S66" i="33" s="1"/>
  <c r="O85" i="9"/>
  <c r="Q66" i="9"/>
  <c r="I26" i="9"/>
  <c r="K124" i="9"/>
  <c r="Q106" i="9"/>
  <c r="M32" i="9"/>
  <c r="M15" i="9"/>
  <c r="T186" i="9"/>
  <c r="X180" i="9"/>
  <c r="U180" i="9"/>
  <c r="M85" i="9"/>
  <c r="X94" i="9"/>
  <c r="U193" i="9"/>
  <c r="Q193" i="9"/>
  <c r="K26" i="9"/>
  <c r="K33" i="33" s="1"/>
  <c r="P85" i="9"/>
  <c r="U95" i="9"/>
  <c r="Y95" i="9" s="1"/>
  <c r="O186" i="9"/>
  <c r="U94" i="9"/>
  <c r="W94" i="9"/>
  <c r="S99" i="9"/>
  <c r="K174" i="39"/>
  <c r="Z174" i="39" s="1"/>
  <c r="Q93" i="31"/>
  <c r="U93" i="31"/>
  <c r="U92" i="31"/>
  <c r="E125" i="31"/>
  <c r="E174" i="31" s="1"/>
  <c r="Q115" i="31"/>
  <c r="M113" i="30"/>
  <c r="O124" i="30"/>
  <c r="Q115" i="30"/>
  <c r="G174" i="30"/>
  <c r="S99" i="30"/>
  <c r="U92" i="30"/>
  <c r="O124" i="32"/>
  <c r="W112" i="32"/>
  <c r="W108" i="28"/>
  <c r="U107" i="28"/>
  <c r="Y107" i="28" s="1"/>
  <c r="C205" i="28"/>
  <c r="C247" i="28" s="1"/>
  <c r="E36" i="28"/>
  <c r="K196" i="28"/>
  <c r="W106" i="28"/>
  <c r="V125" i="33"/>
  <c r="V176" i="28"/>
  <c r="V339" i="28" s="1"/>
  <c r="G125" i="28"/>
  <c r="I196" i="28"/>
  <c r="K113" i="28"/>
  <c r="O203" i="28"/>
  <c r="N248" i="28"/>
  <c r="N339" i="28" s="1"/>
  <c r="O195" i="28"/>
  <c r="M203" i="28"/>
  <c r="I99" i="28"/>
  <c r="O186" i="28"/>
  <c r="O199" i="28" s="1"/>
  <c r="D124" i="28"/>
  <c r="F248" i="28"/>
  <c r="F339" i="28" s="1"/>
  <c r="Y17" i="32"/>
  <c r="S36" i="32"/>
  <c r="W26" i="32"/>
  <c r="C86" i="32"/>
  <c r="E87" i="32"/>
  <c r="M36" i="32"/>
  <c r="I27" i="32"/>
  <c r="I37" i="32" s="1"/>
  <c r="K27" i="28"/>
  <c r="W109" i="28"/>
  <c r="Q109" i="28"/>
  <c r="T203" i="28"/>
  <c r="M155" i="28"/>
  <c r="O112" i="28"/>
  <c r="M201" i="28"/>
  <c r="L196" i="28"/>
  <c r="M85" i="28"/>
  <c r="Q111" i="28"/>
  <c r="X111" i="28"/>
  <c r="P112" i="28"/>
  <c r="J248" i="28"/>
  <c r="J339" i="28" s="1"/>
  <c r="M173" i="28"/>
  <c r="Q108" i="28"/>
  <c r="Q194" i="28"/>
  <c r="P186" i="28"/>
  <c r="O85" i="28"/>
  <c r="P195" i="28"/>
  <c r="Q193" i="28"/>
  <c r="O173" i="28"/>
  <c r="M186" i="28"/>
  <c r="M195" i="28"/>
  <c r="O155" i="28"/>
  <c r="Q31" i="28"/>
  <c r="M112" i="28"/>
  <c r="L27" i="28"/>
  <c r="D86" i="28"/>
  <c r="T11" i="29"/>
  <c r="X11" i="29" s="1"/>
  <c r="U184" i="29"/>
  <c r="X191" i="29"/>
  <c r="Q191" i="29"/>
  <c r="K113" i="29"/>
  <c r="O203" i="29"/>
  <c r="M203" i="29"/>
  <c r="W184" i="29"/>
  <c r="F176" i="29"/>
  <c r="Q22" i="29"/>
  <c r="I204" i="29"/>
  <c r="U21" i="29"/>
  <c r="Y21" i="29" s="1"/>
  <c r="X108" i="29"/>
  <c r="U108" i="29"/>
  <c r="Y108" i="29" s="1"/>
  <c r="F248" i="29"/>
  <c r="W104" i="29"/>
  <c r="U20" i="29"/>
  <c r="Y20" i="29" s="1"/>
  <c r="W20" i="29"/>
  <c r="Q101" i="29"/>
  <c r="T97" i="29"/>
  <c r="M30" i="29"/>
  <c r="P15" i="29"/>
  <c r="Q107" i="29"/>
  <c r="T63" i="29"/>
  <c r="U62" i="29"/>
  <c r="U63" i="29" s="1"/>
  <c r="Y63" i="29" s="1"/>
  <c r="X62" i="29"/>
  <c r="Q104" i="29"/>
  <c r="T98" i="29"/>
  <c r="X111" i="29"/>
  <c r="M26" i="29"/>
  <c r="M15" i="29"/>
  <c r="C246" i="29"/>
  <c r="C248" i="29" s="1"/>
  <c r="Q102" i="29"/>
  <c r="P195" i="29"/>
  <c r="O202" i="29"/>
  <c r="M202" i="29"/>
  <c r="U190" i="29"/>
  <c r="Q190" i="29"/>
  <c r="U105" i="29"/>
  <c r="T9" i="29"/>
  <c r="Q9" i="29"/>
  <c r="X12" i="29"/>
  <c r="W98" i="29"/>
  <c r="H125" i="29"/>
  <c r="O99" i="29"/>
  <c r="X101" i="29"/>
  <c r="X109" i="29"/>
  <c r="V176" i="29"/>
  <c r="S12" i="29"/>
  <c r="Q12" i="29"/>
  <c r="L205" i="29"/>
  <c r="L246" i="29" s="1"/>
  <c r="L248" i="29" s="1"/>
  <c r="M186" i="29"/>
  <c r="S11" i="29"/>
  <c r="Q11" i="29"/>
  <c r="I196" i="29"/>
  <c r="M195" i="29"/>
  <c r="S95" i="29"/>
  <c r="W95" i="29" s="1"/>
  <c r="W95" i="33" s="1"/>
  <c r="Q95" i="29"/>
  <c r="K196" i="29"/>
  <c r="S97" i="29"/>
  <c r="W97" i="29" s="1"/>
  <c r="Q97" i="29"/>
  <c r="T94" i="33"/>
  <c r="X106" i="29"/>
  <c r="Q13" i="29"/>
  <c r="S13" i="29"/>
  <c r="O15" i="29"/>
  <c r="T95" i="29"/>
  <c r="T95" i="33" s="1"/>
  <c r="P30" i="29"/>
  <c r="P26" i="29"/>
  <c r="Q23" i="29"/>
  <c r="T202" i="29"/>
  <c r="X202" i="29" s="1"/>
  <c r="E125" i="29"/>
  <c r="E174" i="29" s="1"/>
  <c r="X193" i="29"/>
  <c r="J176" i="29"/>
  <c r="X188" i="29"/>
  <c r="W106" i="29"/>
  <c r="Y92" i="29"/>
  <c r="K31" i="29"/>
  <c r="K31" i="33" s="1"/>
  <c r="I31" i="29"/>
  <c r="G36" i="29"/>
  <c r="G37" i="29" s="1"/>
  <c r="Q111" i="29"/>
  <c r="U115" i="29"/>
  <c r="Y115" i="29" s="1"/>
  <c r="Q109" i="29"/>
  <c r="S14" i="29"/>
  <c r="Q14" i="29"/>
  <c r="S35" i="29"/>
  <c r="Q35" i="29"/>
  <c r="Q192" i="29"/>
  <c r="O195" i="29"/>
  <c r="U194" i="29"/>
  <c r="Y194" i="29" s="1"/>
  <c r="W194" i="29"/>
  <c r="T200" i="29"/>
  <c r="T13" i="29"/>
  <c r="Q25" i="29"/>
  <c r="U185" i="29"/>
  <c r="W185" i="29"/>
  <c r="Q193" i="29"/>
  <c r="Q98" i="29"/>
  <c r="Q103" i="29"/>
  <c r="O112" i="29"/>
  <c r="M99" i="29"/>
  <c r="O186" i="29"/>
  <c r="P31" i="29"/>
  <c r="X103" i="29"/>
  <c r="P124" i="29"/>
  <c r="T203" i="29"/>
  <c r="Q105" i="29"/>
  <c r="M112" i="29"/>
  <c r="M195" i="32"/>
  <c r="O195" i="32"/>
  <c r="O201" i="32" s="1"/>
  <c r="K196" i="32"/>
  <c r="O245" i="28"/>
  <c r="M245" i="28"/>
  <c r="E200" i="28"/>
  <c r="D204" i="28"/>
  <c r="U19" i="39"/>
  <c r="Y19" i="39" s="1"/>
  <c r="T26" i="39"/>
  <c r="X20" i="39"/>
  <c r="X20" i="33" s="1"/>
  <c r="U20" i="39"/>
  <c r="W26" i="39"/>
  <c r="X35" i="39"/>
  <c r="X36" i="39"/>
  <c r="Y35" i="39"/>
  <c r="Y34" i="23"/>
  <c r="X32" i="23"/>
  <c r="Y32" i="23"/>
  <c r="U35" i="9"/>
  <c r="X35" i="9"/>
  <c r="U31" i="9"/>
  <c r="Y31" i="9" s="1"/>
  <c r="X31" i="9"/>
  <c r="U34" i="9"/>
  <c r="Y34" i="9" s="1"/>
  <c r="W34" i="9"/>
  <c r="P27" i="9"/>
  <c r="U23" i="9"/>
  <c r="Y23" i="9" s="1"/>
  <c r="U25" i="9"/>
  <c r="T26" i="9"/>
  <c r="X25" i="9"/>
  <c r="W25" i="9"/>
  <c r="U24" i="9"/>
  <c r="W24" i="9"/>
  <c r="Y13" i="9"/>
  <c r="U14" i="9"/>
  <c r="X14" i="9"/>
  <c r="T15" i="9"/>
  <c r="U7" i="9"/>
  <c r="Y7" i="9" s="1"/>
  <c r="W7" i="9"/>
  <c r="S15" i="9"/>
  <c r="U12" i="9"/>
  <c r="W12" i="9"/>
  <c r="G176" i="23"/>
  <c r="U117" i="23"/>
  <c r="W117" i="23"/>
  <c r="W119" i="23"/>
  <c r="Q119" i="23"/>
  <c r="Q118" i="23"/>
  <c r="O124" i="23"/>
  <c r="U116" i="23"/>
  <c r="U121" i="23"/>
  <c r="Y121" i="23" s="1"/>
  <c r="U120" i="23"/>
  <c r="Y120" i="23" s="1"/>
  <c r="W120" i="23"/>
  <c r="M124" i="23"/>
  <c r="W121" i="23"/>
  <c r="Y108" i="23"/>
  <c r="Y106" i="23"/>
  <c r="U109" i="23"/>
  <c r="Y109" i="23" s="1"/>
  <c r="U103" i="23"/>
  <c r="Y103" i="23" s="1"/>
  <c r="S112" i="23"/>
  <c r="Y110" i="23"/>
  <c r="U105" i="23"/>
  <c r="U107" i="23"/>
  <c r="U111" i="23"/>
  <c r="W107" i="23"/>
  <c r="Q112" i="23"/>
  <c r="K125" i="23"/>
  <c r="U20" i="23"/>
  <c r="W20" i="23"/>
  <c r="Y23" i="23"/>
  <c r="U21" i="23"/>
  <c r="W21" i="23"/>
  <c r="U22" i="23"/>
  <c r="W22" i="23"/>
  <c r="Y25" i="23"/>
  <c r="Y24" i="23"/>
  <c r="M195" i="9"/>
  <c r="P195" i="9"/>
  <c r="P201" i="9" s="1"/>
  <c r="P201" i="33" s="1"/>
  <c r="Q188" i="9"/>
  <c r="H205" i="9"/>
  <c r="L196" i="9"/>
  <c r="L204" i="9" s="1"/>
  <c r="D246" i="9"/>
  <c r="U103" i="9"/>
  <c r="X103" i="9"/>
  <c r="D174" i="9"/>
  <c r="Y31" i="39"/>
  <c r="I27" i="39"/>
  <c r="I37" i="39" s="1"/>
  <c r="E87" i="39"/>
  <c r="C86" i="39"/>
  <c r="E37" i="39"/>
  <c r="E248" i="29"/>
  <c r="C88" i="38"/>
  <c r="Q63" i="38"/>
  <c r="U62" i="38"/>
  <c r="U63" i="38" s="1"/>
  <c r="S63" i="38"/>
  <c r="W62" i="38"/>
  <c r="S57" i="32"/>
  <c r="U51" i="32"/>
  <c r="Y51" i="32" s="1"/>
  <c r="Q57" i="32"/>
  <c r="U62" i="28"/>
  <c r="Y62" i="28" s="1"/>
  <c r="S63" i="28"/>
  <c r="W62" i="28"/>
  <c r="C174" i="28"/>
  <c r="C175" i="28"/>
  <c r="M85" i="23"/>
  <c r="O85" i="23"/>
  <c r="Q69" i="23"/>
  <c r="S69" i="23"/>
  <c r="S69" i="33" s="1"/>
  <c r="U69" i="33" s="1"/>
  <c r="L339" i="32" l="1"/>
  <c r="W63" i="28"/>
  <c r="C4" i="41"/>
  <c r="I32" i="33"/>
  <c r="G174" i="28"/>
  <c r="D4" i="41"/>
  <c r="I247" i="30"/>
  <c r="E88" i="38"/>
  <c r="E339" i="38" s="1"/>
  <c r="C339" i="38"/>
  <c r="Q199" i="29"/>
  <c r="O32" i="30"/>
  <c r="Q32" i="30" s="1"/>
  <c r="Q36" i="30" s="1"/>
  <c r="Q32" i="29"/>
  <c r="O204" i="31"/>
  <c r="C176" i="39"/>
  <c r="K204" i="29"/>
  <c r="E176" i="29"/>
  <c r="Q116" i="33"/>
  <c r="L339" i="30"/>
  <c r="P339" i="24"/>
  <c r="E36" i="9"/>
  <c r="E37" i="9" s="1"/>
  <c r="G88" i="24"/>
  <c r="I88" i="24" s="1"/>
  <c r="E88" i="24"/>
  <c r="E339" i="24" s="1"/>
  <c r="Q8" i="33"/>
  <c r="K205" i="31"/>
  <c r="P124" i="31"/>
  <c r="I37" i="31"/>
  <c r="E88" i="31"/>
  <c r="K175" i="32"/>
  <c r="M175" i="32" s="1"/>
  <c r="K205" i="32"/>
  <c r="X26" i="32"/>
  <c r="T33" i="32"/>
  <c r="X33" i="32" s="1"/>
  <c r="Z19" i="32" s="1"/>
  <c r="C86" i="9"/>
  <c r="C88" i="9" s="1"/>
  <c r="E88" i="9" s="1"/>
  <c r="Q96" i="33"/>
  <c r="I196" i="33"/>
  <c r="U104" i="33"/>
  <c r="K196" i="33"/>
  <c r="U20" i="33"/>
  <c r="G247" i="23"/>
  <c r="I247" i="23" s="1"/>
  <c r="I248" i="39"/>
  <c r="L196" i="33"/>
  <c r="U108" i="33"/>
  <c r="O198" i="33"/>
  <c r="Q198" i="33" s="1"/>
  <c r="Q9" i="33"/>
  <c r="U190" i="33"/>
  <c r="Q6" i="33"/>
  <c r="S200" i="9"/>
  <c r="S199" i="9"/>
  <c r="S117" i="33"/>
  <c r="U198" i="9"/>
  <c r="O200" i="9"/>
  <c r="O199" i="9"/>
  <c r="Q199" i="9" s="1"/>
  <c r="C36" i="33"/>
  <c r="C37" i="33" s="1"/>
  <c r="C87" i="33" s="1"/>
  <c r="G174" i="24"/>
  <c r="D12" i="41" s="1"/>
  <c r="S101" i="33"/>
  <c r="U101" i="33" s="1"/>
  <c r="O87" i="24"/>
  <c r="Q12" i="33"/>
  <c r="S105" i="33"/>
  <c r="U105" i="33" s="1"/>
  <c r="Y31" i="30"/>
  <c r="Q182" i="33"/>
  <c r="Q13" i="33"/>
  <c r="O202" i="33"/>
  <c r="Q202" i="33" s="1"/>
  <c r="H36" i="33"/>
  <c r="H37" i="33" s="1"/>
  <c r="H86" i="33" s="1"/>
  <c r="H88" i="33" s="1"/>
  <c r="W190" i="33"/>
  <c r="S109" i="33"/>
  <c r="U109" i="33" s="1"/>
  <c r="S196" i="30"/>
  <c r="X180" i="33"/>
  <c r="T23" i="33"/>
  <c r="U23" i="33" s="1"/>
  <c r="W96" i="33"/>
  <c r="U193" i="33"/>
  <c r="S191" i="33"/>
  <c r="U191" i="33" s="1"/>
  <c r="O115" i="33"/>
  <c r="Q115" i="33" s="1"/>
  <c r="P99" i="33"/>
  <c r="U231" i="39"/>
  <c r="Y231" i="39" s="1"/>
  <c r="Y228" i="39"/>
  <c r="S12" i="33"/>
  <c r="M31" i="33"/>
  <c r="T97" i="33"/>
  <c r="O203" i="33"/>
  <c r="Q203" i="33" s="1"/>
  <c r="K200" i="33"/>
  <c r="M200" i="33" s="1"/>
  <c r="T63" i="33"/>
  <c r="T202" i="33"/>
  <c r="S95" i="33"/>
  <c r="U95" i="33" s="1"/>
  <c r="X62" i="33"/>
  <c r="X63" i="33" s="1"/>
  <c r="P30" i="33"/>
  <c r="U94" i="33"/>
  <c r="T11" i="33"/>
  <c r="S13" i="33"/>
  <c r="S182" i="33"/>
  <c r="P31" i="33"/>
  <c r="P27" i="38"/>
  <c r="Q99" i="38"/>
  <c r="U96" i="38"/>
  <c r="Y96" i="38" s="1"/>
  <c r="X105" i="38"/>
  <c r="W106" i="38"/>
  <c r="U8" i="33"/>
  <c r="U10" i="33"/>
  <c r="W10" i="33"/>
  <c r="W185" i="32"/>
  <c r="W185" i="33" s="1"/>
  <c r="Q200" i="32"/>
  <c r="W94" i="33"/>
  <c r="T96" i="33"/>
  <c r="U123" i="33"/>
  <c r="T12" i="33"/>
  <c r="T182" i="33"/>
  <c r="T9" i="33"/>
  <c r="W186" i="32"/>
  <c r="S200" i="32"/>
  <c r="Q181" i="33"/>
  <c r="X10" i="33"/>
  <c r="X11" i="33"/>
  <c r="W200" i="32"/>
  <c r="W181" i="33"/>
  <c r="Q15" i="32"/>
  <c r="Q27" i="32" s="1"/>
  <c r="Q37" i="32" s="1"/>
  <c r="Q184" i="33"/>
  <c r="T121" i="33"/>
  <c r="U121" i="33" s="1"/>
  <c r="S194" i="33"/>
  <c r="U194" i="33" s="1"/>
  <c r="K119" i="33"/>
  <c r="M119" i="33" s="1"/>
  <c r="T181" i="33"/>
  <c r="S181" i="33"/>
  <c r="T184" i="33"/>
  <c r="X184" i="31"/>
  <c r="T22" i="33"/>
  <c r="U22" i="33" s="1"/>
  <c r="P205" i="31"/>
  <c r="P246" i="31" s="1"/>
  <c r="P248" i="31" s="1"/>
  <c r="U102" i="33"/>
  <c r="T33" i="31"/>
  <c r="X33" i="31" s="1"/>
  <c r="S188" i="33"/>
  <c r="U188" i="33" s="1"/>
  <c r="W191" i="33"/>
  <c r="Q98" i="33"/>
  <c r="W7" i="31"/>
  <c r="W7" i="33" s="1"/>
  <c r="S7" i="33"/>
  <c r="X200" i="31"/>
  <c r="T180" i="33"/>
  <c r="T186" i="31"/>
  <c r="X186" i="31" s="1"/>
  <c r="S180" i="33"/>
  <c r="I86" i="31"/>
  <c r="O36" i="31"/>
  <c r="X185" i="31"/>
  <c r="T185" i="33"/>
  <c r="U185" i="33" s="1"/>
  <c r="W189" i="33"/>
  <c r="Q14" i="33"/>
  <c r="S110" i="33"/>
  <c r="M204" i="31"/>
  <c r="O32" i="33"/>
  <c r="Q33" i="31"/>
  <c r="W106" i="33"/>
  <c r="Q11" i="33"/>
  <c r="K86" i="31"/>
  <c r="K88" i="31" s="1"/>
  <c r="M33" i="33"/>
  <c r="X97" i="38"/>
  <c r="X202" i="38"/>
  <c r="X102" i="38"/>
  <c r="X12" i="38"/>
  <c r="X12" i="33" s="1"/>
  <c r="U202" i="38"/>
  <c r="Y202" i="38" s="1"/>
  <c r="U25" i="33"/>
  <c r="Q32" i="38"/>
  <c r="W194" i="38"/>
  <c r="W62" i="33"/>
  <c r="Y10" i="38"/>
  <c r="M27" i="38"/>
  <c r="X107" i="38"/>
  <c r="X107" i="33" s="1"/>
  <c r="Q118" i="38"/>
  <c r="U7" i="38"/>
  <c r="Y7" i="38" s="1"/>
  <c r="T7" i="33"/>
  <c r="X7" i="38"/>
  <c r="X7" i="33" s="1"/>
  <c r="S21" i="33"/>
  <c r="U21" i="33" s="1"/>
  <c r="S34" i="38"/>
  <c r="X203" i="38"/>
  <c r="T203" i="33"/>
  <c r="W11" i="38"/>
  <c r="S11" i="33"/>
  <c r="U11" i="38"/>
  <c r="Y11" i="38" s="1"/>
  <c r="S98" i="33"/>
  <c r="W98" i="38"/>
  <c r="W98" i="33" s="1"/>
  <c r="T117" i="33"/>
  <c r="U117" i="38"/>
  <c r="Y117" i="38" s="1"/>
  <c r="X117" i="38"/>
  <c r="S96" i="33"/>
  <c r="S99" i="38"/>
  <c r="W99" i="38" s="1"/>
  <c r="Q30" i="38"/>
  <c r="O30" i="33"/>
  <c r="U184" i="38"/>
  <c r="U186" i="38" s="1"/>
  <c r="S184" i="33"/>
  <c r="W19" i="38"/>
  <c r="S32" i="38"/>
  <c r="S19" i="33"/>
  <c r="U19" i="33" s="1"/>
  <c r="S35" i="38"/>
  <c r="W111" i="38"/>
  <c r="S111" i="33"/>
  <c r="U111" i="33" s="1"/>
  <c r="K37" i="38"/>
  <c r="K87" i="38" s="1"/>
  <c r="U24" i="33"/>
  <c r="S14" i="33"/>
  <c r="S30" i="38"/>
  <c r="W30" i="38" s="1"/>
  <c r="U14" i="38"/>
  <c r="Y14" i="38" s="1"/>
  <c r="M118" i="33"/>
  <c r="S9" i="33"/>
  <c r="W9" i="38"/>
  <c r="U9" i="38"/>
  <c r="Y9" i="38" s="1"/>
  <c r="S85" i="38"/>
  <c r="P34" i="33"/>
  <c r="P36" i="38"/>
  <c r="P37" i="38" s="1"/>
  <c r="P86" i="38" s="1"/>
  <c r="P88" i="38" s="1"/>
  <c r="P339" i="38" s="1"/>
  <c r="U110" i="38"/>
  <c r="Y110" i="38" s="1"/>
  <c r="T110" i="33"/>
  <c r="T112" i="33" s="1"/>
  <c r="W103" i="38"/>
  <c r="S103" i="33"/>
  <c r="U103" i="33" s="1"/>
  <c r="T98" i="33"/>
  <c r="X98" i="38"/>
  <c r="T13" i="33"/>
  <c r="T30" i="38"/>
  <c r="X13" i="38"/>
  <c r="Q31" i="38"/>
  <c r="T34" i="38"/>
  <c r="T34" i="33" s="1"/>
  <c r="T17" i="33"/>
  <c r="U17" i="33" s="1"/>
  <c r="O34" i="33"/>
  <c r="Q34" i="38"/>
  <c r="S118" i="38"/>
  <c r="O118" i="33"/>
  <c r="T18" i="33"/>
  <c r="U18" i="33" s="1"/>
  <c r="T35" i="38"/>
  <c r="O35" i="33"/>
  <c r="Q35" i="33" s="1"/>
  <c r="Q35" i="38"/>
  <c r="Q97" i="33"/>
  <c r="S97" i="33"/>
  <c r="U97" i="38"/>
  <c r="Y97" i="38" s="1"/>
  <c r="U102" i="38"/>
  <c r="Y102" i="38" s="1"/>
  <c r="I113" i="33"/>
  <c r="U116" i="33"/>
  <c r="Q186" i="38"/>
  <c r="W107" i="38"/>
  <c r="S107" i="33"/>
  <c r="U107" i="33" s="1"/>
  <c r="T118" i="38"/>
  <c r="T118" i="33" s="1"/>
  <c r="P118" i="33"/>
  <c r="W184" i="38"/>
  <c r="U106" i="33"/>
  <c r="T15" i="38"/>
  <c r="T32" i="38" s="1"/>
  <c r="X32" i="38" s="1"/>
  <c r="X14" i="38"/>
  <c r="T14" i="33"/>
  <c r="T31" i="38"/>
  <c r="T99" i="38"/>
  <c r="X99" i="38" s="1"/>
  <c r="Q66" i="33"/>
  <c r="Q85" i="33" s="1"/>
  <c r="T66" i="33"/>
  <c r="T85" i="33" s="1"/>
  <c r="G174" i="32"/>
  <c r="G176" i="32" s="1"/>
  <c r="G125" i="33"/>
  <c r="G174" i="33" s="1"/>
  <c r="P27" i="31"/>
  <c r="P32" i="31"/>
  <c r="M32" i="31"/>
  <c r="L32" i="33"/>
  <c r="M32" i="33" s="1"/>
  <c r="L36" i="31"/>
  <c r="L37" i="31" s="1"/>
  <c r="L86" i="31" s="1"/>
  <c r="L88" i="31" s="1"/>
  <c r="L339" i="31" s="1"/>
  <c r="X6" i="31"/>
  <c r="T6" i="33"/>
  <c r="U29" i="31"/>
  <c r="M113" i="9"/>
  <c r="W32" i="9"/>
  <c r="K37" i="30"/>
  <c r="K87" i="30" s="1"/>
  <c r="M87" i="30" s="1"/>
  <c r="P199" i="28"/>
  <c r="Q199" i="28" s="1"/>
  <c r="L199" i="33"/>
  <c r="M199" i="33" s="1"/>
  <c r="I175" i="32"/>
  <c r="I176" i="32" s="1"/>
  <c r="E175" i="32"/>
  <c r="E176" i="32" s="1"/>
  <c r="C176" i="9"/>
  <c r="O119" i="33"/>
  <c r="L113" i="33"/>
  <c r="O200" i="29"/>
  <c r="Q200" i="29" s="1"/>
  <c r="C176" i="29"/>
  <c r="C176" i="24"/>
  <c r="C339" i="24" s="1"/>
  <c r="L27" i="33"/>
  <c r="Q33" i="23"/>
  <c r="G88" i="23"/>
  <c r="G339" i="23" s="1"/>
  <c r="O99" i="33"/>
  <c r="O196" i="32"/>
  <c r="O201" i="33"/>
  <c r="Q201" i="33" s="1"/>
  <c r="G88" i="28"/>
  <c r="Q201" i="9"/>
  <c r="I204" i="33"/>
  <c r="P186" i="33"/>
  <c r="H204" i="33"/>
  <c r="H205" i="33" s="1"/>
  <c r="H246" i="33" s="1"/>
  <c r="H248" i="33" s="1"/>
  <c r="X186" i="9"/>
  <c r="T200" i="9"/>
  <c r="T200" i="33" s="1"/>
  <c r="T199" i="9"/>
  <c r="X199" i="9" s="1"/>
  <c r="W199" i="32"/>
  <c r="E176" i="9"/>
  <c r="K86" i="23"/>
  <c r="K87" i="23"/>
  <c r="M87" i="23" s="1"/>
  <c r="G86" i="39"/>
  <c r="I86" i="39" s="1"/>
  <c r="G87" i="39"/>
  <c r="I87" i="39" s="1"/>
  <c r="K86" i="39"/>
  <c r="M86" i="39" s="1"/>
  <c r="K87" i="39"/>
  <c r="M87" i="39" s="1"/>
  <c r="G87" i="29"/>
  <c r="I87" i="29" s="1"/>
  <c r="K87" i="32"/>
  <c r="K88" i="32" s="1"/>
  <c r="M36" i="28"/>
  <c r="M37" i="28" s="1"/>
  <c r="U61" i="23"/>
  <c r="Y61" i="23" s="1"/>
  <c r="W109" i="38"/>
  <c r="X109" i="38"/>
  <c r="X106" i="38"/>
  <c r="M99" i="33"/>
  <c r="M113" i="33" s="1"/>
  <c r="X181" i="32"/>
  <c r="T186" i="32"/>
  <c r="S198" i="32"/>
  <c r="W180" i="32"/>
  <c r="M186" i="33"/>
  <c r="M196" i="33" s="1"/>
  <c r="P15" i="33"/>
  <c r="U14" i="32"/>
  <c r="Y57" i="33"/>
  <c r="W57" i="33"/>
  <c r="Q202" i="28"/>
  <c r="O196" i="31"/>
  <c r="O205" i="31" s="1"/>
  <c r="O246" i="31" s="1"/>
  <c r="T15" i="32"/>
  <c r="X15" i="32" s="1"/>
  <c r="K247" i="30"/>
  <c r="C176" i="32"/>
  <c r="W21" i="38"/>
  <c r="Q204" i="23"/>
  <c r="U192" i="31"/>
  <c r="Y192" i="31" s="1"/>
  <c r="X192" i="31"/>
  <c r="X192" i="33" s="1"/>
  <c r="U97" i="32"/>
  <c r="Y97" i="32" s="1"/>
  <c r="X182" i="32"/>
  <c r="X182" i="33" s="1"/>
  <c r="X104" i="38"/>
  <c r="X184" i="32"/>
  <c r="X8" i="32"/>
  <c r="X8" i="33" s="1"/>
  <c r="U34" i="28"/>
  <c r="Y34" i="28" s="1"/>
  <c r="X25" i="38"/>
  <c r="U22" i="38"/>
  <c r="Y22" i="38" s="1"/>
  <c r="U181" i="32"/>
  <c r="L37" i="38"/>
  <c r="L86" i="38" s="1"/>
  <c r="L88" i="38" s="1"/>
  <c r="L339" i="38" s="1"/>
  <c r="U182" i="32"/>
  <c r="Y182" i="32" s="1"/>
  <c r="W12" i="32"/>
  <c r="U12" i="32"/>
  <c r="Y12" i="32" s="1"/>
  <c r="X185" i="32"/>
  <c r="M15" i="33"/>
  <c r="X191" i="31"/>
  <c r="X191" i="33" s="1"/>
  <c r="T195" i="33"/>
  <c r="U185" i="32"/>
  <c r="Y185" i="32" s="1"/>
  <c r="W60" i="23"/>
  <c r="S63" i="23"/>
  <c r="W63" i="23" s="1"/>
  <c r="U60" i="23"/>
  <c r="W97" i="32"/>
  <c r="U194" i="38"/>
  <c r="Y194" i="38" s="1"/>
  <c r="P112" i="33"/>
  <c r="U193" i="38"/>
  <c r="Q203" i="28"/>
  <c r="Y120" i="38"/>
  <c r="M124" i="38"/>
  <c r="X193" i="31"/>
  <c r="U102" i="30"/>
  <c r="Y102" i="30" s="1"/>
  <c r="W102" i="30"/>
  <c r="K113" i="33"/>
  <c r="Q63" i="23"/>
  <c r="O15" i="33"/>
  <c r="W61" i="23"/>
  <c r="I248" i="30"/>
  <c r="I248" i="24"/>
  <c r="C175" i="33"/>
  <c r="E175" i="33" s="1"/>
  <c r="E176" i="33" s="1"/>
  <c r="C174" i="33"/>
  <c r="Y14" i="32"/>
  <c r="W13" i="32"/>
  <c r="O186" i="33"/>
  <c r="O85" i="33"/>
  <c r="Q63" i="33"/>
  <c r="O63" i="33"/>
  <c r="X14" i="32"/>
  <c r="Q195" i="33"/>
  <c r="U7" i="32"/>
  <c r="Y7" i="32" s="1"/>
  <c r="U103" i="38"/>
  <c r="Y103" i="38" s="1"/>
  <c r="X188" i="31"/>
  <c r="X188" i="33" s="1"/>
  <c r="W105" i="38"/>
  <c r="P37" i="9"/>
  <c r="P86" i="9" s="1"/>
  <c r="W66" i="9"/>
  <c r="W66" i="33" s="1"/>
  <c r="S29" i="33"/>
  <c r="U29" i="33" s="1"/>
  <c r="Y94" i="30"/>
  <c r="P37" i="32"/>
  <c r="P86" i="32" s="1"/>
  <c r="P88" i="32" s="1"/>
  <c r="P339" i="32" s="1"/>
  <c r="Q26" i="30"/>
  <c r="Q27" i="30" s="1"/>
  <c r="I27" i="33"/>
  <c r="W14" i="32"/>
  <c r="X194" i="31"/>
  <c r="X194" i="33" s="1"/>
  <c r="X103" i="38"/>
  <c r="X103" i="33" s="1"/>
  <c r="X12" i="32"/>
  <c r="W101" i="38"/>
  <c r="W101" i="33" s="1"/>
  <c r="U101" i="38"/>
  <c r="Y101" i="38" s="1"/>
  <c r="X17" i="38"/>
  <c r="W9" i="32"/>
  <c r="U9" i="32"/>
  <c r="Y9" i="32" s="1"/>
  <c r="P195" i="33"/>
  <c r="O195" i="33"/>
  <c r="X110" i="38"/>
  <c r="X96" i="32"/>
  <c r="C248" i="31"/>
  <c r="Q29" i="29"/>
  <c r="W108" i="38"/>
  <c r="U105" i="38"/>
  <c r="Y105" i="38" s="1"/>
  <c r="U96" i="32"/>
  <c r="Y96" i="32" s="1"/>
  <c r="U107" i="38"/>
  <c r="Y107" i="38" s="1"/>
  <c r="U57" i="33"/>
  <c r="S57" i="33"/>
  <c r="X111" i="38"/>
  <c r="X111" i="33" s="1"/>
  <c r="O112" i="33"/>
  <c r="U111" i="38"/>
  <c r="Y111" i="38" s="1"/>
  <c r="P26" i="33"/>
  <c r="U13" i="32"/>
  <c r="Y13" i="32" s="1"/>
  <c r="W198" i="32"/>
  <c r="Q198" i="32"/>
  <c r="Y198" i="9"/>
  <c r="G175" i="29"/>
  <c r="I175" i="29" s="1"/>
  <c r="I176" i="29" s="1"/>
  <c r="G175" i="9"/>
  <c r="I175" i="9" s="1"/>
  <c r="I176" i="9" s="1"/>
  <c r="M86" i="32"/>
  <c r="D14" i="41"/>
  <c r="G204" i="33"/>
  <c r="G205" i="33" s="1"/>
  <c r="G247" i="33" s="1"/>
  <c r="I176" i="30"/>
  <c r="C204" i="33"/>
  <c r="C205" i="33" s="1"/>
  <c r="E204" i="33"/>
  <c r="E205" i="33" s="1"/>
  <c r="E246" i="33" s="1"/>
  <c r="M248" i="39"/>
  <c r="E248" i="30"/>
  <c r="Y199" i="32"/>
  <c r="I124" i="28"/>
  <c r="W19" i="9"/>
  <c r="M37" i="23"/>
  <c r="M26" i="33"/>
  <c r="K26" i="33"/>
  <c r="K27" i="33" s="1"/>
  <c r="I36" i="33"/>
  <c r="E88" i="23"/>
  <c r="E339" i="23" s="1"/>
  <c r="I86" i="23"/>
  <c r="G36" i="33"/>
  <c r="G37" i="33" s="1"/>
  <c r="G87" i="33" s="1"/>
  <c r="E36" i="33"/>
  <c r="E37" i="33" s="1"/>
  <c r="D36" i="33"/>
  <c r="D37" i="33" s="1"/>
  <c r="D86" i="33" s="1"/>
  <c r="C11" i="41"/>
  <c r="E86" i="39"/>
  <c r="W36" i="39"/>
  <c r="E86" i="30"/>
  <c r="E86" i="32"/>
  <c r="P36" i="28"/>
  <c r="E86" i="28"/>
  <c r="U30" i="28"/>
  <c r="Y30" i="28" s="1"/>
  <c r="J176" i="33"/>
  <c r="J339" i="33" s="1"/>
  <c r="N176" i="33"/>
  <c r="N339" i="33" s="1"/>
  <c r="Q32" i="28"/>
  <c r="Q36" i="28" s="1"/>
  <c r="Q37" i="28" s="1"/>
  <c r="F176" i="33"/>
  <c r="F339" i="33" s="1"/>
  <c r="R176" i="33"/>
  <c r="R339" i="33" s="1"/>
  <c r="V174" i="33"/>
  <c r="V175" i="33"/>
  <c r="O27" i="23"/>
  <c r="O36" i="23"/>
  <c r="O205" i="23"/>
  <c r="O246" i="23" s="1"/>
  <c r="W6" i="23"/>
  <c r="M125" i="23"/>
  <c r="M174" i="23" s="1"/>
  <c r="U180" i="23"/>
  <c r="U186" i="23" s="1"/>
  <c r="Y186" i="23" s="1"/>
  <c r="S198" i="23"/>
  <c r="U198" i="23" s="1"/>
  <c r="Y198" i="23" s="1"/>
  <c r="T196" i="23"/>
  <c r="T205" i="23" s="1"/>
  <c r="T246" i="23" s="1"/>
  <c r="T248" i="23" s="1"/>
  <c r="U6" i="23"/>
  <c r="Y6" i="23" s="1"/>
  <c r="I248" i="23"/>
  <c r="G248" i="23"/>
  <c r="Q29" i="23"/>
  <c r="W29" i="23"/>
  <c r="Q113" i="23"/>
  <c r="Y29" i="23"/>
  <c r="U188" i="23"/>
  <c r="Y188" i="23" s="1"/>
  <c r="U195" i="24"/>
  <c r="X37" i="24"/>
  <c r="X86" i="24" s="1"/>
  <c r="X88" i="24" s="1"/>
  <c r="U186" i="24"/>
  <c r="Y186" i="24" s="1"/>
  <c r="I176" i="24"/>
  <c r="S37" i="24"/>
  <c r="T113" i="24"/>
  <c r="T125" i="24" s="1"/>
  <c r="T174" i="24" s="1"/>
  <c r="T176" i="24" s="1"/>
  <c r="W198" i="24"/>
  <c r="T27" i="24"/>
  <c r="T37" i="24" s="1"/>
  <c r="T86" i="24" s="1"/>
  <c r="T88" i="24" s="1"/>
  <c r="U67" i="24"/>
  <c r="W110" i="24"/>
  <c r="K246" i="24"/>
  <c r="K247" i="24"/>
  <c r="M247" i="24" s="1"/>
  <c r="T196" i="24"/>
  <c r="T205" i="24" s="1"/>
  <c r="T246" i="24" s="1"/>
  <c r="T248" i="24" s="1"/>
  <c r="G248" i="24"/>
  <c r="W36" i="24"/>
  <c r="W37" i="24" s="1"/>
  <c r="I176" i="39"/>
  <c r="K248" i="39"/>
  <c r="T125" i="39"/>
  <c r="T174" i="39" s="1"/>
  <c r="T176" i="39" s="1"/>
  <c r="G176" i="39"/>
  <c r="P27" i="39"/>
  <c r="P37" i="39" s="1"/>
  <c r="P86" i="39" s="1"/>
  <c r="P88" i="39" s="1"/>
  <c r="P339" i="39" s="1"/>
  <c r="U199" i="39"/>
  <c r="U204" i="39" s="1"/>
  <c r="Y204" i="39" s="1"/>
  <c r="T204" i="39"/>
  <c r="X204" i="39" s="1"/>
  <c r="X205" i="39" s="1"/>
  <c r="X246" i="39" s="1"/>
  <c r="X248" i="39" s="1"/>
  <c r="S15" i="39"/>
  <c r="S27" i="39" s="1"/>
  <c r="S37" i="39" s="1"/>
  <c r="W13" i="39"/>
  <c r="Y13" i="39"/>
  <c r="W195" i="30"/>
  <c r="O113" i="30"/>
  <c r="O125" i="30" s="1"/>
  <c r="W109" i="30"/>
  <c r="Y109" i="30"/>
  <c r="U17" i="30"/>
  <c r="Q99" i="30"/>
  <c r="W188" i="30"/>
  <c r="W188" i="33" s="1"/>
  <c r="U188" i="30"/>
  <c r="Y188" i="30" s="1"/>
  <c r="S30" i="33"/>
  <c r="Q202" i="30"/>
  <c r="Q204" i="30" s="1"/>
  <c r="S202" i="30"/>
  <c r="U202" i="30" s="1"/>
  <c r="O36" i="30"/>
  <c r="O37" i="30" s="1"/>
  <c r="T113" i="30"/>
  <c r="Y111" i="30"/>
  <c r="Q112" i="30"/>
  <c r="U26" i="30"/>
  <c r="Y26" i="30" s="1"/>
  <c r="Y105" i="30"/>
  <c r="M37" i="30"/>
  <c r="X23" i="30"/>
  <c r="X31" i="30"/>
  <c r="U186" i="30"/>
  <c r="Y186" i="30" s="1"/>
  <c r="Y23" i="30"/>
  <c r="Y97" i="30"/>
  <c r="W105" i="30"/>
  <c r="W97" i="30"/>
  <c r="Y200" i="30"/>
  <c r="U112" i="30"/>
  <c r="S112" i="30"/>
  <c r="W112" i="30" s="1"/>
  <c r="W111" i="30"/>
  <c r="Y62" i="29"/>
  <c r="P113" i="29"/>
  <c r="P125" i="29" s="1"/>
  <c r="P174" i="29" s="1"/>
  <c r="P176" i="29" s="1"/>
  <c r="W71" i="38"/>
  <c r="U71" i="38"/>
  <c r="Y71" i="38" s="1"/>
  <c r="M113" i="38"/>
  <c r="W85" i="38"/>
  <c r="M248" i="38"/>
  <c r="Y185" i="38"/>
  <c r="G86" i="38"/>
  <c r="I87" i="38"/>
  <c r="U23" i="38"/>
  <c r="Y23" i="38" s="1"/>
  <c r="U19" i="38"/>
  <c r="Y19" i="38" s="1"/>
  <c r="O27" i="38"/>
  <c r="W20" i="38"/>
  <c r="W20" i="33" s="1"/>
  <c r="U20" i="38"/>
  <c r="Y20" i="38" s="1"/>
  <c r="Q124" i="32"/>
  <c r="W123" i="32"/>
  <c r="W123" i="33" s="1"/>
  <c r="Q99" i="31"/>
  <c r="M113" i="31"/>
  <c r="G247" i="31"/>
  <c r="I247" i="31" s="1"/>
  <c r="I248" i="31" s="1"/>
  <c r="Y189" i="31"/>
  <c r="S186" i="31"/>
  <c r="Y22" i="31"/>
  <c r="U201" i="31"/>
  <c r="Y201" i="31" s="1"/>
  <c r="U201" i="30"/>
  <c r="Y201" i="30" s="1"/>
  <c r="W201" i="30"/>
  <c r="Q196" i="39"/>
  <c r="Q205" i="39" s="1"/>
  <c r="Q246" i="39" s="1"/>
  <c r="M204" i="24"/>
  <c r="M205" i="24" s="1"/>
  <c r="M246" i="24" s="1"/>
  <c r="Q115" i="39"/>
  <c r="Q124" i="39" s="1"/>
  <c r="O124" i="39"/>
  <c r="X66" i="9"/>
  <c r="Y194" i="31"/>
  <c r="G88" i="32"/>
  <c r="S196" i="23"/>
  <c r="W186" i="23"/>
  <c r="W196" i="23" s="1"/>
  <c r="O27" i="39"/>
  <c r="O37" i="39" s="1"/>
  <c r="O86" i="39" s="1"/>
  <c r="W193" i="38"/>
  <c r="Y181" i="32"/>
  <c r="U201" i="38"/>
  <c r="Y201" i="38" s="1"/>
  <c r="X201" i="38"/>
  <c r="U199" i="23"/>
  <c r="Y199" i="23" s="1"/>
  <c r="W199" i="23"/>
  <c r="W200" i="30"/>
  <c r="O27" i="32"/>
  <c r="O37" i="32" s="1"/>
  <c r="O87" i="32" s="1"/>
  <c r="K246" i="23"/>
  <c r="K247" i="23"/>
  <c r="M247" i="23" s="1"/>
  <c r="U92" i="39"/>
  <c r="Y92" i="39" s="1"/>
  <c r="S99" i="39"/>
  <c r="S113" i="39" s="1"/>
  <c r="S115" i="39"/>
  <c r="W92" i="39"/>
  <c r="W92" i="33" s="1"/>
  <c r="Y92" i="33" s="1"/>
  <c r="Y189" i="23"/>
  <c r="Y99" i="23"/>
  <c r="C205" i="9"/>
  <c r="C247" i="9" s="1"/>
  <c r="T196" i="30"/>
  <c r="T205" i="30" s="1"/>
  <c r="T246" i="30" s="1"/>
  <c r="T248" i="30" s="1"/>
  <c r="X186" i="30"/>
  <c r="X196" i="30" s="1"/>
  <c r="X205" i="30" s="1"/>
  <c r="X246" i="30" s="1"/>
  <c r="X248" i="30" s="1"/>
  <c r="O196" i="39"/>
  <c r="O205" i="39" s="1"/>
  <c r="O246" i="39" s="1"/>
  <c r="S203" i="24"/>
  <c r="U203" i="24" s="1"/>
  <c r="Q203" i="24"/>
  <c r="U203" i="23"/>
  <c r="W203" i="23"/>
  <c r="Q15" i="39"/>
  <c r="Q27" i="39" s="1"/>
  <c r="S199" i="24"/>
  <c r="W199" i="24" s="1"/>
  <c r="Q199" i="24"/>
  <c r="O204" i="24"/>
  <c r="O113" i="39"/>
  <c r="X112" i="31"/>
  <c r="X113" i="31" s="1"/>
  <c r="U200" i="31"/>
  <c r="Y200" i="31" s="1"/>
  <c r="S15" i="23"/>
  <c r="W15" i="23" s="1"/>
  <c r="W13" i="23"/>
  <c r="Q195" i="38"/>
  <c r="U184" i="39"/>
  <c r="U186" i="39" s="1"/>
  <c r="S186" i="39"/>
  <c r="W186" i="39" s="1"/>
  <c r="X19" i="38"/>
  <c r="X19" i="33" s="1"/>
  <c r="S85" i="24"/>
  <c r="W67" i="24"/>
  <c r="W67" i="33" s="1"/>
  <c r="Y67" i="33" s="1"/>
  <c r="U191" i="39"/>
  <c r="S195" i="39"/>
  <c r="T15" i="39"/>
  <c r="X15" i="39" s="1"/>
  <c r="U15" i="39"/>
  <c r="C9" i="41"/>
  <c r="U8" i="32"/>
  <c r="S15" i="32"/>
  <c r="S27" i="32" s="1"/>
  <c r="S37" i="32" s="1"/>
  <c r="W8" i="32"/>
  <c r="W8" i="33" s="1"/>
  <c r="S195" i="38"/>
  <c r="X123" i="32"/>
  <c r="X123" i="33" s="1"/>
  <c r="T99" i="28"/>
  <c r="T119" i="28" s="1"/>
  <c r="U119" i="28" s="1"/>
  <c r="Y119" i="28" s="1"/>
  <c r="P125" i="38"/>
  <c r="P174" i="38" s="1"/>
  <c r="P176" i="38" s="1"/>
  <c r="W24" i="38"/>
  <c r="U109" i="38"/>
  <c r="Y109" i="38" s="1"/>
  <c r="T112" i="38"/>
  <c r="U104" i="38"/>
  <c r="W104" i="38"/>
  <c r="W104" i="33" s="1"/>
  <c r="S112" i="38"/>
  <c r="S113" i="38" s="1"/>
  <c r="X22" i="38"/>
  <c r="U116" i="38"/>
  <c r="Y116" i="38" s="1"/>
  <c r="U203" i="38"/>
  <c r="Y203" i="38" s="1"/>
  <c r="T204" i="38"/>
  <c r="T205" i="38" s="1"/>
  <c r="T246" i="38" s="1"/>
  <c r="T248" i="38" s="1"/>
  <c r="U98" i="38"/>
  <c r="Y98" i="38" s="1"/>
  <c r="U106" i="38"/>
  <c r="Y106" i="38" s="1"/>
  <c r="W230" i="38"/>
  <c r="U230" i="38"/>
  <c r="S231" i="38"/>
  <c r="W231" i="38" s="1"/>
  <c r="U21" i="38"/>
  <c r="X24" i="38"/>
  <c r="X24" i="33" s="1"/>
  <c r="O113" i="38"/>
  <c r="U108" i="38"/>
  <c r="Y108" i="38" s="1"/>
  <c r="T26" i="38"/>
  <c r="T27" i="38" s="1"/>
  <c r="U18" i="38"/>
  <c r="P205" i="38"/>
  <c r="P246" i="38" s="1"/>
  <c r="P248" i="38" s="1"/>
  <c r="K248" i="38"/>
  <c r="U24" i="38"/>
  <c r="Y24" i="38" s="1"/>
  <c r="U25" i="38"/>
  <c r="Q112" i="38"/>
  <c r="Q113" i="38" s="1"/>
  <c r="W25" i="38"/>
  <c r="W25" i="33" s="1"/>
  <c r="X18" i="38"/>
  <c r="X116" i="38"/>
  <c r="M200" i="9"/>
  <c r="M204" i="9" s="1"/>
  <c r="G88" i="30"/>
  <c r="C88" i="30"/>
  <c r="C339" i="30" s="1"/>
  <c r="M124" i="9"/>
  <c r="M125" i="9" s="1"/>
  <c r="M174" i="9" s="1"/>
  <c r="L124" i="9"/>
  <c r="L125" i="9" s="1"/>
  <c r="L174" i="9" s="1"/>
  <c r="L37" i="9"/>
  <c r="L86" i="9" s="1"/>
  <c r="L88" i="9" s="1"/>
  <c r="W99" i="30"/>
  <c r="S119" i="30"/>
  <c r="S124" i="30" s="1"/>
  <c r="X99" i="30"/>
  <c r="X113" i="30" s="1"/>
  <c r="W15" i="30"/>
  <c r="W27" i="30" s="1"/>
  <c r="U13" i="38"/>
  <c r="Y13" i="38" s="1"/>
  <c r="W13" i="38"/>
  <c r="Q15" i="38"/>
  <c r="W32" i="38"/>
  <c r="Q26" i="38"/>
  <c r="U12" i="38"/>
  <c r="W12" i="38"/>
  <c r="S15" i="38"/>
  <c r="G174" i="9"/>
  <c r="K125" i="29"/>
  <c r="K175" i="29" s="1"/>
  <c r="M175" i="29" s="1"/>
  <c r="G174" i="29"/>
  <c r="O27" i="29"/>
  <c r="C88" i="29"/>
  <c r="C339" i="29" s="1"/>
  <c r="U112" i="32"/>
  <c r="Y112" i="32" s="1"/>
  <c r="Q195" i="32"/>
  <c r="Q196" i="32" s="1"/>
  <c r="P27" i="23"/>
  <c r="Y194" i="9"/>
  <c r="Y192" i="9"/>
  <c r="P113" i="9"/>
  <c r="Y94" i="9"/>
  <c r="Y190" i="29"/>
  <c r="T195" i="29"/>
  <c r="X195" i="29" s="1"/>
  <c r="O120" i="33"/>
  <c r="Q120" i="33" s="1"/>
  <c r="U106" i="29"/>
  <c r="Y106" i="29" s="1"/>
  <c r="P36" i="29"/>
  <c r="U110" i="28"/>
  <c r="K124" i="28"/>
  <c r="K125" i="28" s="1"/>
  <c r="G248" i="39"/>
  <c r="G248" i="30"/>
  <c r="O205" i="38"/>
  <c r="Q204" i="38"/>
  <c r="S204" i="38"/>
  <c r="U199" i="38"/>
  <c r="W199" i="38"/>
  <c r="U33" i="32"/>
  <c r="U36" i="32" s="1"/>
  <c r="Y36" i="32" s="1"/>
  <c r="Y30" i="32"/>
  <c r="G204" i="9"/>
  <c r="I200" i="9"/>
  <c r="I204" i="9" s="1"/>
  <c r="I205" i="9" s="1"/>
  <c r="I246" i="9" s="1"/>
  <c r="Q26" i="23"/>
  <c r="Q27" i="23" s="1"/>
  <c r="I27" i="9"/>
  <c r="M37" i="38"/>
  <c r="K86" i="38"/>
  <c r="M87" i="38"/>
  <c r="U17" i="38"/>
  <c r="S26" i="38"/>
  <c r="S33" i="38"/>
  <c r="W17" i="38"/>
  <c r="Q33" i="38"/>
  <c r="O36" i="38"/>
  <c r="O37" i="38" s="1"/>
  <c r="Y67" i="32"/>
  <c r="U85" i="32"/>
  <c r="Y85" i="32" s="1"/>
  <c r="T27" i="30"/>
  <c r="T37" i="30" s="1"/>
  <c r="T86" i="30" s="1"/>
  <c r="T88" i="30" s="1"/>
  <c r="M125" i="30"/>
  <c r="M174" i="30" s="1"/>
  <c r="T113" i="32"/>
  <c r="X112" i="32"/>
  <c r="X113" i="32" s="1"/>
  <c r="Q37" i="24"/>
  <c r="Y184" i="32"/>
  <c r="Y186" i="39"/>
  <c r="Y188" i="24"/>
  <c r="U198" i="30"/>
  <c r="S27" i="30"/>
  <c r="L37" i="23"/>
  <c r="L86" i="23" s="1"/>
  <c r="L88" i="23" s="1"/>
  <c r="L339" i="23" s="1"/>
  <c r="Y98" i="39"/>
  <c r="X112" i="24"/>
  <c r="X113" i="24" s="1"/>
  <c r="X125" i="24" s="1"/>
  <c r="X174" i="24" s="1"/>
  <c r="X176" i="24" s="1"/>
  <c r="S112" i="24"/>
  <c r="W112" i="24" s="1"/>
  <c r="U101" i="24"/>
  <c r="M36" i="39"/>
  <c r="M37" i="39" s="1"/>
  <c r="K175" i="38"/>
  <c r="M175" i="38" s="1"/>
  <c r="K174" i="38"/>
  <c r="X27" i="30"/>
  <c r="X37" i="30" s="1"/>
  <c r="X86" i="30" s="1"/>
  <c r="X88" i="30" s="1"/>
  <c r="U11" i="29"/>
  <c r="Q195" i="31"/>
  <c r="W194" i="31"/>
  <c r="G176" i="38"/>
  <c r="W198" i="30"/>
  <c r="M124" i="24"/>
  <c r="O113" i="32"/>
  <c r="O125" i="32" s="1"/>
  <c r="O174" i="32" s="1"/>
  <c r="X124" i="23"/>
  <c r="X125" i="23" s="1"/>
  <c r="X174" i="23" s="1"/>
  <c r="X176" i="23" s="1"/>
  <c r="U15" i="24"/>
  <c r="Y15" i="24" s="1"/>
  <c r="C176" i="38"/>
  <c r="I125" i="38"/>
  <c r="I174" i="38" s="1"/>
  <c r="I176" i="38" s="1"/>
  <c r="O205" i="30"/>
  <c r="S196" i="24"/>
  <c r="W195" i="24"/>
  <c r="W196" i="24" s="1"/>
  <c r="Y92" i="23"/>
  <c r="K174" i="30"/>
  <c r="Z174" i="30" s="1"/>
  <c r="K175" i="30"/>
  <c r="M175" i="30" s="1"/>
  <c r="U17" i="23"/>
  <c r="Y17" i="23" s="1"/>
  <c r="S26" i="23"/>
  <c r="S33" i="23" s="1"/>
  <c r="Q196" i="30"/>
  <c r="X27" i="32"/>
  <c r="U118" i="30"/>
  <c r="Y118" i="30" s="1"/>
  <c r="X118" i="30"/>
  <c r="Q113" i="39"/>
  <c r="O113" i="24"/>
  <c r="T124" i="30"/>
  <c r="T125" i="30" s="1"/>
  <c r="T174" i="30" s="1"/>
  <c r="T176" i="30" s="1"/>
  <c r="Y193" i="9"/>
  <c r="U17" i="39"/>
  <c r="Y17" i="39" s="1"/>
  <c r="X17" i="39"/>
  <c r="K125" i="24"/>
  <c r="M113" i="24"/>
  <c r="S99" i="32"/>
  <c r="S113" i="32" s="1"/>
  <c r="U93" i="32"/>
  <c r="U99" i="32" s="1"/>
  <c r="Y99" i="32" s="1"/>
  <c r="W93" i="32"/>
  <c r="Y198" i="39"/>
  <c r="P125" i="30"/>
  <c r="P174" i="30" s="1"/>
  <c r="P176" i="30" s="1"/>
  <c r="P339" i="30" s="1"/>
  <c r="H37" i="38"/>
  <c r="H86" i="38" s="1"/>
  <c r="H88" i="38" s="1"/>
  <c r="H339" i="38" s="1"/>
  <c r="U15" i="30"/>
  <c r="Y15" i="30" s="1"/>
  <c r="U26" i="32"/>
  <c r="M205" i="23"/>
  <c r="M246" i="23" s="1"/>
  <c r="U123" i="32"/>
  <c r="U26" i="24"/>
  <c r="Y181" i="30"/>
  <c r="X195" i="24"/>
  <c r="X196" i="24" s="1"/>
  <c r="Y18" i="24"/>
  <c r="S99" i="24"/>
  <c r="W99" i="24" s="1"/>
  <c r="S115" i="24"/>
  <c r="U92" i="24"/>
  <c r="T36" i="32"/>
  <c r="X30" i="32"/>
  <c r="Y17" i="30"/>
  <c r="M113" i="32"/>
  <c r="M125" i="32" s="1"/>
  <c r="M174" i="32" s="1"/>
  <c r="Y182" i="24"/>
  <c r="S119" i="38"/>
  <c r="Q119" i="38"/>
  <c r="O124" i="38"/>
  <c r="Y101" i="30"/>
  <c r="G176" i="24"/>
  <c r="T27" i="9"/>
  <c r="M196" i="29"/>
  <c r="X112" i="9"/>
  <c r="M27" i="31"/>
  <c r="T26" i="23"/>
  <c r="T33" i="23" s="1"/>
  <c r="T33" i="33" s="1"/>
  <c r="U18" i="23"/>
  <c r="Y18" i="23" s="1"/>
  <c r="X18" i="23"/>
  <c r="X204" i="24"/>
  <c r="Q87" i="24"/>
  <c r="O86" i="24"/>
  <c r="Q86" i="24" s="1"/>
  <c r="I36" i="38"/>
  <c r="I37" i="38" s="1"/>
  <c r="Q196" i="24"/>
  <c r="Y195" i="24"/>
  <c r="T124" i="32"/>
  <c r="X124" i="32" s="1"/>
  <c r="Q196" i="23"/>
  <c r="Y11" i="23"/>
  <c r="U30" i="30"/>
  <c r="W30" i="30"/>
  <c r="O124" i="24"/>
  <c r="Q115" i="24"/>
  <c r="Q124" i="24" s="1"/>
  <c r="Y93" i="38"/>
  <c r="Q113" i="32"/>
  <c r="W204" i="39"/>
  <c r="Q113" i="24"/>
  <c r="Y93" i="32"/>
  <c r="K88" i="24"/>
  <c r="U36" i="24"/>
  <c r="Y36" i="24" s="1"/>
  <c r="W186" i="30"/>
  <c r="Q36" i="39"/>
  <c r="T27" i="32"/>
  <c r="G246" i="29"/>
  <c r="G248" i="29" s="1"/>
  <c r="L37" i="29"/>
  <c r="L86" i="29" s="1"/>
  <c r="L88" i="29" s="1"/>
  <c r="L339" i="29" s="1"/>
  <c r="W29" i="29"/>
  <c r="T112" i="29"/>
  <c r="X112" i="29" s="1"/>
  <c r="W117" i="33"/>
  <c r="W6" i="33"/>
  <c r="P27" i="29"/>
  <c r="U98" i="29"/>
  <c r="Y98" i="29" s="1"/>
  <c r="U104" i="29"/>
  <c r="Y104" i="29" s="1"/>
  <c r="X104" i="29"/>
  <c r="W11" i="29"/>
  <c r="U101" i="29"/>
  <c r="Y101" i="29" s="1"/>
  <c r="O113" i="29"/>
  <c r="X98" i="29"/>
  <c r="T124" i="31"/>
  <c r="T125" i="31" s="1"/>
  <c r="T174" i="31" s="1"/>
  <c r="T176" i="31" s="1"/>
  <c r="W21" i="31"/>
  <c r="Y110" i="31"/>
  <c r="T204" i="31"/>
  <c r="X204" i="31" s="1"/>
  <c r="W29" i="31"/>
  <c r="W29" i="33" s="1"/>
  <c r="Q199" i="31"/>
  <c r="Q204" i="31" s="1"/>
  <c r="U19" i="31"/>
  <c r="Y19" i="31" s="1"/>
  <c r="M124" i="31"/>
  <c r="Y193" i="31"/>
  <c r="Y29" i="31"/>
  <c r="W116" i="33"/>
  <c r="W110" i="31"/>
  <c r="W193" i="31"/>
  <c r="O27" i="31"/>
  <c r="U108" i="31"/>
  <c r="Y108" i="31" s="1"/>
  <c r="Y21" i="31"/>
  <c r="Y105" i="31"/>
  <c r="T26" i="31"/>
  <c r="X26" i="31" s="1"/>
  <c r="S195" i="31"/>
  <c r="Q26" i="31"/>
  <c r="Y184" i="31"/>
  <c r="U7" i="31"/>
  <c r="Y7" i="31" s="1"/>
  <c r="S15" i="31"/>
  <c r="S32" i="31" s="1"/>
  <c r="U96" i="31"/>
  <c r="Y96" i="31" s="1"/>
  <c r="W184" i="31"/>
  <c r="G125" i="31"/>
  <c r="T196" i="31"/>
  <c r="X195" i="31"/>
  <c r="Q112" i="31"/>
  <c r="X30" i="31"/>
  <c r="Q186" i="31"/>
  <c r="K246" i="31"/>
  <c r="K247" i="31"/>
  <c r="M247" i="31" s="1"/>
  <c r="U25" i="31"/>
  <c r="Y25" i="31" s="1"/>
  <c r="S26" i="31"/>
  <c r="U24" i="31"/>
  <c r="W24" i="31"/>
  <c r="S112" i="31"/>
  <c r="W112" i="31" s="1"/>
  <c r="M196" i="31"/>
  <c r="C175" i="31"/>
  <c r="E175" i="31" s="1"/>
  <c r="E176" i="31" s="1"/>
  <c r="C174" i="31"/>
  <c r="C7" i="41" s="1"/>
  <c r="U101" i="31"/>
  <c r="Y30" i="31"/>
  <c r="X22" i="31"/>
  <c r="U203" i="31"/>
  <c r="Y203" i="31" s="1"/>
  <c r="W203" i="31"/>
  <c r="Y12" i="31"/>
  <c r="U14" i="31"/>
  <c r="Y14" i="31" s="1"/>
  <c r="X14" i="31"/>
  <c r="U188" i="31"/>
  <c r="U195" i="31" s="1"/>
  <c r="P125" i="31"/>
  <c r="P174" i="31" s="1"/>
  <c r="P176" i="31" s="1"/>
  <c r="W201" i="31"/>
  <c r="U198" i="31"/>
  <c r="Y198" i="31" s="1"/>
  <c r="Q15" i="31"/>
  <c r="U13" i="31"/>
  <c r="Y13" i="31" s="1"/>
  <c r="X13" i="31"/>
  <c r="T15" i="31"/>
  <c r="T32" i="31" s="1"/>
  <c r="W102" i="33"/>
  <c r="G88" i="31"/>
  <c r="Y109" i="9"/>
  <c r="X101" i="33"/>
  <c r="Q112" i="9"/>
  <c r="Q113" i="9" s="1"/>
  <c r="Q85" i="9"/>
  <c r="Q195" i="9"/>
  <c r="Q196" i="9" s="1"/>
  <c r="M26" i="9"/>
  <c r="M27" i="9" s="1"/>
  <c r="S196" i="9"/>
  <c r="T99" i="9"/>
  <c r="S112" i="9"/>
  <c r="S120" i="33" s="1"/>
  <c r="U120" i="33" s="1"/>
  <c r="K204" i="9"/>
  <c r="T85" i="9"/>
  <c r="O26" i="9"/>
  <c r="Y180" i="9"/>
  <c r="U106" i="9"/>
  <c r="Y106" i="9" s="1"/>
  <c r="X106" i="9"/>
  <c r="O124" i="9"/>
  <c r="U184" i="9"/>
  <c r="Y184" i="9" s="1"/>
  <c r="W184" i="9"/>
  <c r="O113" i="9"/>
  <c r="K27" i="9"/>
  <c r="O196" i="9"/>
  <c r="W186" i="9"/>
  <c r="W196" i="9" s="1"/>
  <c r="X193" i="9"/>
  <c r="K125" i="9"/>
  <c r="S85" i="9"/>
  <c r="W85" i="9" s="1"/>
  <c r="U66" i="9"/>
  <c r="G36" i="9"/>
  <c r="G37" i="9" s="1"/>
  <c r="G87" i="9" s="1"/>
  <c r="I33" i="9"/>
  <c r="W99" i="9"/>
  <c r="Y105" i="29"/>
  <c r="K176" i="39"/>
  <c r="S99" i="31"/>
  <c r="W93" i="31"/>
  <c r="W93" i="33" s="1"/>
  <c r="Y93" i="31"/>
  <c r="Y92" i="31"/>
  <c r="U115" i="31"/>
  <c r="W115" i="31"/>
  <c r="Q124" i="31"/>
  <c r="G176" i="30"/>
  <c r="U115" i="30"/>
  <c r="U99" i="30"/>
  <c r="Y92" i="30"/>
  <c r="W115" i="30"/>
  <c r="Q124" i="30"/>
  <c r="S124" i="32"/>
  <c r="K176" i="32"/>
  <c r="X109" i="28"/>
  <c r="E37" i="28"/>
  <c r="H124" i="28"/>
  <c r="H125" i="28" s="1"/>
  <c r="K37" i="28"/>
  <c r="K87" i="28" s="1"/>
  <c r="M99" i="28"/>
  <c r="G175" i="28"/>
  <c r="I175" i="28" s="1"/>
  <c r="W111" i="28"/>
  <c r="U106" i="28"/>
  <c r="S195" i="28"/>
  <c r="W195" i="28" s="1"/>
  <c r="T112" i="28"/>
  <c r="X112" i="28" s="1"/>
  <c r="S203" i="28"/>
  <c r="W110" i="28"/>
  <c r="S112" i="28"/>
  <c r="W112" i="28" s="1"/>
  <c r="O196" i="28"/>
  <c r="P113" i="28"/>
  <c r="I113" i="28"/>
  <c r="L113" i="28"/>
  <c r="K204" i="28"/>
  <c r="E124" i="28"/>
  <c r="X108" i="28"/>
  <c r="X108" i="33" s="1"/>
  <c r="X203" i="28"/>
  <c r="D125" i="28"/>
  <c r="S186" i="28"/>
  <c r="S199" i="28" s="1"/>
  <c r="W199" i="28" s="1"/>
  <c r="W36" i="32"/>
  <c r="M37" i="32"/>
  <c r="C88" i="32"/>
  <c r="Q173" i="28"/>
  <c r="Q155" i="28"/>
  <c r="M196" i="28"/>
  <c r="S173" i="28"/>
  <c r="Q85" i="28"/>
  <c r="T186" i="28"/>
  <c r="U194" i="28"/>
  <c r="W194" i="28"/>
  <c r="W26" i="28"/>
  <c r="X202" i="28"/>
  <c r="X202" i="33" s="1"/>
  <c r="U109" i="28"/>
  <c r="U193" i="28"/>
  <c r="W193" i="28"/>
  <c r="T195" i="28"/>
  <c r="Q115" i="28"/>
  <c r="O113" i="28"/>
  <c r="P196" i="28"/>
  <c r="Q195" i="28"/>
  <c r="U108" i="28"/>
  <c r="U111" i="28"/>
  <c r="S115" i="33"/>
  <c r="U115" i="33" s="1"/>
  <c r="S155" i="28"/>
  <c r="W154" i="33"/>
  <c r="S85" i="28"/>
  <c r="W72" i="28"/>
  <c r="Q186" i="28"/>
  <c r="Q112" i="28"/>
  <c r="O27" i="28"/>
  <c r="Q201" i="28"/>
  <c r="C88" i="28"/>
  <c r="P27" i="28"/>
  <c r="H86" i="28"/>
  <c r="D88" i="28"/>
  <c r="Y185" i="29"/>
  <c r="U35" i="29"/>
  <c r="W35" i="29"/>
  <c r="T99" i="29"/>
  <c r="Q33" i="29"/>
  <c r="T15" i="29"/>
  <c r="T30" i="29"/>
  <c r="X30" i="29" s="1"/>
  <c r="I205" i="29"/>
  <c r="I246" i="29" s="1"/>
  <c r="I248" i="29" s="1"/>
  <c r="Q203" i="29"/>
  <c r="S203" i="29"/>
  <c r="W203" i="29" s="1"/>
  <c r="Y184" i="29"/>
  <c r="M113" i="29"/>
  <c r="X203" i="29"/>
  <c r="U25" i="29"/>
  <c r="Y25" i="29" s="1"/>
  <c r="U192" i="29"/>
  <c r="W192" i="29"/>
  <c r="W192" i="33" s="1"/>
  <c r="S195" i="29"/>
  <c r="U109" i="29"/>
  <c r="Y109" i="29" s="1"/>
  <c r="W109" i="29"/>
  <c r="M31" i="29"/>
  <c r="O31" i="29"/>
  <c r="O31" i="33" s="1"/>
  <c r="Q31" i="33" s="1"/>
  <c r="K36" i="29"/>
  <c r="X94" i="33"/>
  <c r="K205" i="29"/>
  <c r="M33" i="29"/>
  <c r="U107" i="29"/>
  <c r="Y107" i="29" s="1"/>
  <c r="W107" i="29"/>
  <c r="X97" i="29"/>
  <c r="M124" i="29"/>
  <c r="X105" i="29"/>
  <c r="W105" i="29"/>
  <c r="U193" i="29"/>
  <c r="Y193" i="29" s="1"/>
  <c r="W193" i="29"/>
  <c r="X25" i="29"/>
  <c r="X200" i="29"/>
  <c r="O196" i="29"/>
  <c r="U22" i="29"/>
  <c r="Y22" i="29" s="1"/>
  <c r="S26" i="29"/>
  <c r="W22" i="29"/>
  <c r="W22" i="33" s="1"/>
  <c r="U95" i="29"/>
  <c r="S99" i="29"/>
  <c r="M204" i="29"/>
  <c r="Q202" i="29"/>
  <c r="S202" i="29"/>
  <c r="P196" i="29"/>
  <c r="P205" i="29" s="1"/>
  <c r="P246" i="29" s="1"/>
  <c r="P248" i="29" s="1"/>
  <c r="U102" i="29"/>
  <c r="Y102" i="29" s="1"/>
  <c r="Q15" i="29"/>
  <c r="U110" i="29"/>
  <c r="S15" i="29"/>
  <c r="X95" i="29"/>
  <c r="X95" i="33" s="1"/>
  <c r="T31" i="29"/>
  <c r="X31" i="29" s="1"/>
  <c r="S186" i="29"/>
  <c r="S199" i="29" s="1"/>
  <c r="W182" i="33"/>
  <c r="U14" i="29"/>
  <c r="Y14" i="29" s="1"/>
  <c r="W14" i="29"/>
  <c r="Q30" i="29"/>
  <c r="U13" i="29"/>
  <c r="Y13" i="29" s="1"/>
  <c r="U12" i="29"/>
  <c r="Y12" i="29" s="1"/>
  <c r="W12" i="29"/>
  <c r="Q195" i="29"/>
  <c r="G86" i="29"/>
  <c r="I86" i="29" s="1"/>
  <c r="U103" i="29"/>
  <c r="Y103" i="29" s="1"/>
  <c r="S112" i="29"/>
  <c r="W103" i="29"/>
  <c r="X110" i="29"/>
  <c r="U111" i="29"/>
  <c r="Y111" i="29" s="1"/>
  <c r="W111" i="29"/>
  <c r="I36" i="29"/>
  <c r="I37" i="29" s="1"/>
  <c r="Q99" i="29"/>
  <c r="X63" i="29"/>
  <c r="U23" i="29"/>
  <c r="Y23" i="29" s="1"/>
  <c r="T26" i="29"/>
  <c r="U97" i="29"/>
  <c r="H174" i="29"/>
  <c r="U9" i="29"/>
  <c r="X9" i="29"/>
  <c r="X9" i="33" s="1"/>
  <c r="X102" i="29"/>
  <c r="M27" i="29"/>
  <c r="T186" i="29"/>
  <c r="T199" i="29" s="1"/>
  <c r="X199" i="29" s="1"/>
  <c r="Q112" i="29"/>
  <c r="Q186" i="29"/>
  <c r="Y11" i="29"/>
  <c r="U191" i="29"/>
  <c r="Y191" i="29" s="1"/>
  <c r="W13" i="29"/>
  <c r="X23" i="29"/>
  <c r="X23" i="33" s="1"/>
  <c r="X13" i="29"/>
  <c r="K246" i="32"/>
  <c r="K247" i="32"/>
  <c r="M247" i="32" s="1"/>
  <c r="S195" i="32"/>
  <c r="S201" i="32" s="1"/>
  <c r="M196" i="32"/>
  <c r="S245" i="28"/>
  <c r="Q245" i="28"/>
  <c r="E204" i="28"/>
  <c r="D205" i="28"/>
  <c r="H204" i="28"/>
  <c r="I200" i="28"/>
  <c r="Y20" i="39"/>
  <c r="X26" i="39"/>
  <c r="Y35" i="9"/>
  <c r="Y25" i="9"/>
  <c r="X33" i="9"/>
  <c r="Y24" i="9"/>
  <c r="X26" i="9"/>
  <c r="Y12" i="9"/>
  <c r="X15" i="9"/>
  <c r="Y14" i="9"/>
  <c r="W15" i="9"/>
  <c r="Y117" i="23"/>
  <c r="Q124" i="23"/>
  <c r="U118" i="23"/>
  <c r="Y118" i="23" s="1"/>
  <c r="W118" i="23"/>
  <c r="S124" i="23"/>
  <c r="W124" i="23" s="1"/>
  <c r="Y116" i="23"/>
  <c r="O125" i="23"/>
  <c r="U119" i="23"/>
  <c r="Y111" i="23"/>
  <c r="S113" i="23"/>
  <c r="W112" i="23"/>
  <c r="W113" i="23" s="1"/>
  <c r="U112" i="23"/>
  <c r="U113" i="23" s="1"/>
  <c r="Y107" i="23"/>
  <c r="Y105" i="23"/>
  <c r="K175" i="23"/>
  <c r="M175" i="23" s="1"/>
  <c r="M176" i="23" s="1"/>
  <c r="K174" i="23"/>
  <c r="Y21" i="23"/>
  <c r="Y22" i="23"/>
  <c r="Y20" i="23"/>
  <c r="U188" i="9"/>
  <c r="T195" i="9"/>
  <c r="T201" i="9" s="1"/>
  <c r="T201" i="33" s="1"/>
  <c r="P196" i="9"/>
  <c r="P204" i="9" s="1"/>
  <c r="M196" i="9"/>
  <c r="L205" i="9"/>
  <c r="D248" i="9"/>
  <c r="H246" i="9"/>
  <c r="Y103" i="9"/>
  <c r="D176" i="9"/>
  <c r="C88" i="39"/>
  <c r="W63" i="38"/>
  <c r="Y62" i="38"/>
  <c r="Y63" i="38"/>
  <c r="U57" i="32"/>
  <c r="Y57" i="32" s="1"/>
  <c r="W57" i="32"/>
  <c r="U63" i="28"/>
  <c r="Y63" i="28" s="1"/>
  <c r="G247" i="28"/>
  <c r="I247" i="28" s="1"/>
  <c r="O124" i="28"/>
  <c r="C176" i="28"/>
  <c r="E175" i="28"/>
  <c r="S85" i="23"/>
  <c r="W85" i="23" s="1"/>
  <c r="U69" i="23"/>
  <c r="W69" i="23"/>
  <c r="Q85" i="23"/>
  <c r="W196" i="30" l="1"/>
  <c r="E10" i="41"/>
  <c r="C339" i="39"/>
  <c r="G339" i="32"/>
  <c r="C15" i="41"/>
  <c r="X119" i="28"/>
  <c r="M247" i="30"/>
  <c r="M248" i="30" s="1"/>
  <c r="G339" i="24"/>
  <c r="T124" i="29"/>
  <c r="X124" i="29" s="1"/>
  <c r="U199" i="29"/>
  <c r="Y199" i="29" s="1"/>
  <c r="O204" i="29"/>
  <c r="W199" i="29"/>
  <c r="X15" i="29"/>
  <c r="X32" i="29"/>
  <c r="X186" i="29"/>
  <c r="G176" i="29"/>
  <c r="T339" i="30"/>
  <c r="I339" i="24"/>
  <c r="T339" i="24"/>
  <c r="M88" i="24"/>
  <c r="O200" i="33"/>
  <c r="Q200" i="33" s="1"/>
  <c r="E86" i="9"/>
  <c r="U33" i="31"/>
  <c r="W186" i="31"/>
  <c r="S199" i="31"/>
  <c r="S204" i="31" s="1"/>
  <c r="W204" i="31" s="1"/>
  <c r="I205" i="33"/>
  <c r="I246" i="33" s="1"/>
  <c r="M125" i="31"/>
  <c r="M174" i="31" s="1"/>
  <c r="E339" i="31"/>
  <c r="Y33" i="31"/>
  <c r="I88" i="31"/>
  <c r="O37" i="31"/>
  <c r="O87" i="31" s="1"/>
  <c r="Q87" i="31" s="1"/>
  <c r="E87" i="33"/>
  <c r="M88" i="32"/>
  <c r="E88" i="32"/>
  <c r="E339" i="32" s="1"/>
  <c r="C339" i="32"/>
  <c r="I88" i="30"/>
  <c r="I339" i="30" s="1"/>
  <c r="G339" i="30"/>
  <c r="W199" i="9"/>
  <c r="D339" i="9"/>
  <c r="U97" i="33"/>
  <c r="U117" i="33"/>
  <c r="C86" i="33"/>
  <c r="E86" i="33" s="1"/>
  <c r="U12" i="33"/>
  <c r="K204" i="33"/>
  <c r="K205" i="33" s="1"/>
  <c r="K247" i="33" s="1"/>
  <c r="M247" i="33" s="1"/>
  <c r="U196" i="24"/>
  <c r="X18" i="33"/>
  <c r="W61" i="33"/>
  <c r="Y61" i="33" s="1"/>
  <c r="W69" i="33"/>
  <c r="Y69" i="33" s="1"/>
  <c r="W60" i="33"/>
  <c r="Y60" i="33" s="1"/>
  <c r="O247" i="23"/>
  <c r="Q247" i="23" s="1"/>
  <c r="U180" i="33"/>
  <c r="M248" i="23"/>
  <c r="X106" i="33"/>
  <c r="Y106" i="33" s="1"/>
  <c r="P113" i="33"/>
  <c r="K125" i="33"/>
  <c r="K175" i="33" s="1"/>
  <c r="M175" i="33" s="1"/>
  <c r="W184" i="33"/>
  <c r="W19" i="33"/>
  <c r="Y19" i="33" s="1"/>
  <c r="W121" i="33"/>
  <c r="X193" i="33"/>
  <c r="X195" i="33" s="1"/>
  <c r="U13" i="33"/>
  <c r="U182" i="33"/>
  <c r="K248" i="30"/>
  <c r="W97" i="33"/>
  <c r="U11" i="33"/>
  <c r="S202" i="33"/>
  <c r="U202" i="33" s="1"/>
  <c r="Q99" i="33"/>
  <c r="X17" i="33"/>
  <c r="U26" i="39"/>
  <c r="U27" i="39" s="1"/>
  <c r="X110" i="33"/>
  <c r="X25" i="33"/>
  <c r="Y25" i="33" s="1"/>
  <c r="X117" i="33"/>
  <c r="Y117" i="33" s="1"/>
  <c r="W105" i="33"/>
  <c r="W109" i="33"/>
  <c r="X98" i="33"/>
  <c r="Y98" i="33" s="1"/>
  <c r="X105" i="33"/>
  <c r="X6" i="33"/>
  <c r="Y6" i="33" s="1"/>
  <c r="S203" i="33"/>
  <c r="U203" i="33" s="1"/>
  <c r="W103" i="33"/>
  <c r="Y103" i="33" s="1"/>
  <c r="X104" i="33"/>
  <c r="Y104" i="33" s="1"/>
  <c r="W11" i="33"/>
  <c r="Y11" i="33" s="1"/>
  <c r="W107" i="33"/>
  <c r="Y107" i="33" s="1"/>
  <c r="X203" i="33"/>
  <c r="W14" i="33"/>
  <c r="U184" i="33"/>
  <c r="X102" i="33"/>
  <c r="Y102" i="33" s="1"/>
  <c r="Q186" i="33"/>
  <c r="Q196" i="33" s="1"/>
  <c r="X121" i="33"/>
  <c r="O199" i="33"/>
  <c r="Y23" i="33"/>
  <c r="Q30" i="33"/>
  <c r="X97" i="33"/>
  <c r="X96" i="33"/>
  <c r="Y96" i="33" s="1"/>
  <c r="U9" i="33"/>
  <c r="U96" i="33"/>
  <c r="Y192" i="33"/>
  <c r="Y94" i="33"/>
  <c r="U110" i="33"/>
  <c r="U112" i="33" s="1"/>
  <c r="Y182" i="33"/>
  <c r="W9" i="33"/>
  <c r="Y9" i="33" s="1"/>
  <c r="X185" i="33"/>
  <c r="Y185" i="33" s="1"/>
  <c r="Z174" i="32"/>
  <c r="W180" i="33"/>
  <c r="Y180" i="33" s="1"/>
  <c r="X184" i="33"/>
  <c r="W12" i="33"/>
  <c r="Y12" i="33" s="1"/>
  <c r="M176" i="32"/>
  <c r="X116" i="33"/>
  <c r="X181" i="33"/>
  <c r="Y181" i="33" s="1"/>
  <c r="W13" i="33"/>
  <c r="U200" i="32"/>
  <c r="Y200" i="32" s="1"/>
  <c r="M88" i="31"/>
  <c r="X124" i="31"/>
  <c r="X125" i="31" s="1"/>
  <c r="X174" i="31" s="1"/>
  <c r="X176" i="31" s="1"/>
  <c r="W15" i="31"/>
  <c r="X22" i="33"/>
  <c r="Y22" i="33" s="1"/>
  <c r="Q113" i="31"/>
  <c r="Q125" i="31" s="1"/>
  <c r="Q174" i="31" s="1"/>
  <c r="W110" i="33"/>
  <c r="U181" i="33"/>
  <c r="W21" i="33"/>
  <c r="Y21" i="33" s="1"/>
  <c r="U7" i="33"/>
  <c r="X13" i="33"/>
  <c r="Q196" i="31"/>
  <c r="Q205" i="31" s="1"/>
  <c r="Q246" i="31" s="1"/>
  <c r="W24" i="33"/>
  <c r="Y24" i="33" s="1"/>
  <c r="W198" i="31"/>
  <c r="S198" i="33"/>
  <c r="U198" i="33" s="1"/>
  <c r="X14" i="33"/>
  <c r="W33" i="31"/>
  <c r="Y188" i="33"/>
  <c r="L204" i="33"/>
  <c r="L205" i="33" s="1"/>
  <c r="L246" i="33" s="1"/>
  <c r="L248" i="33" s="1"/>
  <c r="X196" i="31"/>
  <c r="X205" i="31" s="1"/>
  <c r="X246" i="31" s="1"/>
  <c r="X248" i="31" s="1"/>
  <c r="X109" i="33"/>
  <c r="G175" i="33"/>
  <c r="I175" i="33" s="1"/>
  <c r="W193" i="33"/>
  <c r="W194" i="33"/>
  <c r="Y194" i="33" s="1"/>
  <c r="W111" i="33"/>
  <c r="Y111" i="33" s="1"/>
  <c r="M86" i="31"/>
  <c r="E247" i="28"/>
  <c r="E14" i="41"/>
  <c r="L36" i="33"/>
  <c r="L37" i="33" s="1"/>
  <c r="L86" i="33" s="1"/>
  <c r="L88" i="33" s="1"/>
  <c r="Y186" i="38"/>
  <c r="Y101" i="33"/>
  <c r="X15" i="38"/>
  <c r="U98" i="33"/>
  <c r="Q36" i="38"/>
  <c r="U204" i="38"/>
  <c r="Y184" i="38"/>
  <c r="W30" i="33"/>
  <c r="M125" i="38"/>
  <c r="M174" i="38" s="1"/>
  <c r="M176" i="38" s="1"/>
  <c r="U195" i="38"/>
  <c r="U196" i="38" s="1"/>
  <c r="T31" i="33"/>
  <c r="X31" i="38"/>
  <c r="X31" i="33" s="1"/>
  <c r="W71" i="33"/>
  <c r="Y71" i="33" s="1"/>
  <c r="T36" i="38"/>
  <c r="X36" i="38" s="1"/>
  <c r="S35" i="33"/>
  <c r="U35" i="38"/>
  <c r="M86" i="38"/>
  <c r="Y35" i="38"/>
  <c r="X34" i="38"/>
  <c r="X34" i="33" s="1"/>
  <c r="U85" i="38"/>
  <c r="Y85" i="38" s="1"/>
  <c r="T30" i="33"/>
  <c r="U30" i="33" s="1"/>
  <c r="X30" i="38"/>
  <c r="X30" i="33" s="1"/>
  <c r="T35" i="33"/>
  <c r="X35" i="38"/>
  <c r="X35" i="33" s="1"/>
  <c r="S34" i="33"/>
  <c r="U34" i="33" s="1"/>
  <c r="U34" i="38"/>
  <c r="Y34" i="38" s="1"/>
  <c r="W108" i="33"/>
  <c r="Y108" i="33" s="1"/>
  <c r="T124" i="38"/>
  <c r="X124" i="38" s="1"/>
  <c r="Q118" i="33"/>
  <c r="U30" i="38"/>
  <c r="Y30" i="38" s="1"/>
  <c r="U32" i="38"/>
  <c r="Y32" i="38" s="1"/>
  <c r="S118" i="33"/>
  <c r="U118" i="33" s="1"/>
  <c r="U118" i="38"/>
  <c r="Y118" i="38" s="1"/>
  <c r="U14" i="33"/>
  <c r="W15" i="38"/>
  <c r="S31" i="38"/>
  <c r="W35" i="38"/>
  <c r="W35" i="33" s="1"/>
  <c r="Q34" i="33"/>
  <c r="W34" i="38"/>
  <c r="W34" i="33" s="1"/>
  <c r="W118" i="38"/>
  <c r="W118" i="33" s="1"/>
  <c r="X118" i="38"/>
  <c r="X118" i="33" s="1"/>
  <c r="K86" i="30"/>
  <c r="K88" i="30" s="1"/>
  <c r="U66" i="33"/>
  <c r="U85" i="33" s="1"/>
  <c r="X66" i="33"/>
  <c r="X85" i="33" s="1"/>
  <c r="Q125" i="32"/>
  <c r="Q174" i="32" s="1"/>
  <c r="X15" i="31"/>
  <c r="M36" i="31"/>
  <c r="M37" i="31" s="1"/>
  <c r="Q32" i="31"/>
  <c r="Q36" i="31" s="1"/>
  <c r="P32" i="33"/>
  <c r="Q32" i="33" s="1"/>
  <c r="P36" i="31"/>
  <c r="P37" i="31" s="1"/>
  <c r="P86" i="31" s="1"/>
  <c r="P88" i="31" s="1"/>
  <c r="P339" i="31" s="1"/>
  <c r="Y29" i="33"/>
  <c r="X32" i="9"/>
  <c r="T32" i="33"/>
  <c r="P119" i="33"/>
  <c r="Q119" i="33" s="1"/>
  <c r="W72" i="33"/>
  <c r="Y72" i="33" s="1"/>
  <c r="T199" i="28"/>
  <c r="P196" i="33"/>
  <c r="P199" i="33"/>
  <c r="I88" i="23"/>
  <c r="I339" i="23" s="1"/>
  <c r="E11" i="41"/>
  <c r="O113" i="33"/>
  <c r="S200" i="29"/>
  <c r="S200" i="33" s="1"/>
  <c r="U200" i="33" s="1"/>
  <c r="W85" i="24"/>
  <c r="W87" i="24" s="1"/>
  <c r="Y87" i="24" s="1"/>
  <c r="S87" i="24"/>
  <c r="U87" i="24" s="1"/>
  <c r="T113" i="9"/>
  <c r="T119" i="33"/>
  <c r="Q112" i="33"/>
  <c r="S196" i="32"/>
  <c r="S201" i="33"/>
  <c r="U201" i="33" s="1"/>
  <c r="O204" i="32"/>
  <c r="O205" i="32" s="1"/>
  <c r="O246" i="32" s="1"/>
  <c r="Q201" i="32"/>
  <c r="Q204" i="32" s="1"/>
  <c r="Q205" i="32" s="1"/>
  <c r="Q246" i="32" s="1"/>
  <c r="D88" i="33"/>
  <c r="D339" i="33" s="1"/>
  <c r="X201" i="9"/>
  <c r="U201" i="9"/>
  <c r="Y201" i="9" s="1"/>
  <c r="T186" i="33"/>
  <c r="T196" i="33" s="1"/>
  <c r="U199" i="9"/>
  <c r="Y199" i="9" s="1"/>
  <c r="D11" i="41"/>
  <c r="K88" i="39"/>
  <c r="O37" i="23"/>
  <c r="O86" i="23" s="1"/>
  <c r="Q15" i="33"/>
  <c r="O87" i="23"/>
  <c r="Q87" i="23" s="1"/>
  <c r="S87" i="39"/>
  <c r="U87" i="39" s="1"/>
  <c r="O87" i="39"/>
  <c r="Q87" i="39" s="1"/>
  <c r="O86" i="30"/>
  <c r="Q86" i="30" s="1"/>
  <c r="O87" i="30"/>
  <c r="Q87" i="30" s="1"/>
  <c r="O87" i="38"/>
  <c r="Q87" i="38" s="1"/>
  <c r="S87" i="32"/>
  <c r="U87" i="32" s="1"/>
  <c r="M87" i="32"/>
  <c r="M27" i="33"/>
  <c r="Y7" i="33"/>
  <c r="Y62" i="33"/>
  <c r="X186" i="32"/>
  <c r="X196" i="32" s="1"/>
  <c r="X205" i="32" s="1"/>
  <c r="X246" i="32" s="1"/>
  <c r="X248" i="32" s="1"/>
  <c r="T196" i="32"/>
  <c r="T205" i="32" s="1"/>
  <c r="T246" i="32" s="1"/>
  <c r="T248" i="32" s="1"/>
  <c r="Y189" i="33"/>
  <c r="Y20" i="33"/>
  <c r="X99" i="28"/>
  <c r="X113" i="28" s="1"/>
  <c r="I37" i="33"/>
  <c r="C176" i="33"/>
  <c r="U186" i="32"/>
  <c r="Y186" i="32" s="1"/>
  <c r="T26" i="33"/>
  <c r="S186" i="33"/>
  <c r="Y193" i="38"/>
  <c r="U6" i="33"/>
  <c r="S15" i="33"/>
  <c r="U63" i="33"/>
  <c r="S63" i="33"/>
  <c r="Y10" i="33"/>
  <c r="U202" i="28"/>
  <c r="Y235" i="33"/>
  <c r="Y245" i="33" s="1"/>
  <c r="Y190" i="33"/>
  <c r="Y123" i="33"/>
  <c r="O196" i="33"/>
  <c r="U29" i="29"/>
  <c r="Y29" i="29" s="1"/>
  <c r="P27" i="33"/>
  <c r="S195" i="33"/>
  <c r="Y154" i="33"/>
  <c r="Y155" i="33" s="1"/>
  <c r="W155" i="33"/>
  <c r="X15" i="28"/>
  <c r="Y95" i="33"/>
  <c r="X124" i="30"/>
  <c r="X125" i="30" s="1"/>
  <c r="X174" i="30" s="1"/>
  <c r="X176" i="30" s="1"/>
  <c r="G248" i="31"/>
  <c r="S85" i="33"/>
  <c r="Y60" i="23"/>
  <c r="U63" i="23"/>
  <c r="Y63" i="23" s="1"/>
  <c r="W27" i="28"/>
  <c r="Y93" i="33"/>
  <c r="G88" i="39"/>
  <c r="Y8" i="33"/>
  <c r="S112" i="33"/>
  <c r="T99" i="33"/>
  <c r="T113" i="33" s="1"/>
  <c r="Y159" i="33"/>
  <c r="Y173" i="33" s="1"/>
  <c r="W173" i="33"/>
  <c r="Y191" i="33"/>
  <c r="U15" i="23"/>
  <c r="Y15" i="23" s="1"/>
  <c r="M248" i="24"/>
  <c r="X26" i="28"/>
  <c r="T15" i="33"/>
  <c r="S99" i="33"/>
  <c r="U15" i="32"/>
  <c r="Y15" i="32" s="1"/>
  <c r="I247" i="33"/>
  <c r="G246" i="33"/>
  <c r="U195" i="33"/>
  <c r="U198" i="32"/>
  <c r="G176" i="9"/>
  <c r="I87" i="33"/>
  <c r="G86" i="33"/>
  <c r="M204" i="33"/>
  <c r="M205" i="33" s="1"/>
  <c r="M246" i="33" s="1"/>
  <c r="C247" i="33"/>
  <c r="E247" i="33" s="1"/>
  <c r="E248" i="33" s="1"/>
  <c r="C246" i="33"/>
  <c r="P124" i="9"/>
  <c r="P125" i="9" s="1"/>
  <c r="P174" i="9" s="1"/>
  <c r="O124" i="29"/>
  <c r="O125" i="29" s="1"/>
  <c r="H124" i="33"/>
  <c r="H125" i="33" s="1"/>
  <c r="H174" i="33" s="1"/>
  <c r="H176" i="33" s="1"/>
  <c r="H339" i="33" s="1"/>
  <c r="I124" i="33"/>
  <c r="I125" i="33" s="1"/>
  <c r="I174" i="33" s="1"/>
  <c r="L124" i="33"/>
  <c r="L125" i="33" s="1"/>
  <c r="L174" i="33" s="1"/>
  <c r="L176" i="33" s="1"/>
  <c r="M124" i="33"/>
  <c r="M125" i="33" s="1"/>
  <c r="M174" i="33" s="1"/>
  <c r="Q86" i="39"/>
  <c r="U19" i="9"/>
  <c r="Y19" i="9" s="1"/>
  <c r="P36" i="23"/>
  <c r="P37" i="23" s="1"/>
  <c r="P86" i="23" s="1"/>
  <c r="P88" i="23" s="1"/>
  <c r="P339" i="23" s="1"/>
  <c r="W18" i="9"/>
  <c r="W18" i="33" s="1"/>
  <c r="Q26" i="33"/>
  <c r="O26" i="33"/>
  <c r="O27" i="33" s="1"/>
  <c r="M86" i="23"/>
  <c r="M36" i="33"/>
  <c r="K88" i="23"/>
  <c r="K36" i="33"/>
  <c r="K37" i="33" s="1"/>
  <c r="E88" i="39"/>
  <c r="E339" i="39" s="1"/>
  <c r="E88" i="30"/>
  <c r="E339" i="30" s="1"/>
  <c r="E88" i="29"/>
  <c r="E339" i="29" s="1"/>
  <c r="D8" i="41"/>
  <c r="I86" i="38"/>
  <c r="I88" i="32"/>
  <c r="I339" i="32" s="1"/>
  <c r="U31" i="28"/>
  <c r="Y31" i="28" s="1"/>
  <c r="T36" i="28"/>
  <c r="E88" i="28"/>
  <c r="V176" i="33"/>
  <c r="V339" i="33" s="1"/>
  <c r="K248" i="23"/>
  <c r="Y180" i="23"/>
  <c r="W198" i="23"/>
  <c r="S204" i="23"/>
  <c r="W204" i="23" s="1"/>
  <c r="W205" i="23" s="1"/>
  <c r="W246" i="23" s="1"/>
  <c r="U195" i="23"/>
  <c r="Y195" i="23" s="1"/>
  <c r="Q125" i="23"/>
  <c r="Q174" i="23" s="1"/>
  <c r="U204" i="23"/>
  <c r="Y204" i="23" s="1"/>
  <c r="X120" i="33"/>
  <c r="Q124" i="9"/>
  <c r="Q125" i="9" s="1"/>
  <c r="Q174" i="9" s="1"/>
  <c r="S86" i="24"/>
  <c r="U86" i="24" s="1"/>
  <c r="U85" i="24"/>
  <c r="Y85" i="24" s="1"/>
  <c r="Y203" i="24"/>
  <c r="Y196" i="24"/>
  <c r="K248" i="24"/>
  <c r="Y67" i="24"/>
  <c r="X205" i="24"/>
  <c r="X246" i="24" s="1"/>
  <c r="X248" i="24" s="1"/>
  <c r="O125" i="24"/>
  <c r="O175" i="24" s="1"/>
  <c r="Q175" i="24" s="1"/>
  <c r="Y199" i="39"/>
  <c r="Y15" i="39"/>
  <c r="T27" i="39"/>
  <c r="T37" i="39" s="1"/>
  <c r="T86" i="39" s="1"/>
  <c r="T88" i="39" s="1"/>
  <c r="W15" i="39"/>
  <c r="W27" i="39" s="1"/>
  <c r="W37" i="39" s="1"/>
  <c r="O247" i="39"/>
  <c r="Q247" i="39" s="1"/>
  <c r="Q248" i="39" s="1"/>
  <c r="S86" i="39"/>
  <c r="T205" i="39"/>
  <c r="T246" i="39" s="1"/>
  <c r="T248" i="39" s="1"/>
  <c r="Q125" i="39"/>
  <c r="Q174" i="39" s="1"/>
  <c r="W99" i="39"/>
  <c r="W113" i="39" s="1"/>
  <c r="Y202" i="30"/>
  <c r="S204" i="30"/>
  <c r="S205" i="30" s="1"/>
  <c r="W202" i="30"/>
  <c r="Y112" i="30"/>
  <c r="U195" i="30"/>
  <c r="Y195" i="30" s="1"/>
  <c r="S113" i="30"/>
  <c r="S125" i="30" s="1"/>
  <c r="S174" i="30" s="1"/>
  <c r="Q113" i="30"/>
  <c r="Q125" i="30" s="1"/>
  <c r="Q174" i="30" s="1"/>
  <c r="Y27" i="30"/>
  <c r="Q205" i="30"/>
  <c r="Q246" i="30" s="1"/>
  <c r="Q37" i="30"/>
  <c r="W113" i="30"/>
  <c r="K174" i="29"/>
  <c r="K176" i="29" s="1"/>
  <c r="U15" i="38"/>
  <c r="Y15" i="38" s="1"/>
  <c r="K176" i="38"/>
  <c r="G88" i="38"/>
  <c r="X204" i="38"/>
  <c r="X205" i="38" s="1"/>
  <c r="X246" i="38" s="1"/>
  <c r="X248" i="38" s="1"/>
  <c r="Z174" i="38"/>
  <c r="U195" i="32"/>
  <c r="U196" i="32" s="1"/>
  <c r="Y196" i="32" s="1"/>
  <c r="Y113" i="32"/>
  <c r="S196" i="31"/>
  <c r="U186" i="31"/>
  <c r="U196" i="31" s="1"/>
  <c r="O86" i="31"/>
  <c r="T205" i="31"/>
  <c r="T246" i="31" s="1"/>
  <c r="T248" i="31" s="1"/>
  <c r="U99" i="31"/>
  <c r="Y99" i="31" s="1"/>
  <c r="W195" i="31"/>
  <c r="O86" i="32"/>
  <c r="Q87" i="32"/>
  <c r="Y69" i="23"/>
  <c r="X27" i="39"/>
  <c r="X37" i="39" s="1"/>
  <c r="X86" i="39" s="1"/>
  <c r="X88" i="39" s="1"/>
  <c r="G88" i="29"/>
  <c r="D9" i="41"/>
  <c r="Q196" i="38"/>
  <c r="Y8" i="32"/>
  <c r="W15" i="32"/>
  <c r="W27" i="32" s="1"/>
  <c r="W37" i="32" s="1"/>
  <c r="W87" i="32" s="1"/>
  <c r="O247" i="31"/>
  <c r="Q247" i="31" s="1"/>
  <c r="Q37" i="39"/>
  <c r="U113" i="32"/>
  <c r="W195" i="38"/>
  <c r="W196" i="38" s="1"/>
  <c r="S196" i="38"/>
  <c r="S205" i="38" s="1"/>
  <c r="S196" i="39"/>
  <c r="S205" i="39" s="1"/>
  <c r="O205" i="24"/>
  <c r="W195" i="39"/>
  <c r="W196" i="39" s="1"/>
  <c r="W205" i="39" s="1"/>
  <c r="C246" i="9"/>
  <c r="E247" i="9"/>
  <c r="E248" i="9" s="1"/>
  <c r="U99" i="39"/>
  <c r="O125" i="39"/>
  <c r="Y203" i="23"/>
  <c r="W99" i="29"/>
  <c r="S124" i="29"/>
  <c r="Y191" i="39"/>
  <c r="U195" i="39"/>
  <c r="Q204" i="24"/>
  <c r="U115" i="39"/>
  <c r="S124" i="39"/>
  <c r="W115" i="39"/>
  <c r="Y184" i="39"/>
  <c r="W186" i="29"/>
  <c r="U26" i="31"/>
  <c r="Y26" i="31" s="1"/>
  <c r="U199" i="24"/>
  <c r="Y199" i="24" s="1"/>
  <c r="S204" i="24"/>
  <c r="W204" i="24" s="1"/>
  <c r="W205" i="24" s="1"/>
  <c r="W203" i="24"/>
  <c r="Q27" i="38"/>
  <c r="Q37" i="38" s="1"/>
  <c r="Y18" i="38"/>
  <c r="U231" i="38"/>
  <c r="Y231" i="38" s="1"/>
  <c r="Y230" i="38"/>
  <c r="U99" i="38"/>
  <c r="Y99" i="38" s="1"/>
  <c r="X26" i="38"/>
  <c r="X27" i="38" s="1"/>
  <c r="Y199" i="38"/>
  <c r="W112" i="38"/>
  <c r="W113" i="38" s="1"/>
  <c r="Y21" i="38"/>
  <c r="Y104" i="38"/>
  <c r="U112" i="38"/>
  <c r="Y204" i="38"/>
  <c r="E8" i="41"/>
  <c r="Y25" i="38"/>
  <c r="X112" i="38"/>
  <c r="X113" i="38" s="1"/>
  <c r="T113" i="38"/>
  <c r="W173" i="28"/>
  <c r="I86" i="28"/>
  <c r="T36" i="9"/>
  <c r="X36" i="9" s="1"/>
  <c r="X99" i="9"/>
  <c r="X113" i="9" s="1"/>
  <c r="Y33" i="32"/>
  <c r="S36" i="30"/>
  <c r="W36" i="30" s="1"/>
  <c r="W37" i="30" s="1"/>
  <c r="W87" i="30" s="1"/>
  <c r="U32" i="30"/>
  <c r="Y32" i="30" s="1"/>
  <c r="W32" i="30"/>
  <c r="Y12" i="38"/>
  <c r="M205" i="29"/>
  <c r="M246" i="29" s="1"/>
  <c r="W15" i="29"/>
  <c r="M36" i="29"/>
  <c r="M37" i="29" s="1"/>
  <c r="P37" i="29"/>
  <c r="P86" i="29" s="1"/>
  <c r="P88" i="29" s="1"/>
  <c r="P339" i="29" s="1"/>
  <c r="Y110" i="28"/>
  <c r="T27" i="23"/>
  <c r="U33" i="23"/>
  <c r="O204" i="9"/>
  <c r="X125" i="32"/>
  <c r="X174" i="32" s="1"/>
  <c r="X176" i="32" s="1"/>
  <c r="T125" i="32"/>
  <c r="T174" i="32" s="1"/>
  <c r="T176" i="32" s="1"/>
  <c r="O175" i="32"/>
  <c r="U124" i="32"/>
  <c r="Y124" i="32" s="1"/>
  <c r="S125" i="32"/>
  <c r="S174" i="32" s="1"/>
  <c r="S86" i="32"/>
  <c r="I87" i="28"/>
  <c r="K86" i="28"/>
  <c r="O247" i="38"/>
  <c r="Q247" i="38" s="1"/>
  <c r="O246" i="38"/>
  <c r="W204" i="38"/>
  <c r="G205" i="9"/>
  <c r="X26" i="23"/>
  <c r="X27" i="23" s="1"/>
  <c r="U26" i="23"/>
  <c r="O86" i="38"/>
  <c r="Q86" i="38" s="1"/>
  <c r="K88" i="38"/>
  <c r="K339" i="38" s="1"/>
  <c r="S27" i="38"/>
  <c r="W26" i="38"/>
  <c r="U33" i="38"/>
  <c r="S36" i="38"/>
  <c r="W33" i="38"/>
  <c r="U26" i="38"/>
  <c r="Y17" i="38"/>
  <c r="W112" i="9"/>
  <c r="W113" i="9" s="1"/>
  <c r="X85" i="9"/>
  <c r="O125" i="38"/>
  <c r="T37" i="32"/>
  <c r="T86" i="32" s="1"/>
  <c r="T88" i="32" s="1"/>
  <c r="X36" i="32"/>
  <c r="X37" i="32" s="1"/>
  <c r="X86" i="32" s="1"/>
  <c r="X88" i="32" s="1"/>
  <c r="S27" i="23"/>
  <c r="W26" i="23"/>
  <c r="W27" i="23" s="1"/>
  <c r="W99" i="32"/>
  <c r="W113" i="32" s="1"/>
  <c r="M125" i="24"/>
  <c r="M174" i="24" s="1"/>
  <c r="Q205" i="23"/>
  <c r="Q246" i="23" s="1"/>
  <c r="Q248" i="23" s="1"/>
  <c r="S113" i="24"/>
  <c r="Y30" i="30"/>
  <c r="Q124" i="38"/>
  <c r="U99" i="24"/>
  <c r="Y99" i="24" s="1"/>
  <c r="Y92" i="24"/>
  <c r="U27" i="24"/>
  <c r="Y26" i="24"/>
  <c r="Y27" i="24" s="1"/>
  <c r="Y37" i="24" s="1"/>
  <c r="K176" i="30"/>
  <c r="Y123" i="32"/>
  <c r="U36" i="39"/>
  <c r="Y36" i="39" s="1"/>
  <c r="Q125" i="24"/>
  <c r="Q174" i="24" s="1"/>
  <c r="U119" i="30"/>
  <c r="Y119" i="30" s="1"/>
  <c r="W119" i="30"/>
  <c r="U119" i="38"/>
  <c r="U124" i="38" s="1"/>
  <c r="S124" i="38"/>
  <c r="S125" i="38" s="1"/>
  <c r="W119" i="38"/>
  <c r="S124" i="24"/>
  <c r="U115" i="24"/>
  <c r="U124" i="24" s="1"/>
  <c r="Y124" i="24" s="1"/>
  <c r="W115" i="24"/>
  <c r="Y26" i="32"/>
  <c r="K175" i="24"/>
  <c r="M175" i="24" s="1"/>
  <c r="K174" i="24"/>
  <c r="E12" i="41" s="1"/>
  <c r="W33" i="23"/>
  <c r="S36" i="23"/>
  <c r="O247" i="30"/>
  <c r="O246" i="30"/>
  <c r="F10" i="41" s="1"/>
  <c r="U204" i="30"/>
  <c r="Y198" i="30"/>
  <c r="U37" i="24"/>
  <c r="O88" i="24"/>
  <c r="W113" i="24"/>
  <c r="U112" i="24"/>
  <c r="Y101" i="24"/>
  <c r="U27" i="30"/>
  <c r="M176" i="30"/>
  <c r="T113" i="29"/>
  <c r="T125" i="29" s="1"/>
  <c r="T174" i="29" s="1"/>
  <c r="T176" i="29" s="1"/>
  <c r="T36" i="29"/>
  <c r="X36" i="29" s="1"/>
  <c r="O205" i="29"/>
  <c r="O247" i="29" s="1"/>
  <c r="Q247" i="29" s="1"/>
  <c r="M125" i="29"/>
  <c r="M174" i="29" s="1"/>
  <c r="M176" i="29" s="1"/>
  <c r="T196" i="29"/>
  <c r="Q124" i="29"/>
  <c r="X196" i="29"/>
  <c r="X27" i="31"/>
  <c r="T27" i="31"/>
  <c r="M205" i="31"/>
  <c r="M246" i="31" s="1"/>
  <c r="M248" i="31" s="1"/>
  <c r="Y188" i="31"/>
  <c r="Y195" i="31"/>
  <c r="C176" i="31"/>
  <c r="C339" i="31" s="1"/>
  <c r="K248" i="31"/>
  <c r="G174" i="31"/>
  <c r="D7" i="41" s="1"/>
  <c r="G175" i="31"/>
  <c r="I175" i="31" s="1"/>
  <c r="I176" i="31" s="1"/>
  <c r="Y24" i="31"/>
  <c r="S113" i="31"/>
  <c r="S119" i="33"/>
  <c r="U15" i="31"/>
  <c r="U112" i="31"/>
  <c r="Y112" i="31" s="1"/>
  <c r="Y101" i="31"/>
  <c r="S27" i="31"/>
  <c r="W26" i="31"/>
  <c r="K125" i="31"/>
  <c r="O125" i="31"/>
  <c r="O174" i="31" s="1"/>
  <c r="F7" i="41" s="1"/>
  <c r="Q27" i="31"/>
  <c r="S113" i="9"/>
  <c r="O125" i="9"/>
  <c r="O174" i="9" s="1"/>
  <c r="U18" i="9"/>
  <c r="Y18" i="9" s="1"/>
  <c r="I87" i="9"/>
  <c r="G86" i="9"/>
  <c r="U186" i="9"/>
  <c r="Y186" i="9" s="1"/>
  <c r="U17" i="9"/>
  <c r="W17" i="9"/>
  <c r="W17" i="33" s="1"/>
  <c r="S26" i="9"/>
  <c r="U6" i="9"/>
  <c r="U15" i="9" s="1"/>
  <c r="K205" i="9"/>
  <c r="U20" i="9"/>
  <c r="O33" i="33"/>
  <c r="Q33" i="33" s="1"/>
  <c r="O27" i="9"/>
  <c r="U99" i="9"/>
  <c r="Y99" i="9" s="1"/>
  <c r="I36" i="9"/>
  <c r="I37" i="9" s="1"/>
  <c r="U85" i="9"/>
  <c r="Y85" i="9" s="1"/>
  <c r="K174" i="9"/>
  <c r="K175" i="9"/>
  <c r="M175" i="9" s="1"/>
  <c r="M176" i="9" s="1"/>
  <c r="K36" i="9"/>
  <c r="K37" i="9" s="1"/>
  <c r="K87" i="9" s="1"/>
  <c r="M33" i="9"/>
  <c r="M36" i="9" s="1"/>
  <c r="M37" i="9" s="1"/>
  <c r="Q26" i="9"/>
  <c r="Q15" i="9"/>
  <c r="Y66" i="9"/>
  <c r="U112" i="9"/>
  <c r="W99" i="31"/>
  <c r="W113" i="31" s="1"/>
  <c r="Y115" i="31"/>
  <c r="W124" i="30"/>
  <c r="U113" i="30"/>
  <c r="Y99" i="30"/>
  <c r="O175" i="30"/>
  <c r="Q175" i="30" s="1"/>
  <c r="O174" i="30"/>
  <c r="Y115" i="30"/>
  <c r="W124" i="32"/>
  <c r="M87" i="28"/>
  <c r="G176" i="28"/>
  <c r="M113" i="28"/>
  <c r="Q99" i="28"/>
  <c r="Y202" i="28"/>
  <c r="Y106" i="28"/>
  <c r="W203" i="28"/>
  <c r="W203" i="33" s="1"/>
  <c r="W202" i="28"/>
  <c r="S36" i="28"/>
  <c r="W99" i="28"/>
  <c r="U203" i="28"/>
  <c r="Y111" i="28"/>
  <c r="E125" i="28"/>
  <c r="I125" i="28"/>
  <c r="D174" i="28"/>
  <c r="W186" i="28"/>
  <c r="K205" i="28"/>
  <c r="E4" i="41" s="1"/>
  <c r="L124" i="28"/>
  <c r="O204" i="28"/>
  <c r="S196" i="28"/>
  <c r="U99" i="28"/>
  <c r="O37" i="28"/>
  <c r="O87" i="28" s="1"/>
  <c r="W85" i="28"/>
  <c r="H174" i="28"/>
  <c r="T196" i="28"/>
  <c r="W155" i="28"/>
  <c r="U201" i="28"/>
  <c r="X201" i="28"/>
  <c r="U115" i="28"/>
  <c r="M200" i="28"/>
  <c r="L204" i="28"/>
  <c r="U85" i="28"/>
  <c r="Y108" i="28"/>
  <c r="X195" i="28"/>
  <c r="W115" i="28"/>
  <c r="Y193" i="28"/>
  <c r="U186" i="28"/>
  <c r="U173" i="28"/>
  <c r="U195" i="28"/>
  <c r="Y72" i="28"/>
  <c r="Y109" i="28"/>
  <c r="Y194" i="28"/>
  <c r="S27" i="28"/>
  <c r="U112" i="28"/>
  <c r="U155" i="28"/>
  <c r="Q196" i="28"/>
  <c r="S113" i="28"/>
  <c r="X186" i="28"/>
  <c r="L37" i="28"/>
  <c r="H88" i="28"/>
  <c r="T27" i="28"/>
  <c r="Y9" i="29"/>
  <c r="Q204" i="29"/>
  <c r="S196" i="29"/>
  <c r="U186" i="29"/>
  <c r="Q196" i="29"/>
  <c r="Y110" i="29"/>
  <c r="U202" i="29"/>
  <c r="Y202" i="29" s="1"/>
  <c r="Y97" i="29"/>
  <c r="K247" i="29"/>
  <c r="M247" i="29" s="1"/>
  <c r="K246" i="29"/>
  <c r="Y35" i="29"/>
  <c r="U203" i="29"/>
  <c r="U15" i="29"/>
  <c r="Y15" i="29" s="1"/>
  <c r="W195" i="29"/>
  <c r="U195" i="29"/>
  <c r="H176" i="29"/>
  <c r="H339" i="29" s="1"/>
  <c r="Q31" i="29"/>
  <c r="S31" i="29"/>
  <c r="O36" i="29"/>
  <c r="Z174" i="29"/>
  <c r="Q113" i="29"/>
  <c r="S27" i="29"/>
  <c r="W26" i="29"/>
  <c r="Q26" i="29"/>
  <c r="X99" i="29"/>
  <c r="Y95" i="29"/>
  <c r="T27" i="29"/>
  <c r="X26" i="29"/>
  <c r="X27" i="29" s="1"/>
  <c r="S113" i="29"/>
  <c r="W112" i="29"/>
  <c r="W202" i="29"/>
  <c r="U99" i="29"/>
  <c r="Y99" i="29" s="1"/>
  <c r="U112" i="29"/>
  <c r="K37" i="29"/>
  <c r="K87" i="29" s="1"/>
  <c r="Y192" i="29"/>
  <c r="U30" i="29"/>
  <c r="U17" i="29"/>
  <c r="M205" i="32"/>
  <c r="M246" i="32" s="1"/>
  <c r="K248" i="32"/>
  <c r="K339" i="32" s="1"/>
  <c r="W195" i="32"/>
  <c r="W196" i="32" s="1"/>
  <c r="U245" i="28"/>
  <c r="W245" i="28"/>
  <c r="D246" i="28"/>
  <c r="E205" i="28"/>
  <c r="I204" i="28"/>
  <c r="H205" i="28"/>
  <c r="X27" i="9"/>
  <c r="P88" i="9"/>
  <c r="Y119" i="23"/>
  <c r="U124" i="23"/>
  <c r="Y124" i="23" s="1"/>
  <c r="W125" i="23"/>
  <c r="W175" i="23" s="1"/>
  <c r="Y175" i="23" s="1"/>
  <c r="O175" i="23"/>
  <c r="Q175" i="23" s="1"/>
  <c r="O174" i="23"/>
  <c r="S125" i="23"/>
  <c r="Y112" i="23"/>
  <c r="K176" i="23"/>
  <c r="Z174" i="23"/>
  <c r="Q36" i="23"/>
  <c r="M205" i="9"/>
  <c r="M246" i="9" s="1"/>
  <c r="H248" i="9"/>
  <c r="L246" i="9"/>
  <c r="T196" i="9"/>
  <c r="X200" i="9" s="1"/>
  <c r="X195" i="9"/>
  <c r="P205" i="9"/>
  <c r="U195" i="9"/>
  <c r="Y188" i="9"/>
  <c r="L176" i="9"/>
  <c r="S124" i="28"/>
  <c r="W124" i="28" s="1"/>
  <c r="O125" i="28"/>
  <c r="K174" i="28"/>
  <c r="K175" i="28"/>
  <c r="U85" i="23"/>
  <c r="U199" i="31" l="1"/>
  <c r="Y199" i="31" s="1"/>
  <c r="W199" i="31"/>
  <c r="W199" i="33" s="1"/>
  <c r="S199" i="33"/>
  <c r="W196" i="31"/>
  <c r="W205" i="31" s="1"/>
  <c r="W246" i="31" s="1"/>
  <c r="S205" i="31"/>
  <c r="S247" i="31" s="1"/>
  <c r="U247" i="31" s="1"/>
  <c r="D15" i="41"/>
  <c r="Q247" i="30"/>
  <c r="I248" i="33"/>
  <c r="Y196" i="31"/>
  <c r="T204" i="29"/>
  <c r="X204" i="29" s="1"/>
  <c r="S204" i="29"/>
  <c r="W204" i="29" s="1"/>
  <c r="X339" i="30"/>
  <c r="T339" i="39"/>
  <c r="Q88" i="24"/>
  <c r="W27" i="31"/>
  <c r="Y26" i="39"/>
  <c r="Y27" i="39" s="1"/>
  <c r="Y37" i="39" s="1"/>
  <c r="X339" i="39"/>
  <c r="J11" i="41" s="1"/>
  <c r="Y184" i="33"/>
  <c r="Y186" i="33" s="1"/>
  <c r="X339" i="24"/>
  <c r="O248" i="31"/>
  <c r="Q248" i="31"/>
  <c r="I339" i="31"/>
  <c r="M88" i="23"/>
  <c r="M339" i="23" s="1"/>
  <c r="K339" i="23"/>
  <c r="I88" i="38"/>
  <c r="I339" i="38" s="1"/>
  <c r="G339" i="38"/>
  <c r="Q37" i="31"/>
  <c r="C88" i="33"/>
  <c r="E88" i="33" s="1"/>
  <c r="E339" i="33" s="1"/>
  <c r="I88" i="29"/>
  <c r="I339" i="29" s="1"/>
  <c r="G339" i="29"/>
  <c r="I88" i="39"/>
  <c r="I339" i="39" s="1"/>
  <c r="G339" i="39"/>
  <c r="M88" i="39"/>
  <c r="M339" i="39" s="1"/>
  <c r="K339" i="39"/>
  <c r="O247" i="32"/>
  <c r="Q247" i="32" s="1"/>
  <c r="K246" i="33"/>
  <c r="K248" i="33" s="1"/>
  <c r="T339" i="32"/>
  <c r="M248" i="33"/>
  <c r="L339" i="33"/>
  <c r="X339" i="32"/>
  <c r="M88" i="30"/>
  <c r="M339" i="30" s="1"/>
  <c r="K339" i="30"/>
  <c r="E339" i="9"/>
  <c r="H339" i="9"/>
  <c r="Y110" i="33"/>
  <c r="Y17" i="33"/>
  <c r="W63" i="33"/>
  <c r="O248" i="23"/>
  <c r="U205" i="38"/>
  <c r="Y186" i="31"/>
  <c r="Y121" i="33"/>
  <c r="Y193" i="33"/>
  <c r="Y195" i="33" s="1"/>
  <c r="Y105" i="33"/>
  <c r="U186" i="33"/>
  <c r="U196" i="33" s="1"/>
  <c r="Y109" i="33"/>
  <c r="Y63" i="33"/>
  <c r="W186" i="33"/>
  <c r="W198" i="33"/>
  <c r="Y198" i="33" s="1"/>
  <c r="Q176" i="23"/>
  <c r="Y97" i="33"/>
  <c r="Y99" i="33" s="1"/>
  <c r="Q199" i="33"/>
  <c r="S205" i="23"/>
  <c r="S246" i="23" s="1"/>
  <c r="Q113" i="33"/>
  <c r="Y34" i="33"/>
  <c r="Y203" i="33"/>
  <c r="U99" i="33"/>
  <c r="U113" i="33" s="1"/>
  <c r="X186" i="33"/>
  <c r="X196" i="33" s="1"/>
  <c r="W115" i="33"/>
  <c r="Y115" i="33" s="1"/>
  <c r="Y113" i="30"/>
  <c r="Y118" i="33"/>
  <c r="X15" i="33"/>
  <c r="W202" i="33"/>
  <c r="Y202" i="33" s="1"/>
  <c r="G176" i="33"/>
  <c r="Y195" i="38"/>
  <c r="X125" i="38"/>
  <c r="X174" i="38" s="1"/>
  <c r="X176" i="38" s="1"/>
  <c r="Y196" i="38"/>
  <c r="I176" i="33"/>
  <c r="Y27" i="32"/>
  <c r="Y37" i="32" s="1"/>
  <c r="W32" i="31"/>
  <c r="S36" i="31"/>
  <c r="W36" i="31" s="1"/>
  <c r="W37" i="31" s="1"/>
  <c r="S32" i="33"/>
  <c r="U32" i="33" s="1"/>
  <c r="Y30" i="33"/>
  <c r="Q86" i="31"/>
  <c r="W112" i="33"/>
  <c r="W85" i="33"/>
  <c r="X37" i="38"/>
  <c r="X86" i="38" s="1"/>
  <c r="X88" i="38" s="1"/>
  <c r="X339" i="38" s="1"/>
  <c r="P204" i="33"/>
  <c r="P205" i="33" s="1"/>
  <c r="P246" i="33" s="1"/>
  <c r="P248" i="33" s="1"/>
  <c r="T37" i="38"/>
  <c r="T86" i="38" s="1"/>
  <c r="T88" i="38" s="1"/>
  <c r="T339" i="38" s="1"/>
  <c r="W205" i="38"/>
  <c r="T125" i="38"/>
  <c r="T174" i="38" s="1"/>
  <c r="T176" i="38" s="1"/>
  <c r="Y35" i="33"/>
  <c r="Y66" i="33"/>
  <c r="Y85" i="33" s="1"/>
  <c r="U35" i="33"/>
  <c r="S31" i="33"/>
  <c r="U31" i="33" s="1"/>
  <c r="U31" i="38"/>
  <c r="Y31" i="38" s="1"/>
  <c r="W31" i="38"/>
  <c r="W31" i="33" s="1"/>
  <c r="W27" i="38"/>
  <c r="M86" i="30"/>
  <c r="W86" i="24"/>
  <c r="Y86" i="24" s="1"/>
  <c r="AA86" i="24" s="1"/>
  <c r="P36" i="33"/>
  <c r="P37" i="33" s="1"/>
  <c r="P86" i="33" s="1"/>
  <c r="P88" i="33" s="1"/>
  <c r="U32" i="31"/>
  <c r="U36" i="31" s="1"/>
  <c r="Y36" i="31" s="1"/>
  <c r="X32" i="31"/>
  <c r="X32" i="33" s="1"/>
  <c r="T36" i="31"/>
  <c r="X36" i="31" s="1"/>
  <c r="X37" i="31" s="1"/>
  <c r="X86" i="31" s="1"/>
  <c r="X88" i="31" s="1"/>
  <c r="U119" i="33"/>
  <c r="U199" i="28"/>
  <c r="Y199" i="28" s="1"/>
  <c r="X199" i="28"/>
  <c r="X199" i="33" s="1"/>
  <c r="T199" i="33"/>
  <c r="Q175" i="32"/>
  <c r="Q176" i="32" s="1"/>
  <c r="O88" i="23"/>
  <c r="X201" i="33"/>
  <c r="S113" i="33"/>
  <c r="X112" i="33"/>
  <c r="X26" i="33"/>
  <c r="Q248" i="32"/>
  <c r="S204" i="32"/>
  <c r="W201" i="32"/>
  <c r="U201" i="32"/>
  <c r="Y201" i="32" s="1"/>
  <c r="O88" i="31"/>
  <c r="K174" i="33"/>
  <c r="K176" i="33" s="1"/>
  <c r="M176" i="33"/>
  <c r="K87" i="33"/>
  <c r="M87" i="33" s="1"/>
  <c r="Q248" i="30"/>
  <c r="W204" i="30"/>
  <c r="W205" i="30" s="1"/>
  <c r="W247" i="30" s="1"/>
  <c r="Y247" i="30" s="1"/>
  <c r="S196" i="33"/>
  <c r="G248" i="33"/>
  <c r="S175" i="30"/>
  <c r="U175" i="30" s="1"/>
  <c r="Y18" i="33"/>
  <c r="O88" i="39"/>
  <c r="U27" i="23"/>
  <c r="Q27" i="33"/>
  <c r="F14" i="41"/>
  <c r="M37" i="33"/>
  <c r="W86" i="39"/>
  <c r="Y86" i="39" s="1"/>
  <c r="W87" i="39"/>
  <c r="Y87" i="39" s="1"/>
  <c r="T27" i="33"/>
  <c r="W15" i="33"/>
  <c r="U15" i="33"/>
  <c r="Y14" i="33"/>
  <c r="Y15" i="28"/>
  <c r="U26" i="33"/>
  <c r="I86" i="9"/>
  <c r="G88" i="9"/>
  <c r="I88" i="9" s="1"/>
  <c r="U27" i="32"/>
  <c r="U37" i="32" s="1"/>
  <c r="U86" i="32"/>
  <c r="W195" i="33"/>
  <c r="O174" i="24"/>
  <c r="O176" i="24" s="1"/>
  <c r="W247" i="23"/>
  <c r="Y247" i="23" s="1"/>
  <c r="Y13" i="33"/>
  <c r="W99" i="33"/>
  <c r="Y198" i="32"/>
  <c r="S88" i="24"/>
  <c r="U88" i="24" s="1"/>
  <c r="X99" i="33"/>
  <c r="W196" i="29"/>
  <c r="W205" i="29" s="1"/>
  <c r="Y195" i="32"/>
  <c r="S124" i="33"/>
  <c r="O174" i="29"/>
  <c r="O175" i="29"/>
  <c r="Q175" i="29" s="1"/>
  <c r="W124" i="29"/>
  <c r="C248" i="33"/>
  <c r="O204" i="33"/>
  <c r="O205" i="33" s="1"/>
  <c r="W200" i="28"/>
  <c r="O124" i="33"/>
  <c r="O125" i="33" s="1"/>
  <c r="Y116" i="33"/>
  <c r="P124" i="33"/>
  <c r="P125" i="33" s="1"/>
  <c r="P174" i="33" s="1"/>
  <c r="P176" i="33" s="1"/>
  <c r="S26" i="33"/>
  <c r="S27" i="33" s="1"/>
  <c r="T36" i="23"/>
  <c r="X36" i="23" s="1"/>
  <c r="X37" i="23" s="1"/>
  <c r="X86" i="23" s="1"/>
  <c r="X88" i="23" s="1"/>
  <c r="T36" i="33"/>
  <c r="G88" i="33"/>
  <c r="I86" i="33"/>
  <c r="K86" i="33"/>
  <c r="Q86" i="23"/>
  <c r="O36" i="33"/>
  <c r="O37" i="33" s="1"/>
  <c r="Q36" i="33"/>
  <c r="S88" i="39"/>
  <c r="U86" i="39"/>
  <c r="W31" i="29"/>
  <c r="M88" i="38"/>
  <c r="M339" i="38" s="1"/>
  <c r="Q86" i="32"/>
  <c r="U32" i="28"/>
  <c r="U196" i="23"/>
  <c r="T37" i="9"/>
  <c r="T86" i="9" s="1"/>
  <c r="T88" i="9" s="1"/>
  <c r="S125" i="24"/>
  <c r="Y115" i="24"/>
  <c r="O248" i="39"/>
  <c r="Q88" i="30"/>
  <c r="O88" i="30"/>
  <c r="U196" i="30"/>
  <c r="Y196" i="30" s="1"/>
  <c r="W125" i="30"/>
  <c r="W174" i="30" s="1"/>
  <c r="W27" i="29"/>
  <c r="U196" i="29"/>
  <c r="Y196" i="29" s="1"/>
  <c r="O248" i="38"/>
  <c r="S246" i="38"/>
  <c r="S247" i="38"/>
  <c r="U247" i="38" s="1"/>
  <c r="Y205" i="38"/>
  <c r="Y246" i="38" s="1"/>
  <c r="O176" i="32"/>
  <c r="Y125" i="32"/>
  <c r="Y174" i="32" s="1"/>
  <c r="S175" i="32"/>
  <c r="U125" i="32"/>
  <c r="U174" i="32" s="1"/>
  <c r="O88" i="32"/>
  <c r="Y113" i="31"/>
  <c r="U27" i="31"/>
  <c r="W246" i="24"/>
  <c r="W247" i="24"/>
  <c r="Y247" i="24" s="1"/>
  <c r="W247" i="39"/>
  <c r="Y247" i="39" s="1"/>
  <c r="W246" i="39"/>
  <c r="W86" i="32"/>
  <c r="Y86" i="32" s="1"/>
  <c r="AA86" i="32" s="1"/>
  <c r="Y87" i="32"/>
  <c r="W200" i="29"/>
  <c r="U200" i="29"/>
  <c r="Y200" i="29" s="1"/>
  <c r="U113" i="39"/>
  <c r="Y99" i="39"/>
  <c r="Y113" i="39" s="1"/>
  <c r="C13" i="41"/>
  <c r="C248" i="9"/>
  <c r="S125" i="39"/>
  <c r="W124" i="39"/>
  <c r="W125" i="39" s="1"/>
  <c r="Q205" i="24"/>
  <c r="Q246" i="24" s="1"/>
  <c r="S247" i="23"/>
  <c r="U247" i="23" s="1"/>
  <c r="U204" i="24"/>
  <c r="U205" i="24" s="1"/>
  <c r="U246" i="24" s="1"/>
  <c r="S88" i="32"/>
  <c r="Y115" i="39"/>
  <c r="U124" i="39"/>
  <c r="O246" i="24"/>
  <c r="O247" i="24"/>
  <c r="Q247" i="24" s="1"/>
  <c r="S246" i="39"/>
  <c r="S247" i="39"/>
  <c r="U247" i="39" s="1"/>
  <c r="S205" i="24"/>
  <c r="U196" i="39"/>
  <c r="Y195" i="39"/>
  <c r="O175" i="39"/>
  <c r="Q175" i="39" s="1"/>
  <c r="Q176" i="39" s="1"/>
  <c r="O174" i="39"/>
  <c r="Q205" i="38"/>
  <c r="Q246" i="38" s="1"/>
  <c r="Q248" i="38" s="1"/>
  <c r="U113" i="38"/>
  <c r="U125" i="38" s="1"/>
  <c r="U174" i="38" s="1"/>
  <c r="Y112" i="38"/>
  <c r="Y113" i="38" s="1"/>
  <c r="U246" i="38"/>
  <c r="U200" i="9"/>
  <c r="U204" i="9" s="1"/>
  <c r="T204" i="9"/>
  <c r="X204" i="9" s="1"/>
  <c r="T37" i="28"/>
  <c r="I88" i="28"/>
  <c r="Y99" i="28"/>
  <c r="Q87" i="28"/>
  <c r="O88" i="38"/>
  <c r="U36" i="30"/>
  <c r="Y36" i="30" s="1"/>
  <c r="Y37" i="30" s="1"/>
  <c r="X119" i="33"/>
  <c r="T124" i="9"/>
  <c r="U124" i="30"/>
  <c r="Y124" i="30" s="1"/>
  <c r="Y125" i="30" s="1"/>
  <c r="Y174" i="30" s="1"/>
  <c r="Y87" i="30"/>
  <c r="W86" i="30"/>
  <c r="Y86" i="30" s="1"/>
  <c r="S37" i="30"/>
  <c r="S87" i="30" s="1"/>
  <c r="M248" i="29"/>
  <c r="U113" i="29"/>
  <c r="U32" i="29"/>
  <c r="Y32" i="29" s="1"/>
  <c r="W32" i="29"/>
  <c r="W125" i="32"/>
  <c r="W174" i="32" s="1"/>
  <c r="Q200" i="9"/>
  <c r="Q204" i="9" s="1"/>
  <c r="Q205" i="9" s="1"/>
  <c r="Q246" i="9" s="1"/>
  <c r="X33" i="23"/>
  <c r="X33" i="33" s="1"/>
  <c r="Y26" i="23"/>
  <c r="Y27" i="23" s="1"/>
  <c r="W200" i="9"/>
  <c r="O205" i="9"/>
  <c r="O246" i="9" s="1"/>
  <c r="S204" i="9"/>
  <c r="S205" i="9" s="1"/>
  <c r="S247" i="9" s="1"/>
  <c r="U247" i="9" s="1"/>
  <c r="U37" i="39"/>
  <c r="X205" i="29"/>
  <c r="X246" i="29" s="1"/>
  <c r="X248" i="29" s="1"/>
  <c r="X37" i="29"/>
  <c r="X86" i="29" s="1"/>
  <c r="X88" i="29" s="1"/>
  <c r="W247" i="38"/>
  <c r="Y247" i="38" s="1"/>
  <c r="W246" i="38"/>
  <c r="G246" i="9"/>
  <c r="D13" i="41" s="1"/>
  <c r="G247" i="9"/>
  <c r="I247" i="9" s="1"/>
  <c r="I248" i="9" s="1"/>
  <c r="Y6" i="9"/>
  <c r="Q27" i="9"/>
  <c r="Y15" i="9"/>
  <c r="O248" i="30"/>
  <c r="S37" i="38"/>
  <c r="S87" i="38" s="1"/>
  <c r="W36" i="38"/>
  <c r="Y33" i="38"/>
  <c r="U27" i="38"/>
  <c r="Y26" i="38"/>
  <c r="Y27" i="38" s="1"/>
  <c r="Y204" i="30"/>
  <c r="S175" i="24"/>
  <c r="U175" i="24" s="1"/>
  <c r="S174" i="24"/>
  <c r="W124" i="38"/>
  <c r="W125" i="38" s="1"/>
  <c r="S37" i="23"/>
  <c r="S87" i="23" s="1"/>
  <c r="W36" i="23"/>
  <c r="W37" i="23" s="1"/>
  <c r="W87" i="23" s="1"/>
  <c r="Y119" i="38"/>
  <c r="Y33" i="39"/>
  <c r="O175" i="38"/>
  <c r="Q175" i="38" s="1"/>
  <c r="O174" i="38"/>
  <c r="F8" i="41" s="1"/>
  <c r="S124" i="9"/>
  <c r="W125" i="9" s="1"/>
  <c r="W174" i="9" s="1"/>
  <c r="S246" i="30"/>
  <c r="G10" i="41" s="1"/>
  <c r="S247" i="30"/>
  <c r="U113" i="24"/>
  <c r="U125" i="24" s="1"/>
  <c r="U174" i="24" s="1"/>
  <c r="Y112" i="24"/>
  <c r="Y113" i="24" s="1"/>
  <c r="Y125" i="24" s="1"/>
  <c r="Y174" i="24" s="1"/>
  <c r="Q125" i="38"/>
  <c r="Q174" i="38" s="1"/>
  <c r="Y124" i="38"/>
  <c r="M176" i="24"/>
  <c r="M339" i="24" s="1"/>
  <c r="K176" i="24"/>
  <c r="K339" i="24" s="1"/>
  <c r="Z174" i="24"/>
  <c r="S175" i="38"/>
  <c r="U175" i="38" s="1"/>
  <c r="S174" i="38"/>
  <c r="Q176" i="24"/>
  <c r="W124" i="24"/>
  <c r="W125" i="24" s="1"/>
  <c r="O175" i="31"/>
  <c r="Q175" i="31" s="1"/>
  <c r="Q176" i="31" s="1"/>
  <c r="S205" i="29"/>
  <c r="S246" i="29" s="1"/>
  <c r="O246" i="29"/>
  <c r="O248" i="29" s="1"/>
  <c r="S125" i="29"/>
  <c r="S175" i="29" s="1"/>
  <c r="U175" i="29" s="1"/>
  <c r="U204" i="31"/>
  <c r="Y204" i="31" s="1"/>
  <c r="C4" i="34"/>
  <c r="Y15" i="31"/>
  <c r="Y27" i="31" s="1"/>
  <c r="G176" i="31"/>
  <c r="G339" i="31" s="1"/>
  <c r="U113" i="31"/>
  <c r="K174" i="31"/>
  <c r="E7" i="41" s="1"/>
  <c r="K175" i="31"/>
  <c r="M175" i="31" s="1"/>
  <c r="M176" i="31" s="1"/>
  <c r="M339" i="31" s="1"/>
  <c r="S124" i="31"/>
  <c r="O175" i="9"/>
  <c r="Q175" i="9" s="1"/>
  <c r="Q176" i="9" s="1"/>
  <c r="K176" i="9"/>
  <c r="S33" i="33"/>
  <c r="U33" i="33" s="1"/>
  <c r="W26" i="9"/>
  <c r="W27" i="9" s="1"/>
  <c r="S27" i="9"/>
  <c r="K246" i="9"/>
  <c r="K247" i="9"/>
  <c r="M247" i="9" s="1"/>
  <c r="M248" i="9" s="1"/>
  <c r="M87" i="9"/>
  <c r="K86" i="9"/>
  <c r="M86" i="9" s="1"/>
  <c r="U32" i="9"/>
  <c r="Y17" i="9"/>
  <c r="U26" i="9"/>
  <c r="O36" i="9"/>
  <c r="Q33" i="9"/>
  <c r="Y112" i="9"/>
  <c r="Y113" i="9" s="1"/>
  <c r="U113" i="9"/>
  <c r="Q32" i="9"/>
  <c r="Y20" i="9"/>
  <c r="Q176" i="30"/>
  <c r="O176" i="30"/>
  <c r="S176" i="30"/>
  <c r="Q113" i="28"/>
  <c r="K88" i="28"/>
  <c r="Y201" i="28"/>
  <c r="Y115" i="28"/>
  <c r="W113" i="28"/>
  <c r="X27" i="28"/>
  <c r="Y203" i="28"/>
  <c r="S37" i="28"/>
  <c r="S87" i="28" s="1"/>
  <c r="Y186" i="28"/>
  <c r="P124" i="28"/>
  <c r="W196" i="28"/>
  <c r="I174" i="28"/>
  <c r="S204" i="28"/>
  <c r="W204" i="28" s="1"/>
  <c r="E174" i="28"/>
  <c r="T113" i="28"/>
  <c r="M124" i="28"/>
  <c r="K247" i="28"/>
  <c r="M247" i="28" s="1"/>
  <c r="O205" i="28"/>
  <c r="F4" i="41" s="1"/>
  <c r="L125" i="28"/>
  <c r="D176" i="28"/>
  <c r="O86" i="28"/>
  <c r="U113" i="28"/>
  <c r="Y173" i="28"/>
  <c r="L205" i="28"/>
  <c r="H176" i="28"/>
  <c r="Q200" i="28"/>
  <c r="P204" i="28"/>
  <c r="Y155" i="28"/>
  <c r="X196" i="28"/>
  <c r="M204" i="28"/>
  <c r="Y112" i="28"/>
  <c r="Y195" i="28"/>
  <c r="U196" i="28"/>
  <c r="Y85" i="28"/>
  <c r="P37" i="28"/>
  <c r="L86" i="28"/>
  <c r="M86" i="28" s="1"/>
  <c r="Q205" i="29"/>
  <c r="Q246" i="29" s="1"/>
  <c r="Q248" i="29" s="1"/>
  <c r="W113" i="29"/>
  <c r="X113" i="29"/>
  <c r="Q27" i="29"/>
  <c r="U26" i="29"/>
  <c r="Y30" i="29"/>
  <c r="T37" i="29"/>
  <c r="T86" i="29" s="1"/>
  <c r="T88" i="29" s="1"/>
  <c r="Y195" i="29"/>
  <c r="Y186" i="29"/>
  <c r="Y17" i="29"/>
  <c r="O37" i="29"/>
  <c r="O87" i="29" s="1"/>
  <c r="Q36" i="29"/>
  <c r="U33" i="29"/>
  <c r="Y33" i="29" s="1"/>
  <c r="M87" i="29"/>
  <c r="K86" i="29"/>
  <c r="Q125" i="29"/>
  <c r="Q174" i="29" s="1"/>
  <c r="U31" i="29"/>
  <c r="S36" i="29"/>
  <c r="K248" i="29"/>
  <c r="Y203" i="29"/>
  <c r="Y112" i="29"/>
  <c r="Y113" i="29" s="1"/>
  <c r="M248" i="32"/>
  <c r="M339" i="32" s="1"/>
  <c r="Y245" i="28"/>
  <c r="D248" i="28"/>
  <c r="H246" i="28"/>
  <c r="I205" i="28"/>
  <c r="X37" i="9"/>
  <c r="W174" i="23"/>
  <c r="W176" i="23" s="1"/>
  <c r="U125" i="23"/>
  <c r="U174" i="23" s="1"/>
  <c r="O176" i="23"/>
  <c r="Y113" i="23"/>
  <c r="S174" i="23"/>
  <c r="S175" i="23"/>
  <c r="U175" i="23" s="1"/>
  <c r="U36" i="23"/>
  <c r="Y33" i="23"/>
  <c r="Q37" i="23"/>
  <c r="U196" i="9"/>
  <c r="Y195" i="9"/>
  <c r="X196" i="9"/>
  <c r="L248" i="9"/>
  <c r="P246" i="9"/>
  <c r="P176" i="9"/>
  <c r="M175" i="28"/>
  <c r="K176" i="28"/>
  <c r="Z174" i="28"/>
  <c r="S125" i="28"/>
  <c r="O175" i="28"/>
  <c r="O174" i="28"/>
  <c r="Y85" i="23"/>
  <c r="Y205" i="31" l="1"/>
  <c r="Y246" i="31" s="1"/>
  <c r="U199" i="33"/>
  <c r="S246" i="31"/>
  <c r="S248" i="31" s="1"/>
  <c r="D339" i="28"/>
  <c r="Y112" i="33"/>
  <c r="E15" i="41"/>
  <c r="U247" i="30"/>
  <c r="W246" i="30"/>
  <c r="W248" i="30" s="1"/>
  <c r="W247" i="31"/>
  <c r="Y247" i="31" s="1"/>
  <c r="T205" i="29"/>
  <c r="T246" i="29" s="1"/>
  <c r="T248" i="29" s="1"/>
  <c r="T339" i="29" s="1"/>
  <c r="W119" i="33"/>
  <c r="O248" i="32"/>
  <c r="O339" i="30"/>
  <c r="Q339" i="30"/>
  <c r="Z86" i="24"/>
  <c r="W88" i="24"/>
  <c r="Y88" i="24" s="1"/>
  <c r="X339" i="23"/>
  <c r="Q88" i="23"/>
  <c r="Q339" i="23" s="1"/>
  <c r="O339" i="23"/>
  <c r="Q88" i="38"/>
  <c r="Q339" i="38" s="1"/>
  <c r="O339" i="38"/>
  <c r="X339" i="31"/>
  <c r="J7" i="41" s="1"/>
  <c r="C3" i="34"/>
  <c r="C339" i="33"/>
  <c r="W87" i="31"/>
  <c r="Y87" i="31" s="1"/>
  <c r="W86" i="31"/>
  <c r="Y86" i="31" s="1"/>
  <c r="AA86" i="31" s="1"/>
  <c r="Q88" i="31"/>
  <c r="Q339" i="31" s="1"/>
  <c r="S37" i="31"/>
  <c r="G339" i="33"/>
  <c r="Q88" i="39"/>
  <c r="Q339" i="39" s="1"/>
  <c r="U88" i="39"/>
  <c r="P339" i="33"/>
  <c r="U88" i="32"/>
  <c r="Q88" i="32"/>
  <c r="Q339" i="32" s="1"/>
  <c r="O339" i="32"/>
  <c r="C339" i="9"/>
  <c r="L339" i="9"/>
  <c r="I339" i="9"/>
  <c r="X27" i="33"/>
  <c r="W196" i="33"/>
  <c r="W248" i="23"/>
  <c r="U176" i="24"/>
  <c r="Y196" i="33"/>
  <c r="W32" i="33"/>
  <c r="W200" i="33"/>
  <c r="U36" i="38"/>
  <c r="U37" i="38" s="1"/>
  <c r="W113" i="33"/>
  <c r="Y37" i="31"/>
  <c r="Y31" i="33"/>
  <c r="U37" i="31"/>
  <c r="W37" i="38"/>
  <c r="W87" i="38" s="1"/>
  <c r="Y87" i="38" s="1"/>
  <c r="Y199" i="33"/>
  <c r="T37" i="31"/>
  <c r="T86" i="31" s="1"/>
  <c r="T88" i="31" s="1"/>
  <c r="T339" i="31" s="1"/>
  <c r="Y32" i="31"/>
  <c r="U175" i="32"/>
  <c r="U176" i="32" s="1"/>
  <c r="W201" i="33"/>
  <c r="Y201" i="33" s="1"/>
  <c r="W120" i="33"/>
  <c r="Y120" i="33" s="1"/>
  <c r="S125" i="33"/>
  <c r="S175" i="33" s="1"/>
  <c r="U175" i="33" s="1"/>
  <c r="X113" i="33"/>
  <c r="W204" i="32"/>
  <c r="W205" i="32" s="1"/>
  <c r="S205" i="32"/>
  <c r="U204" i="32"/>
  <c r="K88" i="33"/>
  <c r="K339" i="33" s="1"/>
  <c r="O86" i="33"/>
  <c r="Q86" i="33" s="1"/>
  <c r="O87" i="33"/>
  <c r="Q87" i="33" s="1"/>
  <c r="W88" i="39"/>
  <c r="Q37" i="33"/>
  <c r="T37" i="33"/>
  <c r="T86" i="33" s="1"/>
  <c r="T88" i="33" s="1"/>
  <c r="U27" i="33"/>
  <c r="U36" i="28"/>
  <c r="U37" i="28" s="1"/>
  <c r="Y32" i="28"/>
  <c r="Y15" i="33"/>
  <c r="Y113" i="33"/>
  <c r="O176" i="29"/>
  <c r="W248" i="39"/>
  <c r="Q176" i="29"/>
  <c r="S176" i="32"/>
  <c r="W175" i="30"/>
  <c r="Y175" i="30" s="1"/>
  <c r="Y176" i="30" s="1"/>
  <c r="O247" i="33"/>
  <c r="Q247" i="33" s="1"/>
  <c r="U205" i="30"/>
  <c r="U246" i="30" s="1"/>
  <c r="U248" i="30" s="1"/>
  <c r="T37" i="23"/>
  <c r="T86" i="23" s="1"/>
  <c r="T88" i="23" s="1"/>
  <c r="T339" i="23" s="1"/>
  <c r="T205" i="9"/>
  <c r="T246" i="9" s="1"/>
  <c r="U204" i="29"/>
  <c r="U205" i="29" s="1"/>
  <c r="U246" i="29" s="1"/>
  <c r="W175" i="32"/>
  <c r="Y175" i="32" s="1"/>
  <c r="Y176" i="32" s="1"/>
  <c r="Q124" i="33"/>
  <c r="Q125" i="33" s="1"/>
  <c r="Q174" i="33" s="1"/>
  <c r="Q204" i="33"/>
  <c r="Q205" i="33" s="1"/>
  <c r="U248" i="38"/>
  <c r="S204" i="33"/>
  <c r="S205" i="33" s="1"/>
  <c r="X200" i="28"/>
  <c r="T204" i="33"/>
  <c r="T205" i="33" s="1"/>
  <c r="T246" i="33" s="1"/>
  <c r="T248" i="33" s="1"/>
  <c r="O175" i="33"/>
  <c r="Q175" i="33" s="1"/>
  <c r="O174" i="33"/>
  <c r="Y26" i="33"/>
  <c r="W26" i="33"/>
  <c r="W27" i="33" s="1"/>
  <c r="M86" i="33"/>
  <c r="I88" i="33"/>
  <c r="I339" i="33" s="1"/>
  <c r="W33" i="9"/>
  <c r="U36" i="33"/>
  <c r="E9" i="41"/>
  <c r="M86" i="29"/>
  <c r="W36" i="28"/>
  <c r="X36" i="28"/>
  <c r="X37" i="28" s="1"/>
  <c r="X36" i="33"/>
  <c r="U205" i="23"/>
  <c r="U246" i="23" s="1"/>
  <c r="U248" i="23" s="1"/>
  <c r="Y196" i="23"/>
  <c r="Y205" i="23" s="1"/>
  <c r="Y246" i="23" s="1"/>
  <c r="Y248" i="23" s="1"/>
  <c r="E13" i="41"/>
  <c r="O248" i="24"/>
  <c r="O339" i="24" s="1"/>
  <c r="W248" i="24"/>
  <c r="S248" i="39"/>
  <c r="Y205" i="30"/>
  <c r="Y246" i="30" s="1"/>
  <c r="Y248" i="30" s="1"/>
  <c r="U124" i="29"/>
  <c r="Y124" i="29" s="1"/>
  <c r="Y125" i="29" s="1"/>
  <c r="Y174" i="29" s="1"/>
  <c r="S248" i="38"/>
  <c r="Y248" i="38"/>
  <c r="Y125" i="38"/>
  <c r="Y174" i="38" s="1"/>
  <c r="Q176" i="38"/>
  <c r="W88" i="32"/>
  <c r="O88" i="28"/>
  <c r="O176" i="39"/>
  <c r="O339" i="39" s="1"/>
  <c r="F11" i="41"/>
  <c r="Q248" i="24"/>
  <c r="Q339" i="24" s="1"/>
  <c r="W204" i="9"/>
  <c r="W205" i="9" s="1"/>
  <c r="S247" i="24"/>
  <c r="U247" i="24" s="1"/>
  <c r="U248" i="24" s="1"/>
  <c r="U339" i="24" s="1"/>
  <c r="S246" i="24"/>
  <c r="G12" i="41" s="1"/>
  <c r="F12" i="41"/>
  <c r="S248" i="23"/>
  <c r="Y204" i="24"/>
  <c r="Y205" i="24" s="1"/>
  <c r="Y246" i="24" s="1"/>
  <c r="Y248" i="24" s="1"/>
  <c r="U125" i="39"/>
  <c r="U174" i="39" s="1"/>
  <c r="Y124" i="39"/>
  <c r="Y125" i="39" s="1"/>
  <c r="Y174" i="39" s="1"/>
  <c r="W174" i="39"/>
  <c r="W175" i="39"/>
  <c r="Y175" i="39" s="1"/>
  <c r="U176" i="38"/>
  <c r="Y196" i="39"/>
  <c r="Y205" i="39" s="1"/>
  <c r="Y246" i="39" s="1"/>
  <c r="Y248" i="39" s="1"/>
  <c r="U205" i="39"/>
  <c r="U246" i="39" s="1"/>
  <c r="U248" i="39" s="1"/>
  <c r="S174" i="39"/>
  <c r="S175" i="39"/>
  <c r="U175" i="39" s="1"/>
  <c r="W248" i="38"/>
  <c r="AA86" i="39"/>
  <c r="U37" i="30"/>
  <c r="T125" i="9"/>
  <c r="T174" i="9" s="1"/>
  <c r="T176" i="9" s="1"/>
  <c r="X124" i="9"/>
  <c r="X125" i="9" s="1"/>
  <c r="X174" i="9" s="1"/>
  <c r="U125" i="30"/>
  <c r="U174" i="30" s="1"/>
  <c r="U176" i="30" s="1"/>
  <c r="U87" i="30"/>
  <c r="S86" i="30"/>
  <c r="W88" i="30"/>
  <c r="Y200" i="9"/>
  <c r="O247" i="9"/>
  <c r="Q247" i="9" s="1"/>
  <c r="Q248" i="9" s="1"/>
  <c r="S246" i="9"/>
  <c r="S248" i="9" s="1"/>
  <c r="S247" i="29"/>
  <c r="U247" i="29" s="1"/>
  <c r="G248" i="9"/>
  <c r="S248" i="30"/>
  <c r="U87" i="38"/>
  <c r="S86" i="38"/>
  <c r="Y36" i="38"/>
  <c r="Y37" i="38" s="1"/>
  <c r="W86" i="38"/>
  <c r="Y86" i="38" s="1"/>
  <c r="W175" i="24"/>
  <c r="Y175" i="24" s="1"/>
  <c r="Y176" i="24" s="1"/>
  <c r="W174" i="24"/>
  <c r="S176" i="38"/>
  <c r="O176" i="38"/>
  <c r="S176" i="24"/>
  <c r="S125" i="9"/>
  <c r="AA86" i="30"/>
  <c r="W86" i="23"/>
  <c r="Y86" i="23" s="1"/>
  <c r="Y87" i="23"/>
  <c r="U124" i="9"/>
  <c r="Y124" i="9" s="1"/>
  <c r="Y125" i="9" s="1"/>
  <c r="Y174" i="9" s="1"/>
  <c r="S86" i="23"/>
  <c r="U87" i="23"/>
  <c r="W175" i="38"/>
  <c r="Y175" i="38" s="1"/>
  <c r="W174" i="38"/>
  <c r="S174" i="29"/>
  <c r="S176" i="29" s="1"/>
  <c r="O176" i="31"/>
  <c r="O339" i="31" s="1"/>
  <c r="U205" i="31"/>
  <c r="U246" i="31" s="1"/>
  <c r="U248" i="31" s="1"/>
  <c r="U124" i="31"/>
  <c r="S125" i="31"/>
  <c r="W125" i="31"/>
  <c r="W174" i="31" s="1"/>
  <c r="D4" i="34"/>
  <c r="Z174" i="31"/>
  <c r="K176" i="31"/>
  <c r="K339" i="31" s="1"/>
  <c r="W175" i="9"/>
  <c r="Y175" i="9" s="1"/>
  <c r="O176" i="9"/>
  <c r="Y32" i="9"/>
  <c r="Q36" i="9"/>
  <c r="K248" i="9"/>
  <c r="Y26" i="9"/>
  <c r="Y27" i="9" s="1"/>
  <c r="U27" i="9"/>
  <c r="K88" i="9"/>
  <c r="M88" i="9" s="1"/>
  <c r="D3" i="34"/>
  <c r="O37" i="9"/>
  <c r="O87" i="9" s="1"/>
  <c r="U33" i="9"/>
  <c r="U36" i="9" s="1"/>
  <c r="S36" i="9"/>
  <c r="S37" i="9" s="1"/>
  <c r="Q124" i="28"/>
  <c r="O247" i="28"/>
  <c r="Q247" i="28" s="1"/>
  <c r="M125" i="28"/>
  <c r="I176" i="28"/>
  <c r="P125" i="28"/>
  <c r="T124" i="28"/>
  <c r="S205" i="28"/>
  <c r="G4" i="41" s="1"/>
  <c r="L174" i="28"/>
  <c r="E176" i="28"/>
  <c r="S86" i="28"/>
  <c r="U87" i="28"/>
  <c r="Y196" i="28"/>
  <c r="Y113" i="28"/>
  <c r="U200" i="28"/>
  <c r="T204" i="28"/>
  <c r="X204" i="28" s="1"/>
  <c r="P205" i="28"/>
  <c r="M205" i="28"/>
  <c r="Q204" i="28"/>
  <c r="L246" i="28"/>
  <c r="P86" i="28"/>
  <c r="Q86" i="28" s="1"/>
  <c r="L88" i="28"/>
  <c r="Y27" i="28"/>
  <c r="S37" i="29"/>
  <c r="S87" i="29" s="1"/>
  <c r="Q37" i="29"/>
  <c r="K88" i="29"/>
  <c r="W247" i="29"/>
  <c r="Y247" i="29" s="1"/>
  <c r="W246" i="29"/>
  <c r="X125" i="29"/>
  <c r="X174" i="29" s="1"/>
  <c r="X176" i="29" s="1"/>
  <c r="Y31" i="29"/>
  <c r="U36" i="29"/>
  <c r="W36" i="29"/>
  <c r="W125" i="29"/>
  <c r="Q87" i="29"/>
  <c r="O86" i="29"/>
  <c r="U27" i="29"/>
  <c r="Y26" i="29"/>
  <c r="H248" i="28"/>
  <c r="H339" i="28" s="1"/>
  <c r="X86" i="9"/>
  <c r="U176" i="23"/>
  <c r="S176" i="23"/>
  <c r="Y125" i="23"/>
  <c r="Y174" i="23" s="1"/>
  <c r="Y176" i="23" s="1"/>
  <c r="U37" i="23"/>
  <c r="Y36" i="23"/>
  <c r="Y196" i="9"/>
  <c r="P248" i="9"/>
  <c r="X205" i="9"/>
  <c r="U205" i="9"/>
  <c r="U246" i="9" s="1"/>
  <c r="U248" i="9" s="1"/>
  <c r="Y204" i="9"/>
  <c r="Q175" i="28"/>
  <c r="S174" i="28"/>
  <c r="S175" i="28"/>
  <c r="O176" i="28"/>
  <c r="W125" i="28"/>
  <c r="Y248" i="31" l="1"/>
  <c r="W248" i="31"/>
  <c r="F15" i="41"/>
  <c r="X37" i="33"/>
  <c r="X86" i="33" s="1"/>
  <c r="X88" i="33" s="1"/>
  <c r="X339" i="29"/>
  <c r="J9" i="41" s="1"/>
  <c r="Y339" i="24"/>
  <c r="W88" i="31"/>
  <c r="S87" i="31"/>
  <c r="U87" i="31" s="1"/>
  <c r="S86" i="31"/>
  <c r="S88" i="31" s="1"/>
  <c r="M88" i="29"/>
  <c r="M339" i="29" s="1"/>
  <c r="K339" i="29"/>
  <c r="M88" i="28"/>
  <c r="Y88" i="39"/>
  <c r="Y88" i="32"/>
  <c r="Y88" i="30"/>
  <c r="Y339" i="30" s="1"/>
  <c r="W339" i="30"/>
  <c r="P339" i="9"/>
  <c r="K339" i="9"/>
  <c r="M339" i="9"/>
  <c r="G339" i="9"/>
  <c r="W33" i="33"/>
  <c r="Y33" i="33" s="1"/>
  <c r="W125" i="33"/>
  <c r="W174" i="33" s="1"/>
  <c r="W204" i="33"/>
  <c r="W205" i="33" s="1"/>
  <c r="W176" i="32"/>
  <c r="S174" i="33"/>
  <c r="S176" i="33" s="1"/>
  <c r="X200" i="33"/>
  <c r="X204" i="33" s="1"/>
  <c r="X205" i="33" s="1"/>
  <c r="X246" i="33" s="1"/>
  <c r="X248" i="33" s="1"/>
  <c r="Y204" i="32"/>
  <c r="Y205" i="32" s="1"/>
  <c r="Y246" i="32" s="1"/>
  <c r="U205" i="32"/>
  <c r="U246" i="32" s="1"/>
  <c r="S247" i="32"/>
  <c r="U247" i="32" s="1"/>
  <c r="S246" i="32"/>
  <c r="W246" i="32"/>
  <c r="W247" i="32"/>
  <c r="Y247" i="32" s="1"/>
  <c r="M88" i="33"/>
  <c r="M339" i="33" s="1"/>
  <c r="Q88" i="33"/>
  <c r="U37" i="33"/>
  <c r="S86" i="9"/>
  <c r="U86" i="9" s="1"/>
  <c r="S87" i="9"/>
  <c r="U87" i="9" s="1"/>
  <c r="Y27" i="33"/>
  <c r="W176" i="30"/>
  <c r="Y204" i="29"/>
  <c r="Y205" i="29" s="1"/>
  <c r="Y246" i="29" s="1"/>
  <c r="Y248" i="29" s="1"/>
  <c r="Q176" i="33"/>
  <c r="O176" i="33"/>
  <c r="F4" i="34" s="1"/>
  <c r="U204" i="33"/>
  <c r="U205" i="33" s="1"/>
  <c r="S247" i="33"/>
  <c r="U247" i="33" s="1"/>
  <c r="T124" i="33"/>
  <c r="T125" i="33" s="1"/>
  <c r="T174" i="33" s="1"/>
  <c r="T176" i="33" s="1"/>
  <c r="T339" i="33" s="1"/>
  <c r="U124" i="33"/>
  <c r="U125" i="33" s="1"/>
  <c r="U174" i="33" s="1"/>
  <c r="U176" i="33" s="1"/>
  <c r="X124" i="33"/>
  <c r="X125" i="33" s="1"/>
  <c r="X174" i="33" s="1"/>
  <c r="X176" i="33" s="1"/>
  <c r="Y119" i="33"/>
  <c r="Y124" i="33" s="1"/>
  <c r="Y125" i="33" s="1"/>
  <c r="Y174" i="33" s="1"/>
  <c r="O88" i="33"/>
  <c r="G14" i="41"/>
  <c r="H14" i="41" s="1"/>
  <c r="U86" i="23"/>
  <c r="S36" i="33"/>
  <c r="S37" i="33" s="1"/>
  <c r="H10" i="41"/>
  <c r="U86" i="30"/>
  <c r="F9" i="41"/>
  <c r="Q86" i="29"/>
  <c r="G8" i="41"/>
  <c r="H8" i="41" s="1"/>
  <c r="U86" i="38"/>
  <c r="Y32" i="33"/>
  <c r="H12" i="41"/>
  <c r="S248" i="24"/>
  <c r="S339" i="24" s="1"/>
  <c r="U125" i="29"/>
  <c r="U174" i="29" s="1"/>
  <c r="U176" i="29" s="1"/>
  <c r="Y176" i="38"/>
  <c r="G11" i="41"/>
  <c r="H11" i="41" s="1"/>
  <c r="S176" i="39"/>
  <c r="S339" i="39" s="1"/>
  <c r="Y176" i="39"/>
  <c r="W176" i="39"/>
  <c r="W339" i="39" s="1"/>
  <c r="U176" i="39"/>
  <c r="U339" i="39" s="1"/>
  <c r="W176" i="38"/>
  <c r="S88" i="30"/>
  <c r="S339" i="30" s="1"/>
  <c r="O248" i="9"/>
  <c r="W247" i="9"/>
  <c r="Y247" i="9" s="1"/>
  <c r="W246" i="9"/>
  <c r="U248" i="29"/>
  <c r="S248" i="29"/>
  <c r="W37" i="28"/>
  <c r="W87" i="28" s="1"/>
  <c r="U125" i="9"/>
  <c r="U174" i="9" s="1"/>
  <c r="W88" i="23"/>
  <c r="W339" i="23" s="1"/>
  <c r="U37" i="9"/>
  <c r="W88" i="38"/>
  <c r="AA86" i="38"/>
  <c r="S88" i="38"/>
  <c r="S339" i="38" s="1"/>
  <c r="S88" i="23"/>
  <c r="S339" i="23" s="1"/>
  <c r="S174" i="9"/>
  <c r="S175" i="9"/>
  <c r="U175" i="9" s="1"/>
  <c r="W176" i="24"/>
  <c r="W339" i="24" s="1"/>
  <c r="Y176" i="9"/>
  <c r="E4" i="34"/>
  <c r="W175" i="31"/>
  <c r="Y175" i="31" s="1"/>
  <c r="S175" i="31"/>
  <c r="U175" i="31" s="1"/>
  <c r="S174" i="31"/>
  <c r="G7" i="41" s="1"/>
  <c r="U125" i="31"/>
  <c r="U174" i="31" s="1"/>
  <c r="Y124" i="31"/>
  <c r="Y125" i="31" s="1"/>
  <c r="Y174" i="31" s="1"/>
  <c r="W176" i="9"/>
  <c r="Y205" i="9"/>
  <c r="Y246" i="9" s="1"/>
  <c r="Y33" i="9"/>
  <c r="O86" i="9"/>
  <c r="Q86" i="9" s="1"/>
  <c r="Q87" i="9"/>
  <c r="W36" i="9"/>
  <c r="W37" i="9" s="1"/>
  <c r="W87" i="9" s="1"/>
  <c r="Q37" i="9"/>
  <c r="Y36" i="9"/>
  <c r="Y37" i="9" s="1"/>
  <c r="S247" i="28"/>
  <c r="U247" i="28" s="1"/>
  <c r="H4" i="41"/>
  <c r="L176" i="28"/>
  <c r="U124" i="28"/>
  <c r="P174" i="28"/>
  <c r="W205" i="28"/>
  <c r="X124" i="28"/>
  <c r="T125" i="28"/>
  <c r="M174" i="28"/>
  <c r="Q125" i="28"/>
  <c r="Q205" i="28"/>
  <c r="L248" i="28"/>
  <c r="T205" i="28"/>
  <c r="P246" i="28"/>
  <c r="X205" i="28"/>
  <c r="Y200" i="28"/>
  <c r="U204" i="28"/>
  <c r="S88" i="28"/>
  <c r="T86" i="28"/>
  <c r="U86" i="28" s="1"/>
  <c r="P88" i="28"/>
  <c r="Y36" i="28"/>
  <c r="Y37" i="28" s="1"/>
  <c r="X86" i="28"/>
  <c r="W248" i="29"/>
  <c r="Y27" i="29"/>
  <c r="O88" i="29"/>
  <c r="O339" i="29" s="1"/>
  <c r="U37" i="29"/>
  <c r="Y36" i="29"/>
  <c r="W175" i="29"/>
  <c r="Y175" i="29" s="1"/>
  <c r="Y176" i="29" s="1"/>
  <c r="W174" i="29"/>
  <c r="E3" i="34"/>
  <c r="W37" i="29"/>
  <c r="W87" i="29" s="1"/>
  <c r="U87" i="29"/>
  <c r="S86" i="29"/>
  <c r="X88" i="9"/>
  <c r="Y37" i="23"/>
  <c r="T248" i="9"/>
  <c r="X246" i="9"/>
  <c r="X176" i="9"/>
  <c r="U175" i="28"/>
  <c r="W175" i="28"/>
  <c r="Y175" i="28" s="1"/>
  <c r="W174" i="28"/>
  <c r="S176" i="28"/>
  <c r="G15" i="41" l="1"/>
  <c r="H15" i="41" s="1"/>
  <c r="W247" i="33"/>
  <c r="Y247" i="33" s="1"/>
  <c r="Y339" i="39"/>
  <c r="U86" i="31"/>
  <c r="Y88" i="38"/>
  <c r="Y339" i="38" s="1"/>
  <c r="W339" i="38"/>
  <c r="H7" i="41"/>
  <c r="Y88" i="31"/>
  <c r="U88" i="31"/>
  <c r="L339" i="28"/>
  <c r="Q88" i="28"/>
  <c r="X339" i="33"/>
  <c r="T339" i="9"/>
  <c r="W36" i="33"/>
  <c r="W37" i="33" s="1"/>
  <c r="Y36" i="33"/>
  <c r="Y37" i="33" s="1"/>
  <c r="W175" i="33"/>
  <c r="Y175" i="33" s="1"/>
  <c r="Y176" i="33" s="1"/>
  <c r="Y200" i="33"/>
  <c r="Y204" i="33" s="1"/>
  <c r="Y205" i="33" s="1"/>
  <c r="W248" i="32"/>
  <c r="W339" i="32" s="1"/>
  <c r="U248" i="32"/>
  <c r="U339" i="32" s="1"/>
  <c r="S248" i="32"/>
  <c r="S339" i="32" s="1"/>
  <c r="Y248" i="32"/>
  <c r="Y339" i="32" s="1"/>
  <c r="S87" i="33"/>
  <c r="Y87" i="9"/>
  <c r="S86" i="33"/>
  <c r="Y88" i="23"/>
  <c r="Y339" i="23" s="1"/>
  <c r="U88" i="23"/>
  <c r="U339" i="23" s="1"/>
  <c r="U88" i="30"/>
  <c r="U339" i="30" s="1"/>
  <c r="G9" i="41"/>
  <c r="H9" i="41" s="1"/>
  <c r="U86" i="29"/>
  <c r="Q88" i="29"/>
  <c r="Q339" i="29" s="1"/>
  <c r="U88" i="38"/>
  <c r="U339" i="38" s="1"/>
  <c r="G13" i="41"/>
  <c r="F13" i="41"/>
  <c r="W176" i="31"/>
  <c r="W339" i="31" s="1"/>
  <c r="Y176" i="31"/>
  <c r="Y248" i="9"/>
  <c r="W248" i="9"/>
  <c r="U176" i="9"/>
  <c r="S176" i="9"/>
  <c r="S176" i="31"/>
  <c r="S339" i="31" s="1"/>
  <c r="U176" i="31"/>
  <c r="O88" i="9"/>
  <c r="Q88" i="9" s="1"/>
  <c r="S88" i="9"/>
  <c r="U88" i="9" s="1"/>
  <c r="W86" i="9"/>
  <c r="Y86" i="9" s="1"/>
  <c r="Y87" i="28"/>
  <c r="W86" i="28"/>
  <c r="Y86" i="28" s="1"/>
  <c r="M176" i="28"/>
  <c r="W247" i="28"/>
  <c r="Y247" i="28" s="1"/>
  <c r="Y124" i="28"/>
  <c r="U125" i="28"/>
  <c r="Q174" i="28"/>
  <c r="T174" i="28"/>
  <c r="X125" i="28"/>
  <c r="J4" i="41" s="1"/>
  <c r="P176" i="28"/>
  <c r="X246" i="28"/>
  <c r="Y204" i="28"/>
  <c r="U205" i="28"/>
  <c r="T246" i="28"/>
  <c r="P248" i="28"/>
  <c r="X88" i="28"/>
  <c r="J3" i="34"/>
  <c r="T88" i="28"/>
  <c r="Y87" i="29"/>
  <c r="W86" i="29"/>
  <c r="Y86" i="29" s="1"/>
  <c r="S88" i="29"/>
  <c r="W176" i="29"/>
  <c r="Y37" i="29"/>
  <c r="X248" i="9"/>
  <c r="W176" i="28"/>
  <c r="U87" i="33" l="1"/>
  <c r="Z87" i="33"/>
  <c r="Y339" i="31"/>
  <c r="U339" i="31"/>
  <c r="P339" i="28"/>
  <c r="U88" i="29"/>
  <c r="U339" i="29" s="1"/>
  <c r="S339" i="29"/>
  <c r="U88" i="28"/>
  <c r="W86" i="33"/>
  <c r="Y86" i="33" s="1"/>
  <c r="W87" i="33"/>
  <c r="Y87" i="33" s="1"/>
  <c r="Q339" i="9"/>
  <c r="S339" i="9"/>
  <c r="U339" i="9"/>
  <c r="W176" i="33"/>
  <c r="O339" i="9"/>
  <c r="X339" i="9"/>
  <c r="J13" i="41" s="1"/>
  <c r="S88" i="33"/>
  <c r="U86" i="33"/>
  <c r="W88" i="9"/>
  <c r="W339" i="9" s="1"/>
  <c r="G4" i="34"/>
  <c r="H4" i="34" s="1"/>
  <c r="H13" i="41"/>
  <c r="F3" i="34"/>
  <c r="W88" i="28"/>
  <c r="U174" i="28"/>
  <c r="X174" i="28"/>
  <c r="Y125" i="28"/>
  <c r="T176" i="28"/>
  <c r="Q176" i="28"/>
  <c r="Y205" i="28"/>
  <c r="T248" i="28"/>
  <c r="J5" i="34"/>
  <c r="X248" i="28"/>
  <c r="AA86" i="29"/>
  <c r="W88" i="29"/>
  <c r="AA86" i="23"/>
  <c r="Y88" i="29" l="1"/>
  <c r="Y339" i="29" s="1"/>
  <c r="W339" i="29"/>
  <c r="T339" i="28"/>
  <c r="Y88" i="28"/>
  <c r="G3" i="34"/>
  <c r="H3" i="34" s="1"/>
  <c r="W88" i="33"/>
  <c r="U88" i="33"/>
  <c r="Y88" i="9"/>
  <c r="J17" i="41"/>
  <c r="X176" i="28"/>
  <c r="X339" i="28" s="1"/>
  <c r="J4" i="34"/>
  <c r="J8" i="34" s="1"/>
  <c r="U176" i="28"/>
  <c r="Y174" i="28"/>
  <c r="AA86" i="28"/>
  <c r="Y88" i="33" l="1"/>
  <c r="Y339" i="9"/>
  <c r="Y176" i="28"/>
  <c r="I230" i="28"/>
  <c r="C231" i="28"/>
  <c r="C6" i="41" s="1"/>
  <c r="E230" i="28"/>
  <c r="C246" i="28" l="1"/>
  <c r="C248" i="28" s="1"/>
  <c r="C339" i="28" s="1"/>
  <c r="C17" i="41"/>
  <c r="E231" i="28"/>
  <c r="E246" i="28" s="1"/>
  <c r="D17" i="41"/>
  <c r="G246" i="28"/>
  <c r="I231" i="28"/>
  <c r="E248" i="28" l="1"/>
  <c r="E339" i="28" s="1"/>
  <c r="I246" i="28"/>
  <c r="M230" i="28"/>
  <c r="K231" i="28"/>
  <c r="E6" i="41" s="1"/>
  <c r="G248" i="28"/>
  <c r="G339" i="28" s="1"/>
  <c r="C5" i="34"/>
  <c r="C8" i="34" s="1"/>
  <c r="O230" i="28" l="1"/>
  <c r="O230" i="33" s="1"/>
  <c r="Q230" i="33" s="1"/>
  <c r="K246" i="28"/>
  <c r="D5" i="34"/>
  <c r="D8" i="34" s="1"/>
  <c r="M231" i="28"/>
  <c r="I248" i="28"/>
  <c r="I339" i="28" s="1"/>
  <c r="Q231" i="33" l="1"/>
  <c r="Q246" i="33" s="1"/>
  <c r="Q248" i="33" s="1"/>
  <c r="Q339" i="33" s="1"/>
  <c r="O231" i="33"/>
  <c r="O246" i="33" s="1"/>
  <c r="O248" i="33" s="1"/>
  <c r="O339" i="33" s="1"/>
  <c r="O231" i="28"/>
  <c r="F6" i="41" s="1"/>
  <c r="Q230" i="28"/>
  <c r="S230" i="28"/>
  <c r="S230" i="33" s="1"/>
  <c r="U230" i="33" s="1"/>
  <c r="M246" i="28"/>
  <c r="E17" i="41"/>
  <c r="K248" i="28"/>
  <c r="K339" i="28" s="1"/>
  <c r="W230" i="28" l="1"/>
  <c r="W230" i="33" s="1"/>
  <c r="S231" i="28"/>
  <c r="G6" i="41" s="1"/>
  <c r="U230" i="28"/>
  <c r="F17" i="41"/>
  <c r="O246" i="28"/>
  <c r="Q231" i="28"/>
  <c r="E5" i="34"/>
  <c r="E8" i="34" s="1"/>
  <c r="M248" i="28"/>
  <c r="M339" i="28" s="1"/>
  <c r="Y230" i="33" l="1"/>
  <c r="Y231" i="33" s="1"/>
  <c r="Y246" i="33" s="1"/>
  <c r="Y248" i="33" s="1"/>
  <c r="Y339" i="33" s="1"/>
  <c r="W231" i="33"/>
  <c r="W246" i="33" s="1"/>
  <c r="W248" i="33" s="1"/>
  <c r="W339" i="33" s="1"/>
  <c r="U231" i="33"/>
  <c r="U246" i="33" s="1"/>
  <c r="U248" i="33" s="1"/>
  <c r="U339" i="33" s="1"/>
  <c r="S231" i="33"/>
  <c r="S246" i="33" s="1"/>
  <c r="S248" i="33" s="1"/>
  <c r="S339" i="33" s="1"/>
  <c r="S246" i="28"/>
  <c r="W231" i="28"/>
  <c r="Q246" i="28"/>
  <c r="Y230" i="28"/>
  <c r="U231" i="28"/>
  <c r="O248" i="28"/>
  <c r="O339" i="28" s="1"/>
  <c r="Y231" i="28" l="1"/>
  <c r="U246" i="28"/>
  <c r="W246" i="28"/>
  <c r="S248" i="28"/>
  <c r="S339" i="28" s="1"/>
  <c r="F5" i="34"/>
  <c r="F8" i="34" s="1"/>
  <c r="Q248" i="28"/>
  <c r="Q339" i="28" s="1"/>
  <c r="G17" i="41"/>
  <c r="H6" i="41"/>
  <c r="H17" i="41" l="1"/>
  <c r="G5" i="34"/>
  <c r="G8" i="34" s="1"/>
  <c r="U248" i="28"/>
  <c r="U339" i="28" s="1"/>
  <c r="W248" i="28"/>
  <c r="W339" i="28" s="1"/>
  <c r="Y246" i="28"/>
  <c r="L11" i="41" l="1"/>
  <c r="L9" i="41"/>
  <c r="M12" i="41"/>
  <c r="M7" i="41"/>
  <c r="L13" i="41"/>
  <c r="M14" i="41"/>
  <c r="L10" i="41"/>
  <c r="M13" i="41"/>
  <c r="L8" i="41"/>
  <c r="M8" i="41"/>
  <c r="M5" i="41"/>
  <c r="L4" i="41"/>
  <c r="M11" i="41"/>
  <c r="L7" i="41"/>
  <c r="M10" i="41"/>
  <c r="L6" i="41"/>
  <c r="M9" i="41"/>
  <c r="L5" i="41"/>
  <c r="M6" i="41"/>
  <c r="L12" i="41"/>
  <c r="L17" i="41"/>
  <c r="N6" i="41"/>
  <c r="L14" i="41"/>
  <c r="M4" i="41"/>
  <c r="L15" i="41"/>
  <c r="M15" i="41"/>
  <c r="I14" i="41"/>
  <c r="I4" i="41"/>
  <c r="I6" i="41"/>
  <c r="I15" i="41"/>
  <c r="I10" i="41"/>
  <c r="I5" i="41"/>
  <c r="I13" i="41"/>
  <c r="I12" i="41"/>
  <c r="I16" i="41"/>
  <c r="I8" i="41"/>
  <c r="I9" i="41"/>
  <c r="I11" i="41"/>
  <c r="I7" i="41"/>
  <c r="Y248" i="28"/>
  <c r="Y339" i="28" s="1"/>
  <c r="H5" i="34"/>
  <c r="H8" i="34" s="1"/>
  <c r="I3" i="34" s="1"/>
  <c r="I5" i="34" l="1"/>
  <c r="I6" i="34"/>
  <c r="I7" i="34"/>
  <c r="M18" i="41"/>
  <c r="I17" i="41"/>
  <c r="L18" i="41"/>
  <c r="I4" i="34"/>
  <c r="I8" i="34" l="1"/>
</calcChain>
</file>

<file path=xl/sharedStrings.xml><?xml version="1.0" encoding="utf-8"?>
<sst xmlns="http://schemas.openxmlformats.org/spreadsheetml/2006/main" count="2693" uniqueCount="271">
  <si>
    <t>YEAR 1</t>
  </si>
  <si>
    <t>YEAR 2</t>
  </si>
  <si>
    <t>YEAR 3</t>
  </si>
  <si>
    <t>Line Item</t>
  </si>
  <si>
    <t>NSF</t>
  </si>
  <si>
    <t>A. Senior</t>
  </si>
  <si>
    <t>C. Fringe</t>
  </si>
  <si>
    <t>E. Travel</t>
  </si>
  <si>
    <t>G. Other</t>
  </si>
  <si>
    <t>Subtotal</t>
  </si>
  <si>
    <t>Total</t>
  </si>
  <si>
    <t>D. Equipment</t>
  </si>
  <si>
    <t>B. Other Personnel</t>
  </si>
  <si>
    <t>Totals</t>
  </si>
  <si>
    <t>F. Participant Support Costs</t>
  </si>
  <si>
    <t>Idaho State University</t>
  </si>
  <si>
    <t>Total Salaries and Wages (A+B)</t>
  </si>
  <si>
    <t>Total Salaries, Wages, and Frings (A+B+C)</t>
  </si>
  <si>
    <t>D. Permanent Equipment</t>
  </si>
  <si>
    <t>University of Idaho</t>
  </si>
  <si>
    <t>Boise State University</t>
  </si>
  <si>
    <t>Project Total</t>
  </si>
  <si>
    <t>Category</t>
  </si>
  <si>
    <t>YEAR 4</t>
  </si>
  <si>
    <t>YEAR 5</t>
  </si>
  <si>
    <t>HERC Cost Share</t>
  </si>
  <si>
    <t>Year 1-5 Totals</t>
  </si>
  <si>
    <t>I. UI Indirect</t>
  </si>
  <si>
    <t>H. UI Direct</t>
  </si>
  <si>
    <t>J. UI Total Direct and Indirect</t>
  </si>
  <si>
    <t>H. BSU Direct</t>
  </si>
  <si>
    <t>I. BSU Indirect</t>
  </si>
  <si>
    <t>J. BSU Total Direct and Indirect</t>
  </si>
  <si>
    <t>H. ISU Direct</t>
  </si>
  <si>
    <t>I. ISU Indirect</t>
  </si>
  <si>
    <t>J. ISU Total Direct and Indirect</t>
  </si>
  <si>
    <t>Yearly Health Ins (increase by 10% each year)</t>
  </si>
  <si>
    <t>Academic Student Help</t>
  </si>
  <si>
    <t>Summer Student Help</t>
  </si>
  <si>
    <t>Part time Employees</t>
  </si>
  <si>
    <t>Student Employees</t>
  </si>
  <si>
    <t>Faculty Summer Salary</t>
  </si>
  <si>
    <t>Part time Temp Help Employees</t>
  </si>
  <si>
    <t>Year 1 ($K)</t>
  </si>
  <si>
    <t>Year 2 ($K)</t>
  </si>
  <si>
    <t>Year 3 ($K)</t>
  </si>
  <si>
    <t>Year 4 ($K)</t>
  </si>
  <si>
    <t>Year 5 ($K)</t>
  </si>
  <si>
    <t>Budget Table A</t>
  </si>
  <si>
    <t>Graduate Student Tuition/Fees</t>
  </si>
  <si>
    <t>Management</t>
  </si>
  <si>
    <t>Temp Help Employees</t>
  </si>
  <si>
    <t>Faculty Salary</t>
  </si>
  <si>
    <t xml:space="preserve">Full time Employees </t>
  </si>
  <si>
    <t>Help Employees</t>
  </si>
  <si>
    <t>Professional/Faculty (also add health ins costs)</t>
  </si>
  <si>
    <t>Classifed Employees (also add health ins costs)</t>
  </si>
  <si>
    <t xml:space="preserve"> </t>
  </si>
  <si>
    <t xml:space="preserve">Faculty </t>
  </si>
  <si>
    <t>Cost Share ($K)</t>
  </si>
  <si>
    <t>Activity</t>
  </si>
  <si>
    <t>Total ($K)</t>
  </si>
  <si>
    <t>% of NSF Total</t>
  </si>
  <si>
    <t>Research Area 1 Equipment</t>
  </si>
  <si>
    <t>Indirect Cost</t>
  </si>
  <si>
    <t>Other (specify)</t>
  </si>
  <si>
    <t>Research Area 1 Other</t>
  </si>
  <si>
    <t>Classified Employees (also add health ins costs)</t>
  </si>
  <si>
    <t xml:space="preserve">Publications </t>
  </si>
  <si>
    <t xml:space="preserve">Statewide Diversity Coord </t>
  </si>
  <si>
    <t>Statewide Communications Coord .5 FTE</t>
  </si>
  <si>
    <t xml:space="preserve">Statewide Internal Evaluation  </t>
  </si>
  <si>
    <t>Statewide Project Director .5 FTE</t>
  </si>
  <si>
    <t>Statewide Program Coord - Finance Director</t>
  </si>
  <si>
    <t xml:space="preserve">Statewide Project Administrator </t>
  </si>
  <si>
    <t xml:space="preserve">  </t>
  </si>
  <si>
    <t>Statewide Evaluation/Reporting System</t>
  </si>
  <si>
    <t>*UI includes UI and Statewide EPSCoR programs and personnel</t>
  </si>
  <si>
    <t>Statewide Newsletter/documents/dissemination</t>
  </si>
  <si>
    <t>Lead (University of Idaho)</t>
  </si>
  <si>
    <t>Participating (Boise State University)</t>
  </si>
  <si>
    <t>Participating (Idaho State University)</t>
  </si>
  <si>
    <t>F. Graduate Student Tuition/Fees</t>
  </si>
  <si>
    <t>Total GEM3 Indirect Costs Based on RII Proposal</t>
  </si>
  <si>
    <t>Year 1</t>
  </si>
  <si>
    <t>Year 2</t>
  </si>
  <si>
    <t>Year 3</t>
  </si>
  <si>
    <t>Year 4</t>
  </si>
  <si>
    <t>Year 5</t>
  </si>
  <si>
    <t>EPSCoR</t>
  </si>
  <si>
    <t>UI</t>
  </si>
  <si>
    <t>UI Subtotal</t>
  </si>
  <si>
    <t>BSU</t>
  </si>
  <si>
    <t>ISU</t>
  </si>
  <si>
    <t>Research Area 1 EPSCoR IX</t>
  </si>
  <si>
    <t>Workforce Development Plan EPSCoR IX</t>
  </si>
  <si>
    <t>Cyberinfrastructure Plan EPSCoR IX</t>
  </si>
  <si>
    <t>Seed Funding EPSCoR IX</t>
  </si>
  <si>
    <t>Diversity Plan EPSCoR IX</t>
  </si>
  <si>
    <t>Partnerships &amp; Collaborations Plan EPSCoR IX</t>
  </si>
  <si>
    <t>Communications &amp; Outreach Plan EPSCoR IX</t>
  </si>
  <si>
    <t>Sustainability Plan EPSCoR IX</t>
  </si>
  <si>
    <t>Management Plan EPSCoR IX</t>
  </si>
  <si>
    <t>Evaluation and Assessment Plan EPSCoR IX</t>
  </si>
  <si>
    <t>Grand Total EPSCoR IX</t>
  </si>
  <si>
    <t>Statewide Project Director 1 mo summer salary</t>
  </si>
  <si>
    <t>Statewide website management - IIDS</t>
  </si>
  <si>
    <t xml:space="preserve">Student Employment </t>
  </si>
  <si>
    <t>Faculty Summer Salary/Temporary Employment</t>
  </si>
  <si>
    <t>Professional Salary</t>
  </si>
  <si>
    <t>Classified Salary</t>
  </si>
  <si>
    <t>New Faculty Hire 1</t>
  </si>
  <si>
    <t>New Faculty Hire 2</t>
  </si>
  <si>
    <t>Statewide Mgt/PD</t>
  </si>
  <si>
    <t>UI Lead Alistair Smith 2 mo summer salary</t>
  </si>
  <si>
    <t xml:space="preserve">5 person trips x $2,000 ea national </t>
  </si>
  <si>
    <t>Materials &amp; Supplies</t>
  </si>
  <si>
    <t xml:space="preserve">Statewide External Evaluator - </t>
  </si>
  <si>
    <t>Statewide State Committee Travel</t>
  </si>
  <si>
    <t>Statewide Other and MS</t>
  </si>
  <si>
    <t>ISU Site Lead</t>
  </si>
  <si>
    <t>UI Annual Meeting</t>
  </si>
  <si>
    <t>Statewide Strategic Plan Consultant</t>
  </si>
  <si>
    <t>Statewide Videography Service</t>
  </si>
  <si>
    <t>Statewide Strategic Plan</t>
  </si>
  <si>
    <t>12 person trips x $800 ea local</t>
  </si>
  <si>
    <t>UI 4 local trips x $800 each</t>
  </si>
  <si>
    <t>4 local trips x $800 each</t>
  </si>
  <si>
    <t>Statewide Collaboration Initiation</t>
  </si>
  <si>
    <t>Co-Site Lead (1 mo summer)</t>
  </si>
  <si>
    <t>Faculty Co-Lead (1 mo)</t>
  </si>
  <si>
    <t>F. Tuition/Fees Support Costs</t>
  </si>
  <si>
    <t>% of NSF Direct</t>
  </si>
  <si>
    <t>2 Postdocs - 2yrs each</t>
  </si>
  <si>
    <t xml:space="preserve">Education/WFD Lead-Eitel 1mo </t>
  </si>
  <si>
    <t>Fiscal Technician</t>
  </si>
  <si>
    <t>% of Combined Direct</t>
  </si>
  <si>
    <t>Faculty Summer Salary support 4wks</t>
  </si>
  <si>
    <t>5 Faculty Summer Salary support 2wks</t>
  </si>
  <si>
    <t>New Faculty Hire 3</t>
  </si>
  <si>
    <t>New Faculty Hire 1 Start-up $33K</t>
  </si>
  <si>
    <t>New Faculty Hire 2 Start-up $33K</t>
  </si>
  <si>
    <t>New Faculty Hire 3 Start-up $33K</t>
  </si>
  <si>
    <t>Coeur d'Alene Tribe</t>
  </si>
  <si>
    <t>1 person trips x $800 ea local</t>
  </si>
  <si>
    <t>H. CDA Tribe Direct</t>
  </si>
  <si>
    <t>I. CDA Tribe Indirect</t>
  </si>
  <si>
    <t>J. CDA Tribe Total Direct and Indirect</t>
  </si>
  <si>
    <t>H. ShoBan Tribe Direct</t>
  </si>
  <si>
    <t>Shoshone Bannock Tribe</t>
  </si>
  <si>
    <t>I. ShoBan Tribe Indirect</t>
  </si>
  <si>
    <t>J. ShoBan Tribe Total Direct and Indirect</t>
  </si>
  <si>
    <t>Laura Laumatia 10%</t>
  </si>
  <si>
    <t>Sammy Matsaw 6wks</t>
  </si>
  <si>
    <t>Technician</t>
  </si>
  <si>
    <t>New High-End GIS and Visualization Workstations</t>
  </si>
  <si>
    <t>Statewide Globus License to include additional Idaho colleges</t>
  </si>
  <si>
    <t>Statewide Software/Data Carpentry Workshops for I-CREWS Participants &amp; Students</t>
  </si>
  <si>
    <t>Statewide Network and Data Xfer Technical Workshop (ISU+BSU+UI+IRON+ESNET+INTERNET2+GLOBUS)</t>
  </si>
  <si>
    <t>Statewide PUI Liaison - part-time</t>
  </si>
  <si>
    <t>Statewide Data Manager 1 FTE</t>
  </si>
  <si>
    <t>Statewide GPU</t>
  </si>
  <si>
    <t xml:space="preserve">Statewide Data Manager  </t>
  </si>
  <si>
    <t>Donna WFD Co-Lead .5 mo</t>
  </si>
  <si>
    <t>Re)Cultivating Travel (A8)</t>
  </si>
  <si>
    <t>Re)Cultivating Workshop (A8)</t>
  </si>
  <si>
    <t>Statewide TNRN Travel</t>
  </si>
  <si>
    <t>Equity Advocates</t>
  </si>
  <si>
    <t>MS RA Rural Educators 2yrs (A3)</t>
  </si>
  <si>
    <t>Rural Educators RA Travel (A3)</t>
  </si>
  <si>
    <t>Graduate Student Certificate Fees-SW EE&amp;SC (A5)</t>
  </si>
  <si>
    <t>Statewide EE&amp;SC travel (A5)</t>
  </si>
  <si>
    <t>Statewide EE&amp;SC Students 4-1yr (A5)</t>
  </si>
  <si>
    <t>Statewide Community of E-W PUI Lead (A6)</t>
  </si>
  <si>
    <t>Statewide Community of E-W PUI Travel (A6)</t>
  </si>
  <si>
    <t>WE-STEM Supplies (A9)</t>
  </si>
  <si>
    <t>WE-STEM Students (A9)</t>
  </si>
  <si>
    <t>VIP/CIP Co-lead 2wks (A10/A11)</t>
  </si>
  <si>
    <t>Statewide VIP/CIP Travel (A10/A11)</t>
  </si>
  <si>
    <t>Statewide VIP/CIP Stipends Community (A10/A11)</t>
  </si>
  <si>
    <t>Re)Cultivating 3 Leads 2wks 3yrs (A8)</t>
  </si>
  <si>
    <t>Re)Cultivating Grad (A8)</t>
  </si>
  <si>
    <t>Participating (Coeur d'Alene Tribe)</t>
  </si>
  <si>
    <t>Participating (Shoshone Bannock Tribe)</t>
  </si>
  <si>
    <t>New Faculty Hire 1 Start-up $50K</t>
  </si>
  <si>
    <t>2 PhD Students 4yrs ea</t>
  </si>
  <si>
    <t>4 MA/MS Students 2yrs ea</t>
  </si>
  <si>
    <t xml:space="preserve">Program Coordinator  </t>
  </si>
  <si>
    <t>Statewide VIP/CIP $10k each (A10)</t>
  </si>
  <si>
    <t>VIP/CIP $10k each (A10)</t>
  </si>
  <si>
    <t>Research Materials &amp; Supplies</t>
  </si>
  <si>
    <t>In-state</t>
  </si>
  <si>
    <t xml:space="preserve">Statewide 5 PAB Travel  </t>
  </si>
  <si>
    <t xml:space="preserve">Statewide 5 PAB service agreement </t>
  </si>
  <si>
    <t>SW Reverse Site Visit to DC (10*2000)</t>
  </si>
  <si>
    <t>Statewide WE-STEM PUI (LCSC/CSI/) Supplies (A9)</t>
  </si>
  <si>
    <t>Statewide EPSCoR Annual Meeting Yr3 Virtual</t>
  </si>
  <si>
    <t>Collaboration Initiation</t>
  </si>
  <si>
    <t>UI Videography Service</t>
  </si>
  <si>
    <t>BSU Videography Service</t>
  </si>
  <si>
    <t>Assert Lead (Donna) 1 mo (A7)</t>
  </si>
  <si>
    <t>VIP/CIP Co-lead Donna 2wks</t>
  </si>
  <si>
    <t>Assert Co-lead 1 mo (A7)</t>
  </si>
  <si>
    <t>Statewide Assert Retreat 1yr (A7)</t>
  </si>
  <si>
    <t>TNRN In-state Travel</t>
  </si>
  <si>
    <t>Statewide VIP/CIP PUI (CSI/LCSC/CoI) $10k each (A10)</t>
  </si>
  <si>
    <t>Partnership Travel</t>
  </si>
  <si>
    <t>Tribal Internship</t>
  </si>
  <si>
    <t>Re)Cultivating Grad 2yr</t>
  </si>
  <si>
    <t>Statewide WE-STEM 4 Tribal Students (A9)</t>
  </si>
  <si>
    <t>Statewide WE-STEM 12 PUI (LCSC/CSI/)Students (A9)</t>
  </si>
  <si>
    <t>WE-STEM 5 UI Students (A9)</t>
  </si>
  <si>
    <t>Statewide WE-STEM Tribal Supplies (A9)</t>
  </si>
  <si>
    <t>2 PhD Students 4yrs</t>
  </si>
  <si>
    <t>Computer/software</t>
  </si>
  <si>
    <t xml:space="preserve">5 Postdocs - 2yrs each - </t>
  </si>
  <si>
    <t>Equity Advocate Co-lead 2wks</t>
  </si>
  <si>
    <t>4 MS  Students 2yrs each</t>
  </si>
  <si>
    <t>Graduate Student Tuition/Fees 1/2 students</t>
  </si>
  <si>
    <t xml:space="preserve">MS Scientia Students 4yrs </t>
  </si>
  <si>
    <t>Scientia Travel</t>
  </si>
  <si>
    <t>Statewide Scientia</t>
  </si>
  <si>
    <t>Graduate Student Tuition/Fees-Rural Educators (A3)</t>
  </si>
  <si>
    <t>Postdoc/ASSERT</t>
  </si>
  <si>
    <t>Communications .25%</t>
  </si>
  <si>
    <t>4 Faculty Summer Salary support 2wks</t>
  </si>
  <si>
    <t>Communication part-time</t>
  </si>
  <si>
    <t>WFD Co-lead 2 wks</t>
  </si>
  <si>
    <t>Statewide up to 2 Tribal Partnerships TBD</t>
  </si>
  <si>
    <t>Tribal Scholar/Liaison 1yr 50%</t>
  </si>
  <si>
    <t>ASSERT Developer Co-lead 2wks Yrs 1&amp;2 (A7)</t>
  </si>
  <si>
    <t>ASSERT Supplies</t>
  </si>
  <si>
    <t xml:space="preserve">3 Postdocs - 2yrs each </t>
  </si>
  <si>
    <t>Statewide ASSERT Retreat 2yrs (A7)</t>
  </si>
  <si>
    <t>Statewide ASSERT Retreat 1yr (A7)</t>
  </si>
  <si>
    <t>ISU Videography Service</t>
  </si>
  <si>
    <t>Broadening Participation</t>
  </si>
  <si>
    <t>Education and Workforce Development</t>
  </si>
  <si>
    <t>Emerging Areas and Seed Funding</t>
  </si>
  <si>
    <t>Partnerships and Collaborations</t>
  </si>
  <si>
    <t>Communications and Dissemination</t>
  </si>
  <si>
    <t xml:space="preserve">Sustainability  </t>
  </si>
  <si>
    <t>% of NSF Request</t>
  </si>
  <si>
    <t>Budget Table B</t>
  </si>
  <si>
    <t>Research Area 1 Salaries &amp; Fringe Benefits</t>
  </si>
  <si>
    <t>Evaluation and Assessment</t>
  </si>
  <si>
    <t>Organization</t>
  </si>
  <si>
    <t>5-Year TOTAL ($K)</t>
  </si>
  <si>
    <t>State</t>
  </si>
  <si>
    <t>PI</t>
  </si>
  <si>
    <t>Paid Effort</t>
  </si>
  <si>
    <t>Statewide SEED Program - Small 9 at $55Kea</t>
  </si>
  <si>
    <t>Statewide SEED Program - Large 5 at $165Kea</t>
  </si>
  <si>
    <t>Co-Site Lead (1 mo summer) Wampler</t>
  </si>
  <si>
    <t xml:space="preserve">1 PhD Student 4yrs </t>
  </si>
  <si>
    <t xml:space="preserve">Co-Site Lead (1 mo summer) Fringe </t>
  </si>
  <si>
    <t>Faculty Summer Salary Support 4wks Fringe</t>
  </si>
  <si>
    <t>4 Faculty Summer Salary Support Average Fringe</t>
  </si>
  <si>
    <t>New Faculty Fringe</t>
  </si>
  <si>
    <t>Postdocs</t>
  </si>
  <si>
    <t>PhD Student Calendar Year Fringe</t>
  </si>
  <si>
    <t>Graduate Student Health Insurance</t>
  </si>
  <si>
    <t>Project/Data Manager-Cutchin</t>
  </si>
  <si>
    <t>Data Manager</t>
  </si>
  <si>
    <t>2 Equity Advocates Yrs 1-4</t>
  </si>
  <si>
    <t>Graduate Student Fringe</t>
  </si>
  <si>
    <t>Graduate Student Health Insurance (with annual inflation)</t>
  </si>
  <si>
    <t>Communications</t>
  </si>
  <si>
    <t>BSU Site Lead (1 mo) Kathy</t>
  </si>
  <si>
    <t>Research Accountant</t>
  </si>
  <si>
    <t>Project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</si>
</sst>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&quot;$&quot;#,##0"/>
    <numFmt numFmtId="167" formatCode="&quot;$&quot;#,##0.00"/>
  </numFmts>
  <fonts count="31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i/>
      <sz val="10"/>
      <color rgb="FFFF0000"/>
      <name val="Arial"/>
      <family val="2"/>
    </font>
    <font>
      <i/>
      <sz val="10"/>
      <color rgb="FFFF0000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i/>
      <sz val="10"/>
      <name val="Arial"/>
      <family val="2"/>
    </font>
    <font>
      <b/>
      <sz val="16"/>
      <color theme="0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i/>
      <sz val="10"/>
      <color theme="0"/>
      <name val="Arial"/>
      <family val="2"/>
    </font>
    <font>
      <sz val="16"/>
      <color theme="0"/>
      <name val="Arial"/>
      <family val="2"/>
    </font>
    <font>
      <b/>
      <i/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i/>
      <sz val="10"/>
      <name val="Arial"/>
      <family val="2"/>
    </font>
    <font>
      <b/>
      <i/>
      <sz val="10"/>
      <color theme="1"/>
      <name val="Arial"/>
      <family val="2"/>
    </font>
    <font>
      <sz val="10"/>
      <color rgb="FF7030A0"/>
      <name val="Arial"/>
      <family val="2"/>
    </font>
    <font>
      <i/>
      <sz val="12"/>
      <color theme="1"/>
      <name val="Calibri"/>
      <family val="2"/>
      <scheme val="minor"/>
    </font>
    <font>
      <sz val="10"/>
      <color rgb="FF00B050"/>
      <name val="Arial"/>
      <family val="2"/>
    </font>
    <font>
      <sz val="10"/>
      <color theme="0" tint="-0.34998626667073579"/>
      <name val="Arial"/>
      <family val="2"/>
    </font>
    <font>
      <sz val="10"/>
      <color rgb="FF000000"/>
      <name val="Calibri"/>
      <family val="2"/>
    </font>
    <font>
      <b/>
      <sz val="11"/>
      <color rgb="FF1F497D"/>
      <name val="Calibri"/>
      <family val="2"/>
    </font>
    <font>
      <sz val="11"/>
      <color rgb="FF1F497D"/>
      <name val="Calibri"/>
      <family val="2"/>
    </font>
    <font>
      <sz val="12"/>
      <color theme="1"/>
      <name val="Calibri"/>
      <family val="2"/>
    </font>
    <font>
      <sz val="8"/>
      <name val="Arial"/>
      <family val="2"/>
    </font>
    <font>
      <sz val="10"/>
      <color theme="1"/>
      <name val="Arial"/>
    </font>
    <font>
      <sz val="10"/>
      <color rgb="FF7030A0"/>
      <name val="Arial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99"/>
        <bgColor rgb="FFFFFF99"/>
      </patternFill>
    </fill>
    <fill>
      <patternFill patternType="solid">
        <fgColor rgb="FFC0C0C0"/>
        <bgColor rgb="FFC0C0C0"/>
      </patternFill>
    </fill>
    <fill>
      <patternFill patternType="solid">
        <fgColor rgb="FF7F7F7F"/>
        <bgColor rgb="FF7F7F7F"/>
      </patternFill>
    </fill>
    <fill>
      <patternFill patternType="solid">
        <fgColor rgb="FFEAF1DD"/>
        <bgColor rgb="FFEAF1DD"/>
      </patternFill>
    </fill>
    <fill>
      <patternFill patternType="solid">
        <fgColor theme="0"/>
        <bgColor rgb="FFFFFF00"/>
      </patternFill>
    </fill>
  </fills>
  <borders count="2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38">
    <xf numFmtId="0" fontId="0" fillId="0" borderId="0" xfId="0"/>
    <xf numFmtId="0" fontId="1" fillId="0" borderId="17" xfId="0" applyFont="1" applyBorder="1" applyAlignment="1">
      <alignment horizontal="center"/>
    </xf>
    <xf numFmtId="9" fontId="0" fillId="0" borderId="0" xfId="0" applyNumberFormat="1"/>
    <xf numFmtId="9" fontId="1" fillId="0" borderId="0" xfId="0" applyNumberFormat="1" applyFont="1" applyBorder="1"/>
    <xf numFmtId="0" fontId="3" fillId="0" borderId="0" xfId="0" applyFont="1" applyFill="1"/>
    <xf numFmtId="164" fontId="3" fillId="0" borderId="0" xfId="0" applyNumberFormat="1" applyFont="1" applyFill="1"/>
    <xf numFmtId="165" fontId="1" fillId="0" borderId="0" xfId="0" applyNumberFormat="1" applyFont="1" applyBorder="1"/>
    <xf numFmtId="0" fontId="3" fillId="0" borderId="0" xfId="0" applyFont="1"/>
    <xf numFmtId="0" fontId="4" fillId="0" borderId="0" xfId="0" applyFont="1"/>
    <xf numFmtId="0" fontId="3" fillId="3" borderId="0" xfId="0" applyFont="1" applyFill="1" applyBorder="1"/>
    <xf numFmtId="0" fontId="3" fillId="9" borderId="0" xfId="0" applyFont="1" applyFill="1" applyBorder="1"/>
    <xf numFmtId="0" fontId="3" fillId="3" borderId="0" xfId="0" applyFont="1" applyFill="1"/>
    <xf numFmtId="0" fontId="3" fillId="0" borderId="5" xfId="0" applyFont="1" applyBorder="1"/>
    <xf numFmtId="0" fontId="3" fillId="0" borderId="0" xfId="0" applyFont="1" applyFill="1" applyBorder="1"/>
    <xf numFmtId="164" fontId="3" fillId="0" borderId="0" xfId="1" applyNumberFormat="1" applyFont="1" applyFill="1" applyBorder="1"/>
    <xf numFmtId="164" fontId="3" fillId="3" borderId="0" xfId="1" applyNumberFormat="1" applyFont="1" applyFill="1" applyBorder="1"/>
    <xf numFmtId="164" fontId="3" fillId="9" borderId="0" xfId="1" applyNumberFormat="1" applyFont="1" applyFill="1" applyBorder="1"/>
    <xf numFmtId="0" fontId="3" fillId="0" borderId="0" xfId="0" applyFont="1" applyBorder="1"/>
    <xf numFmtId="164" fontId="3" fillId="0" borderId="0" xfId="0" applyNumberFormat="1" applyFont="1" applyBorder="1"/>
    <xf numFmtId="0" fontId="5" fillId="0" borderId="0" xfId="0" applyFont="1" applyBorder="1"/>
    <xf numFmtId="164" fontId="5" fillId="3" borderId="0" xfId="1" applyNumberFormat="1" applyFont="1" applyFill="1" applyBorder="1"/>
    <xf numFmtId="164" fontId="5" fillId="9" borderId="0" xfId="1" applyNumberFormat="1" applyFont="1" applyFill="1" applyBorder="1"/>
    <xf numFmtId="0" fontId="5" fillId="0" borderId="0" xfId="0" applyFont="1"/>
    <xf numFmtId="0" fontId="3" fillId="0" borderId="0" xfId="0" applyFont="1" applyBorder="1" applyAlignment="1">
      <alignment horizontal="right"/>
    </xf>
    <xf numFmtId="0" fontId="4" fillId="0" borderId="0" xfId="0" applyFont="1" applyFill="1" applyBorder="1"/>
    <xf numFmtId="0" fontId="6" fillId="0" borderId="0" xfId="0" applyFont="1" applyFill="1" applyBorder="1"/>
    <xf numFmtId="164" fontId="3" fillId="3" borderId="0" xfId="0" applyNumberFormat="1" applyFont="1" applyFill="1" applyBorder="1"/>
    <xf numFmtId="164" fontId="4" fillId="0" borderId="0" xfId="0" applyNumberFormat="1" applyFont="1" applyFill="1" applyBorder="1"/>
    <xf numFmtId="164" fontId="4" fillId="0" borderId="0" xfId="1" applyNumberFormat="1" applyFont="1" applyFill="1" applyBorder="1"/>
    <xf numFmtId="164" fontId="4" fillId="9" borderId="0" xfId="1" applyNumberFormat="1" applyFont="1" applyFill="1" applyBorder="1"/>
    <xf numFmtId="0" fontId="4" fillId="0" borderId="0" xfId="0" applyFont="1" applyFill="1"/>
    <xf numFmtId="0" fontId="5" fillId="0" borderId="0" xfId="0" applyFont="1" applyFill="1" applyBorder="1"/>
    <xf numFmtId="0" fontId="4" fillId="6" borderId="0" xfId="0" applyFont="1" applyFill="1" applyBorder="1"/>
    <xf numFmtId="0" fontId="4" fillId="6" borderId="0" xfId="0" applyFont="1" applyFill="1"/>
    <xf numFmtId="0" fontId="6" fillId="6" borderId="0" xfId="0" applyFont="1" applyFill="1"/>
    <xf numFmtId="0" fontId="4" fillId="7" borderId="0" xfId="0" applyFont="1" applyFill="1" applyBorder="1"/>
    <xf numFmtId="0" fontId="4" fillId="7" borderId="0" xfId="0" applyFont="1" applyFill="1"/>
    <xf numFmtId="0" fontId="6" fillId="7" borderId="0" xfId="0" applyFont="1" applyFill="1"/>
    <xf numFmtId="0" fontId="3" fillId="0" borderId="4" xfId="0" applyFont="1" applyFill="1" applyBorder="1"/>
    <xf numFmtId="164" fontId="3" fillId="0" borderId="4" xfId="1" applyNumberFormat="1" applyFont="1" applyFill="1" applyBorder="1"/>
    <xf numFmtId="164" fontId="3" fillId="9" borderId="4" xfId="1" applyNumberFormat="1" applyFont="1" applyFill="1" applyBorder="1"/>
    <xf numFmtId="164" fontId="3" fillId="0" borderId="0" xfId="1" applyNumberFormat="1" applyFont="1" applyFill="1"/>
    <xf numFmtId="164" fontId="3" fillId="0" borderId="0" xfId="1" applyNumberFormat="1" applyFont="1"/>
    <xf numFmtId="164" fontId="3" fillId="9" borderId="0" xfId="1" applyNumberFormat="1" applyFont="1" applyFill="1"/>
    <xf numFmtId="164" fontId="3" fillId="0" borderId="5" xfId="1" applyNumberFormat="1" applyFont="1" applyFill="1" applyBorder="1"/>
    <xf numFmtId="0" fontId="3" fillId="9" borderId="0" xfId="0" applyFont="1" applyFill="1"/>
    <xf numFmtId="0" fontId="3" fillId="0" borderId="2" xfId="0" applyFont="1" applyFill="1" applyBorder="1"/>
    <xf numFmtId="0" fontId="3" fillId="0" borderId="5" xfId="0" applyFont="1" applyFill="1" applyBorder="1"/>
    <xf numFmtId="0" fontId="3" fillId="2" borderId="0" xfId="0" applyFont="1" applyFill="1"/>
    <xf numFmtId="0" fontId="3" fillId="0" borderId="2" xfId="0" applyFont="1" applyBorder="1"/>
    <xf numFmtId="10" fontId="1" fillId="0" borderId="0" xfId="0" applyNumberFormat="1" applyFont="1" applyBorder="1"/>
    <xf numFmtId="6" fontId="1" fillId="0" borderId="0" xfId="0" applyNumberFormat="1" applyFont="1" applyBorder="1"/>
    <xf numFmtId="0" fontId="1" fillId="0" borderId="0" xfId="0" applyFont="1" applyBorder="1"/>
    <xf numFmtId="0" fontId="1" fillId="0" borderId="5" xfId="0" applyFont="1" applyBorder="1"/>
    <xf numFmtId="0" fontId="1" fillId="0" borderId="0" xfId="0" applyFont="1" applyFill="1" applyBorder="1"/>
    <xf numFmtId="164" fontId="1" fillId="2" borderId="0" xfId="1" applyNumberFormat="1" applyFont="1" applyFill="1" applyBorder="1"/>
    <xf numFmtId="164" fontId="1" fillId="0" borderId="0" xfId="1" applyNumberFormat="1" applyFont="1" applyFill="1" applyBorder="1"/>
    <xf numFmtId="164" fontId="1" fillId="0" borderId="0" xfId="1" applyNumberFormat="1" applyFont="1" applyBorder="1"/>
    <xf numFmtId="164" fontId="1" fillId="3" borderId="0" xfId="1" applyNumberFormat="1" applyFont="1" applyFill="1" applyBorder="1"/>
    <xf numFmtId="164" fontId="1" fillId="9" borderId="0" xfId="1" applyNumberFormat="1" applyFont="1" applyFill="1" applyBorder="1"/>
    <xf numFmtId="164" fontId="1" fillId="0" borderId="10" xfId="0" applyNumberFormat="1" applyFont="1" applyBorder="1"/>
    <xf numFmtId="0" fontId="1" fillId="0" borderId="0" xfId="0" applyFont="1"/>
    <xf numFmtId="0" fontId="8" fillId="3" borderId="12" xfId="0" applyFont="1" applyFill="1" applyBorder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7" fillId="0" borderId="9" xfId="0" applyFont="1" applyBorder="1" applyAlignment="1">
      <alignment wrapText="1"/>
    </xf>
    <xf numFmtId="0" fontId="7" fillId="0" borderId="1" xfId="0" applyFont="1" applyBorder="1" applyAlignment="1">
      <alignment wrapText="1"/>
    </xf>
    <xf numFmtId="0" fontId="7" fillId="2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0" fontId="7" fillId="9" borderId="13" xfId="0" applyFont="1" applyFill="1" applyBorder="1" applyAlignment="1">
      <alignment horizontal="center" wrapText="1"/>
    </xf>
    <xf numFmtId="0" fontId="7" fillId="0" borderId="13" xfId="0" applyFont="1" applyBorder="1" applyAlignment="1">
      <alignment horizontal="center" wrapText="1"/>
    </xf>
    <xf numFmtId="0" fontId="7" fillId="0" borderId="3" xfId="0" applyFont="1" applyFill="1" applyBorder="1" applyAlignment="1">
      <alignment horizontal="center" wrapText="1"/>
    </xf>
    <xf numFmtId="0" fontId="1" fillId="0" borderId="0" xfId="0" applyFont="1" applyAlignment="1">
      <alignment wrapText="1"/>
    </xf>
    <xf numFmtId="0" fontId="1" fillId="3" borderId="5" xfId="0" applyFont="1" applyFill="1" applyBorder="1"/>
    <xf numFmtId="0" fontId="1" fillId="3" borderId="0" xfId="0" applyFont="1" applyFill="1" applyBorder="1"/>
    <xf numFmtId="0" fontId="1" fillId="9" borderId="0" xfId="0" applyFont="1" applyFill="1" applyBorder="1"/>
    <xf numFmtId="0" fontId="1" fillId="3" borderId="10" xfId="0" applyFont="1" applyFill="1" applyBorder="1"/>
    <xf numFmtId="0" fontId="1" fillId="3" borderId="0" xfId="0" applyFont="1" applyFill="1"/>
    <xf numFmtId="0" fontId="9" fillId="0" borderId="0" xfId="0" applyFont="1" applyBorder="1"/>
    <xf numFmtId="164" fontId="9" fillId="2" borderId="0" xfId="1" applyNumberFormat="1" applyFont="1" applyFill="1" applyBorder="1"/>
    <xf numFmtId="164" fontId="9" fillId="0" borderId="0" xfId="1" applyNumberFormat="1" applyFont="1" applyBorder="1"/>
    <xf numFmtId="164" fontId="9" fillId="3" borderId="0" xfId="1" applyNumberFormat="1" applyFont="1" applyFill="1" applyBorder="1"/>
    <xf numFmtId="164" fontId="9" fillId="9" borderId="0" xfId="1" applyNumberFormat="1" applyFont="1" applyFill="1" applyBorder="1"/>
    <xf numFmtId="0" fontId="9" fillId="0" borderId="0" xfId="0" applyFont="1"/>
    <xf numFmtId="164" fontId="1" fillId="0" borderId="0" xfId="0" applyNumberFormat="1" applyFont="1" applyBorder="1"/>
    <xf numFmtId="164" fontId="1" fillId="0" borderId="0" xfId="0" applyNumberFormat="1" applyFont="1" applyFill="1" applyBorder="1"/>
    <xf numFmtId="0" fontId="1" fillId="11" borderId="0" xfId="0" applyFont="1" applyFill="1"/>
    <xf numFmtId="0" fontId="1" fillId="0" borderId="0" xfId="0" applyFont="1" applyBorder="1" applyAlignment="1">
      <alignment horizontal="right"/>
    </xf>
    <xf numFmtId="0" fontId="11" fillId="0" borderId="0" xfId="0" applyFont="1"/>
    <xf numFmtId="0" fontId="12" fillId="5" borderId="0" xfId="0" applyFont="1" applyFill="1" applyBorder="1"/>
    <xf numFmtId="164" fontId="12" fillId="5" borderId="0" xfId="1" applyNumberFormat="1" applyFont="1" applyFill="1" applyBorder="1"/>
    <xf numFmtId="0" fontId="12" fillId="0" borderId="0" xfId="0" applyFont="1" applyFill="1" applyBorder="1"/>
    <xf numFmtId="0" fontId="12" fillId="5" borderId="0" xfId="0" applyFont="1" applyFill="1"/>
    <xf numFmtId="0" fontId="13" fillId="0" borderId="0" xfId="0" applyFont="1" applyFill="1" applyBorder="1"/>
    <xf numFmtId="0" fontId="13" fillId="5" borderId="0" xfId="0" applyFont="1" applyFill="1"/>
    <xf numFmtId="164" fontId="12" fillId="5" borderId="0" xfId="0" applyNumberFormat="1" applyFont="1" applyFill="1" applyBorder="1"/>
    <xf numFmtId="164" fontId="12" fillId="0" borderId="0" xfId="1" applyNumberFormat="1" applyFont="1" applyBorder="1"/>
    <xf numFmtId="0" fontId="12" fillId="0" borderId="0" xfId="0" applyFont="1"/>
    <xf numFmtId="0" fontId="14" fillId="0" borderId="0" xfId="0" applyFont="1" applyFill="1" applyBorder="1"/>
    <xf numFmtId="0" fontId="14" fillId="0" borderId="0" xfId="0" applyFont="1"/>
    <xf numFmtId="0" fontId="12" fillId="6" borderId="0" xfId="0" applyFont="1" applyFill="1" applyBorder="1"/>
    <xf numFmtId="164" fontId="12" fillId="6" borderId="0" xfId="1" applyNumberFormat="1" applyFont="1" applyFill="1" applyBorder="1"/>
    <xf numFmtId="0" fontId="12" fillId="6" borderId="0" xfId="0" applyFont="1" applyFill="1"/>
    <xf numFmtId="0" fontId="13" fillId="6" borderId="0" xfId="0" applyFont="1" applyFill="1"/>
    <xf numFmtId="164" fontId="12" fillId="6" borderId="0" xfId="0" applyNumberFormat="1" applyFont="1" applyFill="1" applyBorder="1"/>
    <xf numFmtId="164" fontId="12" fillId="0" borderId="0" xfId="1" applyNumberFormat="1" applyFont="1" applyFill="1" applyBorder="1"/>
    <xf numFmtId="0" fontId="12" fillId="7" borderId="0" xfId="0" applyFont="1" applyFill="1" applyBorder="1"/>
    <xf numFmtId="164" fontId="12" fillId="7" borderId="0" xfId="1" applyNumberFormat="1" applyFont="1" applyFill="1" applyBorder="1"/>
    <xf numFmtId="164" fontId="15" fillId="8" borderId="0" xfId="0" applyNumberFormat="1" applyFont="1" applyFill="1" applyBorder="1"/>
    <xf numFmtId="0" fontId="12" fillId="7" borderId="0" xfId="0" applyFont="1" applyFill="1"/>
    <xf numFmtId="0" fontId="13" fillId="7" borderId="0" xfId="0" applyFont="1" applyFill="1"/>
    <xf numFmtId="164" fontId="12" fillId="7" borderId="0" xfId="0" applyNumberFormat="1" applyFont="1" applyFill="1"/>
    <xf numFmtId="0" fontId="11" fillId="0" borderId="0" xfId="0" applyFont="1" applyFill="1" applyBorder="1"/>
    <xf numFmtId="164" fontId="11" fillId="0" borderId="0" xfId="1" applyNumberFormat="1" applyFont="1" applyFill="1" applyBorder="1"/>
    <xf numFmtId="164" fontId="11" fillId="9" borderId="0" xfId="1" applyNumberFormat="1" applyFont="1" applyFill="1" applyBorder="1"/>
    <xf numFmtId="0" fontId="11" fillId="0" borderId="4" xfId="0" applyFont="1" applyFill="1" applyBorder="1"/>
    <xf numFmtId="164" fontId="11" fillId="0" borderId="4" xfId="1" applyNumberFormat="1" applyFont="1" applyFill="1" applyBorder="1"/>
    <xf numFmtId="164" fontId="11" fillId="9" borderId="4" xfId="1" applyNumberFormat="1" applyFont="1" applyFill="1" applyBorder="1"/>
    <xf numFmtId="0" fontId="11" fillId="0" borderId="0" xfId="0" applyFont="1" applyFill="1"/>
    <xf numFmtId="0" fontId="7" fillId="4" borderId="7" xfId="0" applyFont="1" applyFill="1" applyBorder="1"/>
    <xf numFmtId="0" fontId="7" fillId="4" borderId="8" xfId="0" applyFont="1" applyFill="1" applyBorder="1"/>
    <xf numFmtId="164" fontId="7" fillId="4" borderId="8" xfId="0" applyNumberFormat="1" applyFont="1" applyFill="1" applyBorder="1"/>
    <xf numFmtId="164" fontId="7" fillId="0" borderId="0" xfId="0" applyNumberFormat="1" applyFont="1" applyFill="1" applyBorder="1"/>
    <xf numFmtId="0" fontId="1" fillId="4" borderId="0" xfId="0" applyFont="1" applyFill="1"/>
    <xf numFmtId="164" fontId="1" fillId="12" borderId="0" xfId="1" applyNumberFormat="1" applyFont="1" applyFill="1" applyBorder="1"/>
    <xf numFmtId="164" fontId="9" fillId="0" borderId="0" xfId="1" applyNumberFormat="1" applyFont="1" applyFill="1" applyBorder="1"/>
    <xf numFmtId="164" fontId="7" fillId="2" borderId="0" xfId="1" applyNumberFormat="1" applyFont="1" applyFill="1" applyBorder="1"/>
    <xf numFmtId="0" fontId="18" fillId="3" borderId="0" xfId="0" applyFont="1" applyFill="1" applyBorder="1"/>
    <xf numFmtId="164" fontId="18" fillId="3" borderId="0" xfId="1" applyNumberFormat="1" applyFont="1" applyFill="1" applyBorder="1"/>
    <xf numFmtId="164" fontId="1" fillId="3" borderId="0" xfId="0" applyNumberFormat="1" applyFont="1" applyFill="1" applyBorder="1"/>
    <xf numFmtId="164" fontId="7" fillId="0" borderId="0" xfId="1" applyNumberFormat="1" applyFont="1" applyFill="1" applyBorder="1"/>
    <xf numFmtId="164" fontId="12" fillId="13" borderId="0" xfId="1" applyNumberFormat="1" applyFont="1" applyFill="1" applyBorder="1"/>
    <xf numFmtId="0" fontId="12" fillId="13" borderId="0" xfId="0" applyFont="1" applyFill="1" applyBorder="1"/>
    <xf numFmtId="0" fontId="9" fillId="0" borderId="0" xfId="0" applyFont="1" applyFill="1" applyBorder="1"/>
    <xf numFmtId="164" fontId="11" fillId="14" borderId="0" xfId="1" applyNumberFormat="1" applyFont="1" applyFill="1" applyBorder="1"/>
    <xf numFmtId="164" fontId="12" fillId="14" borderId="0" xfId="1" applyNumberFormat="1" applyFont="1" applyFill="1" applyBorder="1"/>
    <xf numFmtId="0" fontId="16" fillId="3" borderId="0" xfId="0" applyFont="1" applyFill="1" applyBorder="1"/>
    <xf numFmtId="0" fontId="16" fillId="9" borderId="0" xfId="0" applyFont="1" applyFill="1" applyBorder="1"/>
    <xf numFmtId="0" fontId="16" fillId="0" borderId="0" xfId="0" applyFont="1" applyFill="1" applyBorder="1"/>
    <xf numFmtId="0" fontId="16" fillId="3" borderId="0" xfId="0" applyFont="1" applyFill="1"/>
    <xf numFmtId="0" fontId="19" fillId="0" borderId="0" xfId="0" applyFont="1" applyBorder="1"/>
    <xf numFmtId="164" fontId="17" fillId="2" borderId="0" xfId="1" applyNumberFormat="1" applyFont="1" applyFill="1" applyBorder="1"/>
    <xf numFmtId="164" fontId="17" fillId="0" borderId="0" xfId="1" applyNumberFormat="1" applyFont="1" applyFill="1" applyBorder="1"/>
    <xf numFmtId="164" fontId="19" fillId="3" borderId="0" xfId="1" applyNumberFormat="1" applyFont="1" applyFill="1" applyBorder="1"/>
    <xf numFmtId="164" fontId="19" fillId="9" borderId="0" xfId="1" applyNumberFormat="1" applyFont="1" applyFill="1" applyBorder="1"/>
    <xf numFmtId="0" fontId="19" fillId="0" borderId="0" xfId="0" applyFont="1" applyFill="1" applyBorder="1"/>
    <xf numFmtId="0" fontId="19" fillId="0" borderId="0" xfId="0" applyFont="1"/>
    <xf numFmtId="164" fontId="16" fillId="3" borderId="0" xfId="1" applyNumberFormat="1" applyFont="1" applyFill="1" applyBorder="1"/>
    <xf numFmtId="164" fontId="16" fillId="9" borderId="0" xfId="1" applyNumberFormat="1" applyFont="1" applyFill="1" applyBorder="1"/>
    <xf numFmtId="164" fontId="11" fillId="8" borderId="0" xfId="1" applyNumberFormat="1" applyFont="1" applyFill="1" applyBorder="1"/>
    <xf numFmtId="164" fontId="12" fillId="8" borderId="0" xfId="1" applyNumberFormat="1" applyFont="1" applyFill="1" applyBorder="1"/>
    <xf numFmtId="41" fontId="1" fillId="0" borderId="0" xfId="1" applyNumberFormat="1" applyFont="1" applyFill="1" applyBorder="1"/>
    <xf numFmtId="164" fontId="9" fillId="2" borderId="0" xfId="0" applyNumberFormat="1" applyFont="1" applyFill="1" applyBorder="1"/>
    <xf numFmtId="164" fontId="9" fillId="0" borderId="0" xfId="0" applyNumberFormat="1" applyFont="1" applyFill="1" applyBorder="1"/>
    <xf numFmtId="0" fontId="9" fillId="3" borderId="0" xfId="0" applyFont="1" applyFill="1" applyBorder="1"/>
    <xf numFmtId="164" fontId="9" fillId="0" borderId="0" xfId="0" applyNumberFormat="1" applyFont="1" applyBorder="1"/>
    <xf numFmtId="164" fontId="12" fillId="0" borderId="0" xfId="0" applyNumberFormat="1" applyFont="1" applyFill="1" applyBorder="1"/>
    <xf numFmtId="164" fontId="12" fillId="9" borderId="0" xfId="1" applyNumberFormat="1" applyFont="1" applyFill="1" applyBorder="1"/>
    <xf numFmtId="0" fontId="12" fillId="0" borderId="0" xfId="0" applyFont="1" applyFill="1"/>
    <xf numFmtId="164" fontId="7" fillId="0" borderId="0" xfId="0" applyNumberFormat="1" applyFont="1" applyBorder="1"/>
    <xf numFmtId="0" fontId="1" fillId="0" borderId="0" xfId="0" applyFont="1" applyFill="1"/>
    <xf numFmtId="9" fontId="0" fillId="0" borderId="21" xfId="0" applyNumberFormat="1" applyBorder="1" applyAlignment="1">
      <alignment horizontal="center"/>
    </xf>
    <xf numFmtId="3" fontId="0" fillId="0" borderId="23" xfId="0" applyNumberFormat="1" applyBorder="1"/>
    <xf numFmtId="0" fontId="7" fillId="0" borderId="14" xfId="0" applyFont="1" applyBorder="1"/>
    <xf numFmtId="0" fontId="7" fillId="0" borderId="14" xfId="0" applyFont="1" applyBorder="1" applyAlignment="1">
      <alignment wrapText="1"/>
    </xf>
    <xf numFmtId="0" fontId="7" fillId="0" borderId="14" xfId="0" applyFont="1" applyBorder="1" applyAlignment="1">
      <alignment horizontal="center" wrapText="1"/>
    </xf>
    <xf numFmtId="10" fontId="0" fillId="0" borderId="14" xfId="0" applyNumberFormat="1" applyBorder="1"/>
    <xf numFmtId="10" fontId="7" fillId="0" borderId="14" xfId="0" applyNumberFormat="1" applyFont="1" applyBorder="1"/>
    <xf numFmtId="43" fontId="1" fillId="2" borderId="0" xfId="1" applyNumberFormat="1" applyFont="1" applyFill="1" applyBorder="1"/>
    <xf numFmtId="0" fontId="20" fillId="0" borderId="0" xfId="0" applyFont="1"/>
    <xf numFmtId="0" fontId="20" fillId="0" borderId="5" xfId="0" applyFont="1" applyBorder="1"/>
    <xf numFmtId="0" fontId="20" fillId="0" borderId="0" xfId="0" applyFont="1" applyFill="1" applyBorder="1"/>
    <xf numFmtId="164" fontId="20" fillId="2" borderId="0" xfId="1" applyNumberFormat="1" applyFont="1" applyFill="1" applyBorder="1"/>
    <xf numFmtId="164" fontId="20" fillId="0" borderId="0" xfId="1" applyNumberFormat="1" applyFont="1" applyBorder="1"/>
    <xf numFmtId="164" fontId="20" fillId="0" borderId="0" xfId="1" applyNumberFormat="1" applyFont="1" applyFill="1" applyBorder="1"/>
    <xf numFmtId="164" fontId="20" fillId="3" borderId="0" xfId="1" applyNumberFormat="1" applyFont="1" applyFill="1" applyBorder="1"/>
    <xf numFmtId="164" fontId="20" fillId="9" borderId="0" xfId="1" applyNumberFormat="1" applyFont="1" applyFill="1" applyBorder="1"/>
    <xf numFmtId="164" fontId="20" fillId="0" borderId="10" xfId="0" applyNumberFormat="1" applyFont="1" applyBorder="1"/>
    <xf numFmtId="0" fontId="20" fillId="0" borderId="0" xfId="0" applyFont="1" applyBorder="1"/>
    <xf numFmtId="164" fontId="20" fillId="0" borderId="0" xfId="0" applyNumberFormat="1" applyFont="1" applyBorder="1"/>
    <xf numFmtId="0" fontId="20" fillId="0" borderId="0" xfId="0" applyFont="1" applyBorder="1" applyAlignment="1">
      <alignment horizontal="right"/>
    </xf>
    <xf numFmtId="164" fontId="20" fillId="0" borderId="0" xfId="0" applyNumberFormat="1" applyFont="1" applyFill="1" applyBorder="1"/>
    <xf numFmtId="0" fontId="20" fillId="0" borderId="0" xfId="0" applyFont="1" applyFill="1"/>
    <xf numFmtId="0" fontId="20" fillId="10" borderId="0" xfId="0" applyFont="1" applyFill="1"/>
    <xf numFmtId="0" fontId="21" fillId="0" borderId="0" xfId="0" applyFont="1"/>
    <xf numFmtId="0" fontId="22" fillId="0" borderId="0" xfId="0" applyFont="1"/>
    <xf numFmtId="164" fontId="20" fillId="0" borderId="0" xfId="0" applyNumberFormat="1" applyFont="1"/>
    <xf numFmtId="164" fontId="9" fillId="0" borderId="0" xfId="0" applyNumberFormat="1" applyFont="1"/>
    <xf numFmtId="41" fontId="1" fillId="0" borderId="0" xfId="1" applyNumberFormat="1" applyFont="1" applyBorder="1"/>
    <xf numFmtId="41" fontId="1" fillId="3" borderId="0" xfId="1" applyNumberFormat="1" applyFont="1" applyFill="1" applyBorder="1"/>
    <xf numFmtId="0" fontId="23" fillId="0" borderId="0" xfId="0" applyFont="1"/>
    <xf numFmtId="0" fontId="23" fillId="0" borderId="0" xfId="0" applyFont="1" applyFill="1" applyBorder="1"/>
    <xf numFmtId="0" fontId="1" fillId="0" borderId="5" xfId="0" applyFont="1" applyFill="1" applyBorder="1"/>
    <xf numFmtId="164" fontId="1" fillId="0" borderId="10" xfId="0" applyNumberFormat="1" applyFont="1" applyFill="1" applyBorder="1"/>
    <xf numFmtId="164" fontId="1" fillId="15" borderId="0" xfId="0" applyNumberFormat="1" applyFont="1" applyFill="1" applyBorder="1"/>
    <xf numFmtId="0" fontId="1" fillId="15" borderId="0" xfId="0" applyFont="1" applyFill="1" applyBorder="1"/>
    <xf numFmtId="164" fontId="1" fillId="15" borderId="0" xfId="1" applyNumberFormat="1" applyFont="1" applyFill="1" applyBorder="1"/>
    <xf numFmtId="164" fontId="1" fillId="15" borderId="10" xfId="0" applyNumberFormat="1" applyFont="1" applyFill="1" applyBorder="1"/>
    <xf numFmtId="0" fontId="0" fillId="0" borderId="0" xfId="0" applyFill="1" applyBorder="1"/>
    <xf numFmtId="0" fontId="1" fillId="15" borderId="0" xfId="0" applyFont="1" applyFill="1"/>
    <xf numFmtId="0" fontId="24" fillId="0" borderId="0" xfId="0" applyFont="1"/>
    <xf numFmtId="3" fontId="0" fillId="12" borderId="0" xfId="0" applyNumberFormat="1" applyFill="1"/>
    <xf numFmtId="164" fontId="1" fillId="0" borderId="0" xfId="0" applyNumberFormat="1" applyFont="1"/>
    <xf numFmtId="0" fontId="1" fillId="0" borderId="0" xfId="0" applyFont="1" applyFill="1" applyBorder="1" applyAlignment="1">
      <alignment horizontal="right"/>
    </xf>
    <xf numFmtId="9" fontId="1" fillId="0" borderId="0" xfId="0" applyNumberFormat="1" applyFont="1" applyFill="1" applyBorder="1"/>
    <xf numFmtId="0" fontId="7" fillId="12" borderId="6" xfId="0" applyFont="1" applyFill="1" applyBorder="1" applyAlignment="1">
      <alignment horizontal="center" wrapText="1"/>
    </xf>
    <xf numFmtId="164" fontId="12" fillId="13" borderId="0" xfId="0" applyNumberFormat="1" applyFont="1" applyFill="1" applyBorder="1"/>
    <xf numFmtId="0" fontId="12" fillId="14" borderId="0" xfId="0" applyFont="1" applyFill="1" applyBorder="1"/>
    <xf numFmtId="164" fontId="12" fillId="14" borderId="0" xfId="0" applyNumberFormat="1" applyFont="1" applyFill="1" applyBorder="1"/>
    <xf numFmtId="0" fontId="12" fillId="8" borderId="0" xfId="0" applyFont="1" applyFill="1" applyBorder="1"/>
    <xf numFmtId="164" fontId="12" fillId="8" borderId="0" xfId="0" applyNumberFormat="1" applyFont="1" applyFill="1"/>
    <xf numFmtId="0" fontId="1" fillId="16" borderId="0" xfId="0" applyFont="1" applyFill="1" applyBorder="1"/>
    <xf numFmtId="164" fontId="1" fillId="16" borderId="0" xfId="1" applyNumberFormat="1" applyFont="1" applyFill="1" applyBorder="1"/>
    <xf numFmtId="164" fontId="18" fillId="16" borderId="0" xfId="1" applyNumberFormat="1" applyFont="1" applyFill="1" applyBorder="1"/>
    <xf numFmtId="0" fontId="16" fillId="16" borderId="0" xfId="0" applyFont="1" applyFill="1" applyBorder="1"/>
    <xf numFmtId="164" fontId="16" fillId="16" borderId="0" xfId="1" applyNumberFormat="1" applyFont="1" applyFill="1" applyBorder="1"/>
    <xf numFmtId="0" fontId="4" fillId="8" borderId="0" xfId="0" applyFont="1" applyFill="1"/>
    <xf numFmtId="166" fontId="0" fillId="0" borderId="0" xfId="0" applyNumberFormat="1"/>
    <xf numFmtId="0" fontId="26" fillId="0" borderId="25" xfId="0" applyFont="1" applyBorder="1" applyAlignment="1">
      <alignment vertical="center"/>
    </xf>
    <xf numFmtId="0" fontId="25" fillId="0" borderId="26" xfId="0" applyFont="1" applyBorder="1" applyAlignment="1">
      <alignment vertical="center"/>
    </xf>
    <xf numFmtId="0" fontId="27" fillId="0" borderId="0" xfId="0" applyFont="1" applyAlignment="1">
      <alignment vertical="center" wrapText="1"/>
    </xf>
    <xf numFmtId="6" fontId="26" fillId="0" borderId="26" xfId="0" applyNumberFormat="1" applyFont="1" applyBorder="1" applyAlignment="1">
      <alignment vertical="center"/>
    </xf>
    <xf numFmtId="0" fontId="25" fillId="0" borderId="25" xfId="0" applyFont="1" applyBorder="1" applyAlignment="1">
      <alignment vertical="center"/>
    </xf>
    <xf numFmtId="6" fontId="25" fillId="0" borderId="26" xfId="0" applyNumberFormat="1" applyFont="1" applyBorder="1" applyAlignment="1">
      <alignment vertical="center"/>
    </xf>
    <xf numFmtId="164" fontId="11" fillId="0" borderId="0" xfId="0" applyNumberFormat="1" applyFont="1" applyFill="1" applyBorder="1"/>
    <xf numFmtId="0" fontId="7" fillId="0" borderId="1" xfId="0" applyFont="1" applyFill="1" applyBorder="1" applyAlignment="1">
      <alignment horizontal="center" wrapText="1"/>
    </xf>
    <xf numFmtId="0" fontId="7" fillId="12" borderId="1" xfId="0" applyFont="1" applyFill="1" applyBorder="1" applyAlignment="1">
      <alignment horizontal="center" wrapText="1"/>
    </xf>
    <xf numFmtId="164" fontId="20" fillId="12" borderId="0" xfId="1" applyNumberFormat="1" applyFont="1" applyFill="1" applyBorder="1"/>
    <xf numFmtId="164" fontId="9" fillId="12" borderId="0" xfId="1" applyNumberFormat="1" applyFont="1" applyFill="1" applyBorder="1"/>
    <xf numFmtId="164" fontId="9" fillId="12" borderId="0" xfId="0" applyNumberFormat="1" applyFont="1" applyFill="1" applyBorder="1"/>
    <xf numFmtId="41" fontId="1" fillId="12" borderId="0" xfId="1" applyNumberFormat="1" applyFont="1" applyFill="1" applyBorder="1"/>
    <xf numFmtId="164" fontId="9" fillId="12" borderId="13" xfId="1" applyNumberFormat="1" applyFont="1" applyFill="1" applyBorder="1"/>
    <xf numFmtId="164" fontId="7" fillId="12" borderId="0" xfId="1" applyNumberFormat="1" applyFont="1" applyFill="1" applyBorder="1"/>
    <xf numFmtId="164" fontId="17" fillId="12" borderId="0" xfId="1" applyNumberFormat="1" applyFont="1" applyFill="1" applyBorder="1"/>
    <xf numFmtId="165" fontId="1" fillId="0" borderId="0" xfId="0" applyNumberFormat="1" applyFont="1"/>
    <xf numFmtId="0" fontId="1" fillId="0" borderId="0" xfId="0" applyFont="1" applyAlignment="1">
      <alignment horizontal="right"/>
    </xf>
    <xf numFmtId="164" fontId="1" fillId="15" borderId="0" xfId="0" applyNumberFormat="1" applyFont="1" applyFill="1"/>
    <xf numFmtId="3" fontId="7" fillId="0" borderId="2" xfId="0" applyNumberFormat="1" applyFont="1" applyBorder="1" applyAlignment="1">
      <alignment horizontal="center" wrapText="1"/>
    </xf>
    <xf numFmtId="3" fontId="0" fillId="0" borderId="2" xfId="0" applyNumberFormat="1" applyBorder="1"/>
    <xf numFmtId="3" fontId="0" fillId="0" borderId="0" xfId="0" applyNumberFormat="1" applyBorder="1"/>
    <xf numFmtId="10" fontId="1" fillId="0" borderId="0" xfId="0" applyNumberFormat="1" applyFont="1"/>
    <xf numFmtId="0" fontId="12" fillId="17" borderId="0" xfId="0" applyFont="1" applyFill="1" applyBorder="1"/>
    <xf numFmtId="164" fontId="12" fillId="17" borderId="0" xfId="1" applyNumberFormat="1" applyFont="1" applyFill="1" applyBorder="1"/>
    <xf numFmtId="164" fontId="15" fillId="17" borderId="0" xfId="0" applyNumberFormat="1" applyFont="1" applyFill="1" applyBorder="1"/>
    <xf numFmtId="43" fontId="1" fillId="12" borderId="0" xfId="1" applyNumberFormat="1" applyFont="1" applyFill="1" applyBorder="1"/>
    <xf numFmtId="0" fontId="12" fillId="17" borderId="0" xfId="0" applyFont="1" applyFill="1"/>
    <xf numFmtId="164" fontId="12" fillId="17" borderId="0" xfId="0" applyNumberFormat="1" applyFont="1" applyFill="1"/>
    <xf numFmtId="0" fontId="12" fillId="18" borderId="0" xfId="0" applyFont="1" applyFill="1" applyBorder="1"/>
    <xf numFmtId="164" fontId="12" fillId="18" borderId="0" xfId="1" applyNumberFormat="1" applyFont="1" applyFill="1" applyBorder="1"/>
    <xf numFmtId="164" fontId="15" fillId="18" borderId="0" xfId="0" applyNumberFormat="1" applyFont="1" applyFill="1" applyBorder="1"/>
    <xf numFmtId="0" fontId="12" fillId="18" borderId="0" xfId="0" applyFont="1" applyFill="1"/>
    <xf numFmtId="164" fontId="12" fillId="18" borderId="0" xfId="0" applyNumberFormat="1" applyFont="1" applyFill="1"/>
    <xf numFmtId="164" fontId="3" fillId="2" borderId="0" xfId="1" applyNumberFormat="1" applyFont="1" applyFill="1" applyBorder="1"/>
    <xf numFmtId="164" fontId="3" fillId="0" borderId="0" xfId="1" applyNumberFormat="1" applyFont="1" applyBorder="1"/>
    <xf numFmtId="164" fontId="3" fillId="12" borderId="0" xfId="1" applyNumberFormat="1" applyFont="1" applyFill="1" applyBorder="1"/>
    <xf numFmtId="164" fontId="3" fillId="0" borderId="0" xfId="0" applyNumberFormat="1" applyFont="1"/>
    <xf numFmtId="3" fontId="1" fillId="12" borderId="0" xfId="0" applyNumberFormat="1" applyFont="1" applyFill="1"/>
    <xf numFmtId="37" fontId="12" fillId="17" borderId="0" xfId="1" applyNumberFormat="1" applyFont="1" applyFill="1" applyBorder="1"/>
    <xf numFmtId="37" fontId="1" fillId="3" borderId="0" xfId="1" applyNumberFormat="1" applyFont="1" applyFill="1" applyBorder="1"/>
    <xf numFmtId="37" fontId="1" fillId="0" borderId="0" xfId="1" applyNumberFormat="1" applyFont="1" applyFill="1" applyBorder="1"/>
    <xf numFmtId="37" fontId="1" fillId="12" borderId="0" xfId="1" applyNumberFormat="1" applyFont="1" applyFill="1" applyBorder="1"/>
    <xf numFmtId="37" fontId="1" fillId="0" borderId="0" xfId="1" applyNumberFormat="1" applyFont="1" applyBorder="1"/>
    <xf numFmtId="37" fontId="1" fillId="2" borderId="0" xfId="1" applyNumberFormat="1" applyFont="1" applyFill="1" applyBorder="1"/>
    <xf numFmtId="37" fontId="9" fillId="2" borderId="0" xfId="1" applyNumberFormat="1" applyFont="1" applyFill="1" applyBorder="1"/>
    <xf numFmtId="37" fontId="9" fillId="0" borderId="0" xfId="1" applyNumberFormat="1" applyFont="1" applyBorder="1"/>
    <xf numFmtId="37" fontId="9" fillId="3" borderId="0" xfId="1" applyNumberFormat="1" applyFont="1" applyFill="1" applyBorder="1"/>
    <xf numFmtId="37" fontId="12" fillId="18" borderId="0" xfId="1" applyNumberFormat="1" applyFont="1" applyFill="1" applyBorder="1"/>
    <xf numFmtId="0" fontId="23" fillId="15" borderId="0" xfId="0" applyFont="1" applyFill="1"/>
    <xf numFmtId="0" fontId="23" fillId="0" borderId="0" xfId="0" applyFont="1" applyBorder="1"/>
    <xf numFmtId="164" fontId="4" fillId="0" borderId="0" xfId="0" applyNumberFormat="1" applyFont="1"/>
    <xf numFmtId="166" fontId="7" fillId="0" borderId="14" xfId="0" applyNumberFormat="1" applyFont="1" applyBorder="1" applyAlignment="1">
      <alignment horizontal="center" wrapText="1"/>
    </xf>
    <xf numFmtId="166" fontId="0" fillId="0" borderId="14" xfId="0" applyNumberFormat="1" applyBorder="1"/>
    <xf numFmtId="166" fontId="7" fillId="0" borderId="14" xfId="0" applyNumberFormat="1" applyFont="1" applyBorder="1"/>
    <xf numFmtId="3" fontId="7" fillId="0" borderId="10" xfId="0" applyNumberFormat="1" applyFont="1" applyBorder="1"/>
    <xf numFmtId="166" fontId="1" fillId="0" borderId="0" xfId="0" applyNumberFormat="1" applyFont="1"/>
    <xf numFmtId="9" fontId="7" fillId="0" borderId="14" xfId="0" applyNumberFormat="1" applyFont="1" applyBorder="1" applyAlignment="1">
      <alignment horizontal="center" wrapText="1"/>
    </xf>
    <xf numFmtId="9" fontId="0" fillId="0" borderId="14" xfId="0" applyNumberFormat="1" applyBorder="1"/>
    <xf numFmtId="9" fontId="7" fillId="0" borderId="14" xfId="0" applyNumberFormat="1" applyFont="1" applyBorder="1"/>
    <xf numFmtId="166" fontId="0" fillId="0" borderId="18" xfId="0" applyNumberForma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166" fontId="7" fillId="0" borderId="20" xfId="0" applyNumberFormat="1" applyFont="1" applyBorder="1" applyAlignment="1">
      <alignment horizontal="center"/>
    </xf>
    <xf numFmtId="9" fontId="7" fillId="0" borderId="22" xfId="0" applyNumberFormat="1" applyFont="1" applyBorder="1" applyAlignment="1">
      <alignment horizontal="center"/>
    </xf>
    <xf numFmtId="3" fontId="7" fillId="0" borderId="23" xfId="0" applyNumberFormat="1" applyFont="1" applyBorder="1"/>
    <xf numFmtId="0" fontId="7" fillId="0" borderId="0" xfId="0" applyFont="1"/>
    <xf numFmtId="166" fontId="7" fillId="0" borderId="18" xfId="0" applyNumberFormat="1" applyFont="1" applyBorder="1" applyAlignment="1">
      <alignment horizontal="center" wrapText="1"/>
    </xf>
    <xf numFmtId="9" fontId="7" fillId="0" borderId="21" xfId="0" applyNumberFormat="1" applyFont="1" applyBorder="1" applyAlignment="1">
      <alignment horizontal="center" wrapText="1"/>
    </xf>
    <xf numFmtId="3" fontId="7" fillId="0" borderId="23" xfId="0" applyNumberFormat="1" applyFont="1" applyFill="1" applyBorder="1" applyAlignment="1">
      <alignment horizontal="center" wrapText="1"/>
    </xf>
    <xf numFmtId="0" fontId="0" fillId="0" borderId="12" xfId="0" applyBorder="1"/>
    <xf numFmtId="164" fontId="0" fillId="0" borderId="12" xfId="0" applyNumberFormat="1" applyBorder="1"/>
    <xf numFmtId="0" fontId="29" fillId="0" borderId="27" xfId="0" applyFont="1" applyBorder="1"/>
    <xf numFmtId="0" fontId="29" fillId="0" borderId="0" xfId="0" applyFont="1"/>
    <xf numFmtId="164" fontId="29" fillId="19" borderId="0" xfId="0" applyNumberFormat="1" applyFont="1" applyFill="1"/>
    <xf numFmtId="164" fontId="29" fillId="0" borderId="0" xfId="0" applyNumberFormat="1" applyFont="1"/>
    <xf numFmtId="164" fontId="29" fillId="20" borderId="0" xfId="0" applyNumberFormat="1" applyFont="1" applyFill="1"/>
    <xf numFmtId="164" fontId="29" fillId="21" borderId="0" xfId="0" applyNumberFormat="1" applyFont="1" applyFill="1"/>
    <xf numFmtId="164" fontId="29" fillId="0" borderId="28" xfId="0" applyNumberFormat="1" applyFont="1" applyBorder="1"/>
    <xf numFmtId="0" fontId="29" fillId="0" borderId="0" xfId="0" applyFont="1" applyAlignment="1">
      <alignment horizontal="right"/>
    </xf>
    <xf numFmtId="3" fontId="29" fillId="19" borderId="0" xfId="0" applyNumberFormat="1" applyFont="1" applyFill="1"/>
    <xf numFmtId="9" fontId="29" fillId="0" borderId="0" xfId="0" applyNumberFormat="1" applyFont="1"/>
    <xf numFmtId="41" fontId="29" fillId="19" borderId="0" xfId="0" applyNumberFormat="1" applyFont="1" applyFill="1"/>
    <xf numFmtId="43" fontId="29" fillId="0" borderId="0" xfId="0" applyNumberFormat="1" applyFont="1"/>
    <xf numFmtId="10" fontId="29" fillId="0" borderId="0" xfId="0" applyNumberFormat="1" applyFont="1"/>
    <xf numFmtId="164" fontId="30" fillId="19" borderId="0" xfId="0" applyNumberFormat="1" applyFont="1" applyFill="1"/>
    <xf numFmtId="164" fontId="30" fillId="0" borderId="0" xfId="0" applyNumberFormat="1" applyFont="1"/>
    <xf numFmtId="164" fontId="30" fillId="20" borderId="0" xfId="0" applyNumberFormat="1" applyFont="1" applyFill="1"/>
    <xf numFmtId="164" fontId="30" fillId="21" borderId="0" xfId="0" applyNumberFormat="1" applyFont="1" applyFill="1"/>
    <xf numFmtId="0" fontId="30" fillId="0" borderId="0" xfId="0" applyFont="1"/>
    <xf numFmtId="0" fontId="29" fillId="22" borderId="0" xfId="0" applyFont="1" applyFill="1"/>
    <xf numFmtId="6" fontId="29" fillId="0" borderId="0" xfId="0" applyNumberFormat="1" applyFont="1"/>
    <xf numFmtId="43" fontId="29" fillId="19" borderId="0" xfId="0" applyNumberFormat="1" applyFont="1" applyFill="1"/>
    <xf numFmtId="167" fontId="29" fillId="0" borderId="0" xfId="0" applyNumberFormat="1" applyFont="1"/>
    <xf numFmtId="0" fontId="29" fillId="23" borderId="0" xfId="0" applyFont="1" applyFill="1"/>
    <xf numFmtId="41" fontId="29" fillId="0" borderId="0" xfId="0" applyNumberFormat="1" applyFont="1"/>
    <xf numFmtId="41" fontId="29" fillId="20" borderId="0" xfId="0" applyNumberFormat="1" applyFont="1" applyFill="1"/>
    <xf numFmtId="0" fontId="7" fillId="0" borderId="9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14" fontId="7" fillId="0" borderId="11" xfId="0" applyNumberFormat="1" applyFont="1" applyBorder="1" applyAlignment="1">
      <alignment horizontal="left"/>
    </xf>
    <xf numFmtId="14" fontId="7" fillId="0" borderId="12" xfId="0" applyNumberFormat="1" applyFont="1" applyBorder="1" applyAlignment="1">
      <alignment horizontal="left"/>
    </xf>
    <xf numFmtId="0" fontId="8" fillId="0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10" fillId="17" borderId="0" xfId="0" applyFont="1" applyFill="1" applyBorder="1" applyAlignment="1">
      <alignment horizontal="center"/>
    </xf>
    <xf numFmtId="0" fontId="10" fillId="18" borderId="0" xfId="0" applyFont="1" applyFill="1" applyBorder="1" applyAlignment="1">
      <alignment horizontal="center"/>
    </xf>
    <xf numFmtId="0" fontId="10" fillId="7" borderId="0" xfId="0" applyFont="1" applyFill="1" applyBorder="1" applyAlignment="1">
      <alignment horizontal="center"/>
    </xf>
    <xf numFmtId="0" fontId="10" fillId="5" borderId="11" xfId="0" applyFont="1" applyFill="1" applyBorder="1" applyAlignment="1">
      <alignment horizontal="center"/>
    </xf>
    <xf numFmtId="0" fontId="10" fillId="5" borderId="12" xfId="0" applyFont="1" applyFill="1" applyBorder="1" applyAlignment="1">
      <alignment horizontal="center"/>
    </xf>
    <xf numFmtId="0" fontId="10" fillId="5" borderId="16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14" fontId="7" fillId="0" borderId="9" xfId="0" applyNumberFormat="1" applyFont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0" fontId="7" fillId="0" borderId="4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25" fillId="0" borderId="7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24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mruColors>
      <color rgb="FFFFFF99"/>
      <color rgb="FF000080"/>
      <color rgb="FF003300"/>
      <color rgb="FFCCFFCC"/>
      <color rgb="FFD7E4BC"/>
      <color rgb="FFFFFF66"/>
      <color rgb="FF003700"/>
      <color rgb="FF0E18D8"/>
      <color rgb="FF4379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285749</xdr:colOff>
      <xdr:row>0</xdr:row>
      <xdr:rowOff>47624</xdr:rowOff>
    </xdr:from>
    <xdr:ext cx="3536157" cy="561949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847724" y="47624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0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285749</xdr:colOff>
      <xdr:row>0</xdr:row>
      <xdr:rowOff>47624</xdr:rowOff>
    </xdr:from>
    <xdr:ext cx="3536157" cy="561949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47724" y="47624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0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285749</xdr:colOff>
      <xdr:row>0</xdr:row>
      <xdr:rowOff>47624</xdr:rowOff>
    </xdr:from>
    <xdr:ext cx="3536157" cy="561949"/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847724" y="47624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0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285749</xdr:colOff>
      <xdr:row>0</xdr:row>
      <xdr:rowOff>47624</xdr:rowOff>
    </xdr:from>
    <xdr:ext cx="3536157" cy="561949"/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847724" y="47624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30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392905</xdr:colOff>
      <xdr:row>0</xdr:row>
      <xdr:rowOff>0</xdr:rowOff>
    </xdr:from>
    <xdr:ext cx="3536157" cy="561949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035843" y="0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285749</xdr:colOff>
      <xdr:row>0</xdr:row>
      <xdr:rowOff>47624</xdr:rowOff>
    </xdr:from>
    <xdr:ext cx="2643189" cy="56194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012030" y="47624"/>
          <a:ext cx="2643189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285749</xdr:colOff>
      <xdr:row>0</xdr:row>
      <xdr:rowOff>47624</xdr:rowOff>
    </xdr:from>
    <xdr:ext cx="3536157" cy="56194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009649" y="47624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285749</xdr:colOff>
      <xdr:row>0</xdr:row>
      <xdr:rowOff>47624</xdr:rowOff>
    </xdr:from>
    <xdr:ext cx="3536157" cy="56194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800099" y="47624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285749</xdr:colOff>
      <xdr:row>0</xdr:row>
      <xdr:rowOff>47624</xdr:rowOff>
    </xdr:from>
    <xdr:ext cx="3536157" cy="56194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009649" y="47624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285749</xdr:colOff>
      <xdr:row>0</xdr:row>
      <xdr:rowOff>47624</xdr:rowOff>
    </xdr:from>
    <xdr:ext cx="3536157" cy="56194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1009649" y="47624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285750</xdr:colOff>
      <xdr:row>0</xdr:row>
      <xdr:rowOff>47624</xdr:rowOff>
    </xdr:from>
    <xdr:ext cx="2536032" cy="56194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012031" y="47624"/>
          <a:ext cx="2536032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285749</xdr:colOff>
      <xdr:row>0</xdr:row>
      <xdr:rowOff>47624</xdr:rowOff>
    </xdr:from>
    <xdr:ext cx="2547939" cy="56194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1012030" y="47624"/>
          <a:ext cx="2547939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0</xdr:row>
      <xdr:rowOff>35718</xdr:rowOff>
    </xdr:from>
    <xdr:ext cx="3536157" cy="56194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666750" y="35718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285749</xdr:colOff>
      <xdr:row>0</xdr:row>
      <xdr:rowOff>47624</xdr:rowOff>
    </xdr:from>
    <xdr:ext cx="3536157" cy="56194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09649" y="47624"/>
          <a:ext cx="3536157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333375</xdr:colOff>
      <xdr:row>0</xdr:row>
      <xdr:rowOff>59530</xdr:rowOff>
    </xdr:from>
    <xdr:ext cx="2607470" cy="56194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59656" y="59530"/>
          <a:ext cx="2607470" cy="56194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30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Draft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539"/>
  <sheetViews>
    <sheetView zoomScale="80" zoomScaleNormal="80" zoomScalePageLayoutView="80" workbookViewId="0">
      <pane xSplit="2" ySplit="5" topLeftCell="D135" activePane="bottomRight" state="frozen"/>
      <selection pane="topRight" activeCell="C1" sqref="C1"/>
      <selection pane="bottomLeft" activeCell="A6" sqref="A6"/>
      <selection pane="bottomRight" activeCell="L164" sqref="L164"/>
    </sheetView>
  </sheetViews>
  <sheetFormatPr defaultColWidth="8.88671875" defaultRowHeight="13.2" x14ac:dyDescent="0.25"/>
  <cols>
    <col min="1" max="1" width="10.44140625" style="7" customWidth="1"/>
    <col min="2" max="2" width="69.6640625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5.109375" style="48" bestFit="1" customWidth="1"/>
    <col min="8" max="9" width="14.6640625" style="7" bestFit="1" customWidth="1"/>
    <col min="10" max="10" width="1" style="11" customWidth="1"/>
    <col min="11" max="11" width="15.6640625" style="48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5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27" s="61" customFormat="1" x14ac:dyDescent="0.25">
      <c r="A1" s="316" t="s">
        <v>94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27" s="61" customFormat="1" x14ac:dyDescent="0.25">
      <c r="A2" s="319">
        <v>44778</v>
      </c>
      <c r="B2" s="320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27" s="72" customFormat="1" ht="25.5" customHeight="1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27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27" s="77" customForma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27" s="61" customFormat="1" x14ac:dyDescent="0.25">
      <c r="A6" s="192" t="s">
        <v>57</v>
      </c>
      <c r="B6" s="54" t="s">
        <v>57</v>
      </c>
      <c r="C6" s="124">
        <f>((142334.4*1.03)/1560)*80*0</f>
        <v>0</v>
      </c>
      <c r="D6" s="56">
        <f>((142334.4*1.03)/1560)*0</f>
        <v>0</v>
      </c>
      <c r="E6" s="56">
        <f>SUM(C6:D6)</f>
        <v>0</v>
      </c>
      <c r="F6" s="58"/>
      <c r="G6" s="55">
        <f t="shared" ref="G6:H14" si="0">C6*1.03</f>
        <v>0</v>
      </c>
      <c r="H6" s="57">
        <f t="shared" si="0"/>
        <v>0</v>
      </c>
      <c r="I6" s="57">
        <f>SUM(G6:H6)</f>
        <v>0</v>
      </c>
      <c r="J6" s="58"/>
      <c r="K6" s="55">
        <f t="shared" ref="K6:K7" si="1">G6*1.03</f>
        <v>0</v>
      </c>
      <c r="L6" s="57">
        <f t="shared" ref="L6:L9" si="2">H6*1.03</f>
        <v>0</v>
      </c>
      <c r="M6" s="57">
        <f>SUM(K6:L6)</f>
        <v>0</v>
      </c>
      <c r="N6" s="58"/>
      <c r="O6" s="55">
        <f t="shared" ref="O6:O12" si="3">K6*1.03</f>
        <v>0</v>
      </c>
      <c r="P6" s="57">
        <f t="shared" ref="P6:P9" si="4">L6*1.03</f>
        <v>0</v>
      </c>
      <c r="Q6" s="57">
        <f>SUM(O6:P6)</f>
        <v>0</v>
      </c>
      <c r="R6" s="58"/>
      <c r="S6" s="55">
        <f t="shared" ref="S6:S13" si="5">O6*1.03</f>
        <v>0</v>
      </c>
      <c r="T6" s="57">
        <f t="shared" ref="T6:T9" si="6">P6*1.03</f>
        <v>0</v>
      </c>
      <c r="U6" s="57">
        <f>SUM(S6:T6)</f>
        <v>0</v>
      </c>
      <c r="V6" s="59"/>
      <c r="W6" s="124">
        <f>C6+G6+K6+O6+S6</f>
        <v>0</v>
      </c>
      <c r="X6" s="57">
        <f>D6+H6+L6+P6+T6</f>
        <v>0</v>
      </c>
      <c r="Y6" s="57">
        <f>SUM(W6:X6)</f>
        <v>0</v>
      </c>
    </row>
    <row r="7" spans="1:27" s="61" customFormat="1" x14ac:dyDescent="0.25">
      <c r="A7" s="192" t="s">
        <v>57</v>
      </c>
      <c r="B7" s="54" t="s">
        <v>130</v>
      </c>
      <c r="C7" s="124">
        <f>(((147281.47*1.03)/1560)*173.33)*1</f>
        <v>16855.221865995511</v>
      </c>
      <c r="D7" s="56">
        <f>(((147281.47*1.03)/1560)*173.33)*0</f>
        <v>0</v>
      </c>
      <c r="E7" s="56">
        <f t="shared" ref="E7:E14" si="7">SUM(C7:D7)</f>
        <v>16855.221865995511</v>
      </c>
      <c r="F7" s="58"/>
      <c r="G7" s="55">
        <f t="shared" si="0"/>
        <v>17360.878521975377</v>
      </c>
      <c r="H7" s="57">
        <f t="shared" si="0"/>
        <v>0</v>
      </c>
      <c r="I7" s="57">
        <f t="shared" ref="I7:I14" si="8">SUM(G7:H7)</f>
        <v>17360.878521975377</v>
      </c>
      <c r="J7" s="58"/>
      <c r="K7" s="55">
        <f t="shared" si="1"/>
        <v>17881.704877634638</v>
      </c>
      <c r="L7" s="57">
        <f t="shared" si="2"/>
        <v>0</v>
      </c>
      <c r="M7" s="57">
        <f t="shared" ref="M7:M14" si="9">SUM(K7:L7)</f>
        <v>17881.704877634638</v>
      </c>
      <c r="N7" s="58"/>
      <c r="O7" s="55">
        <f t="shared" si="3"/>
        <v>18418.156023963678</v>
      </c>
      <c r="P7" s="57">
        <f t="shared" si="4"/>
        <v>0</v>
      </c>
      <c r="Q7" s="57">
        <f t="shared" ref="Q7:Q14" si="10">SUM(O7:P7)</f>
        <v>18418.156023963678</v>
      </c>
      <c r="R7" s="58"/>
      <c r="S7" s="55">
        <f t="shared" si="5"/>
        <v>18970.700704682589</v>
      </c>
      <c r="T7" s="57">
        <f>P7*1.03</f>
        <v>0</v>
      </c>
      <c r="U7" s="57">
        <f t="shared" ref="U7:U14" si="11">SUM(S7:T7)</f>
        <v>18970.700704682589</v>
      </c>
      <c r="V7" s="59"/>
      <c r="W7" s="124">
        <f t="shared" ref="W7:W14" si="12">C7+G7+K7+O7+S7</f>
        <v>89486.661994251786</v>
      </c>
      <c r="X7" s="57">
        <f t="shared" ref="X7:X14" si="13">D7+H7+L7+P7+T7</f>
        <v>0</v>
      </c>
      <c r="Y7" s="57">
        <f t="shared" ref="Y7:Y14" si="14">SUM(W7:X7)</f>
        <v>89486.661994251786</v>
      </c>
    </row>
    <row r="8" spans="1:27" s="61" customFormat="1" x14ac:dyDescent="0.25">
      <c r="A8" s="192" t="s">
        <v>57</v>
      </c>
      <c r="B8" s="54" t="s">
        <v>111</v>
      </c>
      <c r="C8" s="124">
        <f>7563-7563</f>
        <v>0</v>
      </c>
      <c r="D8" s="56">
        <f>7563-7563</f>
        <v>0</v>
      </c>
      <c r="E8" s="56">
        <f t="shared" ref="E8" si="15">SUM(C8:D8)</f>
        <v>0</v>
      </c>
      <c r="F8" s="58"/>
      <c r="G8" s="55">
        <f>85000</f>
        <v>85000</v>
      </c>
      <c r="H8" s="57">
        <f t="shared" ref="H8" si="16">D8*1.03</f>
        <v>0</v>
      </c>
      <c r="I8" s="57">
        <f t="shared" ref="I8" si="17">SUM(G8:H8)</f>
        <v>85000</v>
      </c>
      <c r="J8" s="58"/>
      <c r="K8" s="55">
        <f>G8*1.03*0</f>
        <v>0</v>
      </c>
      <c r="L8" s="57">
        <f t="shared" ref="L8" si="18">H8*1.03</f>
        <v>0</v>
      </c>
      <c r="M8" s="57">
        <f t="shared" ref="M8" si="19">SUM(K8:L8)</f>
        <v>0</v>
      </c>
      <c r="N8" s="58"/>
      <c r="O8" s="55">
        <f>K8*1.03*0</f>
        <v>0</v>
      </c>
      <c r="P8" s="57">
        <f t="shared" ref="P8" si="20">L8*1.03</f>
        <v>0</v>
      </c>
      <c r="Q8" s="57">
        <f t="shared" ref="Q8" si="21">SUM(O8:P8)</f>
        <v>0</v>
      </c>
      <c r="R8" s="58"/>
      <c r="S8" s="55">
        <f t="shared" ref="S8" si="22">O8*1.03</f>
        <v>0</v>
      </c>
      <c r="T8" s="57">
        <f t="shared" ref="T8" si="23">P8*1.03</f>
        <v>0</v>
      </c>
      <c r="U8" s="57">
        <f t="shared" ref="U8" si="24">SUM(S8:T8)</f>
        <v>0</v>
      </c>
      <c r="V8" s="59"/>
      <c r="W8" s="124">
        <f t="shared" ref="W8" si="25">C8+G8+K8+O8+S8</f>
        <v>85000</v>
      </c>
      <c r="X8" s="57">
        <f t="shared" ref="X8" si="26">D8+H8+L8+P8+T8</f>
        <v>0</v>
      </c>
      <c r="Y8" s="57">
        <f t="shared" ref="Y8" si="27">SUM(W8:X8)</f>
        <v>85000</v>
      </c>
    </row>
    <row r="9" spans="1:27" s="61" customFormat="1" x14ac:dyDescent="0.25">
      <c r="A9" s="192" t="s">
        <v>57</v>
      </c>
      <c r="B9" s="54" t="s">
        <v>112</v>
      </c>
      <c r="C9" s="124">
        <f>7563-7563</f>
        <v>0</v>
      </c>
      <c r="D9" s="56">
        <f>7563-7563</f>
        <v>0</v>
      </c>
      <c r="E9" s="56">
        <f t="shared" si="7"/>
        <v>0</v>
      </c>
      <c r="F9" s="58"/>
      <c r="G9" s="55">
        <f>85000</f>
        <v>85000</v>
      </c>
      <c r="H9" s="57">
        <f t="shared" si="0"/>
        <v>0</v>
      </c>
      <c r="I9" s="57">
        <f t="shared" si="8"/>
        <v>85000</v>
      </c>
      <c r="J9" s="58"/>
      <c r="K9" s="55">
        <f>G9*1.03*0</f>
        <v>0</v>
      </c>
      <c r="L9" s="57">
        <f t="shared" si="2"/>
        <v>0</v>
      </c>
      <c r="M9" s="57">
        <f t="shared" si="9"/>
        <v>0</v>
      </c>
      <c r="N9" s="58"/>
      <c r="O9" s="55">
        <f>K9*1.03*0</f>
        <v>0</v>
      </c>
      <c r="P9" s="57">
        <f t="shared" si="4"/>
        <v>0</v>
      </c>
      <c r="Q9" s="57">
        <f t="shared" si="10"/>
        <v>0</v>
      </c>
      <c r="R9" s="58"/>
      <c r="S9" s="55">
        <f t="shared" si="5"/>
        <v>0</v>
      </c>
      <c r="T9" s="57">
        <f t="shared" si="6"/>
        <v>0</v>
      </c>
      <c r="U9" s="57">
        <f t="shared" si="11"/>
        <v>0</v>
      </c>
      <c r="V9" s="59"/>
      <c r="W9" s="124">
        <f t="shared" si="12"/>
        <v>85000</v>
      </c>
      <c r="X9" s="57">
        <f t="shared" si="13"/>
        <v>0</v>
      </c>
      <c r="Y9" s="57">
        <f t="shared" si="14"/>
        <v>85000</v>
      </c>
    </row>
    <row r="10" spans="1:27" s="61" customFormat="1" x14ac:dyDescent="0.25">
      <c r="A10" s="54"/>
      <c r="B10" s="54" t="s">
        <v>139</v>
      </c>
      <c r="C10" s="124">
        <v>0</v>
      </c>
      <c r="D10" s="56">
        <v>0</v>
      </c>
      <c r="E10" s="56">
        <f t="shared" si="7"/>
        <v>0</v>
      </c>
      <c r="F10" s="58"/>
      <c r="G10" s="55">
        <f>85000</f>
        <v>85000</v>
      </c>
      <c r="H10" s="57">
        <f t="shared" si="0"/>
        <v>0</v>
      </c>
      <c r="I10" s="57">
        <f t="shared" si="8"/>
        <v>85000</v>
      </c>
      <c r="J10" s="58"/>
      <c r="K10" s="55">
        <v>0</v>
      </c>
      <c r="L10" s="57">
        <f>H10*1.03</f>
        <v>0</v>
      </c>
      <c r="M10" s="57">
        <f t="shared" si="9"/>
        <v>0</v>
      </c>
      <c r="N10" s="58"/>
      <c r="O10" s="55">
        <f>K10*1.03*0</f>
        <v>0</v>
      </c>
      <c r="P10" s="57">
        <f>L10*1.03</f>
        <v>0</v>
      </c>
      <c r="Q10" s="57">
        <f t="shared" si="10"/>
        <v>0</v>
      </c>
      <c r="R10" s="58"/>
      <c r="S10" s="55">
        <f t="shared" si="5"/>
        <v>0</v>
      </c>
      <c r="T10" s="57">
        <f>P10*1.03</f>
        <v>0</v>
      </c>
      <c r="U10" s="57">
        <f t="shared" si="11"/>
        <v>0</v>
      </c>
      <c r="V10" s="59"/>
      <c r="W10" s="124">
        <f t="shared" si="12"/>
        <v>85000</v>
      </c>
      <c r="X10" s="57">
        <f t="shared" si="13"/>
        <v>0</v>
      </c>
      <c r="Y10" s="57">
        <f t="shared" si="14"/>
        <v>85000</v>
      </c>
    </row>
    <row r="11" spans="1:27" s="61" customFormat="1" x14ac:dyDescent="0.25">
      <c r="A11" s="54"/>
      <c r="B11" s="54" t="s">
        <v>137</v>
      </c>
      <c r="C11" s="124">
        <f>(5000*2)</f>
        <v>10000</v>
      </c>
      <c r="D11" s="56">
        <f>(5000*2)*0</f>
        <v>0</v>
      </c>
      <c r="E11" s="56">
        <f t="shared" si="7"/>
        <v>10000</v>
      </c>
      <c r="F11" s="58"/>
      <c r="G11" s="55">
        <f t="shared" si="0"/>
        <v>10300</v>
      </c>
      <c r="H11" s="57">
        <f t="shared" si="0"/>
        <v>0</v>
      </c>
      <c r="I11" s="57">
        <f t="shared" si="8"/>
        <v>10300</v>
      </c>
      <c r="J11" s="58"/>
      <c r="K11" s="55">
        <f>G11*1.03</f>
        <v>10609</v>
      </c>
      <c r="L11" s="57">
        <f>H11*1.03</f>
        <v>0</v>
      </c>
      <c r="M11" s="57">
        <f t="shared" si="9"/>
        <v>10609</v>
      </c>
      <c r="N11" s="58"/>
      <c r="O11" s="55">
        <f t="shared" si="3"/>
        <v>10927.27</v>
      </c>
      <c r="P11" s="57">
        <f>L11*1.03</f>
        <v>0</v>
      </c>
      <c r="Q11" s="57">
        <f t="shared" si="10"/>
        <v>10927.27</v>
      </c>
      <c r="R11" s="58"/>
      <c r="S11" s="55">
        <f>O11*1.03</f>
        <v>11255.088100000001</v>
      </c>
      <c r="T11" s="57">
        <f>P11*1.03</f>
        <v>0</v>
      </c>
      <c r="U11" s="57">
        <f t="shared" si="11"/>
        <v>11255.088100000001</v>
      </c>
      <c r="V11" s="59"/>
      <c r="W11" s="124">
        <f t="shared" si="12"/>
        <v>53091.358100000005</v>
      </c>
      <c r="X11" s="57">
        <f t="shared" si="13"/>
        <v>0</v>
      </c>
      <c r="Y11" s="57">
        <f t="shared" si="14"/>
        <v>53091.358100000005</v>
      </c>
    </row>
    <row r="12" spans="1:27" s="61" customFormat="1" x14ac:dyDescent="0.25">
      <c r="A12" s="192" t="s">
        <v>57</v>
      </c>
      <c r="B12" s="54" t="s">
        <v>138</v>
      </c>
      <c r="C12" s="124">
        <f>(5000*5)</f>
        <v>25000</v>
      </c>
      <c r="D12" s="56">
        <f>(5000*5)*0</f>
        <v>0</v>
      </c>
      <c r="E12" s="56">
        <f t="shared" si="7"/>
        <v>25000</v>
      </c>
      <c r="F12" s="58"/>
      <c r="G12" s="55">
        <f t="shared" si="0"/>
        <v>25750</v>
      </c>
      <c r="H12" s="57">
        <f t="shared" si="0"/>
        <v>0</v>
      </c>
      <c r="I12" s="57">
        <f t="shared" si="8"/>
        <v>25750</v>
      </c>
      <c r="J12" s="58"/>
      <c r="K12" s="55">
        <f>G12*1.03</f>
        <v>26522.5</v>
      </c>
      <c r="L12" s="57">
        <f>H12*1.03</f>
        <v>0</v>
      </c>
      <c r="M12" s="57">
        <f t="shared" si="9"/>
        <v>26522.5</v>
      </c>
      <c r="N12" s="58"/>
      <c r="O12" s="55">
        <f t="shared" si="3"/>
        <v>27318.174999999999</v>
      </c>
      <c r="P12" s="57">
        <f>L12*1.03</f>
        <v>0</v>
      </c>
      <c r="Q12" s="57">
        <f t="shared" si="10"/>
        <v>27318.174999999999</v>
      </c>
      <c r="R12" s="58"/>
      <c r="S12" s="55">
        <f>O12*1.03</f>
        <v>28137.720249999998</v>
      </c>
      <c r="T12" s="57">
        <f>P12*1.03</f>
        <v>0</v>
      </c>
      <c r="U12" s="57">
        <f t="shared" si="11"/>
        <v>28137.720249999998</v>
      </c>
      <c r="V12" s="59"/>
      <c r="W12" s="124">
        <f t="shared" si="12"/>
        <v>132728.39525</v>
      </c>
      <c r="X12" s="57">
        <f t="shared" si="13"/>
        <v>0</v>
      </c>
      <c r="Y12" s="57">
        <f t="shared" si="14"/>
        <v>132728.39525</v>
      </c>
    </row>
    <row r="13" spans="1:27" s="61" customFormat="1" x14ac:dyDescent="0.25">
      <c r="A13" s="192" t="s">
        <v>57</v>
      </c>
      <c r="B13" s="191" t="s">
        <v>57</v>
      </c>
      <c r="C13" s="124">
        <v>0</v>
      </c>
      <c r="D13" s="56">
        <v>0</v>
      </c>
      <c r="E13" s="56">
        <f t="shared" si="7"/>
        <v>0</v>
      </c>
      <c r="F13" s="58"/>
      <c r="G13" s="55">
        <f t="shared" si="0"/>
        <v>0</v>
      </c>
      <c r="H13" s="57">
        <f t="shared" si="0"/>
        <v>0</v>
      </c>
      <c r="I13" s="57">
        <f t="shared" si="8"/>
        <v>0</v>
      </c>
      <c r="J13" s="58"/>
      <c r="K13" s="55">
        <f>G13*1.03</f>
        <v>0</v>
      </c>
      <c r="L13" s="57">
        <f>H13*1.03</f>
        <v>0</v>
      </c>
      <c r="M13" s="57">
        <f t="shared" si="9"/>
        <v>0</v>
      </c>
      <c r="N13" s="58"/>
      <c r="O13" s="55">
        <f>K13*1.03</f>
        <v>0</v>
      </c>
      <c r="P13" s="57">
        <f>L13*1.03</f>
        <v>0</v>
      </c>
      <c r="Q13" s="57">
        <f t="shared" si="10"/>
        <v>0</v>
      </c>
      <c r="R13" s="58"/>
      <c r="S13" s="55">
        <f t="shared" si="5"/>
        <v>0</v>
      </c>
      <c r="T13" s="57">
        <f>P13*1.03</f>
        <v>0</v>
      </c>
      <c r="U13" s="57">
        <f t="shared" si="11"/>
        <v>0</v>
      </c>
      <c r="V13" s="59"/>
      <c r="W13" s="124">
        <f t="shared" si="12"/>
        <v>0</v>
      </c>
      <c r="X13" s="57">
        <f t="shared" si="13"/>
        <v>0</v>
      </c>
      <c r="Y13" s="57">
        <f t="shared" si="14"/>
        <v>0</v>
      </c>
    </row>
    <row r="14" spans="1:27" s="169" customFormat="1" x14ac:dyDescent="0.25">
      <c r="A14" s="170" t="s">
        <v>57</v>
      </c>
      <c r="B14" s="171" t="s">
        <v>57</v>
      </c>
      <c r="C14" s="227">
        <v>0</v>
      </c>
      <c r="D14" s="174">
        <v>0</v>
      </c>
      <c r="E14" s="56">
        <f t="shared" si="7"/>
        <v>0</v>
      </c>
      <c r="F14" s="175"/>
      <c r="G14" s="55">
        <f t="shared" si="0"/>
        <v>0</v>
      </c>
      <c r="H14" s="57">
        <f t="shared" si="0"/>
        <v>0</v>
      </c>
      <c r="I14" s="57">
        <f t="shared" si="8"/>
        <v>0</v>
      </c>
      <c r="J14" s="175"/>
      <c r="K14" s="55">
        <f>G14*1.03</f>
        <v>0</v>
      </c>
      <c r="L14" s="57">
        <f>H14*1.03</f>
        <v>0</v>
      </c>
      <c r="M14" s="57">
        <f t="shared" si="9"/>
        <v>0</v>
      </c>
      <c r="N14" s="175"/>
      <c r="O14" s="55">
        <f>K14*1.03</f>
        <v>0</v>
      </c>
      <c r="P14" s="57">
        <f>L14*1.03</f>
        <v>0</v>
      </c>
      <c r="Q14" s="57">
        <f t="shared" si="10"/>
        <v>0</v>
      </c>
      <c r="R14" s="175"/>
      <c r="S14" s="55">
        <f>O14*1.03</f>
        <v>0</v>
      </c>
      <c r="T14" s="57">
        <f>P14*1.03</f>
        <v>0</v>
      </c>
      <c r="U14" s="57">
        <f t="shared" si="11"/>
        <v>0</v>
      </c>
      <c r="V14" s="176"/>
      <c r="W14" s="124">
        <f t="shared" si="12"/>
        <v>0</v>
      </c>
      <c r="X14" s="57">
        <f t="shared" si="13"/>
        <v>0</v>
      </c>
      <c r="Y14" s="57">
        <f t="shared" si="14"/>
        <v>0</v>
      </c>
      <c r="AA14" s="186" t="s">
        <v>57</v>
      </c>
    </row>
    <row r="15" spans="1:27" s="83" customFormat="1" x14ac:dyDescent="0.25">
      <c r="A15" s="78"/>
      <c r="B15" s="78" t="s">
        <v>9</v>
      </c>
      <c r="C15" s="228">
        <f>SUM(C6:C14)</f>
        <v>51855.221865995511</v>
      </c>
      <c r="D15" s="125">
        <f>SUM(D6:D14)</f>
        <v>0</v>
      </c>
      <c r="E15" s="125">
        <f>SUM(E6:E14)</f>
        <v>51855.221865995511</v>
      </c>
      <c r="F15" s="81"/>
      <c r="G15" s="79">
        <f>SUM(G6:G14)</f>
        <v>308410.87852197536</v>
      </c>
      <c r="H15" s="80">
        <f>SUM(H6:H14)</f>
        <v>0</v>
      </c>
      <c r="I15" s="80">
        <f>SUM(I6:I14)</f>
        <v>308410.87852197536</v>
      </c>
      <c r="J15" s="81"/>
      <c r="K15" s="79">
        <f>SUM(K6:K14)</f>
        <v>55013.204877634635</v>
      </c>
      <c r="L15" s="80">
        <f>SUM(L6:L14)</f>
        <v>0</v>
      </c>
      <c r="M15" s="80">
        <f>SUM(M6:M14)</f>
        <v>55013.204877634635</v>
      </c>
      <c r="N15" s="81"/>
      <c r="O15" s="79">
        <f>SUM(O6:O14)</f>
        <v>56663.601023963682</v>
      </c>
      <c r="P15" s="80">
        <f>SUM(P6:P14)</f>
        <v>0</v>
      </c>
      <c r="Q15" s="80">
        <f>SUM(Q6:Q14)</f>
        <v>56663.601023963682</v>
      </c>
      <c r="R15" s="81"/>
      <c r="S15" s="79">
        <f>SUM(S6:S14)</f>
        <v>58363.509054682589</v>
      </c>
      <c r="T15" s="80">
        <f>SUM(T6:T14)</f>
        <v>0</v>
      </c>
      <c r="U15" s="80">
        <f>SUM(U6:U14)</f>
        <v>58363.509054682589</v>
      </c>
      <c r="V15" s="82"/>
      <c r="W15" s="79">
        <f>SUM(W6:W14)</f>
        <v>530306.41534425179</v>
      </c>
      <c r="X15" s="80">
        <f>SUM(X6:X14)</f>
        <v>0</v>
      </c>
      <c r="Y15" s="80">
        <f>SUM(Y6:Y14)</f>
        <v>530306.41534425179</v>
      </c>
    </row>
    <row r="16" spans="1:27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61" customFormat="1" x14ac:dyDescent="0.25">
      <c r="B17" s="61" t="s">
        <v>133</v>
      </c>
      <c r="C17" s="124">
        <f>55000*0.5*0</f>
        <v>0</v>
      </c>
      <c r="D17" s="56">
        <v>0</v>
      </c>
      <c r="E17" s="56">
        <f>SUM(C17:D17)</f>
        <v>0</v>
      </c>
      <c r="F17" s="58"/>
      <c r="G17" s="55">
        <f>60000*1.03</f>
        <v>61800</v>
      </c>
      <c r="H17" s="57">
        <f>D17*1.03</f>
        <v>0</v>
      </c>
      <c r="I17" s="57">
        <f>SUM(G17:H17)</f>
        <v>61800</v>
      </c>
      <c r="J17" s="58"/>
      <c r="K17" s="55">
        <f t="shared" ref="K17:L20" si="28">G17*1.03</f>
        <v>63654</v>
      </c>
      <c r="L17" s="57">
        <f t="shared" si="28"/>
        <v>0</v>
      </c>
      <c r="M17" s="57">
        <f>SUM(K17:L17)</f>
        <v>63654</v>
      </c>
      <c r="N17" s="58"/>
      <c r="O17" s="55">
        <f>K17*1.03</f>
        <v>65563.62</v>
      </c>
      <c r="P17" s="57">
        <f>L17*1.03</f>
        <v>0</v>
      </c>
      <c r="Q17" s="57">
        <f>SUM(O17:P17)</f>
        <v>65563.62</v>
      </c>
      <c r="R17" s="58"/>
      <c r="S17" s="55">
        <f>O17*1.03</f>
        <v>67530.528599999991</v>
      </c>
      <c r="T17" s="57">
        <f>P17*1.03</f>
        <v>0</v>
      </c>
      <c r="U17" s="57">
        <f>SUM(S17:T17)</f>
        <v>67530.528599999991</v>
      </c>
      <c r="V17" s="59"/>
      <c r="W17" s="124">
        <f t="shared" ref="W17:W25" si="29">C17+G17+K17+O17+S17</f>
        <v>258548.14859999999</v>
      </c>
      <c r="X17" s="57">
        <f t="shared" ref="X17:X24" si="30">D17+H17+L17+P17+T17</f>
        <v>0</v>
      </c>
      <c r="Y17" s="57">
        <f t="shared" ref="Y17:Y25" si="31">SUM(W17:X17)</f>
        <v>258548.14859999999</v>
      </c>
      <c r="AA17" s="202" t="s">
        <v>57</v>
      </c>
    </row>
    <row r="18" spans="1:77" s="61" customFormat="1" x14ac:dyDescent="0.25">
      <c r="A18" s="54" t="s">
        <v>57</v>
      </c>
      <c r="B18" s="54" t="s">
        <v>57</v>
      </c>
      <c r="C18" s="124">
        <v>0</v>
      </c>
      <c r="D18" s="56">
        <f>55000*0.25*0</f>
        <v>0</v>
      </c>
      <c r="E18" s="56">
        <f t="shared" ref="E18" si="32">SUM(C18:D18)</f>
        <v>0</v>
      </c>
      <c r="F18" s="58"/>
      <c r="G18" s="55">
        <f>(55000*0.5*1.03)*0</f>
        <v>0</v>
      </c>
      <c r="H18" s="57">
        <f>55000*0.5*1.03*0</f>
        <v>0</v>
      </c>
      <c r="I18" s="57">
        <f t="shared" ref="I18" si="33">SUM(G18:H18)</f>
        <v>0</v>
      </c>
      <c r="J18" s="58"/>
      <c r="K18" s="55">
        <f>G18*1.03</f>
        <v>0</v>
      </c>
      <c r="L18" s="57">
        <f t="shared" ref="L18" si="34">H18*1.03</f>
        <v>0</v>
      </c>
      <c r="M18" s="57">
        <f t="shared" ref="M18" si="35">SUM(K18:L18)</f>
        <v>0</v>
      </c>
      <c r="N18" s="58"/>
      <c r="O18" s="55">
        <f>K18*1.03*0</f>
        <v>0</v>
      </c>
      <c r="P18" s="57">
        <f t="shared" ref="P18" si="36">L18*1.03</f>
        <v>0</v>
      </c>
      <c r="Q18" s="57">
        <f t="shared" ref="Q18" si="37">SUM(O18:P18)</f>
        <v>0</v>
      </c>
      <c r="R18" s="58"/>
      <c r="S18" s="55">
        <f>O18*1.03*0</f>
        <v>0</v>
      </c>
      <c r="T18" s="57">
        <f>P18*1.03*0</f>
        <v>0</v>
      </c>
      <c r="U18" s="57">
        <f t="shared" ref="U18" si="38">SUM(S18:T18)</f>
        <v>0</v>
      </c>
      <c r="V18" s="59"/>
      <c r="W18" s="124">
        <f t="shared" ref="W18" si="39">C18+G18+K18+O18+S18</f>
        <v>0</v>
      </c>
      <c r="X18" s="57">
        <f t="shared" ref="X18" si="40">D18+H18+L18+P18+T18</f>
        <v>0</v>
      </c>
      <c r="Y18" s="57">
        <f t="shared" ref="Y18" si="41">SUM(W18:X18)</f>
        <v>0</v>
      </c>
    </row>
    <row r="19" spans="1:77" s="61" customFormat="1" x14ac:dyDescent="0.25">
      <c r="A19" s="52"/>
      <c r="B19" s="160" t="s">
        <v>57</v>
      </c>
      <c r="C19" s="124">
        <v>0</v>
      </c>
      <c r="D19" s="56">
        <v>0</v>
      </c>
      <c r="E19" s="56">
        <f t="shared" ref="E19:E25" si="42">SUM(C19:D19)</f>
        <v>0</v>
      </c>
      <c r="F19" s="58"/>
      <c r="G19" s="55">
        <f>(55000*1.03)*0</f>
        <v>0</v>
      </c>
      <c r="H19" s="57">
        <f>D19*1.03</f>
        <v>0</v>
      </c>
      <c r="I19" s="57">
        <f t="shared" ref="I19:I25" si="43">SUM(G19:H19)</f>
        <v>0</v>
      </c>
      <c r="J19" s="58"/>
      <c r="K19" s="55">
        <f>G19*1.03*1</f>
        <v>0</v>
      </c>
      <c r="L19" s="57">
        <f t="shared" si="28"/>
        <v>0</v>
      </c>
      <c r="M19" s="57">
        <f t="shared" ref="M19:M25" si="44">SUM(K19:L19)</f>
        <v>0</v>
      </c>
      <c r="N19" s="58"/>
      <c r="O19" s="55">
        <f>K19*1.03</f>
        <v>0</v>
      </c>
      <c r="P19" s="57">
        <f t="shared" ref="P19:P25" si="45">L19*1.03</f>
        <v>0</v>
      </c>
      <c r="Q19" s="57">
        <f t="shared" ref="Q19:Q25" si="46">SUM(O19:P19)</f>
        <v>0</v>
      </c>
      <c r="R19" s="58"/>
      <c r="S19" s="55">
        <f>G19*1.03*1.03*1.03*0</f>
        <v>0</v>
      </c>
      <c r="T19" s="57">
        <f>P19*1.03</f>
        <v>0</v>
      </c>
      <c r="U19" s="57">
        <f t="shared" ref="U19:U25" si="47">SUM(S19:T19)</f>
        <v>0</v>
      </c>
      <c r="V19" s="59"/>
      <c r="W19" s="124">
        <f t="shared" si="29"/>
        <v>0</v>
      </c>
      <c r="X19" s="57">
        <f t="shared" si="30"/>
        <v>0</v>
      </c>
      <c r="Y19" s="57">
        <f t="shared" si="31"/>
        <v>0</v>
      </c>
    </row>
    <row r="20" spans="1:77" s="61" customFormat="1" x14ac:dyDescent="0.25">
      <c r="A20" s="54" t="s">
        <v>57</v>
      </c>
      <c r="B20" s="54" t="s">
        <v>57</v>
      </c>
      <c r="C20" s="124">
        <v>0</v>
      </c>
      <c r="D20" s="56">
        <f>55000*0.25*0</f>
        <v>0</v>
      </c>
      <c r="E20" s="56">
        <f t="shared" si="42"/>
        <v>0</v>
      </c>
      <c r="F20" s="58"/>
      <c r="G20" s="55">
        <f>(55000*0.5*1.03)*0</f>
        <v>0</v>
      </c>
      <c r="H20" s="57">
        <f>55000*0.5*1.03*0</f>
        <v>0</v>
      </c>
      <c r="I20" s="57">
        <f t="shared" si="43"/>
        <v>0</v>
      </c>
      <c r="J20" s="58"/>
      <c r="K20" s="55">
        <f>G20*1.03</f>
        <v>0</v>
      </c>
      <c r="L20" s="57">
        <f t="shared" si="28"/>
        <v>0</v>
      </c>
      <c r="M20" s="57">
        <f t="shared" si="44"/>
        <v>0</v>
      </c>
      <c r="N20" s="58"/>
      <c r="O20" s="55">
        <f>K20*1.03*0</f>
        <v>0</v>
      </c>
      <c r="P20" s="57">
        <f t="shared" si="45"/>
        <v>0</v>
      </c>
      <c r="Q20" s="57">
        <f t="shared" si="46"/>
        <v>0</v>
      </c>
      <c r="R20" s="58"/>
      <c r="S20" s="55">
        <f>O20*1.03*0</f>
        <v>0</v>
      </c>
      <c r="T20" s="57">
        <f>P20*1.03*0</f>
        <v>0</v>
      </c>
      <c r="U20" s="57">
        <f t="shared" si="47"/>
        <v>0</v>
      </c>
      <c r="V20" s="59"/>
      <c r="W20" s="124">
        <f t="shared" si="29"/>
        <v>0</v>
      </c>
      <c r="X20" s="57">
        <f t="shared" si="30"/>
        <v>0</v>
      </c>
      <c r="Y20" s="57">
        <f t="shared" si="31"/>
        <v>0</v>
      </c>
    </row>
    <row r="21" spans="1:77" s="61" customFormat="1" x14ac:dyDescent="0.25">
      <c r="A21" s="203"/>
      <c r="B21" s="160" t="s">
        <v>217</v>
      </c>
      <c r="C21" s="124">
        <f>28000*0.5*0</f>
        <v>0</v>
      </c>
      <c r="D21" s="56">
        <v>0</v>
      </c>
      <c r="E21" s="56">
        <f t="shared" ref="E21" si="48">SUM(C21:D21)</f>
        <v>0</v>
      </c>
      <c r="F21" s="58"/>
      <c r="G21" s="201">
        <f>((24000*2)*1.03)</f>
        <v>49440</v>
      </c>
      <c r="H21" s="57">
        <f>D21*1.03</f>
        <v>0</v>
      </c>
      <c r="I21" s="57">
        <f t="shared" ref="I21" si="49">SUM(G21:H21)</f>
        <v>49440</v>
      </c>
      <c r="J21" s="58"/>
      <c r="K21" s="55">
        <f>G21*1.03</f>
        <v>50923.200000000004</v>
      </c>
      <c r="L21" s="57">
        <f>H21*1.03</f>
        <v>0</v>
      </c>
      <c r="M21" s="57">
        <f t="shared" ref="M21" si="50">SUM(K21:L21)</f>
        <v>50923.200000000004</v>
      </c>
      <c r="N21" s="58"/>
      <c r="O21" s="55">
        <f>K21*1.03</f>
        <v>52450.896000000008</v>
      </c>
      <c r="P21" s="57">
        <f t="shared" ref="P21" si="51">L21*1.03</f>
        <v>0</v>
      </c>
      <c r="Q21" s="57">
        <f t="shared" ref="Q21" si="52">SUM(O21:P21)</f>
        <v>52450.896000000008</v>
      </c>
      <c r="R21" s="58"/>
      <c r="S21" s="55">
        <f>(O21*1.03)</f>
        <v>54024.422880000013</v>
      </c>
      <c r="T21" s="57">
        <f t="shared" ref="T21" si="53">P21*1.03</f>
        <v>0</v>
      </c>
      <c r="U21" s="57">
        <f t="shared" ref="U21" si="54">SUM(S21:T21)</f>
        <v>54024.422880000013</v>
      </c>
      <c r="V21" s="59"/>
      <c r="W21" s="124">
        <f t="shared" ref="W21" si="55">C21+G21+K21+O21+S21</f>
        <v>206838.51888000005</v>
      </c>
      <c r="X21" s="57">
        <f t="shared" ref="X21" si="56">D21+H21+L21+P21+T21</f>
        <v>0</v>
      </c>
      <c r="Y21" s="57">
        <f t="shared" ref="Y21" si="57">SUM(W21:X21)</f>
        <v>206838.51888000005</v>
      </c>
    </row>
    <row r="22" spans="1:77" s="61" customFormat="1" x14ac:dyDescent="0.25">
      <c r="A22" s="54" t="s">
        <v>57</v>
      </c>
      <c r="B22" s="54" t="s">
        <v>57</v>
      </c>
      <c r="C22" s="124">
        <v>0</v>
      </c>
      <c r="D22" s="56">
        <v>0</v>
      </c>
      <c r="E22" s="56">
        <f t="shared" ref="E22" si="58">SUM(C22:D22)</f>
        <v>0</v>
      </c>
      <c r="F22" s="58"/>
      <c r="G22" s="55">
        <v>0</v>
      </c>
      <c r="H22" s="57">
        <f>D22*1.03</f>
        <v>0</v>
      </c>
      <c r="I22" s="57">
        <f t="shared" ref="I22" si="59">SUM(G22:H22)</f>
        <v>0</v>
      </c>
      <c r="J22" s="58"/>
      <c r="K22" s="55">
        <f>C22*1.03*1.03</f>
        <v>0</v>
      </c>
      <c r="L22" s="57">
        <f>H22*1.03</f>
        <v>0</v>
      </c>
      <c r="M22" s="57">
        <f t="shared" ref="M22" si="60">SUM(K22:L22)</f>
        <v>0</v>
      </c>
      <c r="N22" s="58"/>
      <c r="O22" s="55">
        <f>K22*1.03*0</f>
        <v>0</v>
      </c>
      <c r="P22" s="57">
        <f t="shared" ref="P22" si="61">L22*1.03</f>
        <v>0</v>
      </c>
      <c r="Q22" s="57">
        <f t="shared" ref="Q22" si="62">SUM(O22:P22)</f>
        <v>0</v>
      </c>
      <c r="R22" s="58"/>
      <c r="S22" s="55">
        <f>O22*1.03*0.5*0</f>
        <v>0</v>
      </c>
      <c r="T22" s="57">
        <f t="shared" ref="T22" si="63">P22*1.03</f>
        <v>0</v>
      </c>
      <c r="U22" s="57">
        <f t="shared" ref="U22" si="64">SUM(S22:T22)</f>
        <v>0</v>
      </c>
      <c r="V22" s="59"/>
      <c r="W22" s="124">
        <f t="shared" ref="W22" si="65">C22+G22+K22+O22+S22</f>
        <v>0</v>
      </c>
      <c r="X22" s="57">
        <f t="shared" ref="X22" si="66">D22+H22+L22+P22+T22</f>
        <v>0</v>
      </c>
      <c r="Y22" s="57">
        <f t="shared" ref="Y22" si="67">SUM(W22:X22)</f>
        <v>0</v>
      </c>
      <c r="AA22" s="202" t="s">
        <v>57</v>
      </c>
    </row>
    <row r="23" spans="1:77" s="61" customFormat="1" x14ac:dyDescent="0.25">
      <c r="A23" s="203"/>
      <c r="B23" s="160" t="s">
        <v>213</v>
      </c>
      <c r="C23" s="124">
        <f>28000*0.5*0</f>
        <v>0</v>
      </c>
      <c r="D23" s="56">
        <v>0</v>
      </c>
      <c r="E23" s="56">
        <f t="shared" si="42"/>
        <v>0</v>
      </c>
      <c r="F23" s="58"/>
      <c r="G23" s="201">
        <f>((28000*2)*1.03)</f>
        <v>57680</v>
      </c>
      <c r="H23" s="57">
        <f>D23*1.03</f>
        <v>0</v>
      </c>
      <c r="I23" s="57">
        <f t="shared" si="43"/>
        <v>57680</v>
      </c>
      <c r="J23" s="58"/>
      <c r="K23" s="55">
        <f>G23*1.03</f>
        <v>59410.400000000001</v>
      </c>
      <c r="L23" s="57">
        <f>H23*1.03</f>
        <v>0</v>
      </c>
      <c r="M23" s="57">
        <f t="shared" si="44"/>
        <v>59410.400000000001</v>
      </c>
      <c r="N23" s="58"/>
      <c r="O23" s="55">
        <f>K23*1.03</f>
        <v>61192.712</v>
      </c>
      <c r="P23" s="57">
        <f t="shared" si="45"/>
        <v>0</v>
      </c>
      <c r="Q23" s="57">
        <f t="shared" si="46"/>
        <v>61192.712</v>
      </c>
      <c r="R23" s="58"/>
      <c r="S23" s="55">
        <f t="shared" ref="S23:T24" si="68">O23*1.03</f>
        <v>63028.49336</v>
      </c>
      <c r="T23" s="57">
        <f t="shared" si="68"/>
        <v>0</v>
      </c>
      <c r="U23" s="57">
        <f t="shared" si="47"/>
        <v>63028.49336</v>
      </c>
      <c r="V23" s="59"/>
      <c r="W23" s="124">
        <f t="shared" si="29"/>
        <v>241311.60535999999</v>
      </c>
      <c r="X23" s="57">
        <f t="shared" si="30"/>
        <v>0</v>
      </c>
      <c r="Y23" s="57">
        <f t="shared" si="31"/>
        <v>241311.60535999999</v>
      </c>
    </row>
    <row r="24" spans="1:77" s="61" customFormat="1" x14ac:dyDescent="0.25">
      <c r="A24" s="203" t="s">
        <v>57</v>
      </c>
      <c r="B24" s="160" t="s">
        <v>57</v>
      </c>
      <c r="C24" s="124">
        <f>0</f>
        <v>0</v>
      </c>
      <c r="D24" s="56">
        <v>0</v>
      </c>
      <c r="E24" s="56">
        <f t="shared" si="42"/>
        <v>0</v>
      </c>
      <c r="F24" s="58"/>
      <c r="G24" s="55">
        <f>24000*1.03*0</f>
        <v>0</v>
      </c>
      <c r="H24" s="57">
        <f>D24*1.03</f>
        <v>0</v>
      </c>
      <c r="I24" s="57">
        <f t="shared" si="43"/>
        <v>0</v>
      </c>
      <c r="J24" s="58"/>
      <c r="K24" s="55">
        <f>G24*1.03</f>
        <v>0</v>
      </c>
      <c r="L24" s="57">
        <f>H24*1.03</f>
        <v>0</v>
      </c>
      <c r="M24" s="57">
        <f t="shared" si="44"/>
        <v>0</v>
      </c>
      <c r="N24" s="58"/>
      <c r="O24" s="55">
        <f>K24*1.03</f>
        <v>0</v>
      </c>
      <c r="P24" s="57">
        <f t="shared" si="45"/>
        <v>0</v>
      </c>
      <c r="Q24" s="57">
        <f t="shared" si="46"/>
        <v>0</v>
      </c>
      <c r="R24" s="58"/>
      <c r="S24" s="55">
        <f t="shared" si="68"/>
        <v>0</v>
      </c>
      <c r="T24" s="57">
        <f t="shared" si="68"/>
        <v>0</v>
      </c>
      <c r="U24" s="57">
        <f t="shared" si="47"/>
        <v>0</v>
      </c>
      <c r="V24" s="59"/>
      <c r="W24" s="124">
        <f t="shared" si="29"/>
        <v>0</v>
      </c>
      <c r="X24" s="57">
        <f t="shared" si="30"/>
        <v>0</v>
      </c>
      <c r="Y24" s="57">
        <f t="shared" si="31"/>
        <v>0</v>
      </c>
    </row>
    <row r="25" spans="1:77" s="61" customFormat="1" x14ac:dyDescent="0.25">
      <c r="A25" s="203" t="s">
        <v>57</v>
      </c>
      <c r="B25" s="61" t="s">
        <v>57</v>
      </c>
      <c r="C25" s="124">
        <f>24000*2*0</f>
        <v>0</v>
      </c>
      <c r="D25" s="56">
        <v>0</v>
      </c>
      <c r="E25" s="56">
        <f t="shared" si="42"/>
        <v>0</v>
      </c>
      <c r="F25" s="58"/>
      <c r="G25" s="55">
        <f>(24000*3)*1.03*0</f>
        <v>0</v>
      </c>
      <c r="H25" s="57">
        <f>D25*1.03</f>
        <v>0</v>
      </c>
      <c r="I25" s="57">
        <f t="shared" si="43"/>
        <v>0</v>
      </c>
      <c r="J25" s="58"/>
      <c r="K25" s="55">
        <f>G25*1.03</f>
        <v>0</v>
      </c>
      <c r="L25" s="57">
        <f>H25*1.03</f>
        <v>0</v>
      </c>
      <c r="M25" s="57">
        <f t="shared" si="44"/>
        <v>0</v>
      </c>
      <c r="N25" s="58"/>
      <c r="O25" s="55">
        <f>(24000*2)*1.03*1.03*1.03*0</f>
        <v>0</v>
      </c>
      <c r="P25" s="57">
        <f t="shared" si="45"/>
        <v>0</v>
      </c>
      <c r="Q25" s="57">
        <f t="shared" si="46"/>
        <v>0</v>
      </c>
      <c r="R25" s="58"/>
      <c r="S25" s="55">
        <f>(24000)*1.03*1.03*1.03*1.03*0</f>
        <v>0</v>
      </c>
      <c r="T25" s="57">
        <f>P25*1.03</f>
        <v>0</v>
      </c>
      <c r="U25" s="57">
        <f t="shared" si="47"/>
        <v>0</v>
      </c>
      <c r="V25" s="59"/>
      <c r="W25" s="124">
        <f t="shared" si="29"/>
        <v>0</v>
      </c>
      <c r="X25" s="57">
        <f>D25+H25+L25+P25+T25</f>
        <v>0</v>
      </c>
      <c r="Y25" s="57">
        <f t="shared" si="31"/>
        <v>0</v>
      </c>
    </row>
    <row r="26" spans="1:77" s="83" customFormat="1" x14ac:dyDescent="0.25">
      <c r="A26" s="78"/>
      <c r="B26" s="78" t="s">
        <v>9</v>
      </c>
      <c r="C26" s="228">
        <f>SUM(C17:C25)</f>
        <v>0</v>
      </c>
      <c r="D26" s="125">
        <f>SUM(D17:D25)</f>
        <v>0</v>
      </c>
      <c r="E26" s="125">
        <f>SUM(E17:E25)</f>
        <v>0</v>
      </c>
      <c r="F26" s="81"/>
      <c r="G26" s="79">
        <f>SUM(G17:G25)</f>
        <v>168920</v>
      </c>
      <c r="H26" s="80">
        <f>SUM(H17:H25)</f>
        <v>0</v>
      </c>
      <c r="I26" s="80">
        <f>SUM(I17:I25)</f>
        <v>168920</v>
      </c>
      <c r="J26" s="81"/>
      <c r="K26" s="79">
        <f>SUM(K17:K25)</f>
        <v>173987.6</v>
      </c>
      <c r="L26" s="80">
        <f>SUM(L17:L25)</f>
        <v>0</v>
      </c>
      <c r="M26" s="80">
        <f>SUM(M17:M25)</f>
        <v>173987.6</v>
      </c>
      <c r="N26" s="81"/>
      <c r="O26" s="79">
        <f>SUM(O17:O25)</f>
        <v>179207.228</v>
      </c>
      <c r="P26" s="80">
        <f>SUM(P17:P25)</f>
        <v>0</v>
      </c>
      <c r="Q26" s="80">
        <f>SUM(Q17:Q25)</f>
        <v>179207.228</v>
      </c>
      <c r="R26" s="81"/>
      <c r="S26" s="79">
        <f>SUM(S17:S25)</f>
        <v>184583.44484000001</v>
      </c>
      <c r="T26" s="80">
        <f>SUM(T17:T25)</f>
        <v>0</v>
      </c>
      <c r="U26" s="80">
        <f>SUM(U17:U25)</f>
        <v>184583.44484000001</v>
      </c>
      <c r="V26" s="82"/>
      <c r="W26" s="79">
        <f>SUM(W17:W25)</f>
        <v>706698.27283999999</v>
      </c>
      <c r="X26" s="80">
        <f>SUM(X17:X25)</f>
        <v>0</v>
      </c>
      <c r="Y26" s="80">
        <f>E26+I26+M26+Q26+U26</f>
        <v>706698.27283999999</v>
      </c>
      <c r="AA26" s="187" t="s">
        <v>57</v>
      </c>
    </row>
    <row r="27" spans="1:77" s="92" customFormat="1" x14ac:dyDescent="0.25">
      <c r="A27" s="89" t="s">
        <v>16</v>
      </c>
      <c r="B27" s="89"/>
      <c r="C27" s="90">
        <f t="shared" ref="C27:Y27" si="69">C26+C15</f>
        <v>51855.221865995511</v>
      </c>
      <c r="D27" s="90">
        <f t="shared" si="69"/>
        <v>0</v>
      </c>
      <c r="E27" s="90">
        <f t="shared" si="69"/>
        <v>51855.221865995511</v>
      </c>
      <c r="F27" s="90">
        <f t="shared" si="69"/>
        <v>0</v>
      </c>
      <c r="G27" s="90">
        <f t="shared" si="69"/>
        <v>477330.87852197536</v>
      </c>
      <c r="H27" s="90">
        <f t="shared" si="69"/>
        <v>0</v>
      </c>
      <c r="I27" s="90">
        <f>I26+I15</f>
        <v>477330.87852197536</v>
      </c>
      <c r="J27" s="90">
        <f t="shared" si="69"/>
        <v>0</v>
      </c>
      <c r="K27" s="90">
        <f t="shared" si="69"/>
        <v>229000.80487763463</v>
      </c>
      <c r="L27" s="90">
        <f t="shared" si="69"/>
        <v>0</v>
      </c>
      <c r="M27" s="90">
        <f>M26+M15</f>
        <v>229000.80487763463</v>
      </c>
      <c r="N27" s="90">
        <f t="shared" si="69"/>
        <v>0</v>
      </c>
      <c r="O27" s="90">
        <f t="shared" si="69"/>
        <v>235870.82902396368</v>
      </c>
      <c r="P27" s="90">
        <f t="shared" si="69"/>
        <v>0</v>
      </c>
      <c r="Q27" s="90">
        <f>Q26+Q15</f>
        <v>235870.82902396368</v>
      </c>
      <c r="R27" s="90">
        <f t="shared" si="69"/>
        <v>0</v>
      </c>
      <c r="S27" s="90">
        <f t="shared" si="69"/>
        <v>242946.95389468261</v>
      </c>
      <c r="T27" s="90">
        <f t="shared" si="69"/>
        <v>0</v>
      </c>
      <c r="U27" s="90">
        <f>U26+U15</f>
        <v>242946.95389468261</v>
      </c>
      <c r="V27" s="90">
        <f t="shared" si="69"/>
        <v>0</v>
      </c>
      <c r="W27" s="90">
        <f t="shared" si="69"/>
        <v>1237004.6881842518</v>
      </c>
      <c r="X27" s="90">
        <f t="shared" si="69"/>
        <v>0</v>
      </c>
      <c r="Y27" s="90">
        <f t="shared" si="69"/>
        <v>1237004.6881842518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/>
      <c r="D29" s="56">
        <v>0</v>
      </c>
      <c r="E29" s="56">
        <f t="shared" ref="E29:E35" si="70">SUM(C29:D29)</f>
        <v>0</v>
      </c>
      <c r="F29" s="58"/>
      <c r="G29" s="55"/>
      <c r="H29" s="57">
        <v>0</v>
      </c>
      <c r="I29" s="57">
        <f t="shared" ref="I29:I35" si="71">SUM(G29:H29)</f>
        <v>0</v>
      </c>
      <c r="J29" s="58"/>
      <c r="K29" s="55"/>
      <c r="L29" s="57">
        <v>0</v>
      </c>
      <c r="M29" s="57">
        <f t="shared" ref="M29:M35" si="72">SUM(K29:L29)</f>
        <v>0</v>
      </c>
      <c r="N29" s="58"/>
      <c r="O29" s="55"/>
      <c r="P29" s="57">
        <v>0</v>
      </c>
      <c r="Q29" s="57">
        <f t="shared" ref="Q29:Q35" si="73">SUM(O29:P29)</f>
        <v>0</v>
      </c>
      <c r="R29" s="58"/>
      <c r="S29" s="55"/>
      <c r="T29" s="57">
        <v>0</v>
      </c>
      <c r="U29" s="57">
        <f t="shared" ref="U29:U35" si="74">SUM(S29:T29)</f>
        <v>0</v>
      </c>
      <c r="V29" s="59"/>
      <c r="W29" s="124">
        <v>0</v>
      </c>
      <c r="X29" s="57">
        <v>0</v>
      </c>
      <c r="Y29" s="84">
        <f t="shared" ref="Y29:Y36" si="75">E29+I29+M29+Q29+U29</f>
        <v>0</v>
      </c>
    </row>
    <row r="30" spans="1:77" s="61" customFormat="1" x14ac:dyDescent="0.25">
      <c r="A30" s="234">
        <v>3.5999999999999997E-2</v>
      </c>
      <c r="B30" s="52" t="s">
        <v>40</v>
      </c>
      <c r="C30" s="124">
        <f>(C23+C24)*(A30*1.03)</f>
        <v>0</v>
      </c>
      <c r="D30" s="56">
        <f>D23*A30</f>
        <v>0</v>
      </c>
      <c r="E30" s="56">
        <f t="shared" si="70"/>
        <v>0</v>
      </c>
      <c r="F30" s="58"/>
      <c r="G30" s="55">
        <f>(G23+G21)*(A30*1.03*1.03)</f>
        <v>4091.1698879999994</v>
      </c>
      <c r="H30" s="56">
        <f>(H23+H24)*(A30*1.03)</f>
        <v>0</v>
      </c>
      <c r="I30" s="57">
        <f t="shared" si="71"/>
        <v>4091.1698879999994</v>
      </c>
      <c r="J30" s="58"/>
      <c r="K30" s="55">
        <f>(K23+K21)*(A30*1.03*1.03*1.03)</f>
        <v>4340.3221341791996</v>
      </c>
      <c r="L30" s="56">
        <f>(L23+L24)*(A30*1.03*1.03)</f>
        <v>0</v>
      </c>
      <c r="M30" s="57">
        <f t="shared" si="72"/>
        <v>4340.3221341791996</v>
      </c>
      <c r="N30" s="58"/>
      <c r="O30" s="55">
        <f>(O23+O21)*(A30*1.03*1.03*1.03*1.03)</f>
        <v>4604.6477521507131</v>
      </c>
      <c r="P30" s="56">
        <f>(P23+P24)*(A30*1.03*1.03*1.03)</f>
        <v>0</v>
      </c>
      <c r="Q30" s="57">
        <f t="shared" si="73"/>
        <v>4604.6477521507131</v>
      </c>
      <c r="R30" s="58"/>
      <c r="S30" s="55">
        <f>(S23+S21)*(A30*1.03*1.03*1.03*1.03*1.03)</f>
        <v>4885.0708002566917</v>
      </c>
      <c r="T30" s="56">
        <f>(T23+T24)*(A30*1.03*1.03*1.03*1.03)</f>
        <v>0</v>
      </c>
      <c r="U30" s="57">
        <f t="shared" si="74"/>
        <v>4885.0708002566917</v>
      </c>
      <c r="V30" s="59"/>
      <c r="W30" s="124">
        <f>C30+G30+K30+O30+S30</f>
        <v>17921.210574586603</v>
      </c>
      <c r="X30" s="57">
        <f>D30+H30+L30+P30+T30</f>
        <v>0</v>
      </c>
      <c r="Y30" s="84">
        <f>E30+I30+M30+Q30+U30</f>
        <v>17921.210574586603</v>
      </c>
    </row>
    <row r="31" spans="1:77" s="61" customFormat="1" x14ac:dyDescent="0.25">
      <c r="A31" s="234">
        <v>8.6999999999999994E-2</v>
      </c>
      <c r="B31" s="52" t="s">
        <v>51</v>
      </c>
      <c r="C31" s="124">
        <f>C25*A31</f>
        <v>0</v>
      </c>
      <c r="D31" s="56">
        <f>D25*A31*0</f>
        <v>0</v>
      </c>
      <c r="E31" s="56">
        <f t="shared" si="70"/>
        <v>0</v>
      </c>
      <c r="F31" s="58"/>
      <c r="G31" s="55">
        <f>G25*(A31*1.03)</f>
        <v>0</v>
      </c>
      <c r="H31" s="56">
        <f>H25*(A31*1.03)</f>
        <v>0</v>
      </c>
      <c r="I31" s="57">
        <f t="shared" si="71"/>
        <v>0</v>
      </c>
      <c r="J31" s="58"/>
      <c r="K31" s="55">
        <f>K25*(A31*1.03*1.03)</f>
        <v>0</v>
      </c>
      <c r="L31" s="56">
        <f>L25*(A31*1.03*1.03)</f>
        <v>0</v>
      </c>
      <c r="M31" s="57">
        <f t="shared" si="72"/>
        <v>0</v>
      </c>
      <c r="N31" s="58"/>
      <c r="O31" s="55">
        <f>O25*(A31*1.03*1.03*1.03)</f>
        <v>0</v>
      </c>
      <c r="P31" s="56">
        <f>P25*(A31*1.03*1.03*1.03)</f>
        <v>0</v>
      </c>
      <c r="Q31" s="57">
        <f t="shared" si="73"/>
        <v>0</v>
      </c>
      <c r="R31" s="58"/>
      <c r="S31" s="55">
        <f>S25*(A31*1.03*1.03*1.03*1.03)</f>
        <v>0</v>
      </c>
      <c r="T31" s="56">
        <f>T25*(A31*1.03*1.03*1.03*1.03)</f>
        <v>0</v>
      </c>
      <c r="U31" s="57">
        <f t="shared" si="74"/>
        <v>0</v>
      </c>
      <c r="V31" s="59"/>
      <c r="W31" s="124">
        <f t="shared" ref="W31:W35" si="76">C31+G31+K31+O31+S31</f>
        <v>0</v>
      </c>
      <c r="X31" s="57">
        <f t="shared" ref="X31:X35" si="77">D31+H31+L31+P31+T31</f>
        <v>0</v>
      </c>
      <c r="Y31" s="84">
        <f t="shared" ref="Y31:Y35" si="78">E31+I31+M31+Q31+U31</f>
        <v>0</v>
      </c>
    </row>
    <row r="32" spans="1:77" s="61" customFormat="1" x14ac:dyDescent="0.25">
      <c r="A32" s="234">
        <v>0.30099999999999999</v>
      </c>
      <c r="B32" s="54" t="s">
        <v>52</v>
      </c>
      <c r="C32" s="124">
        <f>(C15)*(A32*1.03)</f>
        <v>16076.674435114586</v>
      </c>
      <c r="D32" s="56">
        <f>D15*(A32*1.03)</f>
        <v>0</v>
      </c>
      <c r="E32" s="56">
        <f t="shared" si="70"/>
        <v>16076.674435114586</v>
      </c>
      <c r="F32" s="58"/>
      <c r="G32" s="55">
        <f>G15*(A32*1.03*1.03)</f>
        <v>98485.123408213054</v>
      </c>
      <c r="H32" s="56">
        <f>H15*(A32*1.03*1.03)</f>
        <v>0</v>
      </c>
      <c r="I32" s="57">
        <f t="shared" si="71"/>
        <v>98485.123408213054</v>
      </c>
      <c r="J32" s="58"/>
      <c r="K32" s="55">
        <f>K15*(A32*1.03*1.03*1.03)</f>
        <v>18094.43871222324</v>
      </c>
      <c r="L32" s="56">
        <f>L15*(A32*1.03*1.03*1.03)</f>
        <v>0</v>
      </c>
      <c r="M32" s="57">
        <f t="shared" si="72"/>
        <v>18094.43871222324</v>
      </c>
      <c r="N32" s="58"/>
      <c r="O32" s="55">
        <f>O15*(A32*1.03*1.03*1.03*1.03)</f>
        <v>19196.39002979764</v>
      </c>
      <c r="P32" s="56">
        <f>P15*(A32*1.03*1.03*1.03*1.03)</f>
        <v>0</v>
      </c>
      <c r="Q32" s="57">
        <f t="shared" si="73"/>
        <v>19196.39002979764</v>
      </c>
      <c r="R32" s="58"/>
      <c r="S32" s="55">
        <f>S15*(A32*1.03*1.03*1.03*1.03*1.03)</f>
        <v>20365.450182612316</v>
      </c>
      <c r="T32" s="56">
        <f>T15*(A32*1.03*1.03*1.03*1.03*1.03)</f>
        <v>0</v>
      </c>
      <c r="U32" s="57">
        <f t="shared" si="74"/>
        <v>20365.450182612316</v>
      </c>
      <c r="V32" s="59"/>
      <c r="W32" s="124">
        <f t="shared" si="76"/>
        <v>172218.07676796085</v>
      </c>
      <c r="X32" s="57">
        <f t="shared" si="77"/>
        <v>0</v>
      </c>
      <c r="Y32" s="84">
        <f t="shared" si="78"/>
        <v>172218.07676796085</v>
      </c>
    </row>
    <row r="33" spans="1:77" s="61" customFormat="1" x14ac:dyDescent="0.25">
      <c r="A33" s="234">
        <v>0.42</v>
      </c>
      <c r="B33" s="54" t="s">
        <v>53</v>
      </c>
      <c r="C33" s="124">
        <f>(C17+C18+C19+C21+C20+C22)*(A33*1.03)</f>
        <v>0</v>
      </c>
      <c r="D33" s="56">
        <f>(D17+D18+D19+D21+D20+D22)*(A33*1.03)</f>
        <v>0</v>
      </c>
      <c r="E33" s="56">
        <f t="shared" si="70"/>
        <v>0</v>
      </c>
      <c r="F33" s="58"/>
      <c r="G33" s="55">
        <f>(G17+G18+G19)*(A33*1.03*1.03)</f>
        <v>27536.720399999998</v>
      </c>
      <c r="H33" s="56">
        <f>(H17+H18+H19+H21+H22)*(A33*1.03*1.03)</f>
        <v>0</v>
      </c>
      <c r="I33" s="57">
        <f t="shared" si="71"/>
        <v>27536.720399999998</v>
      </c>
      <c r="J33" s="58"/>
      <c r="K33" s="55">
        <f>(K17+K18+K19)*(A33*1.03*1.03*1.03)</f>
        <v>29213.70667236</v>
      </c>
      <c r="L33" s="56">
        <f>(L17+L18+L19+L21+L22)*(A33*1.03*1.03*1.03)</f>
        <v>0</v>
      </c>
      <c r="M33" s="57">
        <f t="shared" si="72"/>
        <v>29213.70667236</v>
      </c>
      <c r="N33" s="58"/>
      <c r="O33" s="55">
        <f>(O17+O18+O19)*(A33*1.03*1.03*1.03*1.03)</f>
        <v>30992.821408706721</v>
      </c>
      <c r="P33" s="56">
        <f>(P17+P18+P19+P21+P22)*(A33*1.03*1.03*1.03*1.03)</f>
        <v>0</v>
      </c>
      <c r="Q33" s="57">
        <f t="shared" si="73"/>
        <v>30992.821408706721</v>
      </c>
      <c r="R33" s="58"/>
      <c r="S33" s="55">
        <f>(S17+S18+S19)*(A33*1.03*1.03*1.03*1.03*1.03)</f>
        <v>32880.284232496961</v>
      </c>
      <c r="T33" s="56">
        <f>(T17+T18+T19+T21+T22)*(A33*1.03*1.03*1.03*1.03*1.03)</f>
        <v>0</v>
      </c>
      <c r="U33" s="57">
        <f t="shared" si="74"/>
        <v>32880.284232496961</v>
      </c>
      <c r="V33" s="59"/>
      <c r="W33" s="124">
        <f t="shared" si="76"/>
        <v>120623.53271356368</v>
      </c>
      <c r="X33" s="57">
        <f t="shared" si="77"/>
        <v>0</v>
      </c>
      <c r="Y33" s="84">
        <f t="shared" si="78"/>
        <v>120623.53271356368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70"/>
        <v>0</v>
      </c>
      <c r="F34" s="58"/>
      <c r="G34" s="55">
        <f>0*1.03</f>
        <v>0</v>
      </c>
      <c r="H34" s="57">
        <f>0*1.03</f>
        <v>0</v>
      </c>
      <c r="I34" s="57">
        <f t="shared" si="71"/>
        <v>0</v>
      </c>
      <c r="J34" s="58"/>
      <c r="K34" s="55">
        <f>0*1.03*1.03</f>
        <v>0</v>
      </c>
      <c r="L34" s="57">
        <f>0*1.03*1.03</f>
        <v>0</v>
      </c>
      <c r="M34" s="57">
        <f t="shared" si="72"/>
        <v>0</v>
      </c>
      <c r="N34" s="58"/>
      <c r="O34" s="55">
        <f>0*1.03*1.03*1.03</f>
        <v>0</v>
      </c>
      <c r="P34" s="57">
        <f>0*1.03*1.03*1.03</f>
        <v>0</v>
      </c>
      <c r="Q34" s="57">
        <f t="shared" si="73"/>
        <v>0</v>
      </c>
      <c r="R34" s="58"/>
      <c r="S34" s="55">
        <f>0*1.03*1.03*1.03*1.03</f>
        <v>0</v>
      </c>
      <c r="T34" s="57">
        <f>0*1.03*1.03*1.03*1.03</f>
        <v>0</v>
      </c>
      <c r="U34" s="57">
        <f t="shared" si="74"/>
        <v>0</v>
      </c>
      <c r="V34" s="59"/>
      <c r="W34" s="124">
        <f t="shared" si="76"/>
        <v>0</v>
      </c>
      <c r="X34" s="57">
        <f t="shared" si="77"/>
        <v>0</v>
      </c>
      <c r="Y34" s="84">
        <f t="shared" si="78"/>
        <v>0</v>
      </c>
    </row>
    <row r="35" spans="1:77" s="61" customFormat="1" x14ac:dyDescent="0.25">
      <c r="A35" s="6"/>
      <c r="B35" s="52"/>
      <c r="C35" s="124">
        <v>0</v>
      </c>
      <c r="D35" s="56">
        <v>0</v>
      </c>
      <c r="E35" s="56">
        <f t="shared" si="70"/>
        <v>0</v>
      </c>
      <c r="F35" s="58"/>
      <c r="G35" s="55">
        <f>0*1.03</f>
        <v>0</v>
      </c>
      <c r="H35" s="57">
        <f>0*1.03</f>
        <v>0</v>
      </c>
      <c r="I35" s="57">
        <f t="shared" si="71"/>
        <v>0</v>
      </c>
      <c r="J35" s="58"/>
      <c r="K35" s="55">
        <f>0*1.03*1.03</f>
        <v>0</v>
      </c>
      <c r="L35" s="57">
        <f>0*1.03*1.03</f>
        <v>0</v>
      </c>
      <c r="M35" s="57">
        <f t="shared" si="72"/>
        <v>0</v>
      </c>
      <c r="N35" s="58"/>
      <c r="O35" s="55">
        <f>0*1.03*1.03*1.03</f>
        <v>0</v>
      </c>
      <c r="P35" s="57">
        <f>0*1.03*1.03*1.03</f>
        <v>0</v>
      </c>
      <c r="Q35" s="57">
        <f t="shared" si="73"/>
        <v>0</v>
      </c>
      <c r="R35" s="58"/>
      <c r="S35" s="55">
        <f>0*1.03*1.03*1.03*1.03</f>
        <v>0</v>
      </c>
      <c r="T35" s="57">
        <f>0*1.03*1.03*1.03*1.03</f>
        <v>0</v>
      </c>
      <c r="U35" s="57">
        <f t="shared" si="74"/>
        <v>0</v>
      </c>
      <c r="V35" s="59"/>
      <c r="W35" s="124">
        <f t="shared" si="76"/>
        <v>0</v>
      </c>
      <c r="X35" s="57">
        <f t="shared" si="77"/>
        <v>0</v>
      </c>
      <c r="Y35" s="84">
        <f t="shared" si="78"/>
        <v>0</v>
      </c>
    </row>
    <row r="36" spans="1:77" s="83" customFormat="1" x14ac:dyDescent="0.25">
      <c r="A36" s="78"/>
      <c r="B36" s="78" t="s">
        <v>9</v>
      </c>
      <c r="C36" s="228">
        <f>SUM(C29:C35)</f>
        <v>16076.674435114586</v>
      </c>
      <c r="D36" s="125">
        <f>SUM(D29:D35)</f>
        <v>0</v>
      </c>
      <c r="E36" s="125">
        <f>SUM(E29:E35)</f>
        <v>16076.674435114586</v>
      </c>
      <c r="F36" s="81"/>
      <c r="G36" s="79">
        <f>SUM(G29:G35)</f>
        <v>130113.01369621305</v>
      </c>
      <c r="H36" s="80">
        <f>SUM(H29:H35)</f>
        <v>0</v>
      </c>
      <c r="I36" s="125">
        <f>SUM(I29:I35)</f>
        <v>130113.01369621305</v>
      </c>
      <c r="J36" s="81"/>
      <c r="K36" s="79">
        <f>SUM(K29:K35)</f>
        <v>51648.467518762438</v>
      </c>
      <c r="L36" s="80">
        <f>SUM(L29:L35)</f>
        <v>0</v>
      </c>
      <c r="M36" s="125">
        <f>SUM(M29:M35)</f>
        <v>51648.467518762438</v>
      </c>
      <c r="N36" s="81"/>
      <c r="O36" s="79">
        <f>SUM(O29:O35)</f>
        <v>54793.859190655072</v>
      </c>
      <c r="P36" s="80">
        <f>SUM(P29:P35)</f>
        <v>0</v>
      </c>
      <c r="Q36" s="125">
        <f>SUM(Q29:Q35)</f>
        <v>54793.859190655072</v>
      </c>
      <c r="R36" s="81"/>
      <c r="S36" s="79">
        <f>SUM(S29:S35)</f>
        <v>58130.805215365966</v>
      </c>
      <c r="T36" s="80">
        <f>SUM(T29:T35)</f>
        <v>0</v>
      </c>
      <c r="U36" s="125">
        <f>SUM(U29:U35)</f>
        <v>58130.805215365966</v>
      </c>
      <c r="V36" s="82"/>
      <c r="W36" s="79">
        <f>SUM(W29:W35)</f>
        <v>310762.82005611114</v>
      </c>
      <c r="X36" s="80">
        <f>SUM(X29:X35)</f>
        <v>0</v>
      </c>
      <c r="Y36" s="80">
        <f t="shared" si="75"/>
        <v>310762.82005611109</v>
      </c>
    </row>
    <row r="37" spans="1:77" s="94" customFormat="1" x14ac:dyDescent="0.25">
      <c r="A37" s="89" t="s">
        <v>17</v>
      </c>
      <c r="B37" s="89"/>
      <c r="C37" s="90">
        <f t="shared" ref="C37:X37" si="79">C36+C27</f>
        <v>67931.8963011101</v>
      </c>
      <c r="D37" s="90">
        <f t="shared" si="79"/>
        <v>0</v>
      </c>
      <c r="E37" s="90">
        <f t="shared" si="79"/>
        <v>67931.8963011101</v>
      </c>
      <c r="F37" s="90">
        <f t="shared" si="79"/>
        <v>0</v>
      </c>
      <c r="G37" s="90">
        <f t="shared" si="79"/>
        <v>607443.89221818838</v>
      </c>
      <c r="H37" s="90">
        <f t="shared" si="79"/>
        <v>0</v>
      </c>
      <c r="I37" s="90">
        <f>I36+I27</f>
        <v>607443.89221818838</v>
      </c>
      <c r="J37" s="90">
        <f t="shared" si="79"/>
        <v>0</v>
      </c>
      <c r="K37" s="90">
        <f t="shared" si="79"/>
        <v>280649.27239639708</v>
      </c>
      <c r="L37" s="90">
        <f t="shared" si="79"/>
        <v>0</v>
      </c>
      <c r="M37" s="90">
        <f>M36+M27</f>
        <v>280649.27239639708</v>
      </c>
      <c r="N37" s="90">
        <f t="shared" si="79"/>
        <v>0</v>
      </c>
      <c r="O37" s="90">
        <f t="shared" si="79"/>
        <v>290664.68821461877</v>
      </c>
      <c r="P37" s="90">
        <f t="shared" si="79"/>
        <v>0</v>
      </c>
      <c r="Q37" s="90">
        <f>Q36+Q27</f>
        <v>290664.68821461877</v>
      </c>
      <c r="R37" s="90">
        <f t="shared" si="79"/>
        <v>0</v>
      </c>
      <c r="S37" s="90">
        <f t="shared" si="79"/>
        <v>301077.75911004859</v>
      </c>
      <c r="T37" s="90">
        <f t="shared" si="79"/>
        <v>0</v>
      </c>
      <c r="U37" s="90">
        <f>U36+U27</f>
        <v>301077.75911004859</v>
      </c>
      <c r="V37" s="90">
        <f t="shared" si="79"/>
        <v>0</v>
      </c>
      <c r="W37" s="90">
        <f>W36+W27</f>
        <v>1547767.5082403629</v>
      </c>
      <c r="X37" s="90">
        <f t="shared" si="79"/>
        <v>0</v>
      </c>
      <c r="Y37" s="90">
        <f>Y36+Y27</f>
        <v>1547767.5082403629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2"/>
      <c r="B39" s="61" t="s">
        <v>57</v>
      </c>
      <c r="C39" s="124">
        <v>0</v>
      </c>
      <c r="D39" s="56">
        <v>0</v>
      </c>
      <c r="E39" s="56">
        <f t="shared" ref="E39:E48" si="80">SUM(C39:D39)</f>
        <v>0</v>
      </c>
      <c r="F39" s="58"/>
      <c r="G39" s="55">
        <v>0</v>
      </c>
      <c r="H39" s="57">
        <v>0</v>
      </c>
      <c r="I39" s="57">
        <f t="shared" ref="I39:I48" si="81">SUM(G39:H39)</f>
        <v>0</v>
      </c>
      <c r="J39" s="58"/>
      <c r="K39" s="55">
        <v>0</v>
      </c>
      <c r="L39" s="57">
        <v>0</v>
      </c>
      <c r="M39" s="57">
        <f t="shared" ref="M39:M48" si="82">SUM(K39:L39)</f>
        <v>0</v>
      </c>
      <c r="N39" s="58"/>
      <c r="O39" s="55">
        <v>0</v>
      </c>
      <c r="P39" s="57">
        <v>0</v>
      </c>
      <c r="Q39" s="57">
        <f t="shared" ref="Q39:Q48" si="83">SUM(O39:P39)</f>
        <v>0</v>
      </c>
      <c r="R39" s="58"/>
      <c r="S39" s="55">
        <v>0</v>
      </c>
      <c r="T39" s="57">
        <v>0</v>
      </c>
      <c r="U39" s="57">
        <f t="shared" ref="U39:U48" si="84">SUM(S39:T39)</f>
        <v>0</v>
      </c>
      <c r="V39" s="59"/>
      <c r="W39" s="124">
        <f t="shared" ref="W39:W49" si="85">C39+G39+K39+O39+S39</f>
        <v>0</v>
      </c>
      <c r="X39" s="57">
        <f t="shared" ref="X39:X49" si="86">D39+H39+L39+P39+T39</f>
        <v>0</v>
      </c>
      <c r="Y39" s="84">
        <f t="shared" ref="Y39:Y49" si="87">E39+I39+M39+Q39+U39</f>
        <v>0</v>
      </c>
    </row>
    <row r="40" spans="1:77" s="61" customFormat="1" x14ac:dyDescent="0.25">
      <c r="A40" s="52"/>
      <c r="B40" s="52" t="s">
        <v>57</v>
      </c>
      <c r="C40" s="124">
        <v>0</v>
      </c>
      <c r="D40" s="56">
        <v>0</v>
      </c>
      <c r="E40" s="56">
        <f t="shared" si="80"/>
        <v>0</v>
      </c>
      <c r="F40" s="58"/>
      <c r="G40" s="55">
        <v>0</v>
      </c>
      <c r="H40" s="57">
        <v>0</v>
      </c>
      <c r="I40" s="57">
        <f t="shared" si="81"/>
        <v>0</v>
      </c>
      <c r="J40" s="58"/>
      <c r="K40" s="55">
        <v>0</v>
      </c>
      <c r="L40" s="57">
        <v>0</v>
      </c>
      <c r="M40" s="57">
        <f t="shared" si="82"/>
        <v>0</v>
      </c>
      <c r="N40" s="58"/>
      <c r="O40" s="55">
        <v>0</v>
      </c>
      <c r="P40" s="57">
        <v>0</v>
      </c>
      <c r="Q40" s="57">
        <f t="shared" si="83"/>
        <v>0</v>
      </c>
      <c r="R40" s="58"/>
      <c r="S40" s="55">
        <v>0</v>
      </c>
      <c r="T40" s="57">
        <v>0</v>
      </c>
      <c r="U40" s="57">
        <f t="shared" si="84"/>
        <v>0</v>
      </c>
      <c r="V40" s="59"/>
      <c r="W40" s="124">
        <f t="shared" si="85"/>
        <v>0</v>
      </c>
      <c r="X40" s="57">
        <f t="shared" si="86"/>
        <v>0</v>
      </c>
      <c r="Y40" s="84">
        <f t="shared" si="87"/>
        <v>0</v>
      </c>
    </row>
    <row r="41" spans="1:77" s="61" customFormat="1" x14ac:dyDescent="0.25">
      <c r="A41" s="52"/>
      <c r="B41" s="52" t="s">
        <v>57</v>
      </c>
      <c r="C41" s="124">
        <v>0</v>
      </c>
      <c r="D41" s="56">
        <v>0</v>
      </c>
      <c r="E41" s="56">
        <f t="shared" si="80"/>
        <v>0</v>
      </c>
      <c r="F41" s="58"/>
      <c r="G41" s="55">
        <v>0</v>
      </c>
      <c r="H41" s="57">
        <v>0</v>
      </c>
      <c r="I41" s="57">
        <f t="shared" si="81"/>
        <v>0</v>
      </c>
      <c r="J41" s="58"/>
      <c r="K41" s="55">
        <v>0</v>
      </c>
      <c r="L41" s="57">
        <v>0</v>
      </c>
      <c r="M41" s="57">
        <f t="shared" si="82"/>
        <v>0</v>
      </c>
      <c r="N41" s="58"/>
      <c r="O41" s="55">
        <v>0</v>
      </c>
      <c r="P41" s="57">
        <v>0</v>
      </c>
      <c r="Q41" s="57">
        <f t="shared" si="83"/>
        <v>0</v>
      </c>
      <c r="R41" s="58"/>
      <c r="S41" s="55">
        <v>0</v>
      </c>
      <c r="T41" s="57">
        <v>0</v>
      </c>
      <c r="U41" s="57">
        <f t="shared" si="84"/>
        <v>0</v>
      </c>
      <c r="V41" s="59"/>
      <c r="W41" s="124">
        <f t="shared" si="85"/>
        <v>0</v>
      </c>
      <c r="X41" s="57">
        <f t="shared" si="86"/>
        <v>0</v>
      </c>
      <c r="Y41" s="84">
        <f t="shared" si="87"/>
        <v>0</v>
      </c>
    </row>
    <row r="42" spans="1:77" s="61" customFormat="1" x14ac:dyDescent="0.25">
      <c r="A42" s="52"/>
      <c r="B42" s="52" t="s">
        <v>57</v>
      </c>
      <c r="C42" s="124">
        <v>0</v>
      </c>
      <c r="D42" s="56">
        <v>0</v>
      </c>
      <c r="E42" s="56">
        <f t="shared" si="80"/>
        <v>0</v>
      </c>
      <c r="F42" s="58"/>
      <c r="G42" s="55">
        <v>0</v>
      </c>
      <c r="H42" s="57">
        <v>0</v>
      </c>
      <c r="I42" s="57">
        <f t="shared" si="81"/>
        <v>0</v>
      </c>
      <c r="J42" s="58"/>
      <c r="K42" s="55">
        <v>0</v>
      </c>
      <c r="L42" s="57">
        <v>0</v>
      </c>
      <c r="M42" s="57">
        <f t="shared" si="82"/>
        <v>0</v>
      </c>
      <c r="N42" s="58"/>
      <c r="O42" s="55">
        <v>0</v>
      </c>
      <c r="P42" s="57">
        <v>0</v>
      </c>
      <c r="Q42" s="57">
        <f t="shared" si="83"/>
        <v>0</v>
      </c>
      <c r="R42" s="58"/>
      <c r="S42" s="55">
        <v>0</v>
      </c>
      <c r="T42" s="57">
        <v>0</v>
      </c>
      <c r="U42" s="57">
        <f t="shared" si="84"/>
        <v>0</v>
      </c>
      <c r="V42" s="59"/>
      <c r="W42" s="124">
        <f t="shared" si="85"/>
        <v>0</v>
      </c>
      <c r="X42" s="57">
        <f t="shared" si="86"/>
        <v>0</v>
      </c>
      <c r="Y42" s="84">
        <f t="shared" si="87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80"/>
        <v>0</v>
      </c>
      <c r="F43" s="58"/>
      <c r="G43" s="55">
        <v>0</v>
      </c>
      <c r="H43" s="57">
        <v>0</v>
      </c>
      <c r="I43" s="57">
        <f t="shared" si="81"/>
        <v>0</v>
      </c>
      <c r="J43" s="58"/>
      <c r="K43" s="55">
        <v>0</v>
      </c>
      <c r="L43" s="57">
        <v>0</v>
      </c>
      <c r="M43" s="57">
        <f t="shared" si="82"/>
        <v>0</v>
      </c>
      <c r="N43" s="58"/>
      <c r="O43" s="55">
        <v>0</v>
      </c>
      <c r="P43" s="57">
        <v>0</v>
      </c>
      <c r="Q43" s="57">
        <f t="shared" si="83"/>
        <v>0</v>
      </c>
      <c r="R43" s="58"/>
      <c r="S43" s="55">
        <v>0</v>
      </c>
      <c r="T43" s="57">
        <v>0</v>
      </c>
      <c r="U43" s="57">
        <f t="shared" si="84"/>
        <v>0</v>
      </c>
      <c r="V43" s="59"/>
      <c r="W43" s="124">
        <f t="shared" si="85"/>
        <v>0</v>
      </c>
      <c r="X43" s="57">
        <f t="shared" si="86"/>
        <v>0</v>
      </c>
      <c r="Y43" s="84">
        <f t="shared" si="87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80"/>
        <v>0</v>
      </c>
      <c r="F44" s="58"/>
      <c r="G44" s="55">
        <v>0</v>
      </c>
      <c r="H44" s="57">
        <v>0</v>
      </c>
      <c r="I44" s="57">
        <f t="shared" si="81"/>
        <v>0</v>
      </c>
      <c r="J44" s="58"/>
      <c r="K44" s="55">
        <v>0</v>
      </c>
      <c r="L44" s="57">
        <v>0</v>
      </c>
      <c r="M44" s="57">
        <f t="shared" si="82"/>
        <v>0</v>
      </c>
      <c r="N44" s="58"/>
      <c r="O44" s="55">
        <v>0</v>
      </c>
      <c r="P44" s="57">
        <v>0</v>
      </c>
      <c r="Q44" s="57">
        <f t="shared" si="83"/>
        <v>0</v>
      </c>
      <c r="R44" s="58"/>
      <c r="S44" s="55">
        <v>0</v>
      </c>
      <c r="T44" s="57">
        <v>0</v>
      </c>
      <c r="U44" s="57">
        <f t="shared" si="84"/>
        <v>0</v>
      </c>
      <c r="V44" s="59"/>
      <c r="W44" s="124">
        <f t="shared" si="85"/>
        <v>0</v>
      </c>
      <c r="X44" s="57">
        <f t="shared" si="86"/>
        <v>0</v>
      </c>
      <c r="Y44" s="84">
        <f t="shared" si="87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80"/>
        <v>0</v>
      </c>
      <c r="F45" s="58"/>
      <c r="G45" s="55">
        <v>0</v>
      </c>
      <c r="H45" s="57">
        <v>0</v>
      </c>
      <c r="I45" s="57">
        <f t="shared" si="81"/>
        <v>0</v>
      </c>
      <c r="J45" s="58"/>
      <c r="K45" s="55">
        <v>0</v>
      </c>
      <c r="L45" s="57">
        <v>0</v>
      </c>
      <c r="M45" s="57">
        <f t="shared" si="82"/>
        <v>0</v>
      </c>
      <c r="N45" s="58"/>
      <c r="O45" s="55">
        <v>0</v>
      </c>
      <c r="P45" s="57">
        <v>0</v>
      </c>
      <c r="Q45" s="57">
        <f t="shared" si="83"/>
        <v>0</v>
      </c>
      <c r="R45" s="58"/>
      <c r="S45" s="55">
        <v>0</v>
      </c>
      <c r="T45" s="57">
        <v>0</v>
      </c>
      <c r="U45" s="57">
        <f t="shared" si="84"/>
        <v>0</v>
      </c>
      <c r="V45" s="59"/>
      <c r="W45" s="124">
        <f t="shared" si="85"/>
        <v>0</v>
      </c>
      <c r="X45" s="57">
        <f t="shared" si="86"/>
        <v>0</v>
      </c>
      <c r="Y45" s="84">
        <f t="shared" si="87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80"/>
        <v>0</v>
      </c>
      <c r="F46" s="58"/>
      <c r="G46" s="55">
        <v>0</v>
      </c>
      <c r="H46" s="57">
        <v>0</v>
      </c>
      <c r="I46" s="57">
        <f t="shared" si="81"/>
        <v>0</v>
      </c>
      <c r="J46" s="58"/>
      <c r="K46" s="55">
        <v>0</v>
      </c>
      <c r="L46" s="57">
        <v>0</v>
      </c>
      <c r="M46" s="57">
        <f t="shared" si="82"/>
        <v>0</v>
      </c>
      <c r="N46" s="58"/>
      <c r="O46" s="55">
        <v>0</v>
      </c>
      <c r="P46" s="57">
        <v>0</v>
      </c>
      <c r="Q46" s="57">
        <f t="shared" si="83"/>
        <v>0</v>
      </c>
      <c r="R46" s="58"/>
      <c r="S46" s="55">
        <v>0</v>
      </c>
      <c r="T46" s="57">
        <v>0</v>
      </c>
      <c r="U46" s="57">
        <f t="shared" si="84"/>
        <v>0</v>
      </c>
      <c r="V46" s="59"/>
      <c r="W46" s="124">
        <f t="shared" si="85"/>
        <v>0</v>
      </c>
      <c r="X46" s="57">
        <f t="shared" si="86"/>
        <v>0</v>
      </c>
      <c r="Y46" s="84">
        <f t="shared" si="87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80"/>
        <v>0</v>
      </c>
      <c r="F47" s="58"/>
      <c r="G47" s="55">
        <v>0</v>
      </c>
      <c r="H47" s="57">
        <v>0</v>
      </c>
      <c r="I47" s="57">
        <f t="shared" si="81"/>
        <v>0</v>
      </c>
      <c r="J47" s="58"/>
      <c r="K47" s="55">
        <v>0</v>
      </c>
      <c r="L47" s="57">
        <v>0</v>
      </c>
      <c r="M47" s="57">
        <f t="shared" si="82"/>
        <v>0</v>
      </c>
      <c r="N47" s="58"/>
      <c r="O47" s="55">
        <v>0</v>
      </c>
      <c r="P47" s="57">
        <v>0</v>
      </c>
      <c r="Q47" s="57">
        <f t="shared" si="83"/>
        <v>0</v>
      </c>
      <c r="R47" s="58"/>
      <c r="S47" s="55">
        <v>0</v>
      </c>
      <c r="T47" s="57">
        <v>0</v>
      </c>
      <c r="U47" s="57">
        <f t="shared" si="84"/>
        <v>0</v>
      </c>
      <c r="V47" s="59"/>
      <c r="W47" s="124">
        <f t="shared" si="85"/>
        <v>0</v>
      </c>
      <c r="X47" s="57">
        <f t="shared" si="86"/>
        <v>0</v>
      </c>
      <c r="Y47" s="84">
        <f t="shared" si="87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80"/>
        <v>0</v>
      </c>
      <c r="F48" s="58"/>
      <c r="G48" s="55">
        <v>0</v>
      </c>
      <c r="H48" s="57">
        <v>0</v>
      </c>
      <c r="I48" s="57">
        <f t="shared" si="81"/>
        <v>0</v>
      </c>
      <c r="J48" s="58"/>
      <c r="K48" s="55">
        <v>0</v>
      </c>
      <c r="L48" s="57">
        <v>0</v>
      </c>
      <c r="M48" s="57">
        <f t="shared" si="82"/>
        <v>0</v>
      </c>
      <c r="N48" s="58"/>
      <c r="O48" s="55">
        <v>0</v>
      </c>
      <c r="P48" s="57">
        <v>0</v>
      </c>
      <c r="Q48" s="57">
        <f t="shared" si="83"/>
        <v>0</v>
      </c>
      <c r="R48" s="58"/>
      <c r="S48" s="55">
        <v>0</v>
      </c>
      <c r="T48" s="57">
        <v>0</v>
      </c>
      <c r="U48" s="57">
        <f t="shared" si="84"/>
        <v>0</v>
      </c>
      <c r="V48" s="59"/>
      <c r="W48" s="124">
        <f t="shared" si="85"/>
        <v>0</v>
      </c>
      <c r="X48" s="57">
        <f t="shared" si="86"/>
        <v>0</v>
      </c>
      <c r="Y48" s="84">
        <f t="shared" si="87"/>
        <v>0</v>
      </c>
    </row>
    <row r="49" spans="1:25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0</v>
      </c>
      <c r="E49" s="125">
        <f>SUM(E39:E48)</f>
        <v>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85"/>
        <v>0</v>
      </c>
      <c r="X49" s="80">
        <f t="shared" si="86"/>
        <v>0</v>
      </c>
      <c r="Y49" s="80">
        <f t="shared" si="87"/>
        <v>0</v>
      </c>
    </row>
    <row r="50" spans="1:25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25" s="61" customFormat="1" x14ac:dyDescent="0.25">
      <c r="A51" s="54"/>
      <c r="B51" s="52" t="s">
        <v>125</v>
      </c>
      <c r="C51" s="124">
        <f>12*800*0.5</f>
        <v>4800</v>
      </c>
      <c r="D51" s="56">
        <f>12*800*0.5</f>
        <v>4800</v>
      </c>
      <c r="E51" s="56">
        <f t="shared" ref="E51" si="88">SUM(C51:D51)</f>
        <v>9600</v>
      </c>
      <c r="F51" s="58"/>
      <c r="G51" s="55">
        <f>C51</f>
        <v>4800</v>
      </c>
      <c r="H51" s="57">
        <f>D51</f>
        <v>4800</v>
      </c>
      <c r="I51" s="57">
        <f t="shared" ref="I51" si="89">SUM(G51:H51)</f>
        <v>9600</v>
      </c>
      <c r="J51" s="58"/>
      <c r="K51" s="55">
        <f>G51</f>
        <v>4800</v>
      </c>
      <c r="L51" s="57">
        <f>H51</f>
        <v>4800</v>
      </c>
      <c r="M51" s="57">
        <f t="shared" ref="M51" si="90">SUM(K51:L51)</f>
        <v>9600</v>
      </c>
      <c r="N51" s="58"/>
      <c r="O51" s="55">
        <f>K51</f>
        <v>4800</v>
      </c>
      <c r="P51" s="57">
        <f>L51</f>
        <v>4800</v>
      </c>
      <c r="Q51" s="57">
        <f t="shared" ref="Q51" si="91">SUM(O51:P51)</f>
        <v>9600</v>
      </c>
      <c r="R51" s="58"/>
      <c r="S51" s="55">
        <f>O51</f>
        <v>4800</v>
      </c>
      <c r="T51" s="57">
        <f>P51</f>
        <v>4800</v>
      </c>
      <c r="U51" s="57">
        <f t="shared" ref="U51" si="92">SUM(S51:T51)</f>
        <v>9600</v>
      </c>
      <c r="V51" s="59"/>
      <c r="W51" s="124">
        <f t="shared" ref="W51" si="93">C51+G51+K51+O51+S51</f>
        <v>24000</v>
      </c>
      <c r="X51" s="57">
        <f t="shared" ref="X51" si="94">D51+H51+L51+P51+T51</f>
        <v>24000</v>
      </c>
      <c r="Y51" s="84">
        <f t="shared" ref="Y51" si="95">E51+I51+M51+Q51+U51</f>
        <v>48000</v>
      </c>
    </row>
    <row r="52" spans="1:25" s="61" customFormat="1" x14ac:dyDescent="0.25">
      <c r="A52" s="203"/>
      <c r="B52" s="52" t="s">
        <v>115</v>
      </c>
      <c r="C52" s="124">
        <f>2000*5</f>
        <v>10000</v>
      </c>
      <c r="D52" s="56">
        <f>2000*5*0</f>
        <v>0</v>
      </c>
      <c r="E52" s="56">
        <f t="shared" ref="E52:E56" si="96">SUM(C52:D52)</f>
        <v>10000</v>
      </c>
      <c r="F52" s="58"/>
      <c r="G52" s="55">
        <f>C52</f>
        <v>10000</v>
      </c>
      <c r="H52" s="57">
        <f>D52</f>
        <v>0</v>
      </c>
      <c r="I52" s="57">
        <f t="shared" ref="I52:I56" si="97">SUM(G52:H52)</f>
        <v>10000</v>
      </c>
      <c r="J52" s="58"/>
      <c r="K52" s="55">
        <f>G52</f>
        <v>10000</v>
      </c>
      <c r="L52" s="57">
        <f>H52</f>
        <v>0</v>
      </c>
      <c r="M52" s="57">
        <f t="shared" ref="M52:M56" si="98">SUM(K52:L52)</f>
        <v>10000</v>
      </c>
      <c r="N52" s="58"/>
      <c r="O52" s="55">
        <f>K52</f>
        <v>10000</v>
      </c>
      <c r="P52" s="57">
        <f>L52</f>
        <v>0</v>
      </c>
      <c r="Q52" s="57">
        <f t="shared" ref="Q52:Q56" si="99">SUM(O52:P52)</f>
        <v>10000</v>
      </c>
      <c r="R52" s="58"/>
      <c r="S52" s="55">
        <f>O52</f>
        <v>10000</v>
      </c>
      <c r="T52" s="57">
        <f>P52</f>
        <v>0</v>
      </c>
      <c r="U52" s="57">
        <f t="shared" ref="U52:U56" si="100">SUM(S52:T52)</f>
        <v>10000</v>
      </c>
      <c r="V52" s="59"/>
      <c r="W52" s="124">
        <f t="shared" ref="W52:Y57" si="101">C52+G52+K52+O52+S52</f>
        <v>50000</v>
      </c>
      <c r="X52" s="57">
        <f t="shared" si="101"/>
        <v>0</v>
      </c>
      <c r="Y52" s="84">
        <f t="shared" si="101"/>
        <v>50000</v>
      </c>
    </row>
    <row r="53" spans="1:25" s="61" customFormat="1" x14ac:dyDescent="0.25">
      <c r="A53" s="87"/>
      <c r="B53" s="52"/>
      <c r="C53" s="124">
        <v>0</v>
      </c>
      <c r="D53" s="56">
        <v>0</v>
      </c>
      <c r="E53" s="56">
        <f t="shared" si="96"/>
        <v>0</v>
      </c>
      <c r="F53" s="58"/>
      <c r="G53" s="55">
        <v>0</v>
      </c>
      <c r="H53" s="57">
        <v>0</v>
      </c>
      <c r="I53" s="57">
        <f t="shared" si="97"/>
        <v>0</v>
      </c>
      <c r="J53" s="58"/>
      <c r="K53" s="55">
        <v>0</v>
      </c>
      <c r="L53" s="57">
        <v>0</v>
      </c>
      <c r="M53" s="57">
        <f t="shared" si="98"/>
        <v>0</v>
      </c>
      <c r="N53" s="58"/>
      <c r="O53" s="55">
        <v>0</v>
      </c>
      <c r="P53" s="57">
        <v>0</v>
      </c>
      <c r="Q53" s="57">
        <f t="shared" si="99"/>
        <v>0</v>
      </c>
      <c r="R53" s="58"/>
      <c r="S53" s="55">
        <v>0</v>
      </c>
      <c r="T53" s="57">
        <v>0</v>
      </c>
      <c r="U53" s="57">
        <f t="shared" si="100"/>
        <v>0</v>
      </c>
      <c r="V53" s="59"/>
      <c r="W53" s="124">
        <f t="shared" si="101"/>
        <v>0</v>
      </c>
      <c r="X53" s="57">
        <f t="shared" si="101"/>
        <v>0</v>
      </c>
      <c r="Y53" s="84">
        <f t="shared" si="101"/>
        <v>0</v>
      </c>
    </row>
    <row r="54" spans="1:25" s="61" customFormat="1" x14ac:dyDescent="0.25">
      <c r="A54" s="52"/>
      <c r="B54" s="52"/>
      <c r="C54" s="124">
        <v>0</v>
      </c>
      <c r="D54" s="56">
        <v>0</v>
      </c>
      <c r="E54" s="56">
        <f t="shared" si="96"/>
        <v>0</v>
      </c>
      <c r="F54" s="58"/>
      <c r="G54" s="55">
        <v>0</v>
      </c>
      <c r="H54" s="57">
        <v>0</v>
      </c>
      <c r="I54" s="57">
        <f t="shared" si="97"/>
        <v>0</v>
      </c>
      <c r="J54" s="58"/>
      <c r="K54" s="55">
        <v>0</v>
      </c>
      <c r="L54" s="57">
        <v>0</v>
      </c>
      <c r="M54" s="57">
        <f t="shared" si="98"/>
        <v>0</v>
      </c>
      <c r="N54" s="58"/>
      <c r="O54" s="55">
        <v>0</v>
      </c>
      <c r="P54" s="57">
        <v>0</v>
      </c>
      <c r="Q54" s="57">
        <f t="shared" si="99"/>
        <v>0</v>
      </c>
      <c r="R54" s="58"/>
      <c r="S54" s="55">
        <v>0</v>
      </c>
      <c r="T54" s="57">
        <v>0</v>
      </c>
      <c r="U54" s="57">
        <f t="shared" si="100"/>
        <v>0</v>
      </c>
      <c r="V54" s="59"/>
      <c r="W54" s="124">
        <f t="shared" si="101"/>
        <v>0</v>
      </c>
      <c r="X54" s="57">
        <f t="shared" si="101"/>
        <v>0</v>
      </c>
      <c r="Y54" s="84">
        <f t="shared" si="101"/>
        <v>0</v>
      </c>
    </row>
    <row r="55" spans="1:25" s="61" customFormat="1" x14ac:dyDescent="0.25">
      <c r="A55" s="52"/>
      <c r="B55" s="52"/>
      <c r="C55" s="124">
        <v>0</v>
      </c>
      <c r="D55" s="56">
        <v>0</v>
      </c>
      <c r="E55" s="56">
        <f t="shared" si="96"/>
        <v>0</v>
      </c>
      <c r="F55" s="58"/>
      <c r="G55" s="55">
        <v>0</v>
      </c>
      <c r="H55" s="57">
        <v>0</v>
      </c>
      <c r="I55" s="57">
        <f t="shared" si="97"/>
        <v>0</v>
      </c>
      <c r="J55" s="58"/>
      <c r="K55" s="55">
        <v>0</v>
      </c>
      <c r="L55" s="57">
        <v>0</v>
      </c>
      <c r="M55" s="57">
        <f t="shared" si="98"/>
        <v>0</v>
      </c>
      <c r="N55" s="58"/>
      <c r="O55" s="55">
        <v>0</v>
      </c>
      <c r="P55" s="57">
        <v>0</v>
      </c>
      <c r="Q55" s="57">
        <f t="shared" si="99"/>
        <v>0</v>
      </c>
      <c r="R55" s="58"/>
      <c r="S55" s="55">
        <v>0</v>
      </c>
      <c r="T55" s="57">
        <v>0</v>
      </c>
      <c r="U55" s="57">
        <f t="shared" si="100"/>
        <v>0</v>
      </c>
      <c r="V55" s="59"/>
      <c r="W55" s="124">
        <f t="shared" si="101"/>
        <v>0</v>
      </c>
      <c r="X55" s="57">
        <f t="shared" si="101"/>
        <v>0</v>
      </c>
      <c r="Y55" s="84">
        <f t="shared" si="101"/>
        <v>0</v>
      </c>
    </row>
    <row r="56" spans="1:25" s="61" customFormat="1" x14ac:dyDescent="0.25">
      <c r="A56" s="52"/>
      <c r="B56" s="52"/>
      <c r="C56" s="124">
        <v>0</v>
      </c>
      <c r="D56" s="56">
        <v>0</v>
      </c>
      <c r="E56" s="56">
        <f t="shared" si="96"/>
        <v>0</v>
      </c>
      <c r="F56" s="58"/>
      <c r="G56" s="55">
        <v>0</v>
      </c>
      <c r="H56" s="57">
        <v>0</v>
      </c>
      <c r="I56" s="57">
        <f t="shared" si="97"/>
        <v>0</v>
      </c>
      <c r="J56" s="58"/>
      <c r="K56" s="55">
        <v>0</v>
      </c>
      <c r="L56" s="57">
        <v>0</v>
      </c>
      <c r="M56" s="57">
        <f t="shared" si="98"/>
        <v>0</v>
      </c>
      <c r="N56" s="58"/>
      <c r="O56" s="55">
        <v>0</v>
      </c>
      <c r="P56" s="57">
        <v>0</v>
      </c>
      <c r="Q56" s="57">
        <f t="shared" si="99"/>
        <v>0</v>
      </c>
      <c r="R56" s="58"/>
      <c r="S56" s="55">
        <v>0</v>
      </c>
      <c r="T56" s="57">
        <v>0</v>
      </c>
      <c r="U56" s="57">
        <f t="shared" si="100"/>
        <v>0</v>
      </c>
      <c r="V56" s="59"/>
      <c r="W56" s="124">
        <f t="shared" si="101"/>
        <v>0</v>
      </c>
      <c r="X56" s="57">
        <f t="shared" si="101"/>
        <v>0</v>
      </c>
      <c r="Y56" s="84">
        <f t="shared" si="101"/>
        <v>0</v>
      </c>
    </row>
    <row r="57" spans="1:25" s="83" customFormat="1" x14ac:dyDescent="0.25">
      <c r="A57" s="78"/>
      <c r="B57" s="78" t="s">
        <v>9</v>
      </c>
      <c r="C57" s="228">
        <f>SUM(C51:C56)</f>
        <v>14800</v>
      </c>
      <c r="D57" s="125">
        <f>SUM(D51:D56)</f>
        <v>4800</v>
      </c>
      <c r="E57" s="125">
        <f>SUM(E51:E56)</f>
        <v>19600</v>
      </c>
      <c r="F57" s="81"/>
      <c r="G57" s="79">
        <f>SUM(G51:G56)</f>
        <v>14800</v>
      </c>
      <c r="H57" s="80">
        <f>SUM(H51:H56)</f>
        <v>4800</v>
      </c>
      <c r="I57" s="80">
        <f>SUM(I51:I56)</f>
        <v>19600</v>
      </c>
      <c r="J57" s="81"/>
      <c r="K57" s="79">
        <f>SUM(K51:K56)</f>
        <v>14800</v>
      </c>
      <c r="L57" s="80">
        <f>SUM(L51:L56)</f>
        <v>4800</v>
      </c>
      <c r="M57" s="80">
        <f>SUM(M51:M56)</f>
        <v>19600</v>
      </c>
      <c r="N57" s="81"/>
      <c r="O57" s="79">
        <f>SUM(O51:O56)</f>
        <v>14800</v>
      </c>
      <c r="P57" s="80">
        <f>SUM(P51:P56)</f>
        <v>4800</v>
      </c>
      <c r="Q57" s="80">
        <f>SUM(Q51:Q56)</f>
        <v>19600</v>
      </c>
      <c r="R57" s="81"/>
      <c r="S57" s="79">
        <f>SUM(S51:S56)</f>
        <v>14800</v>
      </c>
      <c r="T57" s="80">
        <f>SUM(T51:T56)</f>
        <v>4800</v>
      </c>
      <c r="U57" s="80">
        <f>SUM(U51:U56)</f>
        <v>19600</v>
      </c>
      <c r="V57" s="82"/>
      <c r="W57" s="228">
        <f t="shared" si="101"/>
        <v>74000</v>
      </c>
      <c r="X57" s="80">
        <f t="shared" si="101"/>
        <v>24000</v>
      </c>
      <c r="Y57" s="80">
        <f t="shared" si="101"/>
        <v>98000</v>
      </c>
    </row>
    <row r="58" spans="1:25" s="77" customFormat="1" x14ac:dyDescent="0.25">
      <c r="A58" s="74" t="s">
        <v>82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25" s="61" customFormat="1" x14ac:dyDescent="0.25">
      <c r="A59" s="52"/>
      <c r="B59" s="52"/>
      <c r="C59" s="124">
        <v>0</v>
      </c>
      <c r="D59" s="56">
        <v>0</v>
      </c>
      <c r="E59" s="56">
        <f>SUM(C59:D59)</f>
        <v>0</v>
      </c>
      <c r="F59" s="58"/>
      <c r="G59" s="55">
        <v>0</v>
      </c>
      <c r="H59" s="57">
        <v>0</v>
      </c>
      <c r="I59" s="57">
        <f>SUM(G59:H59)</f>
        <v>0</v>
      </c>
      <c r="J59" s="58"/>
      <c r="K59" s="55">
        <v>0</v>
      </c>
      <c r="L59" s="57">
        <v>0</v>
      </c>
      <c r="M59" s="57">
        <f>SUM(K59:L59)</f>
        <v>0</v>
      </c>
      <c r="N59" s="58"/>
      <c r="O59" s="55">
        <v>0</v>
      </c>
      <c r="P59" s="57">
        <v>0</v>
      </c>
      <c r="Q59" s="57">
        <f>SUM(O59:P59)</f>
        <v>0</v>
      </c>
      <c r="R59" s="58"/>
      <c r="S59" s="55">
        <v>0</v>
      </c>
      <c r="T59" s="57">
        <v>0</v>
      </c>
      <c r="U59" s="57">
        <f>SUM(S59:T59)</f>
        <v>0</v>
      </c>
      <c r="V59" s="59"/>
      <c r="W59" s="124">
        <f t="shared" ref="W59:Y62" si="102">C59+G59+K59+O59+S59</f>
        <v>0</v>
      </c>
      <c r="X59" s="57">
        <f t="shared" si="102"/>
        <v>0</v>
      </c>
      <c r="Y59" s="84">
        <f t="shared" si="102"/>
        <v>0</v>
      </c>
    </row>
    <row r="60" spans="1:25" s="61" customFormat="1" x14ac:dyDescent="0.25">
      <c r="A60" s="52"/>
      <c r="B60" s="52"/>
      <c r="C60" s="124">
        <v>0</v>
      </c>
      <c r="D60" s="56">
        <v>0</v>
      </c>
      <c r="E60" s="56">
        <f>SUM(C60:D60)</f>
        <v>0</v>
      </c>
      <c r="F60" s="58"/>
      <c r="G60" s="55">
        <v>0</v>
      </c>
      <c r="H60" s="57">
        <v>0</v>
      </c>
      <c r="I60" s="57">
        <f>SUM(G60:H60)</f>
        <v>0</v>
      </c>
      <c r="J60" s="58"/>
      <c r="K60" s="55">
        <v>0</v>
      </c>
      <c r="L60" s="57">
        <v>0</v>
      </c>
      <c r="M60" s="57">
        <f>SUM(K60:L60)</f>
        <v>0</v>
      </c>
      <c r="N60" s="58"/>
      <c r="O60" s="55">
        <v>0</v>
      </c>
      <c r="P60" s="57">
        <v>0</v>
      </c>
      <c r="Q60" s="57">
        <f>SUM(O60:P60)</f>
        <v>0</v>
      </c>
      <c r="R60" s="58"/>
      <c r="S60" s="55">
        <v>0</v>
      </c>
      <c r="T60" s="57">
        <v>0</v>
      </c>
      <c r="U60" s="57">
        <f>SUM(S60:T60)</f>
        <v>0</v>
      </c>
      <c r="V60" s="59"/>
      <c r="W60" s="124">
        <f t="shared" si="102"/>
        <v>0</v>
      </c>
      <c r="X60" s="57">
        <f t="shared" si="102"/>
        <v>0</v>
      </c>
      <c r="Y60" s="84">
        <f t="shared" si="102"/>
        <v>0</v>
      </c>
    </row>
    <row r="61" spans="1:25" s="61" customFormat="1" x14ac:dyDescent="0.25">
      <c r="A61" s="52"/>
      <c r="B61" s="54"/>
      <c r="C61" s="124">
        <v>0</v>
      </c>
      <c r="D61" s="56">
        <v>0</v>
      </c>
      <c r="E61" s="56">
        <f>SUM(C61:D61)</f>
        <v>0</v>
      </c>
      <c r="F61" s="58"/>
      <c r="G61" s="55">
        <v>0</v>
      </c>
      <c r="H61" s="57">
        <v>0</v>
      </c>
      <c r="I61" s="57">
        <f>SUM(G61:H61)</f>
        <v>0</v>
      </c>
      <c r="J61" s="58"/>
      <c r="K61" s="55">
        <v>0</v>
      </c>
      <c r="L61" s="57">
        <v>0</v>
      </c>
      <c r="M61" s="57">
        <f>SUM(K61:L61)</f>
        <v>0</v>
      </c>
      <c r="N61" s="58"/>
      <c r="O61" s="55">
        <v>0</v>
      </c>
      <c r="P61" s="57">
        <v>0</v>
      </c>
      <c r="Q61" s="57">
        <f>SUM(O61:P61)</f>
        <v>0</v>
      </c>
      <c r="R61" s="58"/>
      <c r="S61" s="55">
        <v>0</v>
      </c>
      <c r="T61" s="57">
        <v>0</v>
      </c>
      <c r="U61" s="57">
        <f>SUM(S61:T61)</f>
        <v>0</v>
      </c>
      <c r="V61" s="59"/>
      <c r="W61" s="124">
        <f t="shared" si="102"/>
        <v>0</v>
      </c>
      <c r="X61" s="57">
        <f t="shared" si="102"/>
        <v>0</v>
      </c>
      <c r="Y61" s="84">
        <f t="shared" si="102"/>
        <v>0</v>
      </c>
    </row>
    <row r="62" spans="1:25" s="61" customFormat="1" x14ac:dyDescent="0.25">
      <c r="A62" s="54"/>
      <c r="B62" s="54" t="s">
        <v>49</v>
      </c>
      <c r="C62" s="124">
        <f>((((4956*2)+951)*1.05)+(549*1.05))*0</f>
        <v>0</v>
      </c>
      <c r="D62" s="56">
        <v>0</v>
      </c>
      <c r="E62" s="56">
        <f>SUM(C62:D62)</f>
        <v>0</v>
      </c>
      <c r="F62" s="58"/>
      <c r="G62" s="55">
        <f>(((4984+1041)*1.05*1.05)*4*2)+(554*1.05*1.05*4)</f>
        <v>55583.64</v>
      </c>
      <c r="H62" s="57">
        <f>D62*1.05</f>
        <v>0</v>
      </c>
      <c r="I62" s="57">
        <f>SUM(G62:H62)</f>
        <v>55583.64</v>
      </c>
      <c r="J62" s="58"/>
      <c r="K62" s="55">
        <f>(G62*1.05)</f>
        <v>58362.822</v>
      </c>
      <c r="L62" s="57">
        <f>H62*1.05</f>
        <v>0</v>
      </c>
      <c r="M62" s="57">
        <f>SUM(K62:L62)</f>
        <v>58362.822</v>
      </c>
      <c r="N62" s="58"/>
      <c r="O62" s="55">
        <f>K62*1.05</f>
        <v>61280.963100000001</v>
      </c>
      <c r="P62" s="57">
        <f>L62*1.05</f>
        <v>0</v>
      </c>
      <c r="Q62" s="57">
        <f>SUM(O62:P62)</f>
        <v>61280.963100000001</v>
      </c>
      <c r="R62" s="58"/>
      <c r="S62" s="55">
        <f>O62*1.05</f>
        <v>64345.011255000005</v>
      </c>
      <c r="T62" s="57">
        <f>P62*1.05</f>
        <v>0</v>
      </c>
      <c r="U62" s="57">
        <f>SUM(S62:T62)</f>
        <v>64345.011255000005</v>
      </c>
      <c r="V62" s="59"/>
      <c r="W62" s="124">
        <f t="shared" si="102"/>
        <v>239572.43635500001</v>
      </c>
      <c r="X62" s="57">
        <f t="shared" si="102"/>
        <v>0</v>
      </c>
      <c r="Y62" s="84">
        <f>E62+I62+M62+Q62+U62</f>
        <v>239572.43635500001</v>
      </c>
    </row>
    <row r="63" spans="1:25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55583.64</v>
      </c>
      <c r="H63" s="125">
        <f>SUM(H59:H62)</f>
        <v>0</v>
      </c>
      <c r="I63" s="125">
        <f>SUM(I59:I62)</f>
        <v>55583.64</v>
      </c>
      <c r="J63" s="81"/>
      <c r="K63" s="79">
        <f>SUM(K59:K62)</f>
        <v>58362.822</v>
      </c>
      <c r="L63" s="125">
        <f>SUM(L59:L62)</f>
        <v>0</v>
      </c>
      <c r="M63" s="125">
        <f>SUM(M59:M62)</f>
        <v>58362.822</v>
      </c>
      <c r="N63" s="81"/>
      <c r="O63" s="79">
        <f>SUM(O59:O62)</f>
        <v>61280.963100000001</v>
      </c>
      <c r="P63" s="125">
        <f>SUM(P59:P62)</f>
        <v>0</v>
      </c>
      <c r="Q63" s="125">
        <f>SUM(Q59:Q62)</f>
        <v>61280.963100000001</v>
      </c>
      <c r="R63" s="81"/>
      <c r="S63" s="79">
        <f>SUM(S59:S62)</f>
        <v>64345.011255000005</v>
      </c>
      <c r="T63" s="125">
        <f>SUM(T59:T62)</f>
        <v>0</v>
      </c>
      <c r="U63" s="125">
        <f>SUM(U59:U62)</f>
        <v>64345.011255000005</v>
      </c>
      <c r="V63" s="82"/>
      <c r="W63" s="228">
        <f>C63+G63+K63+O63+S63</f>
        <v>239572.43635500001</v>
      </c>
      <c r="X63" s="80">
        <f>D63+H63+L63+P63+T63</f>
        <v>0</v>
      </c>
      <c r="Y63" s="159">
        <f>E63+I63+M63+Q63+U63</f>
        <v>239572.43635500001</v>
      </c>
    </row>
    <row r="64" spans="1:25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25" s="61" customFormat="1" x14ac:dyDescent="0.25">
      <c r="A65" s="53" t="s">
        <v>57</v>
      </c>
      <c r="B65" s="52" t="s">
        <v>57</v>
      </c>
      <c r="C65" s="124">
        <v>0</v>
      </c>
      <c r="D65" s="56">
        <v>0</v>
      </c>
      <c r="E65" s="56">
        <f t="shared" ref="E65:E84" si="103">SUM(C65:D65)</f>
        <v>0</v>
      </c>
      <c r="F65" s="58"/>
      <c r="G65" s="55">
        <v>0</v>
      </c>
      <c r="H65" s="57">
        <v>0</v>
      </c>
      <c r="I65" s="57">
        <f t="shared" ref="I65:I84" si="104">SUM(G65:H65)</f>
        <v>0</v>
      </c>
      <c r="J65" s="58"/>
      <c r="K65" s="55">
        <v>0</v>
      </c>
      <c r="L65" s="57">
        <v>0</v>
      </c>
      <c r="M65" s="57">
        <f t="shared" ref="M65:M84" si="105">SUM(K65:L65)</f>
        <v>0</v>
      </c>
      <c r="N65" s="58"/>
      <c r="O65" s="55">
        <v>0</v>
      </c>
      <c r="P65" s="57">
        <v>0</v>
      </c>
      <c r="Q65" s="57">
        <f t="shared" ref="Q65:Q84" si="106">SUM(O65:P65)</f>
        <v>0</v>
      </c>
      <c r="R65" s="58"/>
      <c r="S65" s="55">
        <v>0</v>
      </c>
      <c r="T65" s="57">
        <v>0</v>
      </c>
      <c r="U65" s="57">
        <f t="shared" ref="U65:U84" si="107">SUM(S65:T65)</f>
        <v>0</v>
      </c>
      <c r="V65" s="59"/>
      <c r="W65" s="124">
        <f t="shared" ref="W65:W85" si="108">C65+G65+K65+O65+S65</f>
        <v>0</v>
      </c>
      <c r="X65" s="57">
        <f t="shared" ref="X65:X85" si="109">D65+H65+L65+P65+T65</f>
        <v>0</v>
      </c>
      <c r="Y65" s="84">
        <f t="shared" ref="Y65:Y85" si="110">E65+I65+M65+Q65+U65</f>
        <v>0</v>
      </c>
    </row>
    <row r="66" spans="1:25" s="61" customFormat="1" x14ac:dyDescent="0.25">
      <c r="A66" s="53" t="s">
        <v>57</v>
      </c>
      <c r="B66" s="61" t="s">
        <v>140</v>
      </c>
      <c r="C66" s="55">
        <v>0</v>
      </c>
      <c r="D66" s="56">
        <v>0</v>
      </c>
      <c r="E66" s="57">
        <f t="shared" ref="E66:E70" si="111">SUM(C66:D66)</f>
        <v>0</v>
      </c>
      <c r="F66" s="58"/>
      <c r="G66" s="55">
        <f>16500*2</f>
        <v>33000</v>
      </c>
      <c r="H66" s="57">
        <v>0</v>
      </c>
      <c r="I66" s="57">
        <f t="shared" ref="I66:I70" si="112">SUM(G66:H66)</f>
        <v>33000</v>
      </c>
      <c r="J66" s="58"/>
      <c r="K66" s="55">
        <f>16500*0</f>
        <v>0</v>
      </c>
      <c r="L66" s="57">
        <v>0</v>
      </c>
      <c r="M66" s="57">
        <f t="shared" ref="M66:M70" si="113">SUM(K66:L66)</f>
        <v>0</v>
      </c>
      <c r="N66" s="58"/>
      <c r="O66" s="55">
        <v>0</v>
      </c>
      <c r="P66" s="56">
        <v>0</v>
      </c>
      <c r="Q66" s="56">
        <f t="shared" ref="Q66:Q70" si="114">SUM(O66:P66)</f>
        <v>0</v>
      </c>
      <c r="R66" s="58"/>
      <c r="S66" s="55">
        <v>0</v>
      </c>
      <c r="T66" s="57">
        <v>0</v>
      </c>
      <c r="U66" s="57">
        <f t="shared" ref="U66:U70" si="115">SUM(S66:T66)</f>
        <v>0</v>
      </c>
      <c r="V66" s="59"/>
      <c r="W66" s="124">
        <f t="shared" si="108"/>
        <v>33000</v>
      </c>
      <c r="X66" s="57">
        <f t="shared" si="109"/>
        <v>0</v>
      </c>
      <c r="Y66" s="202">
        <f t="shared" si="110"/>
        <v>33000</v>
      </c>
    </row>
    <row r="67" spans="1:25" s="61" customFormat="1" x14ac:dyDescent="0.25">
      <c r="A67" s="53" t="s">
        <v>57</v>
      </c>
      <c r="B67" s="61" t="s">
        <v>141</v>
      </c>
      <c r="C67" s="55">
        <v>0</v>
      </c>
      <c r="D67" s="56">
        <v>0</v>
      </c>
      <c r="E67" s="57">
        <f t="shared" si="111"/>
        <v>0</v>
      </c>
      <c r="F67" s="58"/>
      <c r="G67" s="55">
        <f t="shared" ref="G67:G68" si="116">16500*2</f>
        <v>33000</v>
      </c>
      <c r="H67" s="57">
        <v>0</v>
      </c>
      <c r="I67" s="57">
        <f t="shared" si="112"/>
        <v>33000</v>
      </c>
      <c r="J67" s="58"/>
      <c r="K67" s="55">
        <f t="shared" ref="K67:K68" si="117">16500*0</f>
        <v>0</v>
      </c>
      <c r="L67" s="56">
        <v>0</v>
      </c>
      <c r="M67" s="57">
        <f t="shared" si="113"/>
        <v>0</v>
      </c>
      <c r="N67" s="58"/>
      <c r="O67" s="55">
        <v>0</v>
      </c>
      <c r="P67" s="56">
        <v>0</v>
      </c>
      <c r="Q67" s="56">
        <f t="shared" si="114"/>
        <v>0</v>
      </c>
      <c r="R67" s="58"/>
      <c r="S67" s="55">
        <v>0</v>
      </c>
      <c r="T67" s="57">
        <v>0</v>
      </c>
      <c r="U67" s="57">
        <f t="shared" si="115"/>
        <v>0</v>
      </c>
      <c r="V67" s="59"/>
      <c r="W67" s="124">
        <f t="shared" si="108"/>
        <v>33000</v>
      </c>
      <c r="X67" s="57">
        <f t="shared" si="109"/>
        <v>0</v>
      </c>
      <c r="Y67" s="202">
        <f t="shared" si="110"/>
        <v>33000</v>
      </c>
    </row>
    <row r="68" spans="1:25" s="169" customFormat="1" x14ac:dyDescent="0.25">
      <c r="A68" s="170"/>
      <c r="B68" s="61" t="s">
        <v>142</v>
      </c>
      <c r="C68" s="172">
        <v>0</v>
      </c>
      <c r="D68" s="174">
        <v>0</v>
      </c>
      <c r="E68" s="173">
        <f t="shared" ref="E68" si="118">SUM(C68:D68)</f>
        <v>0</v>
      </c>
      <c r="F68" s="175"/>
      <c r="G68" s="55">
        <f t="shared" si="116"/>
        <v>33000</v>
      </c>
      <c r="H68" s="173">
        <v>0</v>
      </c>
      <c r="I68" s="57">
        <f t="shared" ref="I68" si="119">SUM(G68:H68)</f>
        <v>33000</v>
      </c>
      <c r="J68" s="58"/>
      <c r="K68" s="55">
        <f t="shared" si="117"/>
        <v>0</v>
      </c>
      <c r="L68" s="56">
        <v>0</v>
      </c>
      <c r="M68" s="57">
        <f t="shared" ref="M68" si="120">SUM(K68:L68)</f>
        <v>0</v>
      </c>
      <c r="N68" s="175"/>
      <c r="O68" s="172">
        <v>0</v>
      </c>
      <c r="P68" s="174">
        <v>0</v>
      </c>
      <c r="Q68" s="174">
        <f t="shared" ref="Q68" si="121">SUM(O68:P68)</f>
        <v>0</v>
      </c>
      <c r="R68" s="175"/>
      <c r="S68" s="172">
        <v>0</v>
      </c>
      <c r="T68" s="173">
        <v>0</v>
      </c>
      <c r="U68" s="173">
        <f t="shared" ref="U68" si="122">SUM(S68:T68)</f>
        <v>0</v>
      </c>
      <c r="V68" s="176"/>
      <c r="W68" s="124">
        <f t="shared" si="108"/>
        <v>33000</v>
      </c>
      <c r="X68" s="57">
        <f t="shared" si="109"/>
        <v>0</v>
      </c>
      <c r="Y68" s="202">
        <f t="shared" si="110"/>
        <v>33000</v>
      </c>
    </row>
    <row r="69" spans="1:25" s="169" customFormat="1" x14ac:dyDescent="0.25">
      <c r="A69" s="170"/>
      <c r="B69" s="169" t="s">
        <v>57</v>
      </c>
      <c r="C69" s="172">
        <v>0</v>
      </c>
      <c r="D69" s="174">
        <v>0</v>
      </c>
      <c r="E69" s="173">
        <f t="shared" si="111"/>
        <v>0</v>
      </c>
      <c r="F69" s="175"/>
      <c r="G69" s="172">
        <v>0</v>
      </c>
      <c r="H69" s="173">
        <v>0</v>
      </c>
      <c r="I69" s="173">
        <f t="shared" si="112"/>
        <v>0</v>
      </c>
      <c r="J69" s="175"/>
      <c r="K69" s="172">
        <v>0</v>
      </c>
      <c r="L69" s="174">
        <v>0</v>
      </c>
      <c r="M69" s="173">
        <f t="shared" si="113"/>
        <v>0</v>
      </c>
      <c r="N69" s="175"/>
      <c r="O69" s="172">
        <v>0</v>
      </c>
      <c r="P69" s="174">
        <v>0</v>
      </c>
      <c r="Q69" s="174">
        <f t="shared" si="114"/>
        <v>0</v>
      </c>
      <c r="R69" s="175"/>
      <c r="S69" s="172">
        <v>0</v>
      </c>
      <c r="T69" s="173">
        <v>0</v>
      </c>
      <c r="U69" s="173">
        <f t="shared" si="115"/>
        <v>0</v>
      </c>
      <c r="V69" s="176"/>
      <c r="W69" s="227">
        <f t="shared" si="108"/>
        <v>0</v>
      </c>
      <c r="X69" s="173">
        <f t="shared" si="109"/>
        <v>0</v>
      </c>
      <c r="Y69" s="186">
        <f t="shared" si="110"/>
        <v>0</v>
      </c>
    </row>
    <row r="70" spans="1:25" s="61" customFormat="1" x14ac:dyDescent="0.25">
      <c r="B70" s="61" t="s">
        <v>116</v>
      </c>
      <c r="C70" s="55">
        <f>14000</f>
        <v>14000</v>
      </c>
      <c r="D70" s="56">
        <v>0</v>
      </c>
      <c r="E70" s="57">
        <f t="shared" si="111"/>
        <v>14000</v>
      </c>
      <c r="F70" s="58"/>
      <c r="G70" s="55">
        <f>C70</f>
        <v>14000</v>
      </c>
      <c r="H70" s="56">
        <v>0</v>
      </c>
      <c r="I70" s="57">
        <f t="shared" si="112"/>
        <v>14000</v>
      </c>
      <c r="J70" s="58"/>
      <c r="K70" s="55">
        <f>G70</f>
        <v>14000</v>
      </c>
      <c r="L70" s="56">
        <v>0</v>
      </c>
      <c r="M70" s="57">
        <f t="shared" si="113"/>
        <v>14000</v>
      </c>
      <c r="N70" s="58"/>
      <c r="O70" s="55">
        <f>K70</f>
        <v>14000</v>
      </c>
      <c r="P70" s="56">
        <v>0</v>
      </c>
      <c r="Q70" s="56">
        <f t="shared" si="114"/>
        <v>14000</v>
      </c>
      <c r="R70" s="58"/>
      <c r="S70" s="55">
        <f>O70</f>
        <v>14000</v>
      </c>
      <c r="T70" s="56">
        <v>0</v>
      </c>
      <c r="U70" s="57">
        <f t="shared" si="115"/>
        <v>14000</v>
      </c>
      <c r="V70" s="59"/>
      <c r="W70" s="124">
        <f t="shared" si="108"/>
        <v>70000</v>
      </c>
      <c r="X70" s="57">
        <f t="shared" si="109"/>
        <v>0</v>
      </c>
      <c r="Y70" s="202">
        <f t="shared" si="110"/>
        <v>70000</v>
      </c>
    </row>
    <row r="71" spans="1:25" s="61" customFormat="1" x14ac:dyDescent="0.25">
      <c r="A71" s="203"/>
      <c r="B71" s="54" t="s">
        <v>214</v>
      </c>
      <c r="C71" s="124">
        <v>12000</v>
      </c>
      <c r="D71" s="56">
        <v>0</v>
      </c>
      <c r="E71" s="56">
        <f t="shared" si="103"/>
        <v>12000</v>
      </c>
      <c r="F71" s="58"/>
      <c r="G71" s="55">
        <f>C71</f>
        <v>12000</v>
      </c>
      <c r="H71" s="57">
        <v>0</v>
      </c>
      <c r="I71" s="57">
        <f t="shared" si="104"/>
        <v>12000</v>
      </c>
      <c r="J71" s="58"/>
      <c r="K71" s="55">
        <f>G71</f>
        <v>12000</v>
      </c>
      <c r="L71" s="56">
        <v>0</v>
      </c>
      <c r="M71" s="57">
        <f t="shared" si="105"/>
        <v>12000</v>
      </c>
      <c r="N71" s="58"/>
      <c r="O71" s="55">
        <f>K71-4000</f>
        <v>8000</v>
      </c>
      <c r="P71" s="57">
        <v>0</v>
      </c>
      <c r="Q71" s="57">
        <f t="shared" si="106"/>
        <v>8000</v>
      </c>
      <c r="R71" s="58"/>
      <c r="S71" s="55">
        <f>O71-2000</f>
        <v>6000</v>
      </c>
      <c r="T71" s="56">
        <v>0</v>
      </c>
      <c r="U71" s="57">
        <f t="shared" si="107"/>
        <v>6000</v>
      </c>
      <c r="V71" s="59"/>
      <c r="W71" s="124">
        <f t="shared" si="108"/>
        <v>50000</v>
      </c>
      <c r="X71" s="57">
        <f t="shared" si="109"/>
        <v>0</v>
      </c>
      <c r="Y71" s="84">
        <f t="shared" si="110"/>
        <v>50000</v>
      </c>
    </row>
    <row r="72" spans="1:25" s="61" customFormat="1" x14ac:dyDescent="0.25">
      <c r="A72" s="54"/>
      <c r="B72" s="54" t="s">
        <v>68</v>
      </c>
      <c r="C72" s="124">
        <v>0</v>
      </c>
      <c r="D72" s="56">
        <v>0</v>
      </c>
      <c r="E72" s="56">
        <f t="shared" si="103"/>
        <v>0</v>
      </c>
      <c r="F72" s="58"/>
      <c r="G72" s="55">
        <v>0</v>
      </c>
      <c r="H72" s="57"/>
      <c r="I72" s="57">
        <f t="shared" ref="I72" si="123">SUM(G72:H72)</f>
        <v>0</v>
      </c>
      <c r="J72" s="58"/>
      <c r="K72" s="55">
        <v>3000</v>
      </c>
      <c r="L72" s="56">
        <v>0</v>
      </c>
      <c r="M72" s="57">
        <f t="shared" ref="M72" si="124">SUM(K72:L72)</f>
        <v>3000</v>
      </c>
      <c r="N72" s="58"/>
      <c r="O72" s="55">
        <v>4000</v>
      </c>
      <c r="P72" s="56">
        <v>0</v>
      </c>
      <c r="Q72" s="56">
        <f t="shared" ref="Q72" si="125">SUM(O72:P72)</f>
        <v>4000</v>
      </c>
      <c r="R72" s="58"/>
      <c r="S72" s="55">
        <f>4000+1500</f>
        <v>5500</v>
      </c>
      <c r="T72" s="56">
        <v>0</v>
      </c>
      <c r="U72" s="57">
        <f t="shared" ref="U72" si="126">SUM(S72:T72)</f>
        <v>5500</v>
      </c>
      <c r="V72" s="59"/>
      <c r="W72" s="124">
        <f t="shared" si="108"/>
        <v>12500</v>
      </c>
      <c r="X72" s="57">
        <f t="shared" si="109"/>
        <v>0</v>
      </c>
      <c r="Y72" s="84">
        <f t="shared" si="110"/>
        <v>12500</v>
      </c>
    </row>
    <row r="73" spans="1:25" s="61" customFormat="1" x14ac:dyDescent="0.25">
      <c r="A73" s="203"/>
      <c r="B73" s="54" t="s">
        <v>57</v>
      </c>
      <c r="C73" s="124">
        <v>0</v>
      </c>
      <c r="D73" s="56">
        <v>0</v>
      </c>
      <c r="E73" s="56">
        <f t="shared" si="103"/>
        <v>0</v>
      </c>
      <c r="F73" s="58"/>
      <c r="G73" s="55">
        <v>0</v>
      </c>
      <c r="H73" s="57"/>
      <c r="I73" s="57">
        <f t="shared" si="104"/>
        <v>0</v>
      </c>
      <c r="J73" s="58"/>
      <c r="K73" s="55">
        <v>0</v>
      </c>
      <c r="L73" s="56">
        <v>0</v>
      </c>
      <c r="M73" s="57">
        <f t="shared" si="105"/>
        <v>0</v>
      </c>
      <c r="N73" s="58"/>
      <c r="O73" s="55">
        <v>0</v>
      </c>
      <c r="P73" s="56">
        <v>0</v>
      </c>
      <c r="Q73" s="56">
        <f t="shared" si="106"/>
        <v>0</v>
      </c>
      <c r="R73" s="58"/>
      <c r="S73" s="55">
        <v>0</v>
      </c>
      <c r="T73" s="56">
        <v>0</v>
      </c>
      <c r="U73" s="57">
        <f t="shared" si="107"/>
        <v>0</v>
      </c>
      <c r="V73" s="59"/>
      <c r="W73" s="124">
        <f t="shared" si="108"/>
        <v>0</v>
      </c>
      <c r="X73" s="57">
        <f t="shared" si="109"/>
        <v>0</v>
      </c>
      <c r="Y73" s="84">
        <f t="shared" si="110"/>
        <v>0</v>
      </c>
    </row>
    <row r="74" spans="1:25" s="61" customFormat="1" x14ac:dyDescent="0.25">
      <c r="A74" s="203"/>
      <c r="B74" s="54" t="s">
        <v>57</v>
      </c>
      <c r="C74" s="124">
        <v>0</v>
      </c>
      <c r="D74" s="56">
        <v>0</v>
      </c>
      <c r="E74" s="56">
        <f t="shared" si="103"/>
        <v>0</v>
      </c>
      <c r="F74" s="58"/>
      <c r="G74" s="55">
        <v>0</v>
      </c>
      <c r="H74" s="57">
        <v>0</v>
      </c>
      <c r="I74" s="57">
        <f t="shared" si="104"/>
        <v>0</v>
      </c>
      <c r="J74" s="58"/>
      <c r="K74" s="55">
        <v>0</v>
      </c>
      <c r="L74" s="56">
        <v>0</v>
      </c>
      <c r="M74" s="57">
        <f t="shared" si="105"/>
        <v>0</v>
      </c>
      <c r="N74" s="58"/>
      <c r="O74" s="55">
        <f>K74</f>
        <v>0</v>
      </c>
      <c r="P74" s="56">
        <v>0</v>
      </c>
      <c r="Q74" s="56">
        <f t="shared" si="106"/>
        <v>0</v>
      </c>
      <c r="R74" s="58"/>
      <c r="S74" s="55">
        <f>O74</f>
        <v>0</v>
      </c>
      <c r="T74" s="56">
        <v>0</v>
      </c>
      <c r="U74" s="57">
        <f t="shared" si="107"/>
        <v>0</v>
      </c>
      <c r="V74" s="59"/>
      <c r="W74" s="124">
        <f t="shared" si="108"/>
        <v>0</v>
      </c>
      <c r="X74" s="57">
        <f t="shared" si="109"/>
        <v>0</v>
      </c>
      <c r="Y74" s="84">
        <f t="shared" si="110"/>
        <v>0</v>
      </c>
    </row>
    <row r="75" spans="1:25" s="61" customFormat="1" x14ac:dyDescent="0.25">
      <c r="A75" s="203"/>
      <c r="B75" s="198" t="s">
        <v>57</v>
      </c>
      <c r="C75" s="124">
        <v>0</v>
      </c>
      <c r="D75" s="56">
        <v>0</v>
      </c>
      <c r="E75" s="56">
        <f t="shared" si="103"/>
        <v>0</v>
      </c>
      <c r="F75" s="58"/>
      <c r="G75" s="55">
        <v>0</v>
      </c>
      <c r="H75" s="57">
        <v>0</v>
      </c>
      <c r="I75" s="57">
        <f t="shared" si="104"/>
        <v>0</v>
      </c>
      <c r="J75" s="58"/>
      <c r="K75" s="55">
        <f>G75</f>
        <v>0</v>
      </c>
      <c r="L75" s="56">
        <v>0</v>
      </c>
      <c r="M75" s="57">
        <f t="shared" si="105"/>
        <v>0</v>
      </c>
      <c r="N75" s="58"/>
      <c r="O75" s="55">
        <f>K75</f>
        <v>0</v>
      </c>
      <c r="P75" s="56">
        <v>0</v>
      </c>
      <c r="Q75" s="56">
        <f t="shared" si="106"/>
        <v>0</v>
      </c>
      <c r="R75" s="58"/>
      <c r="S75" s="55">
        <f>O75</f>
        <v>0</v>
      </c>
      <c r="T75" s="56">
        <v>0</v>
      </c>
      <c r="U75" s="57">
        <f t="shared" si="107"/>
        <v>0</v>
      </c>
      <c r="V75" s="59"/>
      <c r="W75" s="124">
        <f t="shared" si="108"/>
        <v>0</v>
      </c>
      <c r="X75" s="57">
        <f t="shared" si="109"/>
        <v>0</v>
      </c>
      <c r="Y75" s="84">
        <f t="shared" si="110"/>
        <v>0</v>
      </c>
    </row>
    <row r="76" spans="1:25" s="61" customFormat="1" x14ac:dyDescent="0.25">
      <c r="A76" s="203" t="s">
        <v>57</v>
      </c>
      <c r="B76" s="54" t="s">
        <v>57</v>
      </c>
      <c r="C76" s="124">
        <f>5000*0</f>
        <v>0</v>
      </c>
      <c r="D76" s="56">
        <v>0</v>
      </c>
      <c r="E76" s="56">
        <f t="shared" si="103"/>
        <v>0</v>
      </c>
      <c r="F76" s="58"/>
      <c r="G76" s="55">
        <f>15000*0</f>
        <v>0</v>
      </c>
      <c r="H76" s="57">
        <v>0</v>
      </c>
      <c r="I76" s="57">
        <f t="shared" si="104"/>
        <v>0</v>
      </c>
      <c r="J76" s="58"/>
      <c r="K76" s="55">
        <f>G76</f>
        <v>0</v>
      </c>
      <c r="L76" s="57">
        <v>0</v>
      </c>
      <c r="M76" s="57">
        <f t="shared" si="105"/>
        <v>0</v>
      </c>
      <c r="N76" s="58"/>
      <c r="O76" s="55">
        <f>K76</f>
        <v>0</v>
      </c>
      <c r="P76" s="57">
        <v>0</v>
      </c>
      <c r="Q76" s="57">
        <f t="shared" si="106"/>
        <v>0</v>
      </c>
      <c r="R76" s="58"/>
      <c r="S76" s="55">
        <f>O76</f>
        <v>0</v>
      </c>
      <c r="T76" s="57">
        <v>0</v>
      </c>
      <c r="U76" s="57">
        <f t="shared" si="107"/>
        <v>0</v>
      </c>
      <c r="V76" s="59"/>
      <c r="W76" s="124">
        <f t="shared" si="108"/>
        <v>0</v>
      </c>
      <c r="X76" s="57">
        <f t="shared" si="109"/>
        <v>0</v>
      </c>
      <c r="Y76" s="84">
        <f t="shared" si="110"/>
        <v>0</v>
      </c>
    </row>
    <row r="77" spans="1:25" s="61" customFormat="1" x14ac:dyDescent="0.25">
      <c r="A77" s="87"/>
      <c r="B77" s="54"/>
      <c r="C77" s="124">
        <v>0</v>
      </c>
      <c r="D77" s="56">
        <v>0</v>
      </c>
      <c r="E77" s="56">
        <f t="shared" si="103"/>
        <v>0</v>
      </c>
      <c r="F77" s="58"/>
      <c r="G77" s="55">
        <v>0</v>
      </c>
      <c r="H77" s="57">
        <v>0</v>
      </c>
      <c r="I77" s="57">
        <f t="shared" si="104"/>
        <v>0</v>
      </c>
      <c r="J77" s="58"/>
      <c r="K77" s="55">
        <v>0</v>
      </c>
      <c r="L77" s="57">
        <v>0</v>
      </c>
      <c r="M77" s="57">
        <f t="shared" si="105"/>
        <v>0</v>
      </c>
      <c r="N77" s="58"/>
      <c r="O77" s="55">
        <v>0</v>
      </c>
      <c r="P77" s="57">
        <v>0</v>
      </c>
      <c r="Q77" s="57">
        <f t="shared" si="106"/>
        <v>0</v>
      </c>
      <c r="R77" s="58"/>
      <c r="S77" s="55">
        <v>0</v>
      </c>
      <c r="T77" s="57">
        <v>0</v>
      </c>
      <c r="U77" s="57">
        <f t="shared" si="107"/>
        <v>0</v>
      </c>
      <c r="V77" s="59"/>
      <c r="W77" s="124">
        <f t="shared" si="108"/>
        <v>0</v>
      </c>
      <c r="X77" s="57">
        <f t="shared" si="109"/>
        <v>0</v>
      </c>
      <c r="Y77" s="84">
        <f t="shared" si="110"/>
        <v>0</v>
      </c>
    </row>
    <row r="78" spans="1:25" s="61" customFormat="1" x14ac:dyDescent="0.25">
      <c r="A78" s="87"/>
      <c r="B78" s="54"/>
      <c r="C78" s="124">
        <v>0</v>
      </c>
      <c r="D78" s="56">
        <v>0</v>
      </c>
      <c r="E78" s="56">
        <f t="shared" si="103"/>
        <v>0</v>
      </c>
      <c r="F78" s="58"/>
      <c r="G78" s="55">
        <v>0</v>
      </c>
      <c r="H78" s="57">
        <v>0</v>
      </c>
      <c r="I78" s="57">
        <f t="shared" si="104"/>
        <v>0</v>
      </c>
      <c r="J78" s="58"/>
      <c r="K78" s="55">
        <v>0</v>
      </c>
      <c r="L78" s="57">
        <v>0</v>
      </c>
      <c r="M78" s="57">
        <f t="shared" si="105"/>
        <v>0</v>
      </c>
      <c r="N78" s="58"/>
      <c r="O78" s="55">
        <v>0</v>
      </c>
      <c r="P78" s="57">
        <v>0</v>
      </c>
      <c r="Q78" s="57">
        <f t="shared" si="106"/>
        <v>0</v>
      </c>
      <c r="R78" s="58"/>
      <c r="S78" s="55">
        <v>0</v>
      </c>
      <c r="T78" s="57">
        <v>0</v>
      </c>
      <c r="U78" s="57">
        <f t="shared" si="107"/>
        <v>0</v>
      </c>
      <c r="V78" s="59"/>
      <c r="W78" s="124">
        <f t="shared" si="108"/>
        <v>0</v>
      </c>
      <c r="X78" s="57">
        <f t="shared" si="109"/>
        <v>0</v>
      </c>
      <c r="Y78" s="84">
        <f t="shared" si="110"/>
        <v>0</v>
      </c>
    </row>
    <row r="79" spans="1:25" s="61" customFormat="1" x14ac:dyDescent="0.25">
      <c r="A79" s="87"/>
      <c r="B79" s="54"/>
      <c r="C79" s="124">
        <v>0</v>
      </c>
      <c r="D79" s="56">
        <v>0</v>
      </c>
      <c r="E79" s="56">
        <f t="shared" si="103"/>
        <v>0</v>
      </c>
      <c r="F79" s="58"/>
      <c r="G79" s="55">
        <v>0</v>
      </c>
      <c r="H79" s="57">
        <v>0</v>
      </c>
      <c r="I79" s="57">
        <f t="shared" si="104"/>
        <v>0</v>
      </c>
      <c r="J79" s="58"/>
      <c r="K79" s="55">
        <v>0</v>
      </c>
      <c r="L79" s="57">
        <v>0</v>
      </c>
      <c r="M79" s="57">
        <f t="shared" si="105"/>
        <v>0</v>
      </c>
      <c r="N79" s="58"/>
      <c r="O79" s="55">
        <v>0</v>
      </c>
      <c r="P79" s="57">
        <v>0</v>
      </c>
      <c r="Q79" s="57">
        <f t="shared" si="106"/>
        <v>0</v>
      </c>
      <c r="R79" s="58"/>
      <c r="S79" s="55">
        <v>0</v>
      </c>
      <c r="T79" s="57">
        <v>0</v>
      </c>
      <c r="U79" s="57">
        <f t="shared" si="107"/>
        <v>0</v>
      </c>
      <c r="V79" s="59"/>
      <c r="W79" s="124">
        <f t="shared" si="108"/>
        <v>0</v>
      </c>
      <c r="X79" s="57">
        <f t="shared" si="109"/>
        <v>0</v>
      </c>
      <c r="Y79" s="84">
        <f t="shared" si="110"/>
        <v>0</v>
      </c>
    </row>
    <row r="80" spans="1:25" s="61" customFormat="1" x14ac:dyDescent="0.25">
      <c r="A80" s="52"/>
      <c r="B80" s="52"/>
      <c r="C80" s="124">
        <v>0</v>
      </c>
      <c r="D80" s="56">
        <v>0</v>
      </c>
      <c r="E80" s="56">
        <f t="shared" si="103"/>
        <v>0</v>
      </c>
      <c r="F80" s="58"/>
      <c r="G80" s="55">
        <v>0</v>
      </c>
      <c r="H80" s="57">
        <v>0</v>
      </c>
      <c r="I80" s="57">
        <f t="shared" si="104"/>
        <v>0</v>
      </c>
      <c r="J80" s="58"/>
      <c r="K80" s="55">
        <v>0</v>
      </c>
      <c r="L80" s="57">
        <v>0</v>
      </c>
      <c r="M80" s="57">
        <f t="shared" si="105"/>
        <v>0</v>
      </c>
      <c r="N80" s="58"/>
      <c r="O80" s="55">
        <v>0</v>
      </c>
      <c r="P80" s="57">
        <v>0</v>
      </c>
      <c r="Q80" s="57">
        <f t="shared" si="106"/>
        <v>0</v>
      </c>
      <c r="R80" s="58"/>
      <c r="S80" s="55">
        <v>0</v>
      </c>
      <c r="T80" s="57">
        <v>0</v>
      </c>
      <c r="U80" s="57">
        <f t="shared" si="107"/>
        <v>0</v>
      </c>
      <c r="V80" s="59"/>
      <c r="W80" s="124">
        <f t="shared" si="108"/>
        <v>0</v>
      </c>
      <c r="X80" s="57">
        <f t="shared" si="109"/>
        <v>0</v>
      </c>
      <c r="Y80" s="84">
        <f t="shared" si="110"/>
        <v>0</v>
      </c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103"/>
        <v>0</v>
      </c>
      <c r="F81" s="58"/>
      <c r="G81" s="55">
        <v>0</v>
      </c>
      <c r="H81" s="57">
        <v>0</v>
      </c>
      <c r="I81" s="57">
        <f t="shared" si="104"/>
        <v>0</v>
      </c>
      <c r="J81" s="58"/>
      <c r="K81" s="55">
        <v>0</v>
      </c>
      <c r="L81" s="57">
        <v>0</v>
      </c>
      <c r="M81" s="57">
        <f t="shared" si="105"/>
        <v>0</v>
      </c>
      <c r="N81" s="58"/>
      <c r="O81" s="55">
        <v>0</v>
      </c>
      <c r="P81" s="57">
        <v>0</v>
      </c>
      <c r="Q81" s="57">
        <f t="shared" si="106"/>
        <v>0</v>
      </c>
      <c r="R81" s="58"/>
      <c r="S81" s="55">
        <v>0</v>
      </c>
      <c r="T81" s="57">
        <v>0</v>
      </c>
      <c r="U81" s="57">
        <f t="shared" si="107"/>
        <v>0</v>
      </c>
      <c r="V81" s="59"/>
      <c r="W81" s="124">
        <f t="shared" si="108"/>
        <v>0</v>
      </c>
      <c r="X81" s="57">
        <f t="shared" si="109"/>
        <v>0</v>
      </c>
      <c r="Y81" s="84">
        <f t="shared" si="110"/>
        <v>0</v>
      </c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103"/>
        <v>0</v>
      </c>
      <c r="F82" s="58"/>
      <c r="G82" s="55">
        <v>0</v>
      </c>
      <c r="H82" s="57">
        <v>0</v>
      </c>
      <c r="I82" s="57">
        <f t="shared" si="104"/>
        <v>0</v>
      </c>
      <c r="J82" s="58"/>
      <c r="K82" s="55">
        <v>0</v>
      </c>
      <c r="L82" s="57">
        <v>0</v>
      </c>
      <c r="M82" s="57">
        <f t="shared" si="105"/>
        <v>0</v>
      </c>
      <c r="N82" s="58"/>
      <c r="O82" s="55">
        <v>0</v>
      </c>
      <c r="P82" s="57">
        <v>0</v>
      </c>
      <c r="Q82" s="57">
        <f t="shared" si="106"/>
        <v>0</v>
      </c>
      <c r="R82" s="58"/>
      <c r="S82" s="55">
        <v>0</v>
      </c>
      <c r="T82" s="57">
        <v>0</v>
      </c>
      <c r="U82" s="57">
        <f t="shared" si="107"/>
        <v>0</v>
      </c>
      <c r="V82" s="59"/>
      <c r="W82" s="124">
        <f t="shared" si="108"/>
        <v>0</v>
      </c>
      <c r="X82" s="57">
        <f t="shared" si="109"/>
        <v>0</v>
      </c>
      <c r="Y82" s="84">
        <f t="shared" si="110"/>
        <v>0</v>
      </c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103"/>
        <v>0</v>
      </c>
      <c r="F83" s="58"/>
      <c r="G83" s="55">
        <v>0</v>
      </c>
      <c r="H83" s="57">
        <v>0</v>
      </c>
      <c r="I83" s="57">
        <f t="shared" si="104"/>
        <v>0</v>
      </c>
      <c r="J83" s="58"/>
      <c r="K83" s="55">
        <v>0</v>
      </c>
      <c r="L83" s="57">
        <v>0</v>
      </c>
      <c r="M83" s="57">
        <f t="shared" si="105"/>
        <v>0</v>
      </c>
      <c r="N83" s="58"/>
      <c r="O83" s="55">
        <v>0</v>
      </c>
      <c r="P83" s="57">
        <v>0</v>
      </c>
      <c r="Q83" s="57">
        <f t="shared" si="106"/>
        <v>0</v>
      </c>
      <c r="R83" s="58"/>
      <c r="S83" s="55">
        <v>0</v>
      </c>
      <c r="T83" s="57">
        <v>0</v>
      </c>
      <c r="U83" s="57">
        <f t="shared" si="107"/>
        <v>0</v>
      </c>
      <c r="V83" s="59"/>
      <c r="W83" s="124">
        <f t="shared" si="108"/>
        <v>0</v>
      </c>
      <c r="X83" s="57">
        <f t="shared" si="109"/>
        <v>0</v>
      </c>
      <c r="Y83" s="84">
        <f t="shared" si="110"/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103"/>
        <v>0</v>
      </c>
      <c r="F84" s="58"/>
      <c r="G84" s="55">
        <v>0</v>
      </c>
      <c r="H84" s="57">
        <v>0</v>
      </c>
      <c r="I84" s="57">
        <f t="shared" si="104"/>
        <v>0</v>
      </c>
      <c r="J84" s="58"/>
      <c r="K84" s="55">
        <v>0</v>
      </c>
      <c r="L84" s="57">
        <v>0</v>
      </c>
      <c r="M84" s="57">
        <f t="shared" si="105"/>
        <v>0</v>
      </c>
      <c r="N84" s="58"/>
      <c r="O84" s="55">
        <v>0</v>
      </c>
      <c r="P84" s="57">
        <v>0</v>
      </c>
      <c r="Q84" s="57">
        <f t="shared" si="106"/>
        <v>0</v>
      </c>
      <c r="R84" s="58"/>
      <c r="S84" s="55">
        <v>0</v>
      </c>
      <c r="T84" s="57">
        <v>0</v>
      </c>
      <c r="U84" s="57">
        <f t="shared" si="107"/>
        <v>0</v>
      </c>
      <c r="V84" s="59"/>
      <c r="W84" s="124">
        <f t="shared" si="108"/>
        <v>0</v>
      </c>
      <c r="X84" s="57">
        <f t="shared" si="109"/>
        <v>0</v>
      </c>
      <c r="Y84" s="84">
        <f t="shared" si="110"/>
        <v>0</v>
      </c>
    </row>
    <row r="85" spans="1:77" s="83" customFormat="1" x14ac:dyDescent="0.25">
      <c r="A85" s="78"/>
      <c r="B85" s="78" t="s">
        <v>9</v>
      </c>
      <c r="C85" s="229">
        <f>SUM(C65:C84)</f>
        <v>26000</v>
      </c>
      <c r="D85" s="153">
        <f>SUM(D65:D84)</f>
        <v>0</v>
      </c>
      <c r="E85" s="153">
        <f>SUM(E65:E84)</f>
        <v>26000</v>
      </c>
      <c r="F85" s="154"/>
      <c r="G85" s="152">
        <f>SUM(G65:G84)</f>
        <v>125000</v>
      </c>
      <c r="H85" s="153">
        <f>SUM(H65:H84)</f>
        <v>0</v>
      </c>
      <c r="I85" s="153">
        <f>SUM(I65:I84)</f>
        <v>125000</v>
      </c>
      <c r="J85" s="154"/>
      <c r="K85" s="152">
        <f>SUM(K65:K84)</f>
        <v>29000</v>
      </c>
      <c r="L85" s="153">
        <f>SUM(L65:L84)</f>
        <v>0</v>
      </c>
      <c r="M85" s="153">
        <f>SUM(M65:M84)</f>
        <v>29000</v>
      </c>
      <c r="N85" s="154"/>
      <c r="O85" s="152">
        <f>SUM(O65:O84)</f>
        <v>26000</v>
      </c>
      <c r="P85" s="153">
        <f>SUM(P65:P84)</f>
        <v>0</v>
      </c>
      <c r="Q85" s="153">
        <f>SUM(Q65:Q84)</f>
        <v>26000</v>
      </c>
      <c r="R85" s="154"/>
      <c r="S85" s="152">
        <f>SUM(S65:S84)</f>
        <v>25500</v>
      </c>
      <c r="T85" s="153">
        <f>SUM(T65:T84)</f>
        <v>0</v>
      </c>
      <c r="U85" s="153">
        <f>SUM(U65:U84)</f>
        <v>25500</v>
      </c>
      <c r="V85" s="82"/>
      <c r="W85" s="228">
        <f t="shared" si="108"/>
        <v>231500</v>
      </c>
      <c r="X85" s="80">
        <f t="shared" si="109"/>
        <v>0</v>
      </c>
      <c r="Y85" s="80">
        <f t="shared" si="110"/>
        <v>231500</v>
      </c>
    </row>
    <row r="86" spans="1:77" s="97" customFormat="1" x14ac:dyDescent="0.25">
      <c r="A86" s="89" t="s">
        <v>28</v>
      </c>
      <c r="B86" s="89"/>
      <c r="C86" s="95">
        <f>C85+C63+C57+C49+C37</f>
        <v>108731.8963011101</v>
      </c>
      <c r="D86" s="95">
        <f t="shared" ref="D86:X86" si="127">D85+D63+D57+D49+D37</f>
        <v>4800</v>
      </c>
      <c r="E86" s="95">
        <f>SUM(C86:D86)</f>
        <v>113531.8963011101</v>
      </c>
      <c r="F86" s="95"/>
      <c r="G86" s="95">
        <f>G85+G63+G57+G49+G37</f>
        <v>802827.5322181884</v>
      </c>
      <c r="H86" s="95">
        <f t="shared" si="127"/>
        <v>4800</v>
      </c>
      <c r="I86" s="95">
        <f>SUM(G86:H86)</f>
        <v>807627.5322181884</v>
      </c>
      <c r="J86" s="95"/>
      <c r="K86" s="95">
        <f t="shared" si="127"/>
        <v>382812.09439639706</v>
      </c>
      <c r="L86" s="95">
        <f t="shared" si="127"/>
        <v>4800</v>
      </c>
      <c r="M86" s="95">
        <f>SUM(K86:L86)</f>
        <v>387612.09439639706</v>
      </c>
      <c r="N86" s="95"/>
      <c r="O86" s="95">
        <f t="shared" si="127"/>
        <v>392745.65131461876</v>
      </c>
      <c r="P86" s="95">
        <f t="shared" si="127"/>
        <v>4800</v>
      </c>
      <c r="Q86" s="95">
        <f>SUM(O86:P86)</f>
        <v>397545.65131461876</v>
      </c>
      <c r="R86" s="95"/>
      <c r="S86" s="95">
        <f t="shared" si="127"/>
        <v>405722.77036504861</v>
      </c>
      <c r="T86" s="95">
        <f t="shared" si="127"/>
        <v>4800</v>
      </c>
      <c r="U86" s="95">
        <f>SUM(S86:T86)</f>
        <v>410522.77036504861</v>
      </c>
      <c r="V86" s="95"/>
      <c r="W86" s="95">
        <f t="shared" si="127"/>
        <v>2092839.944595363</v>
      </c>
      <c r="X86" s="95">
        <f t="shared" si="127"/>
        <v>24000</v>
      </c>
      <c r="Y86" s="95">
        <f>SUM(W86:X86)</f>
        <v>2116839.944595363</v>
      </c>
      <c r="Z86" s="96"/>
      <c r="AA86" s="96">
        <f>Y86-W86</f>
        <v>24000</v>
      </c>
    </row>
    <row r="87" spans="1:77" s="97" customFormat="1" x14ac:dyDescent="0.25">
      <c r="A87" s="89" t="s">
        <v>27</v>
      </c>
      <c r="B87" s="89"/>
      <c r="C87" s="95">
        <f>(C37+C57+C85)*0.5</f>
        <v>54365.94815055505</v>
      </c>
      <c r="D87" s="95">
        <v>0</v>
      </c>
      <c r="E87" s="95">
        <f>SUM(C87:D87)</f>
        <v>54365.94815055505</v>
      </c>
      <c r="F87" s="95"/>
      <c r="G87" s="95">
        <f>((G37+G57+G85)*0.5)</f>
        <v>373621.94610909419</v>
      </c>
      <c r="H87" s="95">
        <v>0</v>
      </c>
      <c r="I87" s="95">
        <f>SUM(G87:H87)</f>
        <v>373621.94610909419</v>
      </c>
      <c r="J87" s="95"/>
      <c r="K87" s="95">
        <f>(K37+K57+K85)*0.5</f>
        <v>162224.63619819854</v>
      </c>
      <c r="L87" s="95">
        <v>0</v>
      </c>
      <c r="M87" s="95">
        <f>SUM(K87:L87)</f>
        <v>162224.63619819854</v>
      </c>
      <c r="N87" s="95"/>
      <c r="O87" s="95">
        <f>(O37+O57+O85)*0.5</f>
        <v>165732.34410730939</v>
      </c>
      <c r="P87" s="95">
        <v>0</v>
      </c>
      <c r="Q87" s="95">
        <f>SUM(O87:P87)</f>
        <v>165732.34410730939</v>
      </c>
      <c r="R87" s="95"/>
      <c r="S87" s="95">
        <f>(S37+S57+S85)*0.5</f>
        <v>170688.87955502429</v>
      </c>
      <c r="T87" s="95">
        <v>0</v>
      </c>
      <c r="U87" s="95">
        <f>SUM(S87:T87)</f>
        <v>170688.87955502429</v>
      </c>
      <c r="V87" s="95"/>
      <c r="W87" s="95">
        <f>(W37+W57+W85)*0.5</f>
        <v>926633.75412018143</v>
      </c>
      <c r="X87" s="95">
        <v>0</v>
      </c>
      <c r="Y87" s="95">
        <f>SUM(W87:X87)</f>
        <v>926633.75412018143</v>
      </c>
      <c r="Z87" s="96"/>
      <c r="AA87" s="96"/>
    </row>
    <row r="88" spans="1:77" s="97" customFormat="1" x14ac:dyDescent="0.25">
      <c r="A88" s="89" t="s">
        <v>29</v>
      </c>
      <c r="B88" s="89"/>
      <c r="C88" s="95">
        <f>SUM(C86:C87)</f>
        <v>163097.84445166515</v>
      </c>
      <c r="D88" s="95">
        <f t="shared" ref="D88:X88" si="128">SUM(D86:D87)</f>
        <v>4800</v>
      </c>
      <c r="E88" s="95">
        <f>SUM(C88:D88)</f>
        <v>167897.84445166515</v>
      </c>
      <c r="F88" s="95"/>
      <c r="G88" s="95">
        <f>SUM(G86:G87)</f>
        <v>1176449.4783272827</v>
      </c>
      <c r="H88" s="95">
        <f t="shared" si="128"/>
        <v>4800</v>
      </c>
      <c r="I88" s="95">
        <f>SUM(G88:H88)</f>
        <v>1181249.4783272827</v>
      </c>
      <c r="J88" s="95"/>
      <c r="K88" s="95">
        <f t="shared" si="128"/>
        <v>545036.73059459566</v>
      </c>
      <c r="L88" s="95">
        <f t="shared" si="128"/>
        <v>4800</v>
      </c>
      <c r="M88" s="95">
        <f>SUM(K88:L88)</f>
        <v>549836.73059459566</v>
      </c>
      <c r="N88" s="95"/>
      <c r="O88" s="95">
        <f t="shared" si="128"/>
        <v>558477.99542192812</v>
      </c>
      <c r="P88" s="95">
        <f t="shared" si="128"/>
        <v>4800</v>
      </c>
      <c r="Q88" s="95">
        <f>SUM(O88:P88)</f>
        <v>563277.99542192812</v>
      </c>
      <c r="R88" s="95"/>
      <c r="S88" s="95">
        <f t="shared" si="128"/>
        <v>576411.64992007287</v>
      </c>
      <c r="T88" s="95">
        <f t="shared" si="128"/>
        <v>4800</v>
      </c>
      <c r="U88" s="95">
        <f>SUM(S88:T88)</f>
        <v>581211.64992007287</v>
      </c>
      <c r="V88" s="95"/>
      <c r="W88" s="95">
        <f t="shared" si="128"/>
        <v>3019473.6987155443</v>
      </c>
      <c r="X88" s="95">
        <f t="shared" si="128"/>
        <v>24000</v>
      </c>
      <c r="Y88" s="95">
        <f>SUM(W88:X88)</f>
        <v>3043473.6987155443</v>
      </c>
      <c r="Z88" s="96"/>
      <c r="AA88" s="96"/>
    </row>
    <row r="89" spans="1:77" s="158" customFormat="1" x14ac:dyDescent="0.25">
      <c r="A89" s="91"/>
      <c r="B89" s="91"/>
      <c r="C89" s="156"/>
      <c r="D89" s="156"/>
      <c r="E89" s="105"/>
      <c r="F89" s="91"/>
      <c r="G89" s="156"/>
      <c r="H89" s="156"/>
      <c r="I89" s="105"/>
      <c r="J89" s="91"/>
      <c r="K89" s="156"/>
      <c r="L89" s="156"/>
      <c r="M89" s="105"/>
      <c r="N89" s="91"/>
      <c r="O89" s="156"/>
      <c r="P89" s="156"/>
      <c r="Q89" s="105"/>
      <c r="R89" s="91"/>
      <c r="S89" s="156"/>
      <c r="T89" s="156"/>
      <c r="U89" s="105"/>
      <c r="V89" s="157"/>
      <c r="W89" s="105"/>
      <c r="X89" s="105"/>
      <c r="Y89" s="156"/>
      <c r="Z89" s="105"/>
      <c r="AA89" s="105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customFormat="1" ht="12.75" customHeight="1" x14ac:dyDescent="0.25">
      <c r="A92" s="291" t="s">
        <v>57</v>
      </c>
      <c r="B92" s="292" t="s">
        <v>253</v>
      </c>
      <c r="C92" s="293">
        <f>(117596.34/9)*1</f>
        <v>13066.26</v>
      </c>
      <c r="D92" s="294">
        <f>((115000*1.03)/1560)*(173.33*1.5)*0</f>
        <v>0</v>
      </c>
      <c r="E92" s="294">
        <f t="shared" ref="E92:E97" si="129">SUM(C92:D92)</f>
        <v>13066.26</v>
      </c>
      <c r="F92" s="295"/>
      <c r="G92" s="293">
        <f t="shared" ref="G92:H92" si="130">C92*1.03</f>
        <v>13458.247800000001</v>
      </c>
      <c r="H92" s="294">
        <f t="shared" si="130"/>
        <v>0</v>
      </c>
      <c r="I92" s="294">
        <f t="shared" ref="I92:I97" si="131">SUM(G92:H92)</f>
        <v>13458.247800000001</v>
      </c>
      <c r="J92" s="295"/>
      <c r="K92" s="293">
        <f t="shared" ref="K92:L92" si="132">G92*1.03</f>
        <v>13861.995234000002</v>
      </c>
      <c r="L92" s="294">
        <f t="shared" si="132"/>
        <v>0</v>
      </c>
      <c r="M92" s="294">
        <f t="shared" ref="M92:M97" si="133">SUM(K92:L92)</f>
        <v>13861.995234000002</v>
      </c>
      <c r="N92" s="295"/>
      <c r="O92" s="293">
        <f t="shared" ref="O92:P92" si="134">K92*1.03</f>
        <v>14277.855091020003</v>
      </c>
      <c r="P92" s="294">
        <f t="shared" si="134"/>
        <v>0</v>
      </c>
      <c r="Q92" s="294">
        <f t="shared" ref="Q92:Q97" si="135">SUM(O92:P92)</f>
        <v>14277.855091020003</v>
      </c>
      <c r="R92" s="295"/>
      <c r="S92" s="293">
        <f t="shared" ref="S92:T92" si="136">O92*1.03</f>
        <v>14706.190743750603</v>
      </c>
      <c r="T92" s="294">
        <f t="shared" si="136"/>
        <v>0</v>
      </c>
      <c r="U92" s="294">
        <f t="shared" ref="U92:U97" si="137">SUM(S92:T92)</f>
        <v>14706.190743750603</v>
      </c>
      <c r="V92" s="296"/>
      <c r="W92" s="293">
        <f t="shared" ref="W92:Y97" si="138">C92+G92+K92+O92+S92</f>
        <v>69370.548868770609</v>
      </c>
      <c r="X92" s="294">
        <f t="shared" si="138"/>
        <v>0</v>
      </c>
      <c r="Y92" s="297">
        <f t="shared" si="138"/>
        <v>69370.548868770609</v>
      </c>
      <c r="Z92" s="292"/>
      <c r="AA92" s="292"/>
      <c r="AB92" s="292"/>
      <c r="AC92" s="292"/>
      <c r="AD92" s="292"/>
      <c r="AE92" s="292"/>
      <c r="AF92" s="292"/>
      <c r="AG92" s="292"/>
      <c r="AH92" s="292"/>
      <c r="AI92" s="292"/>
      <c r="AJ92" s="292"/>
      <c r="AK92" s="292"/>
      <c r="AL92" s="292"/>
      <c r="AM92" s="292"/>
      <c r="AN92" s="292"/>
      <c r="AO92" s="292"/>
      <c r="AP92" s="292"/>
      <c r="AQ92" s="292"/>
      <c r="AR92" s="292"/>
      <c r="AS92" s="292"/>
      <c r="AT92" s="292"/>
      <c r="AU92" s="292"/>
    </row>
    <row r="93" spans="1:77" customFormat="1" ht="12.75" customHeight="1" x14ac:dyDescent="0.25">
      <c r="A93" s="291" t="s">
        <v>57</v>
      </c>
      <c r="B93" s="292" t="s">
        <v>111</v>
      </c>
      <c r="C93" s="293">
        <f t="shared" ref="C93:D93" si="139">100000*0.5*0.5*0</f>
        <v>0</v>
      </c>
      <c r="D93" s="294">
        <f t="shared" si="139"/>
        <v>0</v>
      </c>
      <c r="E93" s="294">
        <f t="shared" si="129"/>
        <v>0</v>
      </c>
      <c r="F93" s="295"/>
      <c r="G93" s="293"/>
      <c r="H93" s="294">
        <f>D93*1.03</f>
        <v>0</v>
      </c>
      <c r="I93" s="294">
        <f t="shared" si="131"/>
        <v>0</v>
      </c>
      <c r="J93" s="295"/>
      <c r="K93" s="293">
        <v>85000</v>
      </c>
      <c r="L93" s="294">
        <f>H93*1.03</f>
        <v>0</v>
      </c>
      <c r="M93" s="294">
        <f t="shared" si="133"/>
        <v>85000</v>
      </c>
      <c r="N93" s="295"/>
      <c r="O93" s="293"/>
      <c r="P93" s="294">
        <f>L93*1.03</f>
        <v>0</v>
      </c>
      <c r="Q93" s="294">
        <f t="shared" si="135"/>
        <v>0</v>
      </c>
      <c r="R93" s="295"/>
      <c r="S93" s="293">
        <f>O93*1.03*0</f>
        <v>0</v>
      </c>
      <c r="T93" s="294">
        <f>P93*1.03</f>
        <v>0</v>
      </c>
      <c r="U93" s="294">
        <f t="shared" si="137"/>
        <v>0</v>
      </c>
      <c r="V93" s="296"/>
      <c r="W93" s="293">
        <f t="shared" si="138"/>
        <v>85000</v>
      </c>
      <c r="X93" s="294">
        <f t="shared" si="138"/>
        <v>0</v>
      </c>
      <c r="Y93" s="294">
        <f>SUM(W93:X93)</f>
        <v>85000</v>
      </c>
      <c r="Z93" s="292"/>
      <c r="AA93" s="292"/>
      <c r="AB93" s="292"/>
      <c r="AC93" s="292"/>
      <c r="AD93" s="292"/>
      <c r="AE93" s="292"/>
      <c r="AF93" s="292"/>
      <c r="AG93" s="292"/>
      <c r="AH93" s="292"/>
      <c r="AI93" s="292"/>
      <c r="AJ93" s="292"/>
      <c r="AK93" s="292"/>
      <c r="AL93" s="292"/>
      <c r="AM93" s="292"/>
      <c r="AN93" s="292"/>
      <c r="AO93" s="292"/>
      <c r="AP93" s="292"/>
      <c r="AQ93" s="292"/>
      <c r="AR93" s="292"/>
      <c r="AS93" s="292"/>
      <c r="AT93" s="292"/>
      <c r="AU93" s="292"/>
    </row>
    <row r="94" spans="1:77" customFormat="1" ht="12.75" customHeight="1" x14ac:dyDescent="0.25">
      <c r="A94" s="291" t="s">
        <v>57</v>
      </c>
      <c r="B94" s="292" t="s">
        <v>112</v>
      </c>
      <c r="C94" s="293">
        <v>0</v>
      </c>
      <c r="D94" s="294">
        <v>0</v>
      </c>
      <c r="E94" s="294">
        <f t="shared" si="129"/>
        <v>0</v>
      </c>
      <c r="F94" s="295"/>
      <c r="G94" s="293"/>
      <c r="H94" s="294">
        <f t="shared" ref="H94:H95" si="140">D94*1.05</f>
        <v>0</v>
      </c>
      <c r="I94" s="294">
        <f t="shared" si="131"/>
        <v>0</v>
      </c>
      <c r="J94" s="295"/>
      <c r="K94" s="293">
        <v>85000</v>
      </c>
      <c r="L94" s="294">
        <f t="shared" ref="L94:L95" si="141">H94*1.05</f>
        <v>0</v>
      </c>
      <c r="M94" s="294">
        <f t="shared" si="133"/>
        <v>85000</v>
      </c>
      <c r="N94" s="295"/>
      <c r="O94" s="293"/>
      <c r="P94" s="294">
        <f t="shared" ref="P94:P95" si="142">L94*1.05</f>
        <v>0</v>
      </c>
      <c r="Q94" s="294">
        <f t="shared" si="135"/>
        <v>0</v>
      </c>
      <c r="R94" s="295"/>
      <c r="S94" s="293">
        <f t="shared" ref="S94:T95" si="143">O94*1.05</f>
        <v>0</v>
      </c>
      <c r="T94" s="294">
        <f t="shared" si="143"/>
        <v>0</v>
      </c>
      <c r="U94" s="294">
        <f t="shared" si="137"/>
        <v>0</v>
      </c>
      <c r="V94" s="296"/>
      <c r="W94" s="293">
        <f t="shared" si="138"/>
        <v>85000</v>
      </c>
      <c r="X94" s="294">
        <f t="shared" si="138"/>
        <v>0</v>
      </c>
      <c r="Y94" s="297">
        <f t="shared" si="138"/>
        <v>85000</v>
      </c>
      <c r="Z94" s="292"/>
      <c r="AA94" s="292"/>
      <c r="AB94" s="292"/>
      <c r="AC94" s="292"/>
      <c r="AD94" s="292"/>
      <c r="AE94" s="292"/>
      <c r="AF94" s="292"/>
      <c r="AG94" s="292"/>
      <c r="AH94" s="292"/>
      <c r="AI94" s="292"/>
      <c r="AJ94" s="292"/>
      <c r="AK94" s="292"/>
      <c r="AL94" s="292"/>
      <c r="AM94" s="292"/>
      <c r="AN94" s="292"/>
      <c r="AO94" s="292"/>
      <c r="AP94" s="292"/>
      <c r="AQ94" s="292"/>
      <c r="AR94" s="292"/>
      <c r="AS94" s="292"/>
      <c r="AT94" s="292"/>
      <c r="AU94" s="292"/>
    </row>
    <row r="95" spans="1:77" customFormat="1" ht="12.75" customHeight="1" x14ac:dyDescent="0.25">
      <c r="A95" s="291" t="s">
        <v>57</v>
      </c>
      <c r="B95" s="292" t="s">
        <v>139</v>
      </c>
      <c r="C95" s="293">
        <v>0</v>
      </c>
      <c r="D95" s="294">
        <v>0</v>
      </c>
      <c r="E95" s="294">
        <f t="shared" si="129"/>
        <v>0</v>
      </c>
      <c r="F95" s="295"/>
      <c r="G95" s="293"/>
      <c r="H95" s="294">
        <f t="shared" si="140"/>
        <v>0</v>
      </c>
      <c r="I95" s="294">
        <f t="shared" si="131"/>
        <v>0</v>
      </c>
      <c r="J95" s="295"/>
      <c r="K95" s="293">
        <v>85000</v>
      </c>
      <c r="L95" s="294">
        <f t="shared" si="141"/>
        <v>0</v>
      </c>
      <c r="M95" s="294">
        <f t="shared" si="133"/>
        <v>85000</v>
      </c>
      <c r="N95" s="295"/>
      <c r="O95" s="293"/>
      <c r="P95" s="294">
        <f t="shared" si="142"/>
        <v>0</v>
      </c>
      <c r="Q95" s="294">
        <f t="shared" si="135"/>
        <v>0</v>
      </c>
      <c r="R95" s="295"/>
      <c r="S95" s="293">
        <f t="shared" si="143"/>
        <v>0</v>
      </c>
      <c r="T95" s="294">
        <f t="shared" si="143"/>
        <v>0</v>
      </c>
      <c r="U95" s="294">
        <f t="shared" si="137"/>
        <v>0</v>
      </c>
      <c r="V95" s="296"/>
      <c r="W95" s="293">
        <f t="shared" si="138"/>
        <v>85000</v>
      </c>
      <c r="X95" s="294">
        <f t="shared" si="138"/>
        <v>0</v>
      </c>
      <c r="Y95" s="297">
        <f t="shared" si="138"/>
        <v>85000</v>
      </c>
      <c r="Z95" s="292"/>
      <c r="AA95" s="292"/>
      <c r="AB95" s="292"/>
      <c r="AC95" s="292"/>
      <c r="AD95" s="292"/>
      <c r="AE95" s="292"/>
      <c r="AF95" s="292"/>
      <c r="AG95" s="292"/>
      <c r="AH95" s="292"/>
      <c r="AI95" s="292"/>
      <c r="AJ95" s="292"/>
      <c r="AK95" s="292"/>
      <c r="AL95" s="292"/>
      <c r="AM95" s="292"/>
      <c r="AN95" s="292"/>
      <c r="AO95" s="292"/>
      <c r="AP95" s="292"/>
      <c r="AQ95" s="292"/>
      <c r="AR95" s="292"/>
      <c r="AS95" s="292"/>
      <c r="AT95" s="292"/>
      <c r="AU95" s="292"/>
    </row>
    <row r="96" spans="1:77" customFormat="1" ht="12.75" customHeight="1" x14ac:dyDescent="0.25">
      <c r="A96" s="292"/>
      <c r="B96" s="292" t="s">
        <v>137</v>
      </c>
      <c r="C96" s="293">
        <f>(5000*2)</f>
        <v>10000</v>
      </c>
      <c r="D96" s="294">
        <f>(5000*2)*0</f>
        <v>0</v>
      </c>
      <c r="E96" s="294">
        <f t="shared" si="129"/>
        <v>10000</v>
      </c>
      <c r="F96" s="295"/>
      <c r="G96" s="293">
        <f t="shared" ref="G96:H97" si="144">C96*1.03</f>
        <v>10300</v>
      </c>
      <c r="H96" s="294">
        <f t="shared" si="144"/>
        <v>0</v>
      </c>
      <c r="I96" s="294">
        <f t="shared" si="131"/>
        <v>10300</v>
      </c>
      <c r="J96" s="295"/>
      <c r="K96" s="293">
        <f t="shared" ref="K96:L97" si="145">G96*1.03</f>
        <v>10609</v>
      </c>
      <c r="L96" s="294">
        <f t="shared" si="145"/>
        <v>0</v>
      </c>
      <c r="M96" s="294">
        <f t="shared" si="133"/>
        <v>10609</v>
      </c>
      <c r="N96" s="295"/>
      <c r="O96" s="293">
        <f t="shared" ref="O96:P97" si="146">K96*1.03</f>
        <v>10927.27</v>
      </c>
      <c r="P96" s="294">
        <f t="shared" si="146"/>
        <v>0</v>
      </c>
      <c r="Q96" s="294">
        <f t="shared" si="135"/>
        <v>10927.27</v>
      </c>
      <c r="R96" s="295"/>
      <c r="S96" s="293">
        <f t="shared" ref="S96:T97" si="147">O96*1.03</f>
        <v>11255.088100000001</v>
      </c>
      <c r="T96" s="294">
        <f t="shared" si="147"/>
        <v>0</v>
      </c>
      <c r="U96" s="294">
        <f t="shared" si="137"/>
        <v>11255.088100000001</v>
      </c>
      <c r="V96" s="296"/>
      <c r="W96" s="293">
        <f t="shared" si="138"/>
        <v>53091.358100000005</v>
      </c>
      <c r="X96" s="294">
        <f t="shared" si="138"/>
        <v>0</v>
      </c>
      <c r="Y96" s="294">
        <f t="shared" ref="Y96:Y97" si="148">SUM(W96:X96)</f>
        <v>53091.358100000005</v>
      </c>
      <c r="Z96" s="292"/>
      <c r="AA96" s="292"/>
      <c r="AB96" s="292"/>
      <c r="AC96" s="292"/>
      <c r="AD96" s="292"/>
      <c r="AE96" s="292"/>
      <c r="AF96" s="292"/>
      <c r="AG96" s="292"/>
      <c r="AH96" s="292"/>
      <c r="AI96" s="292"/>
      <c r="AJ96" s="292"/>
      <c r="AK96" s="292"/>
      <c r="AL96" s="292"/>
      <c r="AM96" s="292"/>
      <c r="AN96" s="292"/>
      <c r="AO96" s="292"/>
      <c r="AP96" s="292"/>
      <c r="AQ96" s="292"/>
      <c r="AR96" s="292"/>
      <c r="AS96" s="292"/>
      <c r="AT96" s="292"/>
      <c r="AU96" s="292"/>
    </row>
    <row r="97" spans="1:77" customFormat="1" ht="12.75" customHeight="1" x14ac:dyDescent="0.25">
      <c r="A97" s="291" t="s">
        <v>57</v>
      </c>
      <c r="B97" s="292" t="s">
        <v>225</v>
      </c>
      <c r="C97" s="293">
        <f>(5000*4)</f>
        <v>20000</v>
      </c>
      <c r="D97" s="294">
        <f>(5000*3)*0</f>
        <v>0</v>
      </c>
      <c r="E97" s="294">
        <f t="shared" si="129"/>
        <v>20000</v>
      </c>
      <c r="F97" s="295"/>
      <c r="G97" s="293">
        <f t="shared" si="144"/>
        <v>20600</v>
      </c>
      <c r="H97" s="294">
        <f t="shared" si="144"/>
        <v>0</v>
      </c>
      <c r="I97" s="294">
        <f t="shared" si="131"/>
        <v>20600</v>
      </c>
      <c r="J97" s="295"/>
      <c r="K97" s="293">
        <f t="shared" si="145"/>
        <v>21218</v>
      </c>
      <c r="L97" s="294">
        <f t="shared" si="145"/>
        <v>0</v>
      </c>
      <c r="M97" s="294">
        <f t="shared" si="133"/>
        <v>21218</v>
      </c>
      <c r="N97" s="295"/>
      <c r="O97" s="293">
        <f t="shared" si="146"/>
        <v>21854.54</v>
      </c>
      <c r="P97" s="294">
        <f t="shared" si="146"/>
        <v>0</v>
      </c>
      <c r="Q97" s="294">
        <f t="shared" si="135"/>
        <v>21854.54</v>
      </c>
      <c r="R97" s="295"/>
      <c r="S97" s="293">
        <f t="shared" si="147"/>
        <v>22510.176200000002</v>
      </c>
      <c r="T97" s="294">
        <f t="shared" si="147"/>
        <v>0</v>
      </c>
      <c r="U97" s="294">
        <f t="shared" si="137"/>
        <v>22510.176200000002</v>
      </c>
      <c r="V97" s="296"/>
      <c r="W97" s="293">
        <f t="shared" si="138"/>
        <v>106182.71620000001</v>
      </c>
      <c r="X97" s="294">
        <f t="shared" si="138"/>
        <v>0</v>
      </c>
      <c r="Y97" s="294">
        <f t="shared" si="148"/>
        <v>106182.71620000001</v>
      </c>
      <c r="Z97" s="292"/>
      <c r="AA97" s="292"/>
      <c r="AB97" s="292"/>
      <c r="AC97" s="292"/>
      <c r="AD97" s="292"/>
      <c r="AE97" s="292"/>
      <c r="AF97" s="292"/>
      <c r="AG97" s="292"/>
      <c r="AH97" s="292"/>
      <c r="AI97" s="292"/>
      <c r="AJ97" s="292"/>
      <c r="AK97" s="292"/>
      <c r="AL97" s="292"/>
      <c r="AM97" s="292"/>
      <c r="AN97" s="292"/>
      <c r="AO97" s="292"/>
      <c r="AP97" s="292"/>
      <c r="AQ97" s="292"/>
      <c r="AR97" s="292"/>
      <c r="AS97" s="292"/>
      <c r="AT97" s="292"/>
      <c r="AU97" s="292"/>
    </row>
    <row r="98" spans="1:77" s="169" customFormat="1" x14ac:dyDescent="0.25">
      <c r="A98" s="170" t="s">
        <v>57</v>
      </c>
      <c r="B98" s="171" t="s">
        <v>57</v>
      </c>
      <c r="C98" s="227">
        <v>0</v>
      </c>
      <c r="D98" s="174">
        <v>0</v>
      </c>
      <c r="E98" s="174">
        <f t="shared" ref="E98" si="149">SUM(C98:D98)</f>
        <v>0</v>
      </c>
      <c r="F98" s="175"/>
      <c r="G98" s="172">
        <f>C98*1.05</f>
        <v>0</v>
      </c>
      <c r="H98" s="173">
        <f>D98*1.05</f>
        <v>0</v>
      </c>
      <c r="I98" s="173">
        <f t="shared" ref="I98" si="150">SUM(G98:H98)</f>
        <v>0</v>
      </c>
      <c r="J98" s="175"/>
      <c r="K98" s="55">
        <f>G98*1.03</f>
        <v>0</v>
      </c>
      <c r="L98" s="57">
        <f t="shared" ref="L98" si="151">H98*1.03</f>
        <v>0</v>
      </c>
      <c r="M98" s="173">
        <f t="shared" ref="M98" si="152">SUM(K98:L98)</f>
        <v>0</v>
      </c>
      <c r="N98" s="175"/>
      <c r="O98" s="172"/>
      <c r="P98" s="173">
        <f>L98*1.05</f>
        <v>0</v>
      </c>
      <c r="Q98" s="173">
        <f t="shared" ref="Q98" si="153">SUM(O98:P98)</f>
        <v>0</v>
      </c>
      <c r="R98" s="175"/>
      <c r="S98" s="172">
        <f>O98*1.05</f>
        <v>0</v>
      </c>
      <c r="T98" s="173">
        <f>P98*1.05</f>
        <v>0</v>
      </c>
      <c r="U98" s="173">
        <f t="shared" ref="U98" si="154">SUM(S98:T98)</f>
        <v>0</v>
      </c>
      <c r="V98" s="176"/>
      <c r="W98" s="227">
        <f t="shared" ref="W98:Y98" si="155">C98+G98+K98+O98+S98</f>
        <v>0</v>
      </c>
      <c r="X98" s="173">
        <f t="shared" si="155"/>
        <v>0</v>
      </c>
      <c r="Y98" s="179">
        <f t="shared" si="155"/>
        <v>0</v>
      </c>
    </row>
    <row r="99" spans="1:77" s="83" customFormat="1" x14ac:dyDescent="0.25">
      <c r="A99" s="78"/>
      <c r="B99" s="78" t="s">
        <v>9</v>
      </c>
      <c r="C99" s="228">
        <f>SUM(C92:C97)</f>
        <v>43066.26</v>
      </c>
      <c r="D99" s="125">
        <f>SUM(D92:D98)</f>
        <v>0</v>
      </c>
      <c r="E99" s="125">
        <f>SUM(E92:E96)</f>
        <v>23066.260000000002</v>
      </c>
      <c r="F99" s="81"/>
      <c r="G99" s="228">
        <f>SUM(G92:G97)</f>
        <v>44358.247799999997</v>
      </c>
      <c r="H99" s="80">
        <f>SUM(H92:H98)</f>
        <v>0</v>
      </c>
      <c r="I99" s="80">
        <f>SUM(I92:I96)</f>
        <v>23758.247800000001</v>
      </c>
      <c r="J99" s="81"/>
      <c r="K99" s="228">
        <f>SUM(K92:K97)</f>
        <v>300688.99523400003</v>
      </c>
      <c r="L99" s="80">
        <f>SUM(L92:L98)</f>
        <v>0</v>
      </c>
      <c r="M99" s="80">
        <f>SUM(M92:M96)</f>
        <v>279470.99523400003</v>
      </c>
      <c r="N99" s="81"/>
      <c r="O99" s="228">
        <f>SUM(O92:O97)</f>
        <v>47059.665091020004</v>
      </c>
      <c r="P99" s="80">
        <f>SUM(P92:P98)</f>
        <v>0</v>
      </c>
      <c r="Q99" s="80">
        <f>SUM(Q92:Q96)</f>
        <v>25205.125091020003</v>
      </c>
      <c r="R99" s="81"/>
      <c r="S99" s="228">
        <f>SUM(S92:S97)</f>
        <v>48471.455043750604</v>
      </c>
      <c r="T99" s="80">
        <f>SUM(T92:T98)</f>
        <v>0</v>
      </c>
      <c r="U99" s="80">
        <f>SUM(U92:U96)</f>
        <v>25961.278843750602</v>
      </c>
      <c r="V99" s="82"/>
      <c r="W99" s="228">
        <f>C99+G99+K99+O99+S99</f>
        <v>483644.62316877063</v>
      </c>
      <c r="X99" s="80">
        <f>SUM(X92:X98)</f>
        <v>0</v>
      </c>
      <c r="Y99" s="80">
        <f>SUM(Y92:Y98)</f>
        <v>483644.62316877063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s="61" customFormat="1" x14ac:dyDescent="0.25">
      <c r="B101" s="61" t="s">
        <v>215</v>
      </c>
      <c r="C101" s="124">
        <f>60000*0.5*0</f>
        <v>0</v>
      </c>
      <c r="D101" s="56">
        <v>0</v>
      </c>
      <c r="E101" s="56">
        <f>SUM(C101:D101)</f>
        <v>0</v>
      </c>
      <c r="F101" s="58"/>
      <c r="G101" s="55">
        <f>60000*1.03*2</f>
        <v>123600</v>
      </c>
      <c r="H101" s="57">
        <f>D101*1.03</f>
        <v>0</v>
      </c>
      <c r="I101" s="57">
        <f>SUM(G101:H101)</f>
        <v>123600</v>
      </c>
      <c r="J101" s="58"/>
      <c r="K101" s="55">
        <f>(((G101*1.03)/2)*3)</f>
        <v>190962</v>
      </c>
      <c r="L101" s="57">
        <f t="shared" ref="L101:L102" si="156">H101*1.03</f>
        <v>0</v>
      </c>
      <c r="M101" s="57">
        <f>SUM(K101:L101)</f>
        <v>190962</v>
      </c>
      <c r="N101" s="58"/>
      <c r="O101" s="55">
        <f>K101*1.03</f>
        <v>196690.86000000002</v>
      </c>
      <c r="P101" s="57">
        <f>L101*1.03</f>
        <v>0</v>
      </c>
      <c r="Q101" s="57">
        <f>SUM(O101:P101)</f>
        <v>196690.86000000002</v>
      </c>
      <c r="R101" s="58"/>
      <c r="S101" s="55">
        <f>((O101*1.03)/3)*2</f>
        <v>135061.05720000001</v>
      </c>
      <c r="T101" s="57">
        <f>P101*1.03</f>
        <v>0</v>
      </c>
      <c r="U101" s="57">
        <f>SUM(S101:T101)</f>
        <v>135061.05720000001</v>
      </c>
      <c r="V101" s="59"/>
      <c r="W101" s="124">
        <f t="shared" ref="W101:X102" si="157">C101+G101+K101+O101+S101</f>
        <v>646313.91720000003</v>
      </c>
      <c r="X101" s="57">
        <f t="shared" ref="X101" si="158">D101+H101+L101+P101+T101</f>
        <v>0</v>
      </c>
      <c r="Y101" s="57">
        <f t="shared" ref="Y101:Y102" si="159">SUM(W101:X101)</f>
        <v>646313.91720000003</v>
      </c>
      <c r="AA101" s="202" t="s">
        <v>57</v>
      </c>
    </row>
    <row r="102" spans="1:77" customFormat="1" ht="12.75" customHeight="1" x14ac:dyDescent="0.25">
      <c r="A102" s="298"/>
      <c r="B102" s="292" t="s">
        <v>254</v>
      </c>
      <c r="C102" s="293">
        <f>28000*0.5*0</f>
        <v>0</v>
      </c>
      <c r="D102" s="294">
        <v>0</v>
      </c>
      <c r="E102" s="294">
        <f t="shared" ref="E102" si="160">SUM(C102:D102)</f>
        <v>0</v>
      </c>
      <c r="F102" s="295"/>
      <c r="G102" s="299">
        <f>((28000*1))</f>
        <v>28000</v>
      </c>
      <c r="H102" s="294">
        <f t="shared" ref="H102" si="161">D102*1.03</f>
        <v>0</v>
      </c>
      <c r="I102" s="294">
        <f t="shared" ref="I102" si="162">SUM(G102:H102)</f>
        <v>28000</v>
      </c>
      <c r="J102" s="295"/>
      <c r="K102" s="293">
        <f>I102</f>
        <v>28000</v>
      </c>
      <c r="L102" s="294">
        <f t="shared" si="156"/>
        <v>0</v>
      </c>
      <c r="M102" s="294">
        <f t="shared" ref="M102" si="163">SUM(K102:L102)</f>
        <v>28000</v>
      </c>
      <c r="N102" s="295"/>
      <c r="O102" s="293">
        <f>M102</f>
        <v>28000</v>
      </c>
      <c r="P102" s="294">
        <f>L102*1.03</f>
        <v>0</v>
      </c>
      <c r="Q102" s="294">
        <f t="shared" ref="Q102" si="164">SUM(O102:P102)</f>
        <v>28000</v>
      </c>
      <c r="R102" s="295"/>
      <c r="S102" s="293">
        <f>Q102</f>
        <v>28000</v>
      </c>
      <c r="T102" s="294">
        <f t="shared" ref="T102" si="165">P102*1.03</f>
        <v>0</v>
      </c>
      <c r="U102" s="294">
        <f t="shared" ref="U102" si="166">SUM(S102:T102)</f>
        <v>28000</v>
      </c>
      <c r="V102" s="296"/>
      <c r="W102" s="293">
        <f t="shared" si="157"/>
        <v>112000</v>
      </c>
      <c r="X102" s="294">
        <f t="shared" si="157"/>
        <v>0</v>
      </c>
      <c r="Y102" s="294">
        <f t="shared" si="159"/>
        <v>112000</v>
      </c>
      <c r="Z102" s="292"/>
      <c r="AA102" s="292"/>
      <c r="AB102" s="292"/>
      <c r="AC102" s="292"/>
      <c r="AD102" s="292"/>
      <c r="AE102" s="292"/>
      <c r="AF102" s="292"/>
      <c r="AG102" s="292"/>
      <c r="AH102" s="292"/>
      <c r="AI102" s="292"/>
      <c r="AJ102" s="292"/>
      <c r="AK102" s="292"/>
      <c r="AL102" s="292"/>
      <c r="AM102" s="292"/>
      <c r="AN102" s="292"/>
      <c r="AO102" s="292"/>
      <c r="AP102" s="292"/>
      <c r="AQ102" s="292"/>
      <c r="AR102" s="292"/>
      <c r="AS102" s="292"/>
      <c r="AT102" s="292"/>
      <c r="AU102" s="292"/>
    </row>
    <row r="103" spans="1:77" s="169" customFormat="1" x14ac:dyDescent="0.25">
      <c r="C103" s="172">
        <v>0</v>
      </c>
      <c r="D103" s="173">
        <v>0</v>
      </c>
      <c r="E103" s="173">
        <f t="shared" ref="E103" si="167">SUM(C103:D103)</f>
        <v>0</v>
      </c>
      <c r="F103" s="175"/>
      <c r="G103" s="172">
        <f>C103*1.03</f>
        <v>0</v>
      </c>
      <c r="H103" s="173">
        <f t="shared" ref="H103" si="168">D103*1.05</f>
        <v>0</v>
      </c>
      <c r="I103" s="173">
        <f t="shared" ref="I103" si="169">SUM(G103:H103)</f>
        <v>0</v>
      </c>
      <c r="J103" s="175"/>
      <c r="K103" s="172">
        <f>G103*1.03</f>
        <v>0</v>
      </c>
      <c r="L103" s="173">
        <f t="shared" ref="L103" si="170">H103*1.05</f>
        <v>0</v>
      </c>
      <c r="M103" s="173">
        <f t="shared" ref="M103" si="171">SUM(K103:L103)</f>
        <v>0</v>
      </c>
      <c r="N103" s="175"/>
      <c r="O103" s="172">
        <f t="shared" ref="O103" si="172">K103*1.03</f>
        <v>0</v>
      </c>
      <c r="P103" s="173">
        <f t="shared" ref="P103" si="173">L103*1.05</f>
        <v>0</v>
      </c>
      <c r="Q103" s="173">
        <f t="shared" ref="Q103" si="174">SUM(O103:P103)</f>
        <v>0</v>
      </c>
      <c r="R103" s="175"/>
      <c r="S103" s="172">
        <f t="shared" ref="S103" si="175">O103*1.03</f>
        <v>0</v>
      </c>
      <c r="T103" s="173">
        <f t="shared" ref="T103" si="176">P103*1.05</f>
        <v>0</v>
      </c>
      <c r="U103" s="173">
        <f t="shared" ref="U103:U105" si="177">SUM(S103:T103)</f>
        <v>0</v>
      </c>
      <c r="V103" s="176"/>
      <c r="W103" s="227">
        <f t="shared" ref="W103:Y105" si="178">C103+G103+K103+O103+S103</f>
        <v>0</v>
      </c>
      <c r="X103" s="173">
        <f t="shared" si="178"/>
        <v>0</v>
      </c>
      <c r="Y103" s="186">
        <f t="shared" si="178"/>
        <v>0</v>
      </c>
    </row>
    <row r="104" spans="1:77" s="61" customFormat="1" x14ac:dyDescent="0.25">
      <c r="A104" s="54" t="s">
        <v>57</v>
      </c>
      <c r="B104" s="54" t="s">
        <v>57</v>
      </c>
      <c r="C104" s="124">
        <v>0</v>
      </c>
      <c r="D104" s="56">
        <f>55000*0.25*0</f>
        <v>0</v>
      </c>
      <c r="E104" s="56">
        <f t="shared" ref="E104" si="179">SUM(C104:D104)</f>
        <v>0</v>
      </c>
      <c r="F104" s="58"/>
      <c r="G104" s="55">
        <f>(55000*0.5*1.03)*0</f>
        <v>0</v>
      </c>
      <c r="H104" s="57">
        <f>55000*0.5*1.03*0</f>
        <v>0</v>
      </c>
      <c r="I104" s="57">
        <f t="shared" ref="I104" si="180">SUM(G104:H104)</f>
        <v>0</v>
      </c>
      <c r="J104" s="58"/>
      <c r="K104" s="55">
        <f>G104*1.03</f>
        <v>0</v>
      </c>
      <c r="L104" s="57">
        <f t="shared" ref="L104" si="181">H104*1.03</f>
        <v>0</v>
      </c>
      <c r="M104" s="57">
        <f t="shared" ref="M104" si="182">SUM(K104:L104)</f>
        <v>0</v>
      </c>
      <c r="N104" s="58"/>
      <c r="O104" s="55">
        <f>K104*1.03*0</f>
        <v>0</v>
      </c>
      <c r="P104" s="57">
        <f t="shared" ref="P104" si="183">L104*1.03</f>
        <v>0</v>
      </c>
      <c r="Q104" s="57">
        <f t="shared" ref="Q104" si="184">SUM(O104:P104)</f>
        <v>0</v>
      </c>
      <c r="R104" s="58"/>
      <c r="S104" s="55">
        <f>O104*1.03*0</f>
        <v>0</v>
      </c>
      <c r="T104" s="57">
        <f>P104*1.03*0</f>
        <v>0</v>
      </c>
      <c r="U104" s="57">
        <f t="shared" si="177"/>
        <v>0</v>
      </c>
      <c r="V104" s="59"/>
      <c r="W104" s="124">
        <f t="shared" si="178"/>
        <v>0</v>
      </c>
      <c r="X104" s="57">
        <f t="shared" si="178"/>
        <v>0</v>
      </c>
      <c r="Y104" s="57">
        <f t="shared" ref="Y104" si="185">SUM(W104:X104)</f>
        <v>0</v>
      </c>
    </row>
    <row r="105" spans="1:77" s="61" customFormat="1" x14ac:dyDescent="0.25">
      <c r="A105" s="54" t="s">
        <v>57</v>
      </c>
      <c r="B105" s="54" t="s">
        <v>57</v>
      </c>
      <c r="C105" s="124">
        <v>0</v>
      </c>
      <c r="D105" s="56">
        <v>0</v>
      </c>
      <c r="E105" s="56">
        <f t="shared" ref="E105" si="186">SUM(C105:D105)</f>
        <v>0</v>
      </c>
      <c r="F105" s="58"/>
      <c r="G105" s="55">
        <v>0</v>
      </c>
      <c r="H105" s="57">
        <f>D105*1.03</f>
        <v>0</v>
      </c>
      <c r="I105" s="57">
        <f t="shared" ref="I105" si="187">SUM(G105:H105)</f>
        <v>0</v>
      </c>
      <c r="J105" s="58"/>
      <c r="K105" s="55">
        <f>C105*1.03*1.03</f>
        <v>0</v>
      </c>
      <c r="L105" s="57">
        <f>H105*1.03</f>
        <v>0</v>
      </c>
      <c r="M105" s="57">
        <f t="shared" ref="M105" si="188">SUM(K105:L105)</f>
        <v>0</v>
      </c>
      <c r="N105" s="58"/>
      <c r="O105" s="55">
        <f>K105*1.03*0</f>
        <v>0</v>
      </c>
      <c r="P105" s="57">
        <f t="shared" ref="P105" si="189">L105*1.03</f>
        <v>0</v>
      </c>
      <c r="Q105" s="57">
        <f t="shared" ref="Q105" si="190">SUM(O105:P105)</f>
        <v>0</v>
      </c>
      <c r="R105" s="58"/>
      <c r="S105" s="55">
        <f>O105*1.03*0.5*0</f>
        <v>0</v>
      </c>
      <c r="T105" s="57">
        <f t="shared" ref="T105" si="191">P105*1.03</f>
        <v>0</v>
      </c>
      <c r="U105" s="57">
        <f t="shared" si="177"/>
        <v>0</v>
      </c>
      <c r="V105" s="59"/>
      <c r="W105" s="124">
        <f t="shared" si="178"/>
        <v>0</v>
      </c>
      <c r="X105" s="57">
        <f t="shared" si="178"/>
        <v>0</v>
      </c>
      <c r="Y105" s="57">
        <f t="shared" ref="Y105" si="192">SUM(W105:X105)</f>
        <v>0</v>
      </c>
      <c r="AA105" s="202" t="s">
        <v>57</v>
      </c>
    </row>
    <row r="106" spans="1:77" s="61" customFormat="1" x14ac:dyDescent="0.25">
      <c r="A106" s="52"/>
      <c r="B106" s="61" t="s">
        <v>57</v>
      </c>
      <c r="C106" s="124">
        <v>0</v>
      </c>
      <c r="D106" s="56">
        <v>0</v>
      </c>
      <c r="E106" s="56">
        <f t="shared" ref="E106:E111" si="193">SUM(C106:D106)</f>
        <v>0</v>
      </c>
      <c r="F106" s="58"/>
      <c r="G106" s="55">
        <f>7100*1.03*0</f>
        <v>0</v>
      </c>
      <c r="H106" s="57">
        <f t="shared" ref="H106:H111" si="194">D106*1.03</f>
        <v>0</v>
      </c>
      <c r="I106" s="57">
        <f t="shared" ref="I106:I111" si="195">SUM(G106:H106)</f>
        <v>0</v>
      </c>
      <c r="J106" s="58"/>
      <c r="K106" s="55">
        <f t="shared" ref="K106:K111" si="196">G106*1.03</f>
        <v>0</v>
      </c>
      <c r="L106" s="57">
        <f t="shared" ref="L106:L111" si="197">H106*1.03</f>
        <v>0</v>
      </c>
      <c r="M106" s="57">
        <f t="shared" ref="M106:M111" si="198">SUM(K106:L106)</f>
        <v>0</v>
      </c>
      <c r="N106" s="58"/>
      <c r="O106" s="55">
        <f t="shared" ref="O106:O111" si="199">K106*1.03</f>
        <v>0</v>
      </c>
      <c r="P106" s="57">
        <f t="shared" ref="P106:P111" si="200">L106*1.03</f>
        <v>0</v>
      </c>
      <c r="Q106" s="57">
        <f t="shared" ref="Q106:Q111" si="201">SUM(O106:P106)</f>
        <v>0</v>
      </c>
      <c r="R106" s="58"/>
      <c r="S106" s="55">
        <f>O106*1.03</f>
        <v>0</v>
      </c>
      <c r="T106" s="57">
        <f t="shared" ref="T106:T111" si="202">P106*1.03</f>
        <v>0</v>
      </c>
      <c r="U106" s="57">
        <f t="shared" ref="U106:U111" si="203">SUM(S106:T106)</f>
        <v>0</v>
      </c>
      <c r="V106" s="59"/>
      <c r="W106" s="124">
        <f t="shared" ref="W106:W112" si="204">C106+G106+K106+O106+S106</f>
        <v>0</v>
      </c>
      <c r="X106" s="57">
        <f t="shared" ref="X106:X112" si="205">D106+H106+L106+P106+T106</f>
        <v>0</v>
      </c>
      <c r="Y106" s="84">
        <f t="shared" ref="Y106:Y112" si="206">E106+I106+M106+Q106+U106</f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4"/>
      <c r="C107" s="124">
        <v>0</v>
      </c>
      <c r="D107" s="56">
        <v>0</v>
      </c>
      <c r="E107" s="56">
        <f t="shared" si="193"/>
        <v>0</v>
      </c>
      <c r="F107" s="58"/>
      <c r="G107" s="55">
        <f>C107*1.03</f>
        <v>0</v>
      </c>
      <c r="H107" s="57">
        <f t="shared" si="194"/>
        <v>0</v>
      </c>
      <c r="I107" s="57">
        <f t="shared" si="195"/>
        <v>0</v>
      </c>
      <c r="J107" s="58"/>
      <c r="K107" s="55">
        <f t="shared" si="196"/>
        <v>0</v>
      </c>
      <c r="L107" s="57">
        <f t="shared" si="197"/>
        <v>0</v>
      </c>
      <c r="M107" s="57">
        <f t="shared" si="198"/>
        <v>0</v>
      </c>
      <c r="N107" s="58"/>
      <c r="O107" s="55">
        <f t="shared" si="199"/>
        <v>0</v>
      </c>
      <c r="P107" s="57">
        <f t="shared" si="200"/>
        <v>0</v>
      </c>
      <c r="Q107" s="57">
        <f t="shared" si="201"/>
        <v>0</v>
      </c>
      <c r="R107" s="58"/>
      <c r="S107" s="55">
        <f>O107*1.03</f>
        <v>0</v>
      </c>
      <c r="T107" s="57">
        <f t="shared" si="202"/>
        <v>0</v>
      </c>
      <c r="U107" s="57">
        <f t="shared" si="203"/>
        <v>0</v>
      </c>
      <c r="V107" s="59"/>
      <c r="W107" s="124">
        <f t="shared" si="204"/>
        <v>0</v>
      </c>
      <c r="X107" s="57">
        <f t="shared" si="205"/>
        <v>0</v>
      </c>
      <c r="Y107" s="84">
        <f t="shared" si="206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87"/>
      <c r="B108" s="54" t="s">
        <v>57</v>
      </c>
      <c r="C108" s="124">
        <f>28000*2*0</f>
        <v>0</v>
      </c>
      <c r="D108" s="56">
        <v>0</v>
      </c>
      <c r="E108" s="56">
        <f t="shared" si="193"/>
        <v>0</v>
      </c>
      <c r="F108" s="58"/>
      <c r="G108" s="55">
        <f>((28000*3)*1.03)*0</f>
        <v>0</v>
      </c>
      <c r="H108" s="57">
        <f t="shared" si="194"/>
        <v>0</v>
      </c>
      <c r="I108" s="57">
        <f t="shared" si="195"/>
        <v>0</v>
      </c>
      <c r="J108" s="58"/>
      <c r="K108" s="55">
        <f>(G108*1.03)</f>
        <v>0</v>
      </c>
      <c r="L108" s="57">
        <f t="shared" si="197"/>
        <v>0</v>
      </c>
      <c r="M108" s="57">
        <f t="shared" si="198"/>
        <v>0</v>
      </c>
      <c r="N108" s="58"/>
      <c r="O108" s="55">
        <f>(K108*1.03)</f>
        <v>0</v>
      </c>
      <c r="P108" s="57">
        <f t="shared" si="200"/>
        <v>0</v>
      </c>
      <c r="Q108" s="57">
        <f t="shared" si="201"/>
        <v>0</v>
      </c>
      <c r="R108" s="58"/>
      <c r="S108" s="55">
        <f>(((O108*1.03)/3)*2)</f>
        <v>0</v>
      </c>
      <c r="T108" s="57">
        <f t="shared" si="202"/>
        <v>0</v>
      </c>
      <c r="U108" s="57">
        <f t="shared" si="203"/>
        <v>0</v>
      </c>
      <c r="V108" s="59"/>
      <c r="W108" s="124">
        <f t="shared" si="204"/>
        <v>0</v>
      </c>
      <c r="X108" s="57">
        <f t="shared" si="205"/>
        <v>0</v>
      </c>
      <c r="Y108" s="84">
        <f t="shared" si="206"/>
        <v>0</v>
      </c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193"/>
        <v>0</v>
      </c>
      <c r="F109" s="74"/>
      <c r="G109" s="55">
        <f>C109*1.03</f>
        <v>0</v>
      </c>
      <c r="H109" s="57">
        <f t="shared" si="194"/>
        <v>0</v>
      </c>
      <c r="I109" s="57">
        <f t="shared" si="195"/>
        <v>0</v>
      </c>
      <c r="J109" s="74"/>
      <c r="K109" s="55">
        <f t="shared" si="196"/>
        <v>0</v>
      </c>
      <c r="L109" s="57">
        <f t="shared" si="197"/>
        <v>0</v>
      </c>
      <c r="M109" s="57">
        <f t="shared" si="198"/>
        <v>0</v>
      </c>
      <c r="N109" s="74"/>
      <c r="O109" s="55">
        <f t="shared" si="199"/>
        <v>0</v>
      </c>
      <c r="P109" s="57">
        <f t="shared" si="200"/>
        <v>0</v>
      </c>
      <c r="Q109" s="57">
        <f t="shared" si="201"/>
        <v>0</v>
      </c>
      <c r="R109" s="74"/>
      <c r="S109" s="55">
        <f>O109*1.03</f>
        <v>0</v>
      </c>
      <c r="T109" s="57">
        <f t="shared" si="202"/>
        <v>0</v>
      </c>
      <c r="U109" s="57">
        <f t="shared" si="203"/>
        <v>0</v>
      </c>
      <c r="V109" s="59"/>
      <c r="W109" s="124">
        <f t="shared" si="204"/>
        <v>0</v>
      </c>
      <c r="X109" s="57">
        <f t="shared" si="205"/>
        <v>0</v>
      </c>
      <c r="Y109" s="84">
        <f t="shared" si="206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193"/>
        <v>0</v>
      </c>
      <c r="F110" s="74"/>
      <c r="G110" s="55">
        <f>C110*1.03</f>
        <v>0</v>
      </c>
      <c r="H110" s="57">
        <f t="shared" si="194"/>
        <v>0</v>
      </c>
      <c r="I110" s="57">
        <f t="shared" si="195"/>
        <v>0</v>
      </c>
      <c r="J110" s="74"/>
      <c r="K110" s="55">
        <f t="shared" si="196"/>
        <v>0</v>
      </c>
      <c r="L110" s="57">
        <f t="shared" si="197"/>
        <v>0</v>
      </c>
      <c r="M110" s="57">
        <f t="shared" si="198"/>
        <v>0</v>
      </c>
      <c r="N110" s="74"/>
      <c r="O110" s="55">
        <f t="shared" si="199"/>
        <v>0</v>
      </c>
      <c r="P110" s="57">
        <f t="shared" si="200"/>
        <v>0</v>
      </c>
      <c r="Q110" s="57">
        <f t="shared" si="201"/>
        <v>0</v>
      </c>
      <c r="R110" s="74"/>
      <c r="S110" s="55">
        <f>O110*1.03</f>
        <v>0</v>
      </c>
      <c r="T110" s="57">
        <f t="shared" si="202"/>
        <v>0</v>
      </c>
      <c r="U110" s="57">
        <f t="shared" si="203"/>
        <v>0</v>
      </c>
      <c r="V110" s="59"/>
      <c r="W110" s="124">
        <f t="shared" si="204"/>
        <v>0</v>
      </c>
      <c r="X110" s="57">
        <f t="shared" si="205"/>
        <v>0</v>
      </c>
      <c r="Y110" s="84">
        <f t="shared" si="206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193"/>
        <v>0</v>
      </c>
      <c r="F111" s="74"/>
      <c r="G111" s="55">
        <f>C111*1.03</f>
        <v>0</v>
      </c>
      <c r="H111" s="57">
        <f t="shared" si="194"/>
        <v>0</v>
      </c>
      <c r="I111" s="57">
        <f t="shared" si="195"/>
        <v>0</v>
      </c>
      <c r="J111" s="74"/>
      <c r="K111" s="55">
        <f t="shared" si="196"/>
        <v>0</v>
      </c>
      <c r="L111" s="57">
        <f t="shared" si="197"/>
        <v>0</v>
      </c>
      <c r="M111" s="57">
        <f t="shared" si="198"/>
        <v>0</v>
      </c>
      <c r="N111" s="74"/>
      <c r="O111" s="55">
        <f t="shared" si="199"/>
        <v>0</v>
      </c>
      <c r="P111" s="57">
        <f t="shared" si="200"/>
        <v>0</v>
      </c>
      <c r="Q111" s="57">
        <f t="shared" si="201"/>
        <v>0</v>
      </c>
      <c r="R111" s="74"/>
      <c r="S111" s="55">
        <f>O111*1.03</f>
        <v>0</v>
      </c>
      <c r="T111" s="57">
        <f t="shared" si="202"/>
        <v>0</v>
      </c>
      <c r="U111" s="57">
        <f t="shared" si="203"/>
        <v>0</v>
      </c>
      <c r="V111" s="59"/>
      <c r="W111" s="124">
        <f t="shared" si="204"/>
        <v>0</v>
      </c>
      <c r="X111" s="57">
        <f t="shared" si="205"/>
        <v>0</v>
      </c>
      <c r="Y111" s="84">
        <f t="shared" si="206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0</v>
      </c>
      <c r="D112" s="125">
        <f>SUM(D101:D111)</f>
        <v>0</v>
      </c>
      <c r="E112" s="125">
        <f>SUM(E101:E111)</f>
        <v>0</v>
      </c>
      <c r="F112" s="81"/>
      <c r="G112" s="79">
        <f>SUM(G101:G111)</f>
        <v>151600</v>
      </c>
      <c r="H112" s="80">
        <f>SUM(H101:H111)</f>
        <v>0</v>
      </c>
      <c r="I112" s="80">
        <f>SUM(I101:I111)</f>
        <v>151600</v>
      </c>
      <c r="J112" s="81"/>
      <c r="K112" s="79">
        <f>SUM(K101:K111)</f>
        <v>218962</v>
      </c>
      <c r="L112" s="80">
        <f>SUM(L101:L111)</f>
        <v>0</v>
      </c>
      <c r="M112" s="80">
        <f>SUM(M101:M111)</f>
        <v>218962</v>
      </c>
      <c r="N112" s="81"/>
      <c r="O112" s="79">
        <f>SUM(O101:O111)</f>
        <v>224690.86000000002</v>
      </c>
      <c r="P112" s="80">
        <f>SUM(P101:P111)</f>
        <v>0</v>
      </c>
      <c r="Q112" s="80">
        <f>SUM(Q101:Q111)</f>
        <v>224690.86000000002</v>
      </c>
      <c r="R112" s="81"/>
      <c r="S112" s="79">
        <f>SUM(S101:S111)</f>
        <v>163061.05720000001</v>
      </c>
      <c r="T112" s="80">
        <f>SUM(T101:T111)</f>
        <v>0</v>
      </c>
      <c r="U112" s="80">
        <f>SUM(U101:U111)</f>
        <v>163061.05720000001</v>
      </c>
      <c r="V112" s="82"/>
      <c r="W112" s="228">
        <f t="shared" si="204"/>
        <v>758313.91720000003</v>
      </c>
      <c r="X112" s="80">
        <f t="shared" si="205"/>
        <v>0</v>
      </c>
      <c r="Y112" s="80">
        <f t="shared" si="206"/>
        <v>758313.91720000003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 t="shared" ref="C113:Y113" si="207">C112+C99</f>
        <v>43066.26</v>
      </c>
      <c r="D113" s="101">
        <f t="shared" si="207"/>
        <v>0</v>
      </c>
      <c r="E113" s="101">
        <f t="shared" si="207"/>
        <v>23066.260000000002</v>
      </c>
      <c r="F113" s="101">
        <f t="shared" si="207"/>
        <v>0</v>
      </c>
      <c r="G113" s="101">
        <f t="shared" si="207"/>
        <v>195958.24780000001</v>
      </c>
      <c r="H113" s="101">
        <f t="shared" si="207"/>
        <v>0</v>
      </c>
      <c r="I113" s="101">
        <f t="shared" si="207"/>
        <v>175358.24780000001</v>
      </c>
      <c r="J113" s="101">
        <f t="shared" si="207"/>
        <v>0</v>
      </c>
      <c r="K113" s="101">
        <f t="shared" si="207"/>
        <v>519650.99523400003</v>
      </c>
      <c r="L113" s="101">
        <f t="shared" si="207"/>
        <v>0</v>
      </c>
      <c r="M113" s="101">
        <f t="shared" si="207"/>
        <v>498432.99523400003</v>
      </c>
      <c r="N113" s="101">
        <f t="shared" si="207"/>
        <v>0</v>
      </c>
      <c r="O113" s="101">
        <f t="shared" si="207"/>
        <v>271750.52509102004</v>
      </c>
      <c r="P113" s="101">
        <f t="shared" si="207"/>
        <v>0</v>
      </c>
      <c r="Q113" s="101">
        <f t="shared" si="207"/>
        <v>249895.98509102</v>
      </c>
      <c r="R113" s="101">
        <f t="shared" si="207"/>
        <v>0</v>
      </c>
      <c r="S113" s="101">
        <f t="shared" si="207"/>
        <v>211532.51224375062</v>
      </c>
      <c r="T113" s="101">
        <f t="shared" si="207"/>
        <v>0</v>
      </c>
      <c r="U113" s="101">
        <f t="shared" si="207"/>
        <v>189022.33604375061</v>
      </c>
      <c r="V113" s="101">
        <f t="shared" si="207"/>
        <v>0</v>
      </c>
      <c r="W113" s="101">
        <f t="shared" si="207"/>
        <v>1241958.5403687707</v>
      </c>
      <c r="X113" s="101">
        <f>X112+X99</f>
        <v>0</v>
      </c>
      <c r="Y113" s="101">
        <f t="shared" si="207"/>
        <v>1241958.5403687707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v>0</v>
      </c>
      <c r="D115" s="56">
        <v>0</v>
      </c>
      <c r="E115" s="56">
        <f t="shared" ref="E115" si="208">SUM(C115:D115)</f>
        <v>0</v>
      </c>
      <c r="F115" s="58"/>
      <c r="G115" s="55">
        <v>0</v>
      </c>
      <c r="H115" s="57">
        <v>0</v>
      </c>
      <c r="I115" s="57">
        <f t="shared" ref="I115" si="209">SUM(G115:H115)</f>
        <v>0</v>
      </c>
      <c r="J115" s="58"/>
      <c r="K115" s="55">
        <v>0</v>
      </c>
      <c r="L115" s="57">
        <v>0</v>
      </c>
      <c r="M115" s="57">
        <f t="shared" ref="M115" si="210">SUM(K115:L115)</f>
        <v>0</v>
      </c>
      <c r="N115" s="58"/>
      <c r="O115" s="55">
        <f>O97*0.35*0</f>
        <v>0</v>
      </c>
      <c r="P115" s="57">
        <v>0</v>
      </c>
      <c r="Q115" s="57">
        <f t="shared" ref="Q115:Q121" si="211">SUM(O115:P115)</f>
        <v>0</v>
      </c>
      <c r="R115" s="58"/>
      <c r="S115" s="55">
        <f>S97*0.35*0</f>
        <v>0</v>
      </c>
      <c r="T115" s="57">
        <v>0</v>
      </c>
      <c r="U115" s="57">
        <f t="shared" ref="U115:U121" si="212">SUM(S115:T115)</f>
        <v>0</v>
      </c>
      <c r="V115" s="59"/>
      <c r="W115" s="124">
        <f t="shared" ref="W115:Y121" si="213">C115+G115+K115+O115+S115</f>
        <v>0</v>
      </c>
      <c r="X115" s="57">
        <f t="shared" si="213"/>
        <v>0</v>
      </c>
      <c r="Y115" s="84">
        <f t="shared" si="213"/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customFormat="1" ht="12.75" customHeight="1" x14ac:dyDescent="0.25">
      <c r="A116" s="300">
        <v>0.30320000000000003</v>
      </c>
      <c r="B116" s="292" t="s">
        <v>255</v>
      </c>
      <c r="C116" s="293">
        <f>C92*A116</f>
        <v>3961.6900320000004</v>
      </c>
      <c r="D116" s="294">
        <v>0</v>
      </c>
      <c r="E116" s="294">
        <f t="shared" ref="E116:E121" si="214">SUM(C116:D116)</f>
        <v>3961.6900320000004</v>
      </c>
      <c r="F116" s="295"/>
      <c r="G116" s="293">
        <f>G92*A116</f>
        <v>4080.5407329600007</v>
      </c>
      <c r="H116" s="294">
        <f t="shared" ref="H116:H118" si="215">D116*1.05</f>
        <v>0</v>
      </c>
      <c r="I116" s="294">
        <f t="shared" ref="I116:I121" si="216">SUM(G116:H116)</f>
        <v>4080.5407329600007</v>
      </c>
      <c r="J116" s="295"/>
      <c r="K116" s="293">
        <f>K92*A116</f>
        <v>4202.9569549488006</v>
      </c>
      <c r="L116" s="294">
        <f t="shared" ref="L116:L118" si="217">H116*1.05</f>
        <v>0</v>
      </c>
      <c r="M116" s="294">
        <f t="shared" ref="M116:M121" si="218">SUM(K116:L116)</f>
        <v>4202.9569549488006</v>
      </c>
      <c r="N116" s="295"/>
      <c r="O116" s="293">
        <f>O92*A116</f>
        <v>4329.045663597265</v>
      </c>
      <c r="P116" s="294">
        <f t="shared" ref="P116:P118" si="219">L116*1.05</f>
        <v>0</v>
      </c>
      <c r="Q116" s="294">
        <f t="shared" si="211"/>
        <v>4329.045663597265</v>
      </c>
      <c r="R116" s="295"/>
      <c r="S116" s="293">
        <f>S92*A116</f>
        <v>4458.9170335051831</v>
      </c>
      <c r="T116" s="294">
        <f t="shared" ref="T116:T118" si="220">P116*1.05</f>
        <v>0</v>
      </c>
      <c r="U116" s="294">
        <f t="shared" si="212"/>
        <v>4458.9170335051831</v>
      </c>
      <c r="V116" s="296"/>
      <c r="W116" s="293">
        <f t="shared" si="213"/>
        <v>21033.150417011249</v>
      </c>
      <c r="X116" s="294">
        <f t="shared" si="213"/>
        <v>0</v>
      </c>
      <c r="Y116" s="294">
        <f t="shared" si="213"/>
        <v>21033.150417011249</v>
      </c>
      <c r="Z116" s="292"/>
      <c r="AA116" s="292"/>
      <c r="AB116" s="292"/>
      <c r="AC116" s="292"/>
      <c r="AD116" s="29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  <c r="AU116" s="292"/>
    </row>
    <row r="117" spans="1:77" customFormat="1" ht="12.75" customHeight="1" x14ac:dyDescent="0.25">
      <c r="A117" s="300">
        <v>0.2979</v>
      </c>
      <c r="B117" s="292" t="s">
        <v>256</v>
      </c>
      <c r="C117" s="293">
        <f t="shared" ref="C117:C118" si="221">C96*A117</f>
        <v>2979</v>
      </c>
      <c r="D117" s="294">
        <v>0</v>
      </c>
      <c r="E117" s="294">
        <f t="shared" si="214"/>
        <v>2979</v>
      </c>
      <c r="F117" s="295"/>
      <c r="G117" s="293">
        <f>C117</f>
        <v>2979</v>
      </c>
      <c r="H117" s="294">
        <f t="shared" si="215"/>
        <v>0</v>
      </c>
      <c r="I117" s="294">
        <f t="shared" si="216"/>
        <v>2979</v>
      </c>
      <c r="J117" s="295"/>
      <c r="K117" s="293">
        <f t="shared" ref="K117:K118" si="222">I117</f>
        <v>2979</v>
      </c>
      <c r="L117" s="294">
        <f t="shared" si="217"/>
        <v>0</v>
      </c>
      <c r="M117" s="294">
        <f t="shared" si="218"/>
        <v>2979</v>
      </c>
      <c r="N117" s="295"/>
      <c r="O117" s="293">
        <f t="shared" ref="O117:O118" si="223">M117</f>
        <v>2979</v>
      </c>
      <c r="P117" s="294">
        <f t="shared" si="219"/>
        <v>0</v>
      </c>
      <c r="Q117" s="294">
        <f t="shared" si="211"/>
        <v>2979</v>
      </c>
      <c r="R117" s="295"/>
      <c r="S117" s="293">
        <f t="shared" ref="S117:S118" si="224">Q117</f>
        <v>2979</v>
      </c>
      <c r="T117" s="294">
        <f t="shared" si="220"/>
        <v>0</v>
      </c>
      <c r="U117" s="294">
        <f t="shared" si="212"/>
        <v>2979</v>
      </c>
      <c r="V117" s="296"/>
      <c r="W117" s="293">
        <f t="shared" si="213"/>
        <v>14895</v>
      </c>
      <c r="X117" s="294">
        <f t="shared" si="213"/>
        <v>0</v>
      </c>
      <c r="Y117" s="294">
        <f t="shared" si="213"/>
        <v>14895</v>
      </c>
      <c r="Z117" s="292"/>
      <c r="AA117" s="292"/>
      <c r="AB117" s="292"/>
      <c r="AC117" s="292"/>
      <c r="AD117" s="29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  <c r="AU117" s="292"/>
    </row>
    <row r="118" spans="1:77" customFormat="1" ht="12.75" customHeight="1" x14ac:dyDescent="0.25">
      <c r="A118" s="300">
        <v>0.34179999999999999</v>
      </c>
      <c r="B118" s="292" t="s">
        <v>257</v>
      </c>
      <c r="C118" s="293">
        <f t="shared" si="221"/>
        <v>6836</v>
      </c>
      <c r="D118" s="294">
        <f>D108*0.29</f>
        <v>0</v>
      </c>
      <c r="E118" s="294">
        <f t="shared" si="214"/>
        <v>6836</v>
      </c>
      <c r="F118" s="295"/>
      <c r="G118" s="293">
        <f>E118</f>
        <v>6836</v>
      </c>
      <c r="H118" s="294">
        <f t="shared" si="215"/>
        <v>0</v>
      </c>
      <c r="I118" s="294">
        <f t="shared" si="216"/>
        <v>6836</v>
      </c>
      <c r="J118" s="295"/>
      <c r="K118" s="293">
        <f t="shared" si="222"/>
        <v>6836</v>
      </c>
      <c r="L118" s="294">
        <f t="shared" si="217"/>
        <v>0</v>
      </c>
      <c r="M118" s="294">
        <f t="shared" si="218"/>
        <v>6836</v>
      </c>
      <c r="N118" s="295"/>
      <c r="O118" s="293">
        <f t="shared" si="223"/>
        <v>6836</v>
      </c>
      <c r="P118" s="294">
        <f t="shared" si="219"/>
        <v>0</v>
      </c>
      <c r="Q118" s="294">
        <f t="shared" si="211"/>
        <v>6836</v>
      </c>
      <c r="R118" s="295"/>
      <c r="S118" s="293">
        <f t="shared" si="224"/>
        <v>6836</v>
      </c>
      <c r="T118" s="294">
        <f t="shared" si="220"/>
        <v>0</v>
      </c>
      <c r="U118" s="294">
        <f t="shared" si="212"/>
        <v>6836</v>
      </c>
      <c r="V118" s="296"/>
      <c r="W118" s="293">
        <f t="shared" si="213"/>
        <v>34180</v>
      </c>
      <c r="X118" s="294">
        <f t="shared" si="213"/>
        <v>0</v>
      </c>
      <c r="Y118" s="294">
        <f t="shared" si="213"/>
        <v>34180</v>
      </c>
      <c r="Z118" s="292"/>
      <c r="AA118" s="292"/>
      <c r="AB118" s="292"/>
      <c r="AC118" s="292"/>
      <c r="AD118" s="29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  <c r="AU118" s="292"/>
    </row>
    <row r="119" spans="1:77" customFormat="1" ht="12.75" customHeight="1" x14ac:dyDescent="0.25">
      <c r="A119" s="300">
        <v>0.34499999999999997</v>
      </c>
      <c r="B119" s="292" t="s">
        <v>258</v>
      </c>
      <c r="C119" s="301"/>
      <c r="D119" s="302">
        <f>D99*(A119*1.03)</f>
        <v>0</v>
      </c>
      <c r="E119" s="294">
        <f t="shared" si="214"/>
        <v>0</v>
      </c>
      <c r="F119" s="295"/>
      <c r="G119" s="293"/>
      <c r="H119" s="294">
        <f>H99*(A119*1.03*1.03)</f>
        <v>0</v>
      </c>
      <c r="I119" s="294">
        <f t="shared" si="216"/>
        <v>0</v>
      </c>
      <c r="J119" s="295"/>
      <c r="K119" s="293">
        <f>(85000*A118)*3</f>
        <v>87159</v>
      </c>
      <c r="L119" s="294">
        <f>L99*(A119*1.03*1.03*1.03)</f>
        <v>0</v>
      </c>
      <c r="M119" s="294">
        <f t="shared" si="218"/>
        <v>87159</v>
      </c>
      <c r="N119" s="295"/>
      <c r="O119" s="293">
        <f>O99*(A119)</f>
        <v>16235.584456401901</v>
      </c>
      <c r="P119" s="294">
        <f>P99*(A119*1.03*1.03*1.03*1.03)</f>
        <v>0</v>
      </c>
      <c r="Q119" s="294">
        <f t="shared" si="211"/>
        <v>16235.584456401901</v>
      </c>
      <c r="R119" s="295"/>
      <c r="S119" s="293">
        <f>S99*(A119)</f>
        <v>16722.651990093957</v>
      </c>
      <c r="T119" s="294">
        <f>T99*(A119*1.03*1.03*1.03*1.03*1.03)</f>
        <v>0</v>
      </c>
      <c r="U119" s="294">
        <f t="shared" si="212"/>
        <v>16722.651990093957</v>
      </c>
      <c r="V119" s="296"/>
      <c r="W119" s="293">
        <f t="shared" si="213"/>
        <v>120117.23644649587</v>
      </c>
      <c r="X119" s="294">
        <f t="shared" si="213"/>
        <v>0</v>
      </c>
      <c r="Y119" s="294">
        <f t="shared" si="213"/>
        <v>120117.23644649587</v>
      </c>
      <c r="Z119" s="292"/>
      <c r="AA119" s="292"/>
      <c r="AB119" s="292"/>
      <c r="AC119" s="292"/>
      <c r="AD119" s="292"/>
      <c r="AE119" s="292"/>
      <c r="AF119" s="292"/>
      <c r="AG119" s="292"/>
      <c r="AH119" s="292"/>
      <c r="AI119" s="292"/>
      <c r="AJ119" s="292"/>
      <c r="AK119" s="292"/>
      <c r="AL119" s="292"/>
      <c r="AM119" s="292"/>
      <c r="AN119" s="292"/>
      <c r="AO119" s="292"/>
      <c r="AP119" s="292"/>
      <c r="AQ119" s="292"/>
      <c r="AR119" s="292"/>
      <c r="AS119" s="292"/>
      <c r="AT119" s="292"/>
      <c r="AU119" s="292"/>
    </row>
    <row r="120" spans="1:77" customFormat="1" ht="12.75" customHeight="1" x14ac:dyDescent="0.25">
      <c r="A120" s="300">
        <v>0.4052</v>
      </c>
      <c r="B120" s="292" t="s">
        <v>259</v>
      </c>
      <c r="C120" s="293">
        <f>C101*(A120*1.03)</f>
        <v>0</v>
      </c>
      <c r="D120" s="294">
        <f>D101*A120</f>
        <v>0</v>
      </c>
      <c r="E120" s="294">
        <f t="shared" si="214"/>
        <v>0</v>
      </c>
      <c r="F120" s="295"/>
      <c r="G120" s="293">
        <f t="shared" ref="G120:G121" si="225">G101*A120</f>
        <v>50082.720000000001</v>
      </c>
      <c r="H120" s="294">
        <f>H101*A120*1.05</f>
        <v>0</v>
      </c>
      <c r="I120" s="294">
        <f t="shared" si="216"/>
        <v>50082.720000000001</v>
      </c>
      <c r="J120" s="295"/>
      <c r="K120" s="293">
        <f>K101*(A120)</f>
        <v>77377.8024</v>
      </c>
      <c r="L120" s="294">
        <f>L101*A120*1.05</f>
        <v>0</v>
      </c>
      <c r="M120" s="294">
        <f t="shared" si="218"/>
        <v>77377.8024</v>
      </c>
      <c r="N120" s="295"/>
      <c r="O120" s="293">
        <f>O101*(A120)</f>
        <v>79699.136472000013</v>
      </c>
      <c r="P120" s="294">
        <f>P101*A120*1.05</f>
        <v>0</v>
      </c>
      <c r="Q120" s="294">
        <f t="shared" si="211"/>
        <v>79699.136472000013</v>
      </c>
      <c r="R120" s="295"/>
      <c r="S120" s="293">
        <f>S101*(A120)</f>
        <v>54726.740377440008</v>
      </c>
      <c r="T120" s="294">
        <f>T101*A120*1.05</f>
        <v>0</v>
      </c>
      <c r="U120" s="294">
        <f t="shared" si="212"/>
        <v>54726.740377440008</v>
      </c>
      <c r="V120" s="296"/>
      <c r="W120" s="293">
        <f t="shared" si="213"/>
        <v>261886.39924944</v>
      </c>
      <c r="X120" s="294">
        <f t="shared" si="213"/>
        <v>0</v>
      </c>
      <c r="Y120" s="294">
        <f t="shared" si="213"/>
        <v>261886.39924944</v>
      </c>
      <c r="Z120" s="292"/>
      <c r="AA120" s="292"/>
      <c r="AB120" s="292"/>
      <c r="AC120" s="292"/>
      <c r="AD120" s="292"/>
      <c r="AE120" s="292"/>
      <c r="AF120" s="292"/>
      <c r="AG120" s="292"/>
      <c r="AH120" s="292"/>
      <c r="AI120" s="292"/>
      <c r="AJ120" s="292"/>
      <c r="AK120" s="292"/>
      <c r="AL120" s="292"/>
      <c r="AM120" s="292"/>
      <c r="AN120" s="292"/>
      <c r="AO120" s="292"/>
      <c r="AP120" s="292"/>
      <c r="AQ120" s="292"/>
      <c r="AR120" s="292"/>
      <c r="AS120" s="292"/>
      <c r="AT120" s="292"/>
      <c r="AU120" s="292"/>
    </row>
    <row r="121" spans="1:77" customFormat="1" ht="12.75" customHeight="1" x14ac:dyDescent="0.25">
      <c r="A121" s="303">
        <v>7.0000000000000007E-2</v>
      </c>
      <c r="B121" s="292" t="s">
        <v>260</v>
      </c>
      <c r="C121" s="293"/>
      <c r="D121" s="294">
        <f>A121*0</f>
        <v>0</v>
      </c>
      <c r="E121" s="294">
        <f t="shared" si="214"/>
        <v>0</v>
      </c>
      <c r="F121" s="295"/>
      <c r="G121" s="293">
        <f t="shared" si="225"/>
        <v>1960.0000000000002</v>
      </c>
      <c r="H121" s="294">
        <f>D121*1.05</f>
        <v>0</v>
      </c>
      <c r="I121" s="294">
        <f t="shared" si="216"/>
        <v>1960.0000000000002</v>
      </c>
      <c r="J121" s="295"/>
      <c r="K121" s="293">
        <f>K102*A121</f>
        <v>1960.0000000000002</v>
      </c>
      <c r="L121" s="294">
        <f>H121*1.05</f>
        <v>0</v>
      </c>
      <c r="M121" s="294">
        <f t="shared" si="218"/>
        <v>1960.0000000000002</v>
      </c>
      <c r="N121" s="295"/>
      <c r="O121" s="293">
        <f>O102*A121</f>
        <v>1960.0000000000002</v>
      </c>
      <c r="P121" s="294">
        <f>L121*1.05</f>
        <v>0</v>
      </c>
      <c r="Q121" s="294">
        <f t="shared" si="211"/>
        <v>1960.0000000000002</v>
      </c>
      <c r="R121" s="295"/>
      <c r="S121" s="293">
        <f>S102*A121</f>
        <v>1960.0000000000002</v>
      </c>
      <c r="T121" s="294">
        <f>P121*1.05</f>
        <v>0</v>
      </c>
      <c r="U121" s="294">
        <f t="shared" si="212"/>
        <v>1960.0000000000002</v>
      </c>
      <c r="V121" s="296"/>
      <c r="W121" s="293">
        <f t="shared" si="213"/>
        <v>7840.0000000000009</v>
      </c>
      <c r="X121" s="294">
        <f t="shared" si="213"/>
        <v>0</v>
      </c>
      <c r="Y121" s="294">
        <f t="shared" si="213"/>
        <v>7840.0000000000009</v>
      </c>
      <c r="Z121" s="292"/>
      <c r="AA121" s="292"/>
      <c r="AB121" s="292"/>
      <c r="AC121" s="292"/>
      <c r="AD121" s="292"/>
      <c r="AE121" s="292"/>
      <c r="AF121" s="292"/>
      <c r="AG121" s="292"/>
      <c r="AH121" s="29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2"/>
      <c r="AT121" s="292"/>
      <c r="AU121" s="292"/>
    </row>
    <row r="122" spans="1:77" customFormat="1" ht="12.75" customHeight="1" x14ac:dyDescent="0.25">
      <c r="A122" s="303"/>
      <c r="B122" s="292" t="s">
        <v>261</v>
      </c>
      <c r="C122" s="304"/>
      <c r="D122" s="305"/>
      <c r="E122" s="305"/>
      <c r="F122" s="306"/>
      <c r="G122" s="304">
        <v>4129</v>
      </c>
      <c r="H122" s="305"/>
      <c r="I122" s="305">
        <f>G122</f>
        <v>4129</v>
      </c>
      <c r="J122" s="306"/>
      <c r="K122" s="304">
        <f>I122*1.05</f>
        <v>4335.45</v>
      </c>
      <c r="L122" s="305"/>
      <c r="M122" s="305">
        <f>K122</f>
        <v>4335.45</v>
      </c>
      <c r="N122" s="306"/>
      <c r="O122" s="304">
        <f>M122*1.05</f>
        <v>4552.2224999999999</v>
      </c>
      <c r="P122" s="305"/>
      <c r="Q122" s="305">
        <f>O122</f>
        <v>4552.2224999999999</v>
      </c>
      <c r="R122" s="306"/>
      <c r="S122" s="304">
        <f>Q122*1.05</f>
        <v>4779.8336250000002</v>
      </c>
      <c r="T122" s="305"/>
      <c r="U122" s="305">
        <f>S122</f>
        <v>4779.8336250000002</v>
      </c>
      <c r="V122" s="307"/>
      <c r="W122" s="304">
        <f>U122+Q122+M122+I122</f>
        <v>17796.506125</v>
      </c>
      <c r="X122" s="305"/>
      <c r="Y122" s="305">
        <f>W122</f>
        <v>17796.506125</v>
      </c>
      <c r="Z122" s="308"/>
      <c r="AA122" s="308"/>
      <c r="AB122" s="308"/>
      <c r="AC122" s="308"/>
      <c r="AD122" s="308"/>
      <c r="AE122" s="308"/>
      <c r="AF122" s="308"/>
      <c r="AG122" s="308"/>
      <c r="AH122" s="308"/>
      <c r="AI122" s="308"/>
      <c r="AJ122" s="308"/>
      <c r="AK122" s="308"/>
      <c r="AL122" s="308"/>
      <c r="AM122" s="308"/>
      <c r="AN122" s="308"/>
      <c r="AO122" s="308"/>
      <c r="AP122" s="308"/>
      <c r="AQ122" s="308"/>
      <c r="AR122" s="308"/>
      <c r="AS122" s="308"/>
      <c r="AT122" s="308"/>
      <c r="AU122" s="308"/>
    </row>
    <row r="123" spans="1:77" s="61" customFormat="1" x14ac:dyDescent="0.25">
      <c r="A123" s="51"/>
      <c r="B123" s="52"/>
      <c r="C123" s="124"/>
      <c r="D123" s="56"/>
      <c r="E123" s="56"/>
      <c r="F123" s="58"/>
      <c r="G123" s="55"/>
      <c r="H123" s="57"/>
      <c r="I123" s="57"/>
      <c r="J123" s="58"/>
      <c r="K123" s="55"/>
      <c r="L123" s="57"/>
      <c r="M123" s="57"/>
      <c r="N123" s="58"/>
      <c r="O123" s="55"/>
      <c r="P123" s="56"/>
      <c r="Q123" s="57"/>
      <c r="R123" s="58"/>
      <c r="S123" s="55"/>
      <c r="T123" s="57"/>
      <c r="U123" s="57"/>
      <c r="V123" s="59"/>
      <c r="W123" s="124"/>
      <c r="X123" s="57"/>
      <c r="Y123" s="8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13776.690032</v>
      </c>
      <c r="D124" s="125">
        <f>SUM(D115:D123)</f>
        <v>0</v>
      </c>
      <c r="E124" s="125">
        <f>SUM(E115:E123)</f>
        <v>13776.690032</v>
      </c>
      <c r="F124" s="81"/>
      <c r="G124" s="79">
        <f>SUM(G115:G123)</f>
        <v>70067.26073296</v>
      </c>
      <c r="H124" s="80">
        <f>SUM(H115:H123)</f>
        <v>0</v>
      </c>
      <c r="I124" s="80">
        <f>SUM(I115:I123)</f>
        <v>70067.26073296</v>
      </c>
      <c r="J124" s="81"/>
      <c r="K124" s="79">
        <f>SUM(K115:K123)</f>
        <v>184850.20935494883</v>
      </c>
      <c r="L124" s="80">
        <f>SUM(L115:L123)</f>
        <v>0</v>
      </c>
      <c r="M124" s="80">
        <f>SUM(M115:M123)</f>
        <v>184850.20935494883</v>
      </c>
      <c r="N124" s="81"/>
      <c r="O124" s="79">
        <f>SUM(O115:O123)</f>
        <v>116590.98909199919</v>
      </c>
      <c r="P124" s="80">
        <f>SUM(P115:P123)</f>
        <v>0</v>
      </c>
      <c r="Q124" s="80">
        <f>SUM(Q115:Q123)</f>
        <v>116590.98909199919</v>
      </c>
      <c r="R124" s="81"/>
      <c r="S124" s="79">
        <f>SUM(S115:S123)</f>
        <v>92463.14302603915</v>
      </c>
      <c r="T124" s="80">
        <f>SUM(T115:T123)</f>
        <v>0</v>
      </c>
      <c r="U124" s="80">
        <f>SUM(U115:U123)</f>
        <v>92463.14302603915</v>
      </c>
      <c r="V124" s="82"/>
      <c r="W124" s="228">
        <f>C124+G124+K124+O124+S124</f>
        <v>477748.29223794723</v>
      </c>
      <c r="X124" s="80">
        <f>D124+H124+L124+P124+T124</f>
        <v>0</v>
      </c>
      <c r="Y124" s="84">
        <f>E124+I124+M124+Q124+U124</f>
        <v>477748.29223794723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226">C124+C113</f>
        <v>56842.950032000001</v>
      </c>
      <c r="D125" s="101">
        <f t="shared" si="226"/>
        <v>0</v>
      </c>
      <c r="E125" s="101">
        <f t="shared" si="226"/>
        <v>36842.950032000001</v>
      </c>
      <c r="F125" s="101">
        <f t="shared" si="226"/>
        <v>0</v>
      </c>
      <c r="G125" s="101">
        <f t="shared" si="226"/>
        <v>266025.50853296003</v>
      </c>
      <c r="H125" s="101">
        <f t="shared" si="226"/>
        <v>0</v>
      </c>
      <c r="I125" s="101">
        <f t="shared" si="226"/>
        <v>245425.50853296003</v>
      </c>
      <c r="J125" s="101">
        <f t="shared" si="226"/>
        <v>0</v>
      </c>
      <c r="K125" s="101">
        <f t="shared" si="226"/>
        <v>704501.20458894887</v>
      </c>
      <c r="L125" s="101">
        <f t="shared" si="226"/>
        <v>0</v>
      </c>
      <c r="M125" s="101">
        <f t="shared" si="226"/>
        <v>683283.20458894887</v>
      </c>
      <c r="N125" s="101">
        <f t="shared" si="226"/>
        <v>0</v>
      </c>
      <c r="O125" s="101">
        <f t="shared" si="226"/>
        <v>388341.51418301923</v>
      </c>
      <c r="P125" s="101">
        <f t="shared" si="226"/>
        <v>0</v>
      </c>
      <c r="Q125" s="101">
        <f t="shared" si="226"/>
        <v>366486.97418301919</v>
      </c>
      <c r="R125" s="101">
        <f t="shared" si="226"/>
        <v>0</v>
      </c>
      <c r="S125" s="101">
        <f t="shared" si="226"/>
        <v>303995.65526978974</v>
      </c>
      <c r="T125" s="101">
        <f t="shared" si="226"/>
        <v>0</v>
      </c>
      <c r="U125" s="101">
        <f t="shared" si="226"/>
        <v>281485.47906978976</v>
      </c>
      <c r="V125" s="101">
        <f t="shared" si="226"/>
        <v>0</v>
      </c>
      <c r="W125" s="101">
        <f t="shared" si="226"/>
        <v>1719706.8326067179</v>
      </c>
      <c r="X125" s="101">
        <f t="shared" si="226"/>
        <v>0</v>
      </c>
      <c r="Y125" s="101">
        <f t="shared" si="226"/>
        <v>1719706.8326067179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ht="15.6" x14ac:dyDescent="0.3">
      <c r="A127" s="54" t="s">
        <v>57</v>
      </c>
      <c r="B127" s="184" t="s">
        <v>57</v>
      </c>
      <c r="C127" s="124">
        <f>500000*0</f>
        <v>0</v>
      </c>
      <c r="D127" s="56">
        <v>0</v>
      </c>
      <c r="E127" s="56">
        <f t="shared" ref="E127:E140" si="227">SUM(C127:D127)</f>
        <v>0</v>
      </c>
      <c r="F127" s="58"/>
      <c r="G127" s="55">
        <v>0</v>
      </c>
      <c r="H127" s="57">
        <v>0</v>
      </c>
      <c r="I127" s="57">
        <f t="shared" ref="I127:I140" si="228">SUM(G127:H127)</f>
        <v>0</v>
      </c>
      <c r="J127" s="58"/>
      <c r="K127" s="55">
        <v>0</v>
      </c>
      <c r="L127" s="57">
        <v>0</v>
      </c>
      <c r="M127" s="57">
        <f t="shared" ref="M127:M140" si="229">SUM(K127:L127)</f>
        <v>0</v>
      </c>
      <c r="N127" s="58"/>
      <c r="O127" s="55">
        <v>0</v>
      </c>
      <c r="P127" s="57">
        <v>0</v>
      </c>
      <c r="Q127" s="57">
        <f t="shared" ref="Q127:Q140" si="230">SUM(O127:P127)</f>
        <v>0</v>
      </c>
      <c r="R127" s="58"/>
      <c r="S127" s="55">
        <v>0</v>
      </c>
      <c r="T127" s="57">
        <v>0</v>
      </c>
      <c r="U127" s="57">
        <f t="shared" ref="U127:U140" si="231">SUM(S127:T127)</f>
        <v>0</v>
      </c>
      <c r="V127" s="59"/>
      <c r="W127" s="124">
        <f t="shared" ref="W127:W141" si="232">C127+G127+K127+O127+S127</f>
        <v>0</v>
      </c>
      <c r="X127" s="57">
        <f t="shared" ref="X127:X141" si="233">D127+H127+L127+P127+T127</f>
        <v>0</v>
      </c>
      <c r="Y127" s="84">
        <f t="shared" ref="Y127:Y141" si="234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ht="15.6" x14ac:dyDescent="0.3">
      <c r="A128" s="52"/>
      <c r="B128" s="184" t="s">
        <v>57</v>
      </c>
      <c r="C128" s="124">
        <v>0</v>
      </c>
      <c r="D128" s="56">
        <v>0</v>
      </c>
      <c r="E128" s="56">
        <f t="shared" si="227"/>
        <v>0</v>
      </c>
      <c r="F128" s="58"/>
      <c r="G128" s="55">
        <v>0</v>
      </c>
      <c r="H128" s="57">
        <v>0</v>
      </c>
      <c r="I128" s="57">
        <f t="shared" si="228"/>
        <v>0</v>
      </c>
      <c r="J128" s="58"/>
      <c r="K128" s="55">
        <v>0</v>
      </c>
      <c r="L128" s="57">
        <v>0</v>
      </c>
      <c r="M128" s="57">
        <f t="shared" si="229"/>
        <v>0</v>
      </c>
      <c r="N128" s="58"/>
      <c r="O128" s="55">
        <v>0</v>
      </c>
      <c r="P128" s="57">
        <v>0</v>
      </c>
      <c r="Q128" s="57">
        <f t="shared" si="230"/>
        <v>0</v>
      </c>
      <c r="R128" s="58"/>
      <c r="S128" s="55">
        <v>0</v>
      </c>
      <c r="T128" s="57">
        <v>0</v>
      </c>
      <c r="U128" s="57">
        <f t="shared" si="231"/>
        <v>0</v>
      </c>
      <c r="V128" s="59"/>
      <c r="W128" s="124">
        <f t="shared" si="232"/>
        <v>0</v>
      </c>
      <c r="X128" s="57">
        <f t="shared" si="233"/>
        <v>0</v>
      </c>
      <c r="Y128" s="84">
        <f t="shared" si="234"/>
        <v>0</v>
      </c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</row>
    <row r="129" spans="1:77" s="61" customFormat="1" x14ac:dyDescent="0.25">
      <c r="A129" s="52"/>
      <c r="B129" s="52"/>
      <c r="C129" s="124">
        <v>0</v>
      </c>
      <c r="D129" s="56">
        <v>0</v>
      </c>
      <c r="E129" s="56">
        <f t="shared" si="227"/>
        <v>0</v>
      </c>
      <c r="F129" s="58"/>
      <c r="G129" s="55">
        <v>0</v>
      </c>
      <c r="H129" s="57">
        <v>0</v>
      </c>
      <c r="I129" s="57">
        <f t="shared" si="228"/>
        <v>0</v>
      </c>
      <c r="J129" s="58"/>
      <c r="K129" s="55">
        <v>0</v>
      </c>
      <c r="L129" s="57">
        <v>0</v>
      </c>
      <c r="M129" s="57">
        <f t="shared" si="229"/>
        <v>0</v>
      </c>
      <c r="N129" s="58"/>
      <c r="O129" s="55">
        <v>0</v>
      </c>
      <c r="P129" s="57">
        <v>0</v>
      </c>
      <c r="Q129" s="57">
        <f t="shared" si="230"/>
        <v>0</v>
      </c>
      <c r="R129" s="58"/>
      <c r="S129" s="55">
        <v>0</v>
      </c>
      <c r="T129" s="57">
        <v>0</v>
      </c>
      <c r="U129" s="57">
        <f t="shared" si="231"/>
        <v>0</v>
      </c>
      <c r="V129" s="59"/>
      <c r="W129" s="124">
        <f t="shared" si="232"/>
        <v>0</v>
      </c>
      <c r="X129" s="57">
        <f t="shared" si="233"/>
        <v>0</v>
      </c>
      <c r="Y129" s="84">
        <f t="shared" si="234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227"/>
        <v>0</v>
      </c>
      <c r="F130" s="58"/>
      <c r="G130" s="55">
        <v>0</v>
      </c>
      <c r="H130" s="57">
        <v>0</v>
      </c>
      <c r="I130" s="57">
        <f t="shared" si="228"/>
        <v>0</v>
      </c>
      <c r="J130" s="58"/>
      <c r="K130" s="55">
        <v>0</v>
      </c>
      <c r="L130" s="57">
        <v>0</v>
      </c>
      <c r="M130" s="57">
        <f t="shared" si="229"/>
        <v>0</v>
      </c>
      <c r="N130" s="58"/>
      <c r="O130" s="55">
        <v>0</v>
      </c>
      <c r="P130" s="57">
        <v>0</v>
      </c>
      <c r="Q130" s="57">
        <f t="shared" si="230"/>
        <v>0</v>
      </c>
      <c r="R130" s="58"/>
      <c r="S130" s="55">
        <v>0</v>
      </c>
      <c r="T130" s="57">
        <v>0</v>
      </c>
      <c r="U130" s="57">
        <f t="shared" si="231"/>
        <v>0</v>
      </c>
      <c r="V130" s="59"/>
      <c r="W130" s="124">
        <f t="shared" si="232"/>
        <v>0</v>
      </c>
      <c r="X130" s="57">
        <f t="shared" si="233"/>
        <v>0</v>
      </c>
      <c r="Y130" s="84">
        <f t="shared" si="234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227"/>
        <v>0</v>
      </c>
      <c r="F131" s="58"/>
      <c r="G131" s="55">
        <v>0</v>
      </c>
      <c r="H131" s="57">
        <v>0</v>
      </c>
      <c r="I131" s="57">
        <f t="shared" si="228"/>
        <v>0</v>
      </c>
      <c r="J131" s="58"/>
      <c r="K131" s="55">
        <v>0</v>
      </c>
      <c r="L131" s="57">
        <v>0</v>
      </c>
      <c r="M131" s="57">
        <f t="shared" si="229"/>
        <v>0</v>
      </c>
      <c r="N131" s="58"/>
      <c r="O131" s="55">
        <v>0</v>
      </c>
      <c r="P131" s="57">
        <v>0</v>
      </c>
      <c r="Q131" s="57">
        <f t="shared" si="230"/>
        <v>0</v>
      </c>
      <c r="R131" s="58"/>
      <c r="S131" s="55">
        <v>0</v>
      </c>
      <c r="T131" s="57">
        <v>0</v>
      </c>
      <c r="U131" s="57">
        <f t="shared" si="231"/>
        <v>0</v>
      </c>
      <c r="V131" s="59"/>
      <c r="W131" s="124">
        <f t="shared" si="232"/>
        <v>0</v>
      </c>
      <c r="X131" s="57">
        <f t="shared" si="233"/>
        <v>0</v>
      </c>
      <c r="Y131" s="84">
        <f t="shared" si="234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227"/>
        <v>0</v>
      </c>
      <c r="F132" s="58"/>
      <c r="G132" s="55">
        <v>0</v>
      </c>
      <c r="H132" s="57">
        <v>0</v>
      </c>
      <c r="I132" s="57">
        <f t="shared" si="228"/>
        <v>0</v>
      </c>
      <c r="J132" s="58"/>
      <c r="K132" s="55">
        <v>0</v>
      </c>
      <c r="L132" s="57">
        <v>0</v>
      </c>
      <c r="M132" s="57">
        <f t="shared" si="229"/>
        <v>0</v>
      </c>
      <c r="N132" s="58"/>
      <c r="O132" s="55">
        <v>0</v>
      </c>
      <c r="P132" s="57">
        <v>0</v>
      </c>
      <c r="Q132" s="57">
        <f t="shared" si="230"/>
        <v>0</v>
      </c>
      <c r="R132" s="58"/>
      <c r="S132" s="55">
        <v>0</v>
      </c>
      <c r="T132" s="57">
        <v>0</v>
      </c>
      <c r="U132" s="57">
        <f t="shared" si="231"/>
        <v>0</v>
      </c>
      <c r="V132" s="59"/>
      <c r="W132" s="124">
        <f t="shared" si="232"/>
        <v>0</v>
      </c>
      <c r="X132" s="57">
        <f t="shared" si="233"/>
        <v>0</v>
      </c>
      <c r="Y132" s="84">
        <f t="shared" si="234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227"/>
        <v>0</v>
      </c>
      <c r="F133" s="58"/>
      <c r="G133" s="55">
        <v>0</v>
      </c>
      <c r="H133" s="57">
        <v>0</v>
      </c>
      <c r="I133" s="57">
        <f t="shared" si="228"/>
        <v>0</v>
      </c>
      <c r="J133" s="58"/>
      <c r="K133" s="55">
        <v>0</v>
      </c>
      <c r="L133" s="57">
        <v>0</v>
      </c>
      <c r="M133" s="57">
        <f t="shared" si="229"/>
        <v>0</v>
      </c>
      <c r="N133" s="58"/>
      <c r="O133" s="55">
        <v>0</v>
      </c>
      <c r="P133" s="57">
        <v>0</v>
      </c>
      <c r="Q133" s="57">
        <f t="shared" si="230"/>
        <v>0</v>
      </c>
      <c r="R133" s="58"/>
      <c r="S133" s="55">
        <v>0</v>
      </c>
      <c r="T133" s="57">
        <v>0</v>
      </c>
      <c r="U133" s="57">
        <f t="shared" si="231"/>
        <v>0</v>
      </c>
      <c r="V133" s="59"/>
      <c r="W133" s="124">
        <f t="shared" si="232"/>
        <v>0</v>
      </c>
      <c r="X133" s="57">
        <f t="shared" si="233"/>
        <v>0</v>
      </c>
      <c r="Y133" s="84">
        <f t="shared" si="234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227"/>
        <v>0</v>
      </c>
      <c r="F134" s="58"/>
      <c r="G134" s="55">
        <v>0</v>
      </c>
      <c r="H134" s="57">
        <v>0</v>
      </c>
      <c r="I134" s="57">
        <f t="shared" si="228"/>
        <v>0</v>
      </c>
      <c r="J134" s="58"/>
      <c r="K134" s="55">
        <v>0</v>
      </c>
      <c r="L134" s="57">
        <v>0</v>
      </c>
      <c r="M134" s="57">
        <f t="shared" si="229"/>
        <v>0</v>
      </c>
      <c r="N134" s="58"/>
      <c r="O134" s="55">
        <v>0</v>
      </c>
      <c r="P134" s="57">
        <v>0</v>
      </c>
      <c r="Q134" s="57">
        <f t="shared" si="230"/>
        <v>0</v>
      </c>
      <c r="R134" s="58"/>
      <c r="S134" s="55">
        <v>0</v>
      </c>
      <c r="T134" s="57">
        <v>0</v>
      </c>
      <c r="U134" s="57">
        <f t="shared" si="231"/>
        <v>0</v>
      </c>
      <c r="V134" s="59"/>
      <c r="W134" s="124">
        <f t="shared" si="232"/>
        <v>0</v>
      </c>
      <c r="X134" s="57">
        <f t="shared" si="233"/>
        <v>0</v>
      </c>
      <c r="Y134" s="84">
        <f t="shared" si="234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227"/>
        <v>0</v>
      </c>
      <c r="F135" s="58"/>
      <c r="G135" s="55">
        <v>0</v>
      </c>
      <c r="H135" s="57">
        <v>0</v>
      </c>
      <c r="I135" s="57">
        <f t="shared" si="228"/>
        <v>0</v>
      </c>
      <c r="J135" s="58"/>
      <c r="K135" s="55">
        <v>0</v>
      </c>
      <c r="L135" s="57">
        <v>0</v>
      </c>
      <c r="M135" s="57">
        <f t="shared" si="229"/>
        <v>0</v>
      </c>
      <c r="N135" s="58"/>
      <c r="O135" s="55">
        <v>0</v>
      </c>
      <c r="P135" s="57">
        <v>0</v>
      </c>
      <c r="Q135" s="57">
        <f t="shared" si="230"/>
        <v>0</v>
      </c>
      <c r="R135" s="58"/>
      <c r="S135" s="55">
        <v>0</v>
      </c>
      <c r="T135" s="57">
        <v>0</v>
      </c>
      <c r="U135" s="57">
        <f t="shared" si="231"/>
        <v>0</v>
      </c>
      <c r="V135" s="59"/>
      <c r="W135" s="124">
        <f t="shared" si="232"/>
        <v>0</v>
      </c>
      <c r="X135" s="57">
        <f t="shared" si="233"/>
        <v>0</v>
      </c>
      <c r="Y135" s="84">
        <f t="shared" si="234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227"/>
        <v>0</v>
      </c>
      <c r="F136" s="58"/>
      <c r="G136" s="55">
        <v>0</v>
      </c>
      <c r="H136" s="57">
        <v>0</v>
      </c>
      <c r="I136" s="57">
        <f t="shared" si="228"/>
        <v>0</v>
      </c>
      <c r="J136" s="58"/>
      <c r="K136" s="55">
        <v>0</v>
      </c>
      <c r="L136" s="57">
        <v>0</v>
      </c>
      <c r="M136" s="57">
        <f t="shared" si="229"/>
        <v>0</v>
      </c>
      <c r="N136" s="58"/>
      <c r="O136" s="55">
        <v>0</v>
      </c>
      <c r="P136" s="57">
        <v>0</v>
      </c>
      <c r="Q136" s="57">
        <f t="shared" si="230"/>
        <v>0</v>
      </c>
      <c r="R136" s="58"/>
      <c r="S136" s="55">
        <v>0</v>
      </c>
      <c r="T136" s="57">
        <v>0</v>
      </c>
      <c r="U136" s="57">
        <f t="shared" si="231"/>
        <v>0</v>
      </c>
      <c r="V136" s="59"/>
      <c r="W136" s="124">
        <f t="shared" si="232"/>
        <v>0</v>
      </c>
      <c r="X136" s="57">
        <f t="shared" si="233"/>
        <v>0</v>
      </c>
      <c r="Y136" s="84">
        <f t="shared" si="234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227"/>
        <v>0</v>
      </c>
      <c r="F137" s="58"/>
      <c r="G137" s="55">
        <v>0</v>
      </c>
      <c r="H137" s="57">
        <v>0</v>
      </c>
      <c r="I137" s="57">
        <f t="shared" si="228"/>
        <v>0</v>
      </c>
      <c r="J137" s="58"/>
      <c r="K137" s="55">
        <v>0</v>
      </c>
      <c r="L137" s="57">
        <v>0</v>
      </c>
      <c r="M137" s="57">
        <f t="shared" si="229"/>
        <v>0</v>
      </c>
      <c r="N137" s="58"/>
      <c r="O137" s="55">
        <v>0</v>
      </c>
      <c r="P137" s="57">
        <v>0</v>
      </c>
      <c r="Q137" s="57">
        <f t="shared" si="230"/>
        <v>0</v>
      </c>
      <c r="R137" s="58"/>
      <c r="S137" s="55">
        <v>0</v>
      </c>
      <c r="T137" s="57">
        <v>0</v>
      </c>
      <c r="U137" s="57">
        <f t="shared" si="231"/>
        <v>0</v>
      </c>
      <c r="V137" s="59"/>
      <c r="W137" s="124">
        <f t="shared" si="232"/>
        <v>0</v>
      </c>
      <c r="X137" s="57">
        <f t="shared" si="233"/>
        <v>0</v>
      </c>
      <c r="Y137" s="84">
        <f t="shared" si="234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227"/>
        <v>0</v>
      </c>
      <c r="F138" s="58"/>
      <c r="G138" s="55">
        <v>0</v>
      </c>
      <c r="H138" s="57">
        <v>0</v>
      </c>
      <c r="I138" s="57">
        <f t="shared" si="228"/>
        <v>0</v>
      </c>
      <c r="J138" s="58"/>
      <c r="K138" s="55">
        <v>0</v>
      </c>
      <c r="L138" s="57">
        <v>0</v>
      </c>
      <c r="M138" s="57">
        <f t="shared" si="229"/>
        <v>0</v>
      </c>
      <c r="N138" s="58"/>
      <c r="O138" s="55">
        <v>0</v>
      </c>
      <c r="P138" s="57">
        <v>0</v>
      </c>
      <c r="Q138" s="57">
        <f t="shared" si="230"/>
        <v>0</v>
      </c>
      <c r="R138" s="58"/>
      <c r="S138" s="55">
        <v>0</v>
      </c>
      <c r="T138" s="57">
        <v>0</v>
      </c>
      <c r="U138" s="57">
        <f t="shared" si="231"/>
        <v>0</v>
      </c>
      <c r="V138" s="59"/>
      <c r="W138" s="124">
        <f t="shared" si="232"/>
        <v>0</v>
      </c>
      <c r="X138" s="57">
        <f t="shared" si="233"/>
        <v>0</v>
      </c>
      <c r="Y138" s="84">
        <f t="shared" si="234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227"/>
        <v>0</v>
      </c>
      <c r="F139" s="58"/>
      <c r="G139" s="55">
        <v>0</v>
      </c>
      <c r="H139" s="57">
        <v>0</v>
      </c>
      <c r="I139" s="57">
        <f t="shared" si="228"/>
        <v>0</v>
      </c>
      <c r="J139" s="58"/>
      <c r="K139" s="55">
        <v>0</v>
      </c>
      <c r="L139" s="57">
        <v>0</v>
      </c>
      <c r="M139" s="57">
        <f t="shared" si="229"/>
        <v>0</v>
      </c>
      <c r="N139" s="58"/>
      <c r="O139" s="55">
        <v>0</v>
      </c>
      <c r="P139" s="57">
        <v>0</v>
      </c>
      <c r="Q139" s="57">
        <f t="shared" si="230"/>
        <v>0</v>
      </c>
      <c r="R139" s="58"/>
      <c r="S139" s="55">
        <v>0</v>
      </c>
      <c r="T139" s="57">
        <v>0</v>
      </c>
      <c r="U139" s="57">
        <f t="shared" si="231"/>
        <v>0</v>
      </c>
      <c r="V139" s="59"/>
      <c r="W139" s="124">
        <f t="shared" si="232"/>
        <v>0</v>
      </c>
      <c r="X139" s="57">
        <f t="shared" si="233"/>
        <v>0</v>
      </c>
      <c r="Y139" s="84">
        <f t="shared" si="234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227"/>
        <v>0</v>
      </c>
      <c r="F140" s="58"/>
      <c r="G140" s="55">
        <v>0</v>
      </c>
      <c r="H140" s="57">
        <v>0</v>
      </c>
      <c r="I140" s="57">
        <f t="shared" si="228"/>
        <v>0</v>
      </c>
      <c r="J140" s="58"/>
      <c r="K140" s="55">
        <v>0</v>
      </c>
      <c r="L140" s="57">
        <v>0</v>
      </c>
      <c r="M140" s="57">
        <f t="shared" si="229"/>
        <v>0</v>
      </c>
      <c r="N140" s="58"/>
      <c r="O140" s="55">
        <v>0</v>
      </c>
      <c r="P140" s="57">
        <v>0</v>
      </c>
      <c r="Q140" s="57">
        <f t="shared" si="230"/>
        <v>0</v>
      </c>
      <c r="R140" s="58"/>
      <c r="S140" s="55">
        <v>0</v>
      </c>
      <c r="T140" s="57">
        <v>0</v>
      </c>
      <c r="U140" s="57">
        <f t="shared" si="231"/>
        <v>0</v>
      </c>
      <c r="V140" s="59"/>
      <c r="W140" s="124">
        <f t="shared" si="232"/>
        <v>0</v>
      </c>
      <c r="X140" s="57">
        <f t="shared" si="233"/>
        <v>0</v>
      </c>
      <c r="Y140" s="84">
        <f t="shared" si="234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232"/>
        <v>0</v>
      </c>
      <c r="X141" s="80">
        <f t="shared" si="233"/>
        <v>0</v>
      </c>
      <c r="Y141" s="80">
        <f t="shared" si="234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customFormat="1" ht="12.75" customHeight="1" x14ac:dyDescent="0.25">
      <c r="A143" s="292"/>
      <c r="B143" s="292" t="s">
        <v>125</v>
      </c>
      <c r="C143" s="293">
        <v>6722</v>
      </c>
      <c r="D143" s="294">
        <v>2878</v>
      </c>
      <c r="E143" s="294">
        <f t="shared" ref="E143" si="235">SUM(C143:D143)</f>
        <v>9600</v>
      </c>
      <c r="F143" s="295"/>
      <c r="G143" s="293">
        <v>6000</v>
      </c>
      <c r="H143" s="294">
        <v>3600</v>
      </c>
      <c r="I143" s="294">
        <f t="shared" ref="I143" si="236">SUM(G143:H143)</f>
        <v>9600</v>
      </c>
      <c r="J143" s="295"/>
      <c r="K143" s="293"/>
      <c r="L143" s="294">
        <f>12*800</f>
        <v>9600</v>
      </c>
      <c r="M143" s="294">
        <f t="shared" ref="M143" si="237">SUM(K143:L143)</f>
        <v>9600</v>
      </c>
      <c r="N143" s="295"/>
      <c r="O143" s="293">
        <f t="shared" ref="O143:P143" si="238">K143</f>
        <v>0</v>
      </c>
      <c r="P143" s="294">
        <f t="shared" si="238"/>
        <v>9600</v>
      </c>
      <c r="Q143" s="294">
        <f t="shared" ref="Q143" si="239">SUM(O143:P143)</f>
        <v>9600</v>
      </c>
      <c r="R143" s="295"/>
      <c r="S143" s="293">
        <f t="shared" ref="S143:T143" si="240">O143</f>
        <v>0</v>
      </c>
      <c r="T143" s="294">
        <f t="shared" si="240"/>
        <v>9600</v>
      </c>
      <c r="U143" s="294">
        <f t="shared" ref="U143" si="241">SUM(S143:T143)</f>
        <v>9600</v>
      </c>
      <c r="V143" s="296"/>
      <c r="W143" s="293">
        <f>C143+G143+K143+O143+S143</f>
        <v>12722</v>
      </c>
      <c r="X143" s="294">
        <f t="shared" ref="X143:Y143" si="242">D143+H143+L143+P143+T143</f>
        <v>35278</v>
      </c>
      <c r="Y143" s="294">
        <f t="shared" si="242"/>
        <v>48000</v>
      </c>
      <c r="Z143" s="292"/>
      <c r="AA143" s="292"/>
      <c r="AB143" s="292"/>
      <c r="AC143" s="292"/>
      <c r="AD143" s="292"/>
      <c r="AE143" s="292"/>
      <c r="AF143" s="292"/>
      <c r="AG143" s="292"/>
      <c r="AH143" s="292"/>
      <c r="AI143" s="292"/>
      <c r="AJ143" s="292"/>
      <c r="AK143" s="292"/>
      <c r="AL143" s="292"/>
      <c r="AM143" s="292"/>
      <c r="AN143" s="292"/>
      <c r="AO143" s="292"/>
      <c r="AP143" s="292"/>
      <c r="AQ143" s="292"/>
      <c r="AR143" s="292"/>
      <c r="AS143" s="292"/>
      <c r="AT143" s="292"/>
      <c r="AU143" s="292"/>
    </row>
    <row r="144" spans="1:77" s="61" customFormat="1" x14ac:dyDescent="0.25">
      <c r="A144" s="203"/>
      <c r="B144" s="52" t="s">
        <v>115</v>
      </c>
      <c r="C144" s="124">
        <f>2000*5</f>
        <v>10000</v>
      </c>
      <c r="D144" s="56">
        <f>2000*5*0</f>
        <v>0</v>
      </c>
      <c r="E144" s="56">
        <f t="shared" ref="E144" si="243">SUM(C144:D144)</f>
        <v>10000</v>
      </c>
      <c r="F144" s="58"/>
      <c r="G144" s="55">
        <f>C144</f>
        <v>10000</v>
      </c>
      <c r="H144" s="57">
        <f>D144</f>
        <v>0</v>
      </c>
      <c r="I144" s="57">
        <f t="shared" ref="I144" si="244">SUM(G144:H144)</f>
        <v>10000</v>
      </c>
      <c r="J144" s="58"/>
      <c r="K144" s="55">
        <f>G144</f>
        <v>10000</v>
      </c>
      <c r="L144" s="57">
        <f>H144</f>
        <v>0</v>
      </c>
      <c r="M144" s="57">
        <f t="shared" ref="M144" si="245">SUM(K144:L144)</f>
        <v>10000</v>
      </c>
      <c r="N144" s="58"/>
      <c r="O144" s="55">
        <f>K144</f>
        <v>10000</v>
      </c>
      <c r="P144" s="57">
        <f>L144</f>
        <v>0</v>
      </c>
      <c r="Q144" s="57">
        <f t="shared" ref="Q144" si="246">SUM(O144:P144)</f>
        <v>10000</v>
      </c>
      <c r="R144" s="58"/>
      <c r="S144" s="55">
        <f>O144</f>
        <v>10000</v>
      </c>
      <c r="T144" s="57">
        <f>P144</f>
        <v>0</v>
      </c>
      <c r="U144" s="57">
        <f t="shared" ref="U144" si="247">SUM(S144:T144)</f>
        <v>10000</v>
      </c>
      <c r="V144" s="59"/>
      <c r="W144" s="124">
        <f t="shared" ref="W144" si="248">C144+G144+K144+O144+S144</f>
        <v>50000</v>
      </c>
      <c r="X144" s="57">
        <f t="shared" ref="X144" si="249">D144+H144+L144+P144+T144</f>
        <v>0</v>
      </c>
      <c r="Y144" s="84">
        <f t="shared" ref="Y144" si="250">E144+I144+M144+Q144+U144</f>
        <v>50000</v>
      </c>
    </row>
    <row r="145" spans="1:77" s="61" customFormat="1" x14ac:dyDescent="0.25">
      <c r="A145" s="52"/>
      <c r="B145" s="52"/>
      <c r="C145" s="124">
        <v>0</v>
      </c>
      <c r="D145" s="56">
        <v>0</v>
      </c>
      <c r="E145" s="56">
        <f t="shared" ref="E145:E148" si="251">SUM(C145:D145)</f>
        <v>0</v>
      </c>
      <c r="F145" s="58"/>
      <c r="G145" s="55">
        <v>0</v>
      </c>
      <c r="H145" s="57">
        <v>0</v>
      </c>
      <c r="I145" s="57">
        <f t="shared" ref="I145:I148" si="252">SUM(G145:H145)</f>
        <v>0</v>
      </c>
      <c r="J145" s="58"/>
      <c r="K145" s="55">
        <v>0</v>
      </c>
      <c r="L145" s="57">
        <v>0</v>
      </c>
      <c r="M145" s="57">
        <f t="shared" ref="M145:M148" si="253">SUM(K145:L145)</f>
        <v>0</v>
      </c>
      <c r="N145" s="58"/>
      <c r="O145" s="55">
        <v>0</v>
      </c>
      <c r="P145" s="57">
        <v>0</v>
      </c>
      <c r="Q145" s="57">
        <f t="shared" ref="Q145:Q148" si="254">SUM(O145:P145)</f>
        <v>0</v>
      </c>
      <c r="R145" s="58"/>
      <c r="S145" s="55">
        <v>0</v>
      </c>
      <c r="T145" s="57">
        <v>0</v>
      </c>
      <c r="U145" s="57">
        <f t="shared" ref="U145:U148" si="255">SUM(S145:T145)</f>
        <v>0</v>
      </c>
      <c r="V145" s="59"/>
      <c r="W145" s="124">
        <f t="shared" ref="W145:Y149" si="256">C145+G145+K145+O145+S145</f>
        <v>0</v>
      </c>
      <c r="X145" s="57">
        <f t="shared" si="256"/>
        <v>0</v>
      </c>
      <c r="Y145" s="84">
        <f t="shared" si="256"/>
        <v>0</v>
      </c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251"/>
        <v>0</v>
      </c>
      <c r="F146" s="58"/>
      <c r="G146" s="55">
        <v>0</v>
      </c>
      <c r="H146" s="57">
        <v>0</v>
      </c>
      <c r="I146" s="57">
        <f t="shared" si="252"/>
        <v>0</v>
      </c>
      <c r="J146" s="58"/>
      <c r="K146" s="55">
        <v>0</v>
      </c>
      <c r="L146" s="57">
        <v>0</v>
      </c>
      <c r="M146" s="57">
        <f t="shared" si="253"/>
        <v>0</v>
      </c>
      <c r="N146" s="58"/>
      <c r="O146" s="55">
        <v>0</v>
      </c>
      <c r="P146" s="57">
        <v>0</v>
      </c>
      <c r="Q146" s="57">
        <f t="shared" si="254"/>
        <v>0</v>
      </c>
      <c r="R146" s="58"/>
      <c r="S146" s="55">
        <v>0</v>
      </c>
      <c r="T146" s="57">
        <v>0</v>
      </c>
      <c r="U146" s="57">
        <f t="shared" si="255"/>
        <v>0</v>
      </c>
      <c r="V146" s="59"/>
      <c r="W146" s="124">
        <f t="shared" si="256"/>
        <v>0</v>
      </c>
      <c r="X146" s="57">
        <f t="shared" si="256"/>
        <v>0</v>
      </c>
      <c r="Y146" s="84">
        <f t="shared" si="256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251"/>
        <v>0</v>
      </c>
      <c r="F147" s="58"/>
      <c r="G147" s="55">
        <v>0</v>
      </c>
      <c r="H147" s="57">
        <v>0</v>
      </c>
      <c r="I147" s="57">
        <f t="shared" si="252"/>
        <v>0</v>
      </c>
      <c r="J147" s="58"/>
      <c r="K147" s="55">
        <v>0</v>
      </c>
      <c r="L147" s="57">
        <v>0</v>
      </c>
      <c r="M147" s="57">
        <f t="shared" si="253"/>
        <v>0</v>
      </c>
      <c r="N147" s="58"/>
      <c r="O147" s="55">
        <v>0</v>
      </c>
      <c r="P147" s="57">
        <v>0</v>
      </c>
      <c r="Q147" s="57">
        <f t="shared" si="254"/>
        <v>0</v>
      </c>
      <c r="R147" s="58"/>
      <c r="S147" s="55">
        <v>0</v>
      </c>
      <c r="T147" s="57">
        <v>0</v>
      </c>
      <c r="U147" s="57">
        <f t="shared" si="255"/>
        <v>0</v>
      </c>
      <c r="V147" s="59"/>
      <c r="W147" s="124">
        <f t="shared" si="256"/>
        <v>0</v>
      </c>
      <c r="X147" s="57">
        <f t="shared" si="256"/>
        <v>0</v>
      </c>
      <c r="Y147" s="84">
        <f t="shared" si="256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251"/>
        <v>0</v>
      </c>
      <c r="F148" s="58"/>
      <c r="G148" s="55">
        <v>0</v>
      </c>
      <c r="H148" s="57">
        <v>0</v>
      </c>
      <c r="I148" s="57">
        <f t="shared" si="252"/>
        <v>0</v>
      </c>
      <c r="J148" s="58"/>
      <c r="K148" s="55">
        <v>0</v>
      </c>
      <c r="L148" s="57">
        <v>0</v>
      </c>
      <c r="M148" s="57">
        <f t="shared" si="253"/>
        <v>0</v>
      </c>
      <c r="N148" s="58"/>
      <c r="O148" s="55">
        <v>0</v>
      </c>
      <c r="P148" s="57">
        <v>0</v>
      </c>
      <c r="Q148" s="57">
        <f t="shared" si="254"/>
        <v>0</v>
      </c>
      <c r="R148" s="58"/>
      <c r="S148" s="55">
        <v>0</v>
      </c>
      <c r="T148" s="57">
        <v>0</v>
      </c>
      <c r="U148" s="57">
        <f t="shared" si="255"/>
        <v>0</v>
      </c>
      <c r="V148" s="59"/>
      <c r="W148" s="124">
        <f t="shared" si="256"/>
        <v>0</v>
      </c>
      <c r="X148" s="57">
        <f t="shared" si="256"/>
        <v>0</v>
      </c>
      <c r="Y148" s="84">
        <f t="shared" si="256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16722</v>
      </c>
      <c r="D149" s="125">
        <f>SUM(D143:D148)</f>
        <v>2878</v>
      </c>
      <c r="E149" s="125">
        <f>SUM(E143:E148)</f>
        <v>19600</v>
      </c>
      <c r="F149" s="81"/>
      <c r="G149" s="79">
        <f>SUM(G143:G148)</f>
        <v>16000</v>
      </c>
      <c r="H149" s="80">
        <f>SUM(H143:H148)</f>
        <v>3600</v>
      </c>
      <c r="I149" s="80">
        <f>SUM(I143:I148)</f>
        <v>19600</v>
      </c>
      <c r="J149" s="81"/>
      <c r="K149" s="79">
        <f>SUM(K143:K148)</f>
        <v>10000</v>
      </c>
      <c r="L149" s="80">
        <f>SUM(L143:L148)</f>
        <v>9600</v>
      </c>
      <c r="M149" s="80">
        <f>SUM(M143:M148)</f>
        <v>19600</v>
      </c>
      <c r="N149" s="81"/>
      <c r="O149" s="79">
        <f>SUM(O143:O148)</f>
        <v>10000</v>
      </c>
      <c r="P149" s="80">
        <f>SUM(P143:P148)</f>
        <v>9600</v>
      </c>
      <c r="Q149" s="80">
        <f>SUM(Q143:Q148)</f>
        <v>19600</v>
      </c>
      <c r="R149" s="81"/>
      <c r="S149" s="79">
        <f>SUM(S143:S148)</f>
        <v>10000</v>
      </c>
      <c r="T149" s="80">
        <f>SUM(T143:T148)</f>
        <v>9600</v>
      </c>
      <c r="U149" s="80">
        <f>SUM(U143:U148)</f>
        <v>19600</v>
      </c>
      <c r="V149" s="82"/>
      <c r="W149" s="228">
        <f t="shared" si="256"/>
        <v>62722</v>
      </c>
      <c r="X149" s="80">
        <f t="shared" si="256"/>
        <v>35278</v>
      </c>
      <c r="Y149" s="80">
        <f t="shared" si="256"/>
        <v>98000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82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/>
      <c r="B151" s="54"/>
      <c r="C151" s="124">
        <v>0</v>
      </c>
      <c r="D151" s="56">
        <v>0</v>
      </c>
      <c r="E151" s="56">
        <f>SUM(C151:D151)</f>
        <v>0</v>
      </c>
      <c r="F151" s="58"/>
      <c r="G151" s="55">
        <v>0</v>
      </c>
      <c r="H151" s="56">
        <v>0</v>
      </c>
      <c r="I151" s="56">
        <f>SUM(G151:H151)</f>
        <v>0</v>
      </c>
      <c r="J151" s="58"/>
      <c r="K151" s="55">
        <v>0</v>
      </c>
      <c r="L151" s="56">
        <v>0</v>
      </c>
      <c r="M151" s="56">
        <f>SUM(K151:L151)</f>
        <v>0</v>
      </c>
      <c r="N151" s="58"/>
      <c r="O151" s="55">
        <v>0</v>
      </c>
      <c r="P151" s="56">
        <v>0</v>
      </c>
      <c r="Q151" s="56">
        <f>SUM(O151:P151)</f>
        <v>0</v>
      </c>
      <c r="R151" s="58"/>
      <c r="S151" s="55">
        <v>0</v>
      </c>
      <c r="T151" s="56">
        <v>0</v>
      </c>
      <c r="U151" s="56">
        <f>SUM(S151:T151)</f>
        <v>0</v>
      </c>
      <c r="V151" s="59"/>
      <c r="W151" s="124">
        <f t="shared" ref="W151:Y155" si="257">C151+G151+K151+O151+S151</f>
        <v>0</v>
      </c>
      <c r="X151" s="57">
        <f t="shared" si="257"/>
        <v>0</v>
      </c>
      <c r="Y151" s="84">
        <f t="shared" si="257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77" customFormat="1" x14ac:dyDescent="0.25">
      <c r="A152" s="54"/>
      <c r="B152" s="54"/>
      <c r="C152" s="124">
        <v>0</v>
      </c>
      <c r="D152" s="56">
        <v>0</v>
      </c>
      <c r="E152" s="56">
        <f>SUM(C152:D152)</f>
        <v>0</v>
      </c>
      <c r="F152" s="58"/>
      <c r="G152" s="55">
        <v>0</v>
      </c>
      <c r="H152" s="56">
        <v>0</v>
      </c>
      <c r="I152" s="56">
        <f>SUM(G152:H152)</f>
        <v>0</v>
      </c>
      <c r="J152" s="58"/>
      <c r="K152" s="55">
        <v>0</v>
      </c>
      <c r="L152" s="56">
        <v>0</v>
      </c>
      <c r="M152" s="56">
        <f>SUM(K152:L152)</f>
        <v>0</v>
      </c>
      <c r="N152" s="58"/>
      <c r="O152" s="55">
        <v>0</v>
      </c>
      <c r="P152" s="56">
        <v>0</v>
      </c>
      <c r="Q152" s="56">
        <f>SUM(O152:P152)</f>
        <v>0</v>
      </c>
      <c r="R152" s="58"/>
      <c r="S152" s="55">
        <v>0</v>
      </c>
      <c r="T152" s="56">
        <v>0</v>
      </c>
      <c r="U152" s="56">
        <f>SUM(S152:T152)</f>
        <v>0</v>
      </c>
      <c r="V152" s="59"/>
      <c r="W152" s="124">
        <f t="shared" si="257"/>
        <v>0</v>
      </c>
      <c r="X152" s="57">
        <f t="shared" si="257"/>
        <v>0</v>
      </c>
      <c r="Y152" s="84">
        <f t="shared" si="257"/>
        <v>0</v>
      </c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</row>
    <row r="153" spans="1:77" s="77" customFormat="1" x14ac:dyDescent="0.25">
      <c r="A153" s="54"/>
      <c r="B153" s="54"/>
      <c r="C153" s="124">
        <v>0</v>
      </c>
      <c r="D153" s="56">
        <v>0</v>
      </c>
      <c r="E153" s="56">
        <f>SUM(C153:D153)</f>
        <v>0</v>
      </c>
      <c r="F153" s="58"/>
      <c r="G153" s="55">
        <v>0</v>
      </c>
      <c r="H153" s="56">
        <v>0</v>
      </c>
      <c r="I153" s="56">
        <f>SUM(G153:H153)</f>
        <v>0</v>
      </c>
      <c r="J153" s="58"/>
      <c r="K153" s="55">
        <v>0</v>
      </c>
      <c r="L153" s="56">
        <v>0</v>
      </c>
      <c r="M153" s="56">
        <f>SUM(K153:L153)</f>
        <v>0</v>
      </c>
      <c r="N153" s="58"/>
      <c r="O153" s="55">
        <v>0</v>
      </c>
      <c r="P153" s="56">
        <v>0</v>
      </c>
      <c r="Q153" s="56">
        <f>SUM(O153:P153)</f>
        <v>0</v>
      </c>
      <c r="R153" s="58"/>
      <c r="S153" s="55">
        <v>0</v>
      </c>
      <c r="T153" s="56">
        <v>0</v>
      </c>
      <c r="U153" s="56">
        <f>SUM(S153:T153)</f>
        <v>0</v>
      </c>
      <c r="V153" s="59"/>
      <c r="W153" s="124">
        <f t="shared" si="257"/>
        <v>0</v>
      </c>
      <c r="X153" s="57">
        <f t="shared" si="257"/>
        <v>0</v>
      </c>
      <c r="Y153" s="84">
        <f t="shared" si="257"/>
        <v>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customFormat="1" ht="12.75" customHeight="1" x14ac:dyDescent="0.25">
      <c r="A154" s="292"/>
      <c r="B154" s="292" t="s">
        <v>49</v>
      </c>
      <c r="C154" s="293">
        <f>(((5034*1.05)*1)+(386.37*1.05))*0</f>
        <v>0</v>
      </c>
      <c r="D154" s="294">
        <v>0</v>
      </c>
      <c r="E154" s="294">
        <f t="shared" ref="E154" si="258">SUM(C154:D154)</f>
        <v>0</v>
      </c>
      <c r="F154" s="295"/>
      <c r="G154" s="293">
        <f>11075</f>
        <v>11075</v>
      </c>
      <c r="H154" s="294">
        <v>0</v>
      </c>
      <c r="I154" s="294">
        <f t="shared" ref="I154" si="259">SUM(G154:H154)</f>
        <v>11075</v>
      </c>
      <c r="J154" s="295"/>
      <c r="K154" s="293">
        <f>I154*1.1</f>
        <v>12182.500000000002</v>
      </c>
      <c r="L154" s="294">
        <v>0</v>
      </c>
      <c r="M154" s="294">
        <f t="shared" ref="M154" si="260">SUM(K154:L154)</f>
        <v>12182.500000000002</v>
      </c>
      <c r="N154" s="295"/>
      <c r="O154" s="293">
        <f>M154*1.1</f>
        <v>13400.750000000004</v>
      </c>
      <c r="P154" s="294">
        <v>0</v>
      </c>
      <c r="Q154" s="294">
        <f t="shared" ref="Q154" si="261">SUM(O154:P154)</f>
        <v>13400.750000000004</v>
      </c>
      <c r="R154" s="295"/>
      <c r="S154" s="293">
        <f>Q154*1.1</f>
        <v>14740.825000000004</v>
      </c>
      <c r="T154" s="294">
        <v>0</v>
      </c>
      <c r="U154" s="294">
        <f t="shared" ref="U154" si="262">SUM(S154:T154)</f>
        <v>14740.825000000004</v>
      </c>
      <c r="V154" s="296"/>
      <c r="W154" s="293">
        <f t="shared" si="257"/>
        <v>51399.075000000004</v>
      </c>
      <c r="X154" s="294">
        <f t="shared" si="257"/>
        <v>0</v>
      </c>
      <c r="Y154" s="294">
        <f t="shared" si="257"/>
        <v>51399.075000000004</v>
      </c>
      <c r="Z154" s="294"/>
      <c r="AA154" s="292"/>
      <c r="AB154" s="292"/>
      <c r="AC154" s="292"/>
      <c r="AD154" s="292"/>
      <c r="AE154" s="292"/>
      <c r="AF154" s="292"/>
      <c r="AG154" s="292"/>
      <c r="AH154" s="292"/>
      <c r="AI154" s="292"/>
      <c r="AJ154" s="292"/>
      <c r="AK154" s="292"/>
      <c r="AL154" s="292"/>
      <c r="AM154" s="292"/>
      <c r="AN154" s="292"/>
      <c r="AO154" s="292"/>
      <c r="AP154" s="292"/>
      <c r="AQ154" s="292"/>
      <c r="AR154" s="292"/>
      <c r="AS154" s="292"/>
      <c r="AT154" s="292"/>
      <c r="AU154" s="292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11075</v>
      </c>
      <c r="H155" s="80">
        <f>SUM(H151:H154)</f>
        <v>0</v>
      </c>
      <c r="I155" s="80">
        <f>SUM(I151:I154)</f>
        <v>11075</v>
      </c>
      <c r="J155" s="81"/>
      <c r="K155" s="79">
        <f>SUM(K151:K154)</f>
        <v>12182.500000000002</v>
      </c>
      <c r="L155" s="80">
        <f>SUM(L151:L154)</f>
        <v>0</v>
      </c>
      <c r="M155" s="80">
        <f>SUM(M151:M154)</f>
        <v>12182.500000000002</v>
      </c>
      <c r="N155" s="81"/>
      <c r="O155" s="79">
        <f>SUM(O151:O154)</f>
        <v>13400.750000000004</v>
      </c>
      <c r="P155" s="80">
        <f>SUM(P151:P154)</f>
        <v>0</v>
      </c>
      <c r="Q155" s="80">
        <f>SUM(Q151:Q154)</f>
        <v>13400.750000000004</v>
      </c>
      <c r="R155" s="81"/>
      <c r="S155" s="79">
        <f>SUM(S151:S154)</f>
        <v>14740.825000000004</v>
      </c>
      <c r="T155" s="80">
        <f>SUM(T151:T154)</f>
        <v>0</v>
      </c>
      <c r="U155" s="80">
        <f>SUM(U151:U154)</f>
        <v>14740.825000000004</v>
      </c>
      <c r="V155" s="82"/>
      <c r="W155" s="228">
        <f t="shared" si="257"/>
        <v>51399.075000000004</v>
      </c>
      <c r="X155" s="80">
        <f t="shared" si="257"/>
        <v>0</v>
      </c>
      <c r="Y155" s="80">
        <f t="shared" si="257"/>
        <v>51399.075000000004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3" t="s">
        <v>57</v>
      </c>
      <c r="B157" s="61" t="s">
        <v>140</v>
      </c>
      <c r="C157" s="55">
        <v>0</v>
      </c>
      <c r="D157" s="56">
        <v>0</v>
      </c>
      <c r="E157" s="57">
        <f t="shared" ref="E157:E160" si="263">SUM(C157:D157)</f>
        <v>0</v>
      </c>
      <c r="F157" s="58"/>
      <c r="G157" s="55">
        <v>0</v>
      </c>
      <c r="H157" s="57">
        <v>0</v>
      </c>
      <c r="I157" s="57">
        <f t="shared" ref="I157:I160" si="264">SUM(G157:H157)</f>
        <v>0</v>
      </c>
      <c r="J157" s="58"/>
      <c r="K157" s="55">
        <f>16500*2</f>
        <v>33000</v>
      </c>
      <c r="L157" s="57">
        <v>0</v>
      </c>
      <c r="M157" s="57">
        <f t="shared" ref="M157:M160" si="265">SUM(K157:L157)</f>
        <v>33000</v>
      </c>
      <c r="N157" s="58"/>
      <c r="O157" s="55">
        <v>0</v>
      </c>
      <c r="P157" s="56">
        <v>0</v>
      </c>
      <c r="Q157" s="56">
        <f t="shared" ref="Q157:Q160" si="266">SUM(O157:P157)</f>
        <v>0</v>
      </c>
      <c r="R157" s="58"/>
      <c r="S157" s="55">
        <v>0</v>
      </c>
      <c r="T157" s="57">
        <v>0</v>
      </c>
      <c r="U157" s="57">
        <f t="shared" ref="U157:U160" si="267">SUM(S157:T157)</f>
        <v>0</v>
      </c>
      <c r="V157" s="59"/>
      <c r="W157" s="124">
        <f t="shared" ref="W157:Y163" si="268">C157+G157+K157+O157+S157</f>
        <v>33000</v>
      </c>
      <c r="X157" s="57">
        <f t="shared" ref="X157:X163" si="269">D157+H157+L157+P157+T157</f>
        <v>0</v>
      </c>
      <c r="Y157" s="202">
        <f t="shared" ref="Y157:Y163" si="270">E157+I157+M157+Q157+U157</f>
        <v>33000</v>
      </c>
    </row>
    <row r="158" spans="1:77" s="61" customFormat="1" x14ac:dyDescent="0.25">
      <c r="A158" s="53" t="s">
        <v>57</v>
      </c>
      <c r="B158" s="61" t="s">
        <v>141</v>
      </c>
      <c r="C158" s="55">
        <v>0</v>
      </c>
      <c r="D158" s="56">
        <v>0</v>
      </c>
      <c r="E158" s="57">
        <f t="shared" si="263"/>
        <v>0</v>
      </c>
      <c r="F158" s="58"/>
      <c r="G158" s="55">
        <v>0</v>
      </c>
      <c r="H158" s="57">
        <v>0</v>
      </c>
      <c r="I158" s="57">
        <f t="shared" si="264"/>
        <v>0</v>
      </c>
      <c r="J158" s="58"/>
      <c r="K158" s="55">
        <f t="shared" ref="K158:K159" si="271">16500*2</f>
        <v>33000</v>
      </c>
      <c r="L158" s="56">
        <v>0</v>
      </c>
      <c r="M158" s="57">
        <f t="shared" si="265"/>
        <v>33000</v>
      </c>
      <c r="N158" s="58"/>
      <c r="O158" s="55">
        <v>0</v>
      </c>
      <c r="P158" s="56">
        <v>0</v>
      </c>
      <c r="Q158" s="56">
        <f t="shared" si="266"/>
        <v>0</v>
      </c>
      <c r="R158" s="58"/>
      <c r="S158" s="55">
        <v>0</v>
      </c>
      <c r="T158" s="57">
        <v>0</v>
      </c>
      <c r="U158" s="57">
        <f t="shared" si="267"/>
        <v>0</v>
      </c>
      <c r="V158" s="59"/>
      <c r="W158" s="124">
        <f t="shared" si="268"/>
        <v>33000</v>
      </c>
      <c r="X158" s="57">
        <f t="shared" si="269"/>
        <v>0</v>
      </c>
      <c r="Y158" s="202">
        <f t="shared" si="270"/>
        <v>33000</v>
      </c>
    </row>
    <row r="159" spans="1:77" s="169" customFormat="1" x14ac:dyDescent="0.25">
      <c r="A159" s="170"/>
      <c r="B159" s="61" t="s">
        <v>142</v>
      </c>
      <c r="C159" s="172">
        <v>0</v>
      </c>
      <c r="D159" s="174">
        <v>0</v>
      </c>
      <c r="E159" s="173">
        <f t="shared" ref="E159" si="272">SUM(C159:D159)</f>
        <v>0</v>
      </c>
      <c r="F159" s="175"/>
      <c r="G159" s="55">
        <v>0</v>
      </c>
      <c r="H159" s="173">
        <v>0</v>
      </c>
      <c r="I159" s="57">
        <f t="shared" ref="I159" si="273">SUM(G159:H159)</f>
        <v>0</v>
      </c>
      <c r="J159" s="58"/>
      <c r="K159" s="55">
        <f t="shared" si="271"/>
        <v>33000</v>
      </c>
      <c r="L159" s="56">
        <v>0</v>
      </c>
      <c r="M159" s="57">
        <f t="shared" ref="M159" si="274">SUM(K159:L159)</f>
        <v>33000</v>
      </c>
      <c r="N159" s="58"/>
      <c r="O159" s="55">
        <v>0</v>
      </c>
      <c r="P159" s="56">
        <v>0</v>
      </c>
      <c r="Q159" s="56">
        <f t="shared" ref="Q159" si="275">SUM(O159:P159)</f>
        <v>0</v>
      </c>
      <c r="R159" s="58"/>
      <c r="S159" s="55">
        <v>0</v>
      </c>
      <c r="T159" s="57">
        <v>0</v>
      </c>
      <c r="U159" s="57">
        <f t="shared" ref="U159" si="276">SUM(S159:T159)</f>
        <v>0</v>
      </c>
      <c r="V159" s="59"/>
      <c r="W159" s="124">
        <f t="shared" ref="W159" si="277">C159+G159+K159+O159+S159</f>
        <v>33000</v>
      </c>
      <c r="X159" s="57">
        <f t="shared" ref="X159" si="278">D159+H159+L159+P159+T159</f>
        <v>0</v>
      </c>
      <c r="Y159" s="202">
        <f t="shared" ref="Y159" si="279">E159+I159+M159+Q159+U159</f>
        <v>33000</v>
      </c>
    </row>
    <row r="160" spans="1:77" s="169" customFormat="1" x14ac:dyDescent="0.25">
      <c r="A160" s="170"/>
      <c r="B160" s="169" t="s">
        <v>57</v>
      </c>
      <c r="C160" s="172">
        <v>0</v>
      </c>
      <c r="D160" s="174">
        <v>0</v>
      </c>
      <c r="E160" s="173">
        <f t="shared" si="263"/>
        <v>0</v>
      </c>
      <c r="F160" s="175"/>
      <c r="G160" s="172">
        <v>0</v>
      </c>
      <c r="H160" s="173">
        <v>0</v>
      </c>
      <c r="I160" s="173">
        <f t="shared" si="264"/>
        <v>0</v>
      </c>
      <c r="J160" s="175"/>
      <c r="K160" s="172">
        <v>0</v>
      </c>
      <c r="L160" s="174">
        <v>0</v>
      </c>
      <c r="M160" s="173">
        <f t="shared" si="265"/>
        <v>0</v>
      </c>
      <c r="N160" s="175"/>
      <c r="O160" s="172">
        <v>0</v>
      </c>
      <c r="P160" s="174">
        <v>0</v>
      </c>
      <c r="Q160" s="174">
        <f t="shared" si="266"/>
        <v>0</v>
      </c>
      <c r="R160" s="175"/>
      <c r="S160" s="172">
        <v>0</v>
      </c>
      <c r="T160" s="173">
        <v>0</v>
      </c>
      <c r="U160" s="173">
        <f t="shared" si="267"/>
        <v>0</v>
      </c>
      <c r="V160" s="176"/>
      <c r="W160" s="227">
        <f t="shared" si="268"/>
        <v>0</v>
      </c>
      <c r="X160" s="173">
        <f t="shared" si="269"/>
        <v>0</v>
      </c>
      <c r="Y160" s="186">
        <f t="shared" si="270"/>
        <v>0</v>
      </c>
    </row>
    <row r="161" spans="1:77" customFormat="1" ht="12.75" customHeight="1" x14ac:dyDescent="0.25">
      <c r="A161" s="292"/>
      <c r="B161" s="292" t="s">
        <v>116</v>
      </c>
      <c r="C161" s="293">
        <v>7427</v>
      </c>
      <c r="D161" s="294">
        <v>0</v>
      </c>
      <c r="E161" s="294">
        <f t="shared" ref="E161" si="280">SUM(C161:D161)</f>
        <v>7427</v>
      </c>
      <c r="F161" s="295"/>
      <c r="G161" s="293">
        <v>5884</v>
      </c>
      <c r="H161" s="294">
        <v>0</v>
      </c>
      <c r="I161" s="294">
        <f t="shared" ref="I161" si="281">SUM(G161:H161)</f>
        <v>5884</v>
      </c>
      <c r="J161" s="295"/>
      <c r="K161" s="293">
        <f>G161</f>
        <v>5884</v>
      </c>
      <c r="L161" s="294">
        <v>0</v>
      </c>
      <c r="M161" s="294">
        <f t="shared" ref="M161" si="282">SUM(K161:L161)</f>
        <v>5884</v>
      </c>
      <c r="N161" s="295"/>
      <c r="O161" s="293">
        <f t="shared" ref="O161" si="283">K161</f>
        <v>5884</v>
      </c>
      <c r="P161" s="294">
        <v>0</v>
      </c>
      <c r="Q161" s="294">
        <f t="shared" ref="Q161" si="284">SUM(O161:P161)</f>
        <v>5884</v>
      </c>
      <c r="R161" s="295"/>
      <c r="S161" s="293">
        <f t="shared" ref="S161" si="285">O161</f>
        <v>5884</v>
      </c>
      <c r="T161" s="294">
        <v>0</v>
      </c>
      <c r="U161" s="294">
        <f t="shared" ref="U161" si="286">SUM(S161:T161)</f>
        <v>5884</v>
      </c>
      <c r="V161" s="296"/>
      <c r="W161" s="293">
        <f t="shared" si="268"/>
        <v>30963</v>
      </c>
      <c r="X161" s="294">
        <f t="shared" si="268"/>
        <v>0</v>
      </c>
      <c r="Y161" s="294">
        <f t="shared" si="268"/>
        <v>30963</v>
      </c>
      <c r="Z161" s="292"/>
      <c r="AA161" s="292"/>
      <c r="AB161" s="292"/>
      <c r="AC161" s="292"/>
      <c r="AD161" s="292"/>
      <c r="AE161" s="292"/>
      <c r="AF161" s="292"/>
      <c r="AG161" s="292"/>
      <c r="AH161" s="292"/>
      <c r="AI161" s="292"/>
      <c r="AJ161" s="292"/>
      <c r="AK161" s="292"/>
      <c r="AL161" s="292"/>
      <c r="AM161" s="292"/>
      <c r="AN161" s="292"/>
      <c r="AO161" s="292"/>
      <c r="AP161" s="292"/>
      <c r="AQ161" s="292"/>
      <c r="AR161" s="292"/>
      <c r="AS161" s="292"/>
      <c r="AT161" s="292"/>
      <c r="AU161" s="292"/>
    </row>
    <row r="162" spans="1:77" s="61" customFormat="1" x14ac:dyDescent="0.25">
      <c r="A162" s="203"/>
      <c r="B162" s="54" t="s">
        <v>57</v>
      </c>
      <c r="C162" s="124">
        <v>0</v>
      </c>
      <c r="D162" s="56">
        <v>0</v>
      </c>
      <c r="E162" s="56">
        <f t="shared" ref="E162:E163" si="287">SUM(C162:D162)</f>
        <v>0</v>
      </c>
      <c r="F162" s="58"/>
      <c r="G162" s="55">
        <f>6098*0</f>
        <v>0</v>
      </c>
      <c r="H162" s="57">
        <v>0</v>
      </c>
      <c r="I162" s="57">
        <f t="shared" ref="I162" si="288">SUM(G162:H162)</f>
        <v>0</v>
      </c>
      <c r="J162" s="58"/>
      <c r="K162" s="55">
        <f>G162</f>
        <v>0</v>
      </c>
      <c r="L162" s="56">
        <v>0</v>
      </c>
      <c r="M162" s="57">
        <f t="shared" ref="M162:M163" si="289">SUM(K162:L162)</f>
        <v>0</v>
      </c>
      <c r="N162" s="58"/>
      <c r="O162" s="55">
        <f>K162</f>
        <v>0</v>
      </c>
      <c r="P162" s="57">
        <v>0</v>
      </c>
      <c r="Q162" s="57">
        <f t="shared" ref="Q162:Q163" si="290">SUM(O162:P162)</f>
        <v>0</v>
      </c>
      <c r="R162" s="58"/>
      <c r="S162" s="55">
        <f>O162</f>
        <v>0</v>
      </c>
      <c r="T162" s="56">
        <v>0</v>
      </c>
      <c r="U162" s="57">
        <f t="shared" ref="U162:U163" si="291">SUM(S162:T162)</f>
        <v>0</v>
      </c>
      <c r="V162" s="59"/>
      <c r="W162" s="124">
        <f t="shared" si="268"/>
        <v>0</v>
      </c>
      <c r="X162" s="57">
        <f t="shared" si="269"/>
        <v>0</v>
      </c>
      <c r="Y162" s="84">
        <f t="shared" si="270"/>
        <v>0</v>
      </c>
    </row>
    <row r="163" spans="1:77" s="61" customFormat="1" x14ac:dyDescent="0.25">
      <c r="A163" s="54"/>
      <c r="B163" s="54" t="s">
        <v>68</v>
      </c>
      <c r="C163" s="124">
        <v>0</v>
      </c>
      <c r="D163" s="56">
        <v>0</v>
      </c>
      <c r="E163" s="56">
        <f t="shared" si="287"/>
        <v>0</v>
      </c>
      <c r="F163" s="58"/>
      <c r="G163" s="55">
        <v>0</v>
      </c>
      <c r="H163" s="57"/>
      <c r="I163" s="57">
        <f t="shared" ref="I163" si="292">SUM(G163:H163)</f>
        <v>0</v>
      </c>
      <c r="J163" s="58"/>
      <c r="K163" s="55">
        <v>3000</v>
      </c>
      <c r="L163" s="56">
        <v>0</v>
      </c>
      <c r="M163" s="57">
        <f t="shared" si="289"/>
        <v>3000</v>
      </c>
      <c r="N163" s="58"/>
      <c r="O163" s="55">
        <v>4000</v>
      </c>
      <c r="P163" s="56">
        <v>0</v>
      </c>
      <c r="Q163" s="56">
        <f t="shared" si="290"/>
        <v>4000</v>
      </c>
      <c r="R163" s="58"/>
      <c r="S163" s="55">
        <f>4000+1500</f>
        <v>5500</v>
      </c>
      <c r="T163" s="56">
        <v>0</v>
      </c>
      <c r="U163" s="57">
        <f t="shared" si="291"/>
        <v>5500</v>
      </c>
      <c r="V163" s="59"/>
      <c r="W163" s="124">
        <f t="shared" si="268"/>
        <v>12500</v>
      </c>
      <c r="X163" s="57">
        <f t="shared" si="269"/>
        <v>0</v>
      </c>
      <c r="Y163" s="84">
        <f t="shared" si="270"/>
        <v>12500</v>
      </c>
    </row>
    <row r="164" spans="1:77" s="61" customFormat="1" x14ac:dyDescent="0.25">
      <c r="A164" s="54" t="s">
        <v>57</v>
      </c>
      <c r="B164" s="61" t="s">
        <v>57</v>
      </c>
      <c r="C164" s="124">
        <v>0</v>
      </c>
      <c r="D164" s="56">
        <v>0</v>
      </c>
      <c r="E164" s="56">
        <f t="shared" ref="E164:E172" si="293">SUM(C164:D164)</f>
        <v>0</v>
      </c>
      <c r="F164" s="58"/>
      <c r="G164" s="55">
        <v>0</v>
      </c>
      <c r="H164" s="57">
        <v>0</v>
      </c>
      <c r="I164" s="57">
        <f t="shared" ref="I164:I172" si="294">SUM(G164:H164)</f>
        <v>0</v>
      </c>
      <c r="J164" s="58"/>
      <c r="K164" s="55">
        <v>0</v>
      </c>
      <c r="L164" s="57">
        <v>0</v>
      </c>
      <c r="M164" s="57">
        <f t="shared" ref="M164:M172" si="295">SUM(K164:L164)</f>
        <v>0</v>
      </c>
      <c r="N164" s="58"/>
      <c r="O164" s="55">
        <v>0</v>
      </c>
      <c r="P164" s="57">
        <v>0</v>
      </c>
      <c r="Q164" s="57">
        <f t="shared" ref="Q164:Q172" si="296">SUM(O164:P164)</f>
        <v>0</v>
      </c>
      <c r="R164" s="58"/>
      <c r="S164" s="55">
        <v>0</v>
      </c>
      <c r="T164" s="57">
        <v>0</v>
      </c>
      <c r="U164" s="57">
        <f t="shared" ref="U164:U172" si="297">SUM(S164:T164)</f>
        <v>0</v>
      </c>
      <c r="V164" s="59"/>
      <c r="W164" s="124">
        <f t="shared" ref="W164:W173" si="298">C164+G164+K164+O164+S164</f>
        <v>0</v>
      </c>
      <c r="X164" s="57">
        <f t="shared" ref="X164:X173" si="299">D164+H164+L164+P164+T164</f>
        <v>0</v>
      </c>
      <c r="Y164" s="84">
        <f t="shared" ref="Y164:Y173" si="300">E164+I164+M164+Q164+U164</f>
        <v>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 t="s">
        <v>57</v>
      </c>
      <c r="C165" s="124">
        <v>0</v>
      </c>
      <c r="D165" s="56">
        <v>0</v>
      </c>
      <c r="E165" s="56">
        <f t="shared" si="293"/>
        <v>0</v>
      </c>
      <c r="F165" s="58"/>
      <c r="G165" s="55">
        <v>0</v>
      </c>
      <c r="H165" s="57">
        <v>0</v>
      </c>
      <c r="I165" s="57">
        <f t="shared" si="294"/>
        <v>0</v>
      </c>
      <c r="J165" s="58"/>
      <c r="K165" s="55">
        <v>0</v>
      </c>
      <c r="L165" s="56">
        <v>0</v>
      </c>
      <c r="M165" s="57">
        <f t="shared" si="295"/>
        <v>0</v>
      </c>
      <c r="N165" s="58"/>
      <c r="O165" s="55">
        <v>0</v>
      </c>
      <c r="P165" s="56">
        <v>0</v>
      </c>
      <c r="Q165" s="57">
        <f t="shared" si="296"/>
        <v>0</v>
      </c>
      <c r="R165" s="58"/>
      <c r="S165" s="55">
        <v>0</v>
      </c>
      <c r="T165" s="57">
        <v>0</v>
      </c>
      <c r="U165" s="57">
        <f t="shared" si="297"/>
        <v>0</v>
      </c>
      <c r="V165" s="59"/>
      <c r="W165" s="124">
        <f t="shared" si="298"/>
        <v>0</v>
      </c>
      <c r="X165" s="57">
        <f t="shared" si="299"/>
        <v>0</v>
      </c>
      <c r="Y165" s="84">
        <f t="shared" si="300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4" t="s">
        <v>57</v>
      </c>
      <c r="C166" s="124">
        <v>0</v>
      </c>
      <c r="D166" s="56">
        <v>0</v>
      </c>
      <c r="E166" s="56">
        <f t="shared" si="293"/>
        <v>0</v>
      </c>
      <c r="F166" s="58"/>
      <c r="G166" s="55">
        <v>0</v>
      </c>
      <c r="H166" s="57">
        <v>0</v>
      </c>
      <c r="I166" s="57">
        <f t="shared" si="294"/>
        <v>0</v>
      </c>
      <c r="J166" s="58"/>
      <c r="K166" s="55">
        <v>0</v>
      </c>
      <c r="L166" s="56">
        <v>0</v>
      </c>
      <c r="M166" s="57">
        <f t="shared" si="295"/>
        <v>0</v>
      </c>
      <c r="N166" s="58"/>
      <c r="O166" s="55">
        <f>K166</f>
        <v>0</v>
      </c>
      <c r="P166" s="56">
        <v>0</v>
      </c>
      <c r="Q166" s="57">
        <f t="shared" si="296"/>
        <v>0</v>
      </c>
      <c r="R166" s="58"/>
      <c r="S166" s="55">
        <f>O166*0</f>
        <v>0</v>
      </c>
      <c r="T166" s="57">
        <v>0</v>
      </c>
      <c r="U166" s="57">
        <f t="shared" si="297"/>
        <v>0</v>
      </c>
      <c r="V166" s="59"/>
      <c r="W166" s="124">
        <f t="shared" si="298"/>
        <v>0</v>
      </c>
      <c r="X166" s="57">
        <f t="shared" si="299"/>
        <v>0</v>
      </c>
      <c r="Y166" s="84">
        <f t="shared" si="300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293"/>
        <v>0</v>
      </c>
      <c r="F167" s="58"/>
      <c r="G167" s="55">
        <v>0</v>
      </c>
      <c r="H167" s="57">
        <v>0</v>
      </c>
      <c r="I167" s="57">
        <f t="shared" si="294"/>
        <v>0</v>
      </c>
      <c r="J167" s="58"/>
      <c r="K167" s="55">
        <v>0</v>
      </c>
      <c r="L167" s="57">
        <v>0</v>
      </c>
      <c r="M167" s="57">
        <f t="shared" si="295"/>
        <v>0</v>
      </c>
      <c r="N167" s="58"/>
      <c r="O167" s="55">
        <v>0</v>
      </c>
      <c r="P167" s="57">
        <v>0</v>
      </c>
      <c r="Q167" s="57">
        <f t="shared" si="296"/>
        <v>0</v>
      </c>
      <c r="R167" s="58"/>
      <c r="S167" s="55">
        <v>0</v>
      </c>
      <c r="T167" s="57">
        <v>0</v>
      </c>
      <c r="U167" s="57">
        <f t="shared" si="297"/>
        <v>0</v>
      </c>
      <c r="V167" s="59"/>
      <c r="W167" s="124">
        <f t="shared" si="298"/>
        <v>0</v>
      </c>
      <c r="X167" s="57">
        <f t="shared" si="299"/>
        <v>0</v>
      </c>
      <c r="Y167" s="84">
        <f t="shared" si="300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293"/>
        <v>0</v>
      </c>
      <c r="F168" s="58"/>
      <c r="G168" s="55">
        <v>0</v>
      </c>
      <c r="H168" s="57">
        <v>0</v>
      </c>
      <c r="I168" s="57">
        <f t="shared" si="294"/>
        <v>0</v>
      </c>
      <c r="J168" s="58"/>
      <c r="K168" s="55">
        <v>0</v>
      </c>
      <c r="L168" s="57">
        <v>0</v>
      </c>
      <c r="M168" s="57">
        <f t="shared" si="295"/>
        <v>0</v>
      </c>
      <c r="N168" s="58"/>
      <c r="O168" s="55">
        <v>0</v>
      </c>
      <c r="P168" s="57">
        <v>0</v>
      </c>
      <c r="Q168" s="57">
        <f t="shared" si="296"/>
        <v>0</v>
      </c>
      <c r="R168" s="58"/>
      <c r="S168" s="55">
        <v>0</v>
      </c>
      <c r="T168" s="57">
        <v>0</v>
      </c>
      <c r="U168" s="57">
        <f t="shared" si="297"/>
        <v>0</v>
      </c>
      <c r="V168" s="59"/>
      <c r="W168" s="124">
        <f t="shared" si="298"/>
        <v>0</v>
      </c>
      <c r="X168" s="57">
        <f t="shared" si="299"/>
        <v>0</v>
      </c>
      <c r="Y168" s="84">
        <f t="shared" si="300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293"/>
        <v>0</v>
      </c>
      <c r="F169" s="58"/>
      <c r="G169" s="55">
        <v>0</v>
      </c>
      <c r="H169" s="57">
        <v>0</v>
      </c>
      <c r="I169" s="57">
        <f t="shared" si="294"/>
        <v>0</v>
      </c>
      <c r="J169" s="58"/>
      <c r="K169" s="55">
        <v>0</v>
      </c>
      <c r="L169" s="57">
        <v>0</v>
      </c>
      <c r="M169" s="57">
        <f t="shared" si="295"/>
        <v>0</v>
      </c>
      <c r="N169" s="58"/>
      <c r="O169" s="55">
        <v>0</v>
      </c>
      <c r="P169" s="57">
        <v>0</v>
      </c>
      <c r="Q169" s="57">
        <f t="shared" si="296"/>
        <v>0</v>
      </c>
      <c r="R169" s="58"/>
      <c r="S169" s="55">
        <v>0</v>
      </c>
      <c r="T169" s="57">
        <v>0</v>
      </c>
      <c r="U169" s="57">
        <f t="shared" si="297"/>
        <v>0</v>
      </c>
      <c r="V169" s="59"/>
      <c r="W169" s="124">
        <f t="shared" si="298"/>
        <v>0</v>
      </c>
      <c r="X169" s="57">
        <f t="shared" si="299"/>
        <v>0</v>
      </c>
      <c r="Y169" s="84">
        <f t="shared" si="300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293"/>
        <v>0</v>
      </c>
      <c r="F170" s="58"/>
      <c r="G170" s="55">
        <v>0</v>
      </c>
      <c r="H170" s="57">
        <v>0</v>
      </c>
      <c r="I170" s="57">
        <f t="shared" si="294"/>
        <v>0</v>
      </c>
      <c r="J170" s="58"/>
      <c r="K170" s="55">
        <v>0</v>
      </c>
      <c r="L170" s="57">
        <v>0</v>
      </c>
      <c r="M170" s="57">
        <f t="shared" si="295"/>
        <v>0</v>
      </c>
      <c r="N170" s="58"/>
      <c r="O170" s="55">
        <v>0</v>
      </c>
      <c r="P170" s="57">
        <v>0</v>
      </c>
      <c r="Q170" s="57">
        <f t="shared" si="296"/>
        <v>0</v>
      </c>
      <c r="R170" s="58"/>
      <c r="S170" s="55">
        <v>0</v>
      </c>
      <c r="T170" s="57">
        <v>0</v>
      </c>
      <c r="U170" s="57">
        <f t="shared" si="297"/>
        <v>0</v>
      </c>
      <c r="V170" s="59"/>
      <c r="W170" s="124">
        <f t="shared" si="298"/>
        <v>0</v>
      </c>
      <c r="X170" s="57">
        <f t="shared" si="299"/>
        <v>0</v>
      </c>
      <c r="Y170" s="84">
        <f t="shared" si="300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293"/>
        <v>0</v>
      </c>
      <c r="F171" s="58"/>
      <c r="G171" s="55">
        <v>0</v>
      </c>
      <c r="H171" s="57">
        <v>0</v>
      </c>
      <c r="I171" s="57">
        <f t="shared" si="294"/>
        <v>0</v>
      </c>
      <c r="J171" s="58"/>
      <c r="K171" s="55">
        <v>0</v>
      </c>
      <c r="L171" s="57">
        <v>0</v>
      </c>
      <c r="M171" s="57">
        <f t="shared" si="295"/>
        <v>0</v>
      </c>
      <c r="N171" s="58"/>
      <c r="O171" s="55">
        <v>0</v>
      </c>
      <c r="P171" s="57">
        <v>0</v>
      </c>
      <c r="Q171" s="57">
        <f t="shared" si="296"/>
        <v>0</v>
      </c>
      <c r="R171" s="58"/>
      <c r="S171" s="55">
        <v>0</v>
      </c>
      <c r="T171" s="57">
        <v>0</v>
      </c>
      <c r="U171" s="57">
        <f t="shared" si="297"/>
        <v>0</v>
      </c>
      <c r="V171" s="59"/>
      <c r="W171" s="124">
        <f t="shared" si="298"/>
        <v>0</v>
      </c>
      <c r="X171" s="57">
        <f t="shared" si="299"/>
        <v>0</v>
      </c>
      <c r="Y171" s="84">
        <f t="shared" si="300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293"/>
        <v>0</v>
      </c>
      <c r="F172" s="58"/>
      <c r="G172" s="55">
        <v>0</v>
      </c>
      <c r="H172" s="57">
        <v>0</v>
      </c>
      <c r="I172" s="57">
        <f t="shared" si="294"/>
        <v>0</v>
      </c>
      <c r="J172" s="58"/>
      <c r="K172" s="55">
        <v>0</v>
      </c>
      <c r="L172" s="57">
        <v>0</v>
      </c>
      <c r="M172" s="57">
        <f t="shared" si="295"/>
        <v>0</v>
      </c>
      <c r="N172" s="58"/>
      <c r="O172" s="55">
        <v>0</v>
      </c>
      <c r="P172" s="57">
        <v>0</v>
      </c>
      <c r="Q172" s="57">
        <f t="shared" si="296"/>
        <v>0</v>
      </c>
      <c r="R172" s="58"/>
      <c r="S172" s="55">
        <v>0</v>
      </c>
      <c r="T172" s="57">
        <v>0</v>
      </c>
      <c r="U172" s="57">
        <f t="shared" si="297"/>
        <v>0</v>
      </c>
      <c r="V172" s="59"/>
      <c r="W172" s="124">
        <f t="shared" si="298"/>
        <v>0</v>
      </c>
      <c r="X172" s="57">
        <f t="shared" si="299"/>
        <v>0</v>
      </c>
      <c r="Y172" s="84">
        <f t="shared" si="300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7427</v>
      </c>
      <c r="D173" s="153">
        <f>SUM(D157:D172)</f>
        <v>0</v>
      </c>
      <c r="E173" s="153">
        <f>SUM(E157:E172)</f>
        <v>7427</v>
      </c>
      <c r="F173" s="154"/>
      <c r="G173" s="152">
        <f>SUM(G157:G172)</f>
        <v>5884</v>
      </c>
      <c r="H173" s="155">
        <f>SUM(H157:H172)</f>
        <v>0</v>
      </c>
      <c r="I173" s="155">
        <f>SUM(I157:I172)</f>
        <v>5884</v>
      </c>
      <c r="J173" s="154"/>
      <c r="K173" s="152">
        <f>SUM(K157:K172)</f>
        <v>107884</v>
      </c>
      <c r="L173" s="155">
        <f>SUM(L157:L172)</f>
        <v>0</v>
      </c>
      <c r="M173" s="155">
        <f>SUM(M157:M172)</f>
        <v>107884</v>
      </c>
      <c r="N173" s="154"/>
      <c r="O173" s="152">
        <f>SUM(O157:O172)</f>
        <v>9884</v>
      </c>
      <c r="P173" s="155">
        <f>SUM(P157:P172)</f>
        <v>0</v>
      </c>
      <c r="Q173" s="155">
        <f>SUM(Q157:Q172)</f>
        <v>9884</v>
      </c>
      <c r="R173" s="154"/>
      <c r="S173" s="152">
        <f>SUM(S157:S172)</f>
        <v>11384</v>
      </c>
      <c r="T173" s="155">
        <f>SUM(T157:T172)</f>
        <v>0</v>
      </c>
      <c r="U173" s="155">
        <f>SUM(U157:U172)</f>
        <v>11384</v>
      </c>
      <c r="V173" s="82"/>
      <c r="W173" s="228">
        <f t="shared" si="298"/>
        <v>142463</v>
      </c>
      <c r="X173" s="80">
        <f t="shared" si="299"/>
        <v>0</v>
      </c>
      <c r="Y173" s="80">
        <f t="shared" si="300"/>
        <v>142463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 t="shared" ref="C174:Y174" si="301">(C173+ C155+C149+C141+C125)</f>
        <v>80991.950031999993</v>
      </c>
      <c r="D174" s="104">
        <f t="shared" si="301"/>
        <v>2878</v>
      </c>
      <c r="E174" s="104">
        <f t="shared" si="301"/>
        <v>63869.950032000001</v>
      </c>
      <c r="F174" s="104">
        <f t="shared" si="301"/>
        <v>0</v>
      </c>
      <c r="G174" s="104">
        <f t="shared" si="301"/>
        <v>298984.50853296003</v>
      </c>
      <c r="H174" s="104">
        <f t="shared" si="301"/>
        <v>3600</v>
      </c>
      <c r="I174" s="104">
        <f t="shared" si="301"/>
        <v>281984.50853296003</v>
      </c>
      <c r="J174" s="104">
        <f t="shared" si="301"/>
        <v>0</v>
      </c>
      <c r="K174" s="104">
        <f t="shared" si="301"/>
        <v>834567.70458894887</v>
      </c>
      <c r="L174" s="104">
        <f t="shared" si="301"/>
        <v>9600</v>
      </c>
      <c r="M174" s="104">
        <f t="shared" si="301"/>
        <v>822949.70458894887</v>
      </c>
      <c r="N174" s="104">
        <f t="shared" si="301"/>
        <v>0</v>
      </c>
      <c r="O174" s="104">
        <f t="shared" si="301"/>
        <v>421626.26418301923</v>
      </c>
      <c r="P174" s="104">
        <f t="shared" si="301"/>
        <v>9600</v>
      </c>
      <c r="Q174" s="104">
        <f t="shared" si="301"/>
        <v>409371.72418301919</v>
      </c>
      <c r="R174" s="104">
        <f t="shared" si="301"/>
        <v>0</v>
      </c>
      <c r="S174" s="104">
        <f t="shared" si="301"/>
        <v>340120.48026978975</v>
      </c>
      <c r="T174" s="104">
        <f t="shared" si="301"/>
        <v>9600</v>
      </c>
      <c r="U174" s="104">
        <f t="shared" si="301"/>
        <v>327210.30406978977</v>
      </c>
      <c r="V174" s="104">
        <f t="shared" si="301"/>
        <v>0</v>
      </c>
      <c r="W174" s="104">
        <f t="shared" si="301"/>
        <v>1976290.9076067179</v>
      </c>
      <c r="X174" s="104">
        <f t="shared" si="301"/>
        <v>35278</v>
      </c>
      <c r="Y174" s="104">
        <f t="shared" si="301"/>
        <v>2011568.9076067179</v>
      </c>
      <c r="Z174" s="105">
        <f>(SUM(C174+G174+K174)/3)</f>
        <v>404848.05438463629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(C125+C149+C173)*0.405</f>
        <v>32801.739762960002</v>
      </c>
      <c r="D175" s="104">
        <v>0</v>
      </c>
      <c r="E175" s="104">
        <f>C175</f>
        <v>32801.739762960002</v>
      </c>
      <c r="F175" s="104">
        <f>(F125+F149+F173)*0.39</f>
        <v>0</v>
      </c>
      <c r="G175" s="104">
        <f>(G125+G149+G173)*0.405</f>
        <v>116603.35095584881</v>
      </c>
      <c r="H175" s="104">
        <v>0</v>
      </c>
      <c r="I175" s="104">
        <f>G175</f>
        <v>116603.35095584881</v>
      </c>
      <c r="J175" s="104">
        <f>(J125+J149+J173)*0.39</f>
        <v>0</v>
      </c>
      <c r="K175" s="104">
        <f>(K125+K149+K173)*0.405</f>
        <v>333066.00785852433</v>
      </c>
      <c r="L175" s="104">
        <v>0</v>
      </c>
      <c r="M175" s="104">
        <f>K175</f>
        <v>333066.00785852433</v>
      </c>
      <c r="N175" s="104">
        <f>(N125+N149+N173)*0.39</f>
        <v>0</v>
      </c>
      <c r="O175" s="104">
        <f>(O125+O149+O173)*0.405</f>
        <v>165331.3332441228</v>
      </c>
      <c r="P175" s="104">
        <v>0</v>
      </c>
      <c r="Q175" s="104">
        <f>O175</f>
        <v>165331.3332441228</v>
      </c>
      <c r="R175" s="104">
        <f>(R125+R149+R173)*0.39</f>
        <v>0</v>
      </c>
      <c r="S175" s="104">
        <f>(S125+S149+S173)*0.405</f>
        <v>131778.76038426487</v>
      </c>
      <c r="T175" s="104">
        <v>0</v>
      </c>
      <c r="U175" s="104">
        <f>S175</f>
        <v>131778.76038426487</v>
      </c>
      <c r="V175" s="104">
        <f>(V125+V149+V173)*0.39</f>
        <v>0</v>
      </c>
      <c r="W175" s="104">
        <f>(W125+W149+W173)*0.405</f>
        <v>779581.19220572081</v>
      </c>
      <c r="X175" s="104">
        <v>0</v>
      </c>
      <c r="Y175" s="104">
        <f>W175</f>
        <v>779581.19220572081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</f>
        <v>113793.68979496</v>
      </c>
      <c r="D176" s="104">
        <f t="shared" ref="D176:Y176" si="302">D174+D175</f>
        <v>2878</v>
      </c>
      <c r="E176" s="104">
        <f t="shared" si="302"/>
        <v>96671.689794959995</v>
      </c>
      <c r="F176" s="104">
        <f t="shared" si="302"/>
        <v>0</v>
      </c>
      <c r="G176" s="104">
        <f t="shared" si="302"/>
        <v>415587.85948880884</v>
      </c>
      <c r="H176" s="104">
        <f t="shared" si="302"/>
        <v>3600</v>
      </c>
      <c r="I176" s="104">
        <f t="shared" si="302"/>
        <v>398587.85948880884</v>
      </c>
      <c r="J176" s="104">
        <f t="shared" si="302"/>
        <v>0</v>
      </c>
      <c r="K176" s="104">
        <f t="shared" si="302"/>
        <v>1167633.7124474733</v>
      </c>
      <c r="L176" s="104">
        <f t="shared" si="302"/>
        <v>9600</v>
      </c>
      <c r="M176" s="104">
        <f t="shared" si="302"/>
        <v>1156015.7124474733</v>
      </c>
      <c r="N176" s="104">
        <f t="shared" si="302"/>
        <v>0</v>
      </c>
      <c r="O176" s="104">
        <f t="shared" si="302"/>
        <v>586957.59742714209</v>
      </c>
      <c r="P176" s="104">
        <f t="shared" si="302"/>
        <v>9600</v>
      </c>
      <c r="Q176" s="104">
        <f t="shared" si="302"/>
        <v>574703.05742714205</v>
      </c>
      <c r="R176" s="104">
        <f t="shared" si="302"/>
        <v>0</v>
      </c>
      <c r="S176" s="104">
        <f t="shared" si="302"/>
        <v>471899.24065405462</v>
      </c>
      <c r="T176" s="104">
        <f t="shared" si="302"/>
        <v>9600</v>
      </c>
      <c r="U176" s="104">
        <f t="shared" si="302"/>
        <v>458989.06445405463</v>
      </c>
      <c r="V176" s="104">
        <f t="shared" si="302"/>
        <v>0</v>
      </c>
      <c r="W176" s="104">
        <f t="shared" si="302"/>
        <v>2755872.0998124387</v>
      </c>
      <c r="X176" s="104">
        <f t="shared" si="302"/>
        <v>35278</v>
      </c>
      <c r="Y176" s="104">
        <f t="shared" si="302"/>
        <v>2791150.0998124387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158" customFormat="1" x14ac:dyDescent="0.25">
      <c r="A177" s="91"/>
      <c r="B177" s="91"/>
      <c r="C177" s="156"/>
      <c r="D177" s="156"/>
      <c r="E177" s="105"/>
      <c r="F177" s="91"/>
      <c r="G177" s="156"/>
      <c r="H177" s="156"/>
      <c r="I177" s="105"/>
      <c r="J177" s="91"/>
      <c r="K177" s="156"/>
      <c r="L177" s="156"/>
      <c r="M177" s="105"/>
      <c r="N177" s="91"/>
      <c r="O177" s="156"/>
      <c r="P177" s="156"/>
      <c r="Q177" s="105"/>
      <c r="R177" s="91"/>
      <c r="S177" s="156"/>
      <c r="T177" s="156"/>
      <c r="U177" s="105"/>
      <c r="V177" s="157"/>
      <c r="W177" s="105"/>
      <c r="X177" s="105"/>
      <c r="Y177" s="156"/>
      <c r="Z177" s="105"/>
      <c r="AA177" s="105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77" customFormat="1" x14ac:dyDescent="0.25">
      <c r="A179" s="74" t="s">
        <v>5</v>
      </c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5"/>
      <c r="W179" s="74"/>
      <c r="X179" s="74"/>
      <c r="Y179" s="7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</row>
    <row r="180" spans="1:77" s="61" customFormat="1" x14ac:dyDescent="0.25">
      <c r="A180" s="53" t="s">
        <v>57</v>
      </c>
      <c r="B180" s="61" t="s">
        <v>129</v>
      </c>
      <c r="C180" s="124">
        <f>((126617*1.03)/1560)*173.33</f>
        <v>14490.333556602567</v>
      </c>
      <c r="D180" s="57">
        <f>((110000*1.03)/1560)*173.33*0</f>
        <v>0</v>
      </c>
      <c r="E180" s="57">
        <f t="shared" ref="E180" si="303">SUM(C180:D180)</f>
        <v>14490.333556602567</v>
      </c>
      <c r="F180" s="58"/>
      <c r="G180" s="55">
        <f>C180*1.03</f>
        <v>14925.043563300644</v>
      </c>
      <c r="H180" s="57">
        <f>D180*1.03</f>
        <v>0</v>
      </c>
      <c r="I180" s="57">
        <f t="shared" ref="I180" si="304">SUM(G180:H180)</f>
        <v>14925.043563300644</v>
      </c>
      <c r="J180" s="58"/>
      <c r="K180" s="55">
        <f>G180*1.03</f>
        <v>15372.794870199663</v>
      </c>
      <c r="L180" s="57">
        <f>H180*1.03</f>
        <v>0</v>
      </c>
      <c r="M180" s="57">
        <f t="shared" ref="M180" si="305">SUM(K180:L180)</f>
        <v>15372.794870199663</v>
      </c>
      <c r="N180" s="58"/>
      <c r="O180" s="55">
        <f>K180*1.03</f>
        <v>15833.978716305654</v>
      </c>
      <c r="P180" s="57">
        <f>L180*1.03</f>
        <v>0</v>
      </c>
      <c r="Q180" s="57">
        <f t="shared" ref="Q180" si="306">SUM(O180:P180)</f>
        <v>15833.978716305654</v>
      </c>
      <c r="R180" s="58"/>
      <c r="S180" s="55">
        <f>O180*1.03</f>
        <v>16308.998077794824</v>
      </c>
      <c r="T180" s="57">
        <f>P180*1.03</f>
        <v>0</v>
      </c>
      <c r="U180" s="57">
        <f t="shared" ref="U180" si="307">SUM(S180:T180)</f>
        <v>16308.998077794824</v>
      </c>
      <c r="V180" s="59"/>
      <c r="W180" s="124">
        <f t="shared" ref="W180" si="308">C180+G180+K180+O180+S180</f>
        <v>76931.148784203353</v>
      </c>
      <c r="X180" s="57">
        <f t="shared" ref="X180" si="309">D180+H180+L180+P180+T180</f>
        <v>0</v>
      </c>
      <c r="Y180" s="60">
        <f t="shared" ref="Y180" si="310">E180+I180+M180+Q180+U180</f>
        <v>76931.148784203353</v>
      </c>
    </row>
    <row r="181" spans="1:77" s="61" customFormat="1" x14ac:dyDescent="0.25">
      <c r="A181" s="53" t="s">
        <v>57</v>
      </c>
      <c r="B181" s="61" t="s">
        <v>111</v>
      </c>
      <c r="C181" s="124">
        <v>0</v>
      </c>
      <c r="D181" s="57">
        <v>0</v>
      </c>
      <c r="E181" s="57">
        <f t="shared" ref="E181:E183" si="311">SUM(C181:D181)</f>
        <v>0</v>
      </c>
      <c r="F181" s="58"/>
      <c r="G181" s="55">
        <v>85000</v>
      </c>
      <c r="H181" s="57">
        <f t="shared" ref="H181:H182" si="312">D181*1.05</f>
        <v>0</v>
      </c>
      <c r="I181" s="57">
        <f t="shared" ref="I181:I183" si="313">SUM(G181:H181)</f>
        <v>85000</v>
      </c>
      <c r="J181" s="58"/>
      <c r="K181" s="55">
        <f>G181*1.03*0</f>
        <v>0</v>
      </c>
      <c r="L181" s="57">
        <f t="shared" ref="L181:L182" si="314">H181*1.05</f>
        <v>0</v>
      </c>
      <c r="M181" s="57">
        <f t="shared" ref="M181:M183" si="315">SUM(K181:L181)</f>
        <v>0</v>
      </c>
      <c r="N181" s="58"/>
      <c r="O181" s="55"/>
      <c r="P181" s="57">
        <f t="shared" ref="P181:P182" si="316">L181*1.05</f>
        <v>0</v>
      </c>
      <c r="Q181" s="57">
        <f t="shared" ref="Q181:Q183" si="317">SUM(O181:P181)</f>
        <v>0</v>
      </c>
      <c r="R181" s="58"/>
      <c r="S181" s="55">
        <f>O181*1.05</f>
        <v>0</v>
      </c>
      <c r="T181" s="57">
        <f>P181*1.05</f>
        <v>0</v>
      </c>
      <c r="U181" s="57">
        <f t="shared" ref="U181:U183" si="318">SUM(S181:T181)</f>
        <v>0</v>
      </c>
      <c r="V181" s="59"/>
      <c r="W181" s="124">
        <f t="shared" ref="W181:W185" si="319">C181+G181+K181+O181+S181</f>
        <v>85000</v>
      </c>
      <c r="X181" s="57">
        <f t="shared" ref="X181:X185" si="320">D181+H181+L181+P181+T181</f>
        <v>0</v>
      </c>
      <c r="Y181" s="60">
        <f t="shared" ref="Y181:Y182" si="321">E181+I181+M181+Q181+U181</f>
        <v>85000</v>
      </c>
    </row>
    <row r="182" spans="1:77" s="61" customFormat="1" x14ac:dyDescent="0.25">
      <c r="A182" s="53" t="s">
        <v>57</v>
      </c>
      <c r="B182" s="61" t="s">
        <v>112</v>
      </c>
      <c r="C182" s="124">
        <v>0</v>
      </c>
      <c r="D182" s="57">
        <v>0</v>
      </c>
      <c r="E182" s="57">
        <f t="shared" si="311"/>
        <v>0</v>
      </c>
      <c r="F182" s="58"/>
      <c r="G182" s="55">
        <v>85000</v>
      </c>
      <c r="H182" s="57">
        <f t="shared" si="312"/>
        <v>0</v>
      </c>
      <c r="I182" s="57">
        <f t="shared" si="313"/>
        <v>85000</v>
      </c>
      <c r="J182" s="58"/>
      <c r="K182" s="55">
        <v>0</v>
      </c>
      <c r="L182" s="57">
        <f t="shared" si="314"/>
        <v>0</v>
      </c>
      <c r="M182" s="57">
        <f t="shared" si="315"/>
        <v>0</v>
      </c>
      <c r="N182" s="58"/>
      <c r="O182" s="55"/>
      <c r="P182" s="57">
        <f t="shared" si="316"/>
        <v>0</v>
      </c>
      <c r="Q182" s="57">
        <f t="shared" si="317"/>
        <v>0</v>
      </c>
      <c r="R182" s="58"/>
      <c r="S182" s="55">
        <f>O182*1.05</f>
        <v>0</v>
      </c>
      <c r="T182" s="57">
        <f>P182*1.05</f>
        <v>0</v>
      </c>
      <c r="U182" s="57">
        <f t="shared" si="318"/>
        <v>0</v>
      </c>
      <c r="V182" s="59"/>
      <c r="W182" s="124">
        <f t="shared" si="319"/>
        <v>85000</v>
      </c>
      <c r="X182" s="57">
        <f t="shared" si="320"/>
        <v>0</v>
      </c>
      <c r="Y182" s="60">
        <f t="shared" si="321"/>
        <v>85000</v>
      </c>
    </row>
    <row r="183" spans="1:77" s="61" customFormat="1" x14ac:dyDescent="0.25">
      <c r="A183" s="52"/>
      <c r="B183" s="61" t="s">
        <v>57</v>
      </c>
      <c r="C183" s="124"/>
      <c r="D183" s="57"/>
      <c r="E183" s="57">
        <f t="shared" si="311"/>
        <v>0</v>
      </c>
      <c r="F183" s="58"/>
      <c r="G183" s="55">
        <f>85000*0</f>
        <v>0</v>
      </c>
      <c r="H183" s="57"/>
      <c r="I183" s="57">
        <f t="shared" si="313"/>
        <v>0</v>
      </c>
      <c r="J183" s="58"/>
      <c r="K183" s="55"/>
      <c r="L183" s="57"/>
      <c r="M183" s="57">
        <f t="shared" si="315"/>
        <v>0</v>
      </c>
      <c r="N183" s="58"/>
      <c r="O183" s="55"/>
      <c r="P183" s="57"/>
      <c r="Q183" s="57">
        <f t="shared" si="317"/>
        <v>0</v>
      </c>
      <c r="R183" s="58"/>
      <c r="S183" s="55"/>
      <c r="T183" s="57"/>
      <c r="U183" s="57">
        <f t="shared" si="318"/>
        <v>0</v>
      </c>
      <c r="V183" s="59"/>
      <c r="W183" s="124">
        <f t="shared" ref="W183" si="322">C183+G183+K183+O183+S183</f>
        <v>0</v>
      </c>
      <c r="X183" s="57">
        <f t="shared" ref="X183" si="323">D183+H183+L183+P183+T183</f>
        <v>0</v>
      </c>
      <c r="Y183" s="60">
        <f>E183+I183+M183+Q183+U183</f>
        <v>0</v>
      </c>
    </row>
    <row r="184" spans="1:77" s="61" customFormat="1" x14ac:dyDescent="0.25">
      <c r="A184" s="54"/>
      <c r="B184" s="54" t="s">
        <v>137</v>
      </c>
      <c r="C184" s="124">
        <f>(11439)</f>
        <v>11439</v>
      </c>
      <c r="D184" s="56">
        <f>(5000*2)*0</f>
        <v>0</v>
      </c>
      <c r="E184" s="56">
        <f t="shared" ref="E184:E185" si="324">SUM(C184:D184)</f>
        <v>11439</v>
      </c>
      <c r="F184" s="58"/>
      <c r="G184" s="55">
        <f t="shared" ref="G184:G185" si="325">C184*1.03</f>
        <v>11782.17</v>
      </c>
      <c r="H184" s="57">
        <f t="shared" ref="H184:H185" si="326">D184*1.03</f>
        <v>0</v>
      </c>
      <c r="I184" s="57">
        <f t="shared" ref="I184:I185" si="327">SUM(G184:H184)</f>
        <v>11782.17</v>
      </c>
      <c r="J184" s="58"/>
      <c r="K184" s="55">
        <f t="shared" ref="K184:K185" si="328">G184*1.03</f>
        <v>12135.6351</v>
      </c>
      <c r="L184" s="57">
        <f>H184*1.03</f>
        <v>0</v>
      </c>
      <c r="M184" s="57">
        <f t="shared" ref="M184:M185" si="329">SUM(K184:L184)</f>
        <v>12135.6351</v>
      </c>
      <c r="N184" s="58"/>
      <c r="O184" s="55">
        <f t="shared" ref="O184:O185" si="330">K184*1.03</f>
        <v>12499.704153000001</v>
      </c>
      <c r="P184" s="57">
        <f>L184*1.03</f>
        <v>0</v>
      </c>
      <c r="Q184" s="57">
        <f t="shared" ref="Q184:Q185" si="331">SUM(O184:P184)</f>
        <v>12499.704153000001</v>
      </c>
      <c r="R184" s="58"/>
      <c r="S184" s="55">
        <f t="shared" ref="S184:S185" si="332">O184*1.03</f>
        <v>12874.695277590001</v>
      </c>
      <c r="T184" s="57">
        <f>P184*1.03</f>
        <v>0</v>
      </c>
      <c r="U184" s="57">
        <f t="shared" ref="U184:U185" si="333">SUM(S184:T184)</f>
        <v>12874.695277590001</v>
      </c>
      <c r="V184" s="59"/>
      <c r="W184" s="124">
        <f t="shared" si="319"/>
        <v>60731.204530589996</v>
      </c>
      <c r="X184" s="57">
        <f t="shared" si="320"/>
        <v>0</v>
      </c>
      <c r="Y184" s="57">
        <f t="shared" ref="Y184:Y185" si="334">SUM(W184:X184)</f>
        <v>60731.204530589996</v>
      </c>
    </row>
    <row r="185" spans="1:77" s="61" customFormat="1" x14ac:dyDescent="0.25">
      <c r="A185" s="192" t="s">
        <v>57</v>
      </c>
      <c r="B185" s="54" t="s">
        <v>225</v>
      </c>
      <c r="C185" s="124">
        <f>(5000*4)</f>
        <v>20000</v>
      </c>
      <c r="D185" s="56">
        <f>(5000*3)*0</f>
        <v>0</v>
      </c>
      <c r="E185" s="56">
        <f t="shared" si="324"/>
        <v>20000</v>
      </c>
      <c r="F185" s="58"/>
      <c r="G185" s="55">
        <f t="shared" si="325"/>
        <v>20600</v>
      </c>
      <c r="H185" s="57">
        <f t="shared" si="326"/>
        <v>0</v>
      </c>
      <c r="I185" s="57">
        <f t="shared" si="327"/>
        <v>20600</v>
      </c>
      <c r="J185" s="58"/>
      <c r="K185" s="55">
        <f t="shared" si="328"/>
        <v>21218</v>
      </c>
      <c r="L185" s="57">
        <f>H185*1.03</f>
        <v>0</v>
      </c>
      <c r="M185" s="57">
        <f t="shared" si="329"/>
        <v>21218</v>
      </c>
      <c r="N185" s="58"/>
      <c r="O185" s="55">
        <f t="shared" si="330"/>
        <v>21854.54</v>
      </c>
      <c r="P185" s="57">
        <f>L185*1.03</f>
        <v>0</v>
      </c>
      <c r="Q185" s="57">
        <f t="shared" si="331"/>
        <v>21854.54</v>
      </c>
      <c r="R185" s="58"/>
      <c r="S185" s="55">
        <f t="shared" si="332"/>
        <v>22510.176200000002</v>
      </c>
      <c r="T185" s="57">
        <f>P185*1.03</f>
        <v>0</v>
      </c>
      <c r="U185" s="57">
        <f t="shared" si="333"/>
        <v>22510.176200000002</v>
      </c>
      <c r="V185" s="59"/>
      <c r="W185" s="124">
        <f t="shared" si="319"/>
        <v>106182.71620000001</v>
      </c>
      <c r="X185" s="57">
        <f t="shared" si="320"/>
        <v>0</v>
      </c>
      <c r="Y185" s="57">
        <f t="shared" si="334"/>
        <v>106182.71620000001</v>
      </c>
    </row>
    <row r="186" spans="1:77" s="83" customFormat="1" x14ac:dyDescent="0.25">
      <c r="A186" s="78"/>
      <c r="B186" s="78" t="s">
        <v>9</v>
      </c>
      <c r="C186" s="228">
        <f>SUM(C180:C185)</f>
        <v>45929.333556602563</v>
      </c>
      <c r="D186" s="125">
        <f>SUM(D180:D185)</f>
        <v>0</v>
      </c>
      <c r="E186" s="125">
        <f>SUM(E180:E185)</f>
        <v>45929.333556602563</v>
      </c>
      <c r="F186" s="81"/>
      <c r="G186" s="79">
        <f>SUM(G180:G185)</f>
        <v>217307.21356330064</v>
      </c>
      <c r="H186" s="80">
        <f>SUM(H180:H185)</f>
        <v>0</v>
      </c>
      <c r="I186" s="80">
        <f>SUM(I180:I185)</f>
        <v>217307.21356330064</v>
      </c>
      <c r="J186" s="81"/>
      <c r="K186" s="79">
        <f>SUM(K180:K185)</f>
        <v>48726.429970199664</v>
      </c>
      <c r="L186" s="80">
        <f>SUM(L180:L185)</f>
        <v>0</v>
      </c>
      <c r="M186" s="80">
        <f>SUM(M180:M185)</f>
        <v>48726.429970199664</v>
      </c>
      <c r="N186" s="81"/>
      <c r="O186" s="79">
        <f>SUM(O180:O185)</f>
        <v>50188.222869305653</v>
      </c>
      <c r="P186" s="80">
        <f>SUM(P180:P185)</f>
        <v>0</v>
      </c>
      <c r="Q186" s="80">
        <f>SUM(Q180:Q185)</f>
        <v>50188.222869305653</v>
      </c>
      <c r="R186" s="81"/>
      <c r="S186" s="79">
        <f>SUM(S180:S185)</f>
        <v>51693.869555384823</v>
      </c>
      <c r="T186" s="80">
        <f>SUM(T180:T185)</f>
        <v>0</v>
      </c>
      <c r="U186" s="80">
        <f>SUM(U180:U185)</f>
        <v>51693.869555384823</v>
      </c>
      <c r="V186" s="82"/>
      <c r="W186" s="228">
        <f t="shared" ref="W186:Y186" si="335">C186+G186+K186+O186+S186</f>
        <v>413845.06951479334</v>
      </c>
      <c r="X186" s="80">
        <f t="shared" si="335"/>
        <v>0</v>
      </c>
      <c r="Y186" s="80">
        <f t="shared" si="335"/>
        <v>413845.06951479334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B188" s="61" t="s">
        <v>232</v>
      </c>
      <c r="C188" s="124">
        <f>60000*0.5*0</f>
        <v>0</v>
      </c>
      <c r="D188" s="56">
        <v>0</v>
      </c>
      <c r="E188" s="56">
        <f>SUM(C188:D188)</f>
        <v>0</v>
      </c>
      <c r="F188" s="58"/>
      <c r="G188" s="55">
        <f>(60000*1.03)*2</f>
        <v>123600</v>
      </c>
      <c r="H188" s="57">
        <f>D188*1.03</f>
        <v>0</v>
      </c>
      <c r="I188" s="57">
        <f>SUM(G188:H188)</f>
        <v>123600</v>
      </c>
      <c r="J188" s="58"/>
      <c r="K188" s="55">
        <f>(((G188*1.03)/2)*3)</f>
        <v>190962</v>
      </c>
      <c r="L188" s="57">
        <f t="shared" ref="L188" si="336">H188*1.03</f>
        <v>0</v>
      </c>
      <c r="M188" s="57">
        <f>SUM(K188:L188)</f>
        <v>190962</v>
      </c>
      <c r="N188" s="58"/>
      <c r="O188" s="55">
        <f>60000*1.03*1.03*1.03</f>
        <v>65563.62</v>
      </c>
      <c r="P188" s="57">
        <f>L188*1.03</f>
        <v>0</v>
      </c>
      <c r="Q188" s="57">
        <f>SUM(O188:P188)</f>
        <v>65563.62</v>
      </c>
      <c r="R188" s="58"/>
      <c r="S188" s="55">
        <f>O188*1.03*0.5*0</f>
        <v>0</v>
      </c>
      <c r="T188" s="57">
        <f>P188*1.03</f>
        <v>0</v>
      </c>
      <c r="U188" s="57">
        <f>SUM(S188:T188)</f>
        <v>0</v>
      </c>
      <c r="V188" s="59"/>
      <c r="W188" s="124">
        <f t="shared" ref="W188" si="337">C188+G188+K188+O188+S188</f>
        <v>380125.62</v>
      </c>
      <c r="X188" s="57">
        <f t="shared" ref="X188" si="338">D188+H188+L188+P188+T188</f>
        <v>0</v>
      </c>
      <c r="Y188" s="57">
        <f t="shared" ref="Y188" si="339">SUM(W188:X188)</f>
        <v>380125.62</v>
      </c>
      <c r="AA188" s="202" t="s">
        <v>57</v>
      </c>
    </row>
    <row r="189" spans="1:77" s="61" customFormat="1" x14ac:dyDescent="0.25">
      <c r="A189" s="203"/>
      <c r="B189" s="160" t="s">
        <v>185</v>
      </c>
      <c r="C189" s="124">
        <f>28000*0.5*0</f>
        <v>0</v>
      </c>
      <c r="D189" s="56">
        <v>0</v>
      </c>
      <c r="E189" s="56">
        <f t="shared" ref="E189" si="340">SUM(C189:D189)</f>
        <v>0</v>
      </c>
      <c r="F189" s="58"/>
      <c r="G189" s="201">
        <f>((28000*2)*1.03)</f>
        <v>57680</v>
      </c>
      <c r="H189" s="57">
        <f>D189*1.03</f>
        <v>0</v>
      </c>
      <c r="I189" s="57">
        <f t="shared" ref="I189" si="341">SUM(G189:H189)</f>
        <v>57680</v>
      </c>
      <c r="J189" s="58"/>
      <c r="K189" s="55">
        <f>G189*1.03</f>
        <v>59410.400000000001</v>
      </c>
      <c r="L189" s="57">
        <f>H189*1.03</f>
        <v>0</v>
      </c>
      <c r="M189" s="57">
        <f t="shared" ref="M189" si="342">SUM(K189:L189)</f>
        <v>59410.400000000001</v>
      </c>
      <c r="N189" s="58"/>
      <c r="O189" s="55">
        <f>K189*1.03</f>
        <v>61192.712</v>
      </c>
      <c r="P189" s="57">
        <f t="shared" ref="P189" si="343">L189*1.03</f>
        <v>0</v>
      </c>
      <c r="Q189" s="57">
        <f t="shared" ref="Q189" si="344">SUM(O189:P189)</f>
        <v>61192.712</v>
      </c>
      <c r="R189" s="58"/>
      <c r="S189" s="55">
        <f t="shared" ref="S189" si="345">O189*1.03</f>
        <v>63028.49336</v>
      </c>
      <c r="T189" s="57">
        <f t="shared" ref="T189" si="346">P189*1.03</f>
        <v>0</v>
      </c>
      <c r="U189" s="57">
        <f t="shared" ref="U189:U192" si="347">SUM(S189:T189)</f>
        <v>63028.49336</v>
      </c>
      <c r="V189" s="59"/>
      <c r="W189" s="124">
        <f t="shared" ref="W189:W192" si="348">C189+G189+K189+O189+S189</f>
        <v>241311.60535999999</v>
      </c>
      <c r="X189" s="57">
        <f t="shared" ref="X189:X192" si="349">D189+H189+L189+P189+T189</f>
        <v>0</v>
      </c>
      <c r="Y189" s="57">
        <f t="shared" ref="Y189" si="350">SUM(W189:X189)</f>
        <v>241311.60535999999</v>
      </c>
    </row>
    <row r="190" spans="1:77" s="61" customFormat="1" x14ac:dyDescent="0.25">
      <c r="B190" s="160" t="s">
        <v>186</v>
      </c>
      <c r="C190" s="55">
        <v>0</v>
      </c>
      <c r="D190" s="57">
        <v>0</v>
      </c>
      <c r="E190" s="57">
        <f t="shared" ref="E190" si="351">SUM(C190:D190)</f>
        <v>0</v>
      </c>
      <c r="F190" s="58"/>
      <c r="G190" s="256">
        <f>((24000*1.03)*2)</f>
        <v>49440</v>
      </c>
      <c r="H190" s="57">
        <f t="shared" ref="H190" si="352">D190*1.05</f>
        <v>0</v>
      </c>
      <c r="I190" s="57">
        <f t="shared" ref="I190" si="353">SUM(G190:H190)</f>
        <v>49440</v>
      </c>
      <c r="J190" s="58"/>
      <c r="K190" s="55">
        <f>G190*1.03</f>
        <v>50923.200000000004</v>
      </c>
      <c r="L190" s="57">
        <f t="shared" ref="L190" si="354">H190*1.05</f>
        <v>0</v>
      </c>
      <c r="M190" s="57">
        <f t="shared" ref="M190" si="355">SUM(K190:L190)</f>
        <v>50923.200000000004</v>
      </c>
      <c r="N190" s="58"/>
      <c r="O190" s="55">
        <f t="shared" ref="O190" si="356">K190*1.03</f>
        <v>52450.896000000008</v>
      </c>
      <c r="P190" s="57">
        <f t="shared" ref="P190" si="357">L190*1.05</f>
        <v>0</v>
      </c>
      <c r="Q190" s="57">
        <f t="shared" ref="Q190" si="358">SUM(O190:P190)</f>
        <v>52450.896000000008</v>
      </c>
      <c r="R190" s="58"/>
      <c r="S190" s="55">
        <f t="shared" ref="S190" si="359">O190*1.03</f>
        <v>54024.422880000013</v>
      </c>
      <c r="T190" s="57">
        <f t="shared" ref="T190" si="360">P190*1.05</f>
        <v>0</v>
      </c>
      <c r="U190" s="57">
        <f t="shared" si="347"/>
        <v>54024.422880000013</v>
      </c>
      <c r="V190" s="59"/>
      <c r="W190" s="124">
        <f t="shared" si="348"/>
        <v>206838.51888000005</v>
      </c>
      <c r="X190" s="57">
        <f t="shared" si="349"/>
        <v>0</v>
      </c>
      <c r="Y190" s="202">
        <f t="shared" ref="Y190" si="361">E190+I190+M190+Q190+U190</f>
        <v>206838.51888000005</v>
      </c>
    </row>
    <row r="191" spans="1:77" s="61" customFormat="1" x14ac:dyDescent="0.25">
      <c r="A191" s="54" t="s">
        <v>57</v>
      </c>
      <c r="B191" s="54" t="s">
        <v>57</v>
      </c>
      <c r="C191" s="124">
        <v>0</v>
      </c>
      <c r="D191" s="56">
        <f>55000*0.25*0</f>
        <v>0</v>
      </c>
      <c r="E191" s="56">
        <f t="shared" ref="E191" si="362">SUM(C191:D191)</f>
        <v>0</v>
      </c>
      <c r="F191" s="58"/>
      <c r="G191" s="55">
        <f>(55000*0.5*1.03)*0</f>
        <v>0</v>
      </c>
      <c r="H191" s="57">
        <f>55000*0.5*1.03*0</f>
        <v>0</v>
      </c>
      <c r="I191" s="57">
        <f t="shared" ref="I191" si="363">SUM(G191:H191)</f>
        <v>0</v>
      </c>
      <c r="J191" s="58"/>
      <c r="K191" s="55">
        <f>G191*1.03</f>
        <v>0</v>
      </c>
      <c r="L191" s="57">
        <f t="shared" ref="L191" si="364">H191*1.03</f>
        <v>0</v>
      </c>
      <c r="M191" s="57">
        <f t="shared" ref="M191" si="365">SUM(K191:L191)</f>
        <v>0</v>
      </c>
      <c r="N191" s="58"/>
      <c r="O191" s="55">
        <f>K191*1.03*0</f>
        <v>0</v>
      </c>
      <c r="P191" s="57">
        <f t="shared" ref="P191" si="366">L191*1.03</f>
        <v>0</v>
      </c>
      <c r="Q191" s="57">
        <f t="shared" ref="Q191" si="367">SUM(O191:P191)</f>
        <v>0</v>
      </c>
      <c r="R191" s="58"/>
      <c r="S191" s="55">
        <f>O191*1.03*0</f>
        <v>0</v>
      </c>
      <c r="T191" s="57">
        <f>P191*1.03*0</f>
        <v>0</v>
      </c>
      <c r="U191" s="57">
        <f t="shared" si="347"/>
        <v>0</v>
      </c>
      <c r="V191" s="59"/>
      <c r="W191" s="124">
        <f t="shared" si="348"/>
        <v>0</v>
      </c>
      <c r="X191" s="57">
        <f t="shared" si="349"/>
        <v>0</v>
      </c>
      <c r="Y191" s="57">
        <f t="shared" ref="Y191" si="368">SUM(W191:X191)</f>
        <v>0</v>
      </c>
    </row>
    <row r="192" spans="1:77" s="61" customFormat="1" x14ac:dyDescent="0.25">
      <c r="A192" s="54" t="s">
        <v>57</v>
      </c>
      <c r="B192" s="54" t="s">
        <v>57</v>
      </c>
      <c r="C192" s="124">
        <v>0</v>
      </c>
      <c r="D192" s="56">
        <v>0</v>
      </c>
      <c r="E192" s="56">
        <f t="shared" ref="E192" si="369">SUM(C192:D192)</f>
        <v>0</v>
      </c>
      <c r="F192" s="58"/>
      <c r="G192" s="55">
        <v>0</v>
      </c>
      <c r="H192" s="57">
        <f>D192*1.03</f>
        <v>0</v>
      </c>
      <c r="I192" s="57">
        <f t="shared" ref="I192" si="370">SUM(G192:H192)</f>
        <v>0</v>
      </c>
      <c r="J192" s="58"/>
      <c r="K192" s="55">
        <f>C192*1.03*1.03</f>
        <v>0</v>
      </c>
      <c r="L192" s="57">
        <f>H192*1.03</f>
        <v>0</v>
      </c>
      <c r="M192" s="57">
        <f t="shared" ref="M192" si="371">SUM(K192:L192)</f>
        <v>0</v>
      </c>
      <c r="N192" s="58"/>
      <c r="O192" s="55">
        <f>K192*1.03*0</f>
        <v>0</v>
      </c>
      <c r="P192" s="57">
        <f t="shared" ref="P192" si="372">L192*1.03</f>
        <v>0</v>
      </c>
      <c r="Q192" s="57">
        <f t="shared" ref="Q192" si="373">SUM(O192:P192)</f>
        <v>0</v>
      </c>
      <c r="R192" s="58"/>
      <c r="S192" s="55">
        <f>O192*1.03*0.5*0</f>
        <v>0</v>
      </c>
      <c r="T192" s="57">
        <f t="shared" ref="T192" si="374">P192*1.03</f>
        <v>0</v>
      </c>
      <c r="U192" s="57">
        <f t="shared" si="347"/>
        <v>0</v>
      </c>
      <c r="V192" s="59"/>
      <c r="W192" s="124">
        <f t="shared" si="348"/>
        <v>0</v>
      </c>
      <c r="X192" s="57">
        <f t="shared" si="349"/>
        <v>0</v>
      </c>
      <c r="Y192" s="57">
        <f t="shared" ref="Y192" si="375">SUM(W192:X192)</f>
        <v>0</v>
      </c>
      <c r="AA192" s="202" t="s">
        <v>57</v>
      </c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ref="E193:E194" si="376">SUM(C193:D193)</f>
        <v>0</v>
      </c>
      <c r="F193" s="58"/>
      <c r="G193" s="55">
        <f>C193*1.03</f>
        <v>0</v>
      </c>
      <c r="H193" s="57">
        <f t="shared" ref="H193:H194" si="377">D193*1.03</f>
        <v>0</v>
      </c>
      <c r="I193" s="57">
        <f t="shared" ref="I193:I194" si="378">SUM(G193:H193)</f>
        <v>0</v>
      </c>
      <c r="J193" s="58"/>
      <c r="K193" s="55">
        <f>G193*1.03</f>
        <v>0</v>
      </c>
      <c r="L193" s="57">
        <f t="shared" ref="L193:L194" si="379">H193*1.03</f>
        <v>0</v>
      </c>
      <c r="M193" s="57">
        <f t="shared" ref="M193:M194" si="380">SUM(K193:L193)</f>
        <v>0</v>
      </c>
      <c r="N193" s="58"/>
      <c r="O193" s="55">
        <f t="shared" ref="O193:P194" si="381">K193*1.03</f>
        <v>0</v>
      </c>
      <c r="P193" s="57">
        <f t="shared" si="381"/>
        <v>0</v>
      </c>
      <c r="Q193" s="57">
        <f t="shared" ref="Q193:Q194" si="382">SUM(O193:P193)</f>
        <v>0</v>
      </c>
      <c r="R193" s="58"/>
      <c r="S193" s="55">
        <f t="shared" ref="S193:T194" si="383">O193*1.03</f>
        <v>0</v>
      </c>
      <c r="T193" s="57">
        <f t="shared" si="383"/>
        <v>0</v>
      </c>
      <c r="U193" s="57">
        <f t="shared" ref="U193:U194" si="384">SUM(S193:T193)</f>
        <v>0</v>
      </c>
      <c r="V193" s="59"/>
      <c r="W193" s="124">
        <f t="shared" ref="W193:Y195" si="385">C193+G193+K193+O193+S193</f>
        <v>0</v>
      </c>
      <c r="X193" s="57">
        <f t="shared" si="385"/>
        <v>0</v>
      </c>
      <c r="Y193" s="84">
        <f t="shared" si="385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376"/>
        <v>0</v>
      </c>
      <c r="F194" s="74"/>
      <c r="G194" s="55">
        <f>C194*1.03</f>
        <v>0</v>
      </c>
      <c r="H194" s="57">
        <f t="shared" si="377"/>
        <v>0</v>
      </c>
      <c r="I194" s="57">
        <f t="shared" si="378"/>
        <v>0</v>
      </c>
      <c r="J194" s="74"/>
      <c r="K194" s="55">
        <f>G194*1.03</f>
        <v>0</v>
      </c>
      <c r="L194" s="57">
        <f t="shared" si="379"/>
        <v>0</v>
      </c>
      <c r="M194" s="57">
        <f t="shared" si="380"/>
        <v>0</v>
      </c>
      <c r="N194" s="74"/>
      <c r="O194" s="55">
        <f t="shared" si="381"/>
        <v>0</v>
      </c>
      <c r="P194" s="57">
        <f t="shared" si="381"/>
        <v>0</v>
      </c>
      <c r="Q194" s="57">
        <f t="shared" si="382"/>
        <v>0</v>
      </c>
      <c r="R194" s="74"/>
      <c r="S194" s="55">
        <f t="shared" si="383"/>
        <v>0</v>
      </c>
      <c r="T194" s="57">
        <f t="shared" si="383"/>
        <v>0</v>
      </c>
      <c r="U194" s="57">
        <f t="shared" si="384"/>
        <v>0</v>
      </c>
      <c r="V194" s="59"/>
      <c r="W194" s="124">
        <f t="shared" si="385"/>
        <v>0</v>
      </c>
      <c r="X194" s="57">
        <f t="shared" si="385"/>
        <v>0</v>
      </c>
      <c r="Y194" s="84">
        <f t="shared" si="385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0</v>
      </c>
      <c r="D195" s="125">
        <f>SUM(D188:D194)</f>
        <v>0</v>
      </c>
      <c r="E195" s="125">
        <f>SUM(E188:E194)</f>
        <v>0</v>
      </c>
      <c r="F195" s="81"/>
      <c r="G195" s="79">
        <f>SUM(G188:G194)</f>
        <v>230720</v>
      </c>
      <c r="H195" s="80">
        <f>SUM(H188:H194)</f>
        <v>0</v>
      </c>
      <c r="I195" s="80">
        <f>SUM(I188:I194)</f>
        <v>230720</v>
      </c>
      <c r="J195" s="81"/>
      <c r="K195" s="79">
        <f>SUM(K188:K194)</f>
        <v>301295.59999999998</v>
      </c>
      <c r="L195" s="80">
        <f>SUM(L188:L194)</f>
        <v>0</v>
      </c>
      <c r="M195" s="80">
        <f>SUM(M188:M194)</f>
        <v>301295.59999999998</v>
      </c>
      <c r="N195" s="81"/>
      <c r="O195" s="79">
        <f>SUM(O188:O194)</f>
        <v>179207.228</v>
      </c>
      <c r="P195" s="80">
        <f>SUM(P188:P194)</f>
        <v>0</v>
      </c>
      <c r="Q195" s="80">
        <f>SUM(Q188:Q194)</f>
        <v>179207.228</v>
      </c>
      <c r="R195" s="81"/>
      <c r="S195" s="79">
        <f>SUM(S188:S194)</f>
        <v>117052.91624000002</v>
      </c>
      <c r="T195" s="80">
        <f>SUM(T188:T194)</f>
        <v>0</v>
      </c>
      <c r="U195" s="80">
        <f>SUM(U188:U194)</f>
        <v>117052.91624000002</v>
      </c>
      <c r="V195" s="82"/>
      <c r="W195" s="228">
        <f t="shared" si="385"/>
        <v>828275.74424000003</v>
      </c>
      <c r="X195" s="80">
        <f t="shared" si="385"/>
        <v>0</v>
      </c>
      <c r="Y195" s="80">
        <f t="shared" si="385"/>
        <v>828275.74424000003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>C195+C186</f>
        <v>45929.333556602563</v>
      </c>
      <c r="D196" s="107">
        <f t="shared" ref="D196:X196" si="386">D195+D186</f>
        <v>0</v>
      </c>
      <c r="E196" s="107">
        <f t="shared" si="386"/>
        <v>45929.333556602563</v>
      </c>
      <c r="F196" s="107">
        <f t="shared" si="386"/>
        <v>0</v>
      </c>
      <c r="G196" s="107">
        <f t="shared" si="386"/>
        <v>448027.21356330067</v>
      </c>
      <c r="H196" s="107">
        <f t="shared" si="386"/>
        <v>0</v>
      </c>
      <c r="I196" s="107">
        <f t="shared" si="386"/>
        <v>448027.21356330067</v>
      </c>
      <c r="J196" s="107">
        <f t="shared" si="386"/>
        <v>0</v>
      </c>
      <c r="K196" s="107">
        <f t="shared" si="386"/>
        <v>350022.02997019963</v>
      </c>
      <c r="L196" s="107">
        <f t="shared" si="386"/>
        <v>0</v>
      </c>
      <c r="M196" s="107">
        <f t="shared" si="386"/>
        <v>350022.02997019963</v>
      </c>
      <c r="N196" s="107">
        <f t="shared" si="386"/>
        <v>0</v>
      </c>
      <c r="O196" s="107">
        <f t="shared" si="386"/>
        <v>229395.45086930564</v>
      </c>
      <c r="P196" s="107">
        <f t="shared" si="386"/>
        <v>0</v>
      </c>
      <c r="Q196" s="107">
        <f t="shared" si="386"/>
        <v>229395.45086930564</v>
      </c>
      <c r="R196" s="107">
        <f t="shared" si="386"/>
        <v>0</v>
      </c>
      <c r="S196" s="107">
        <f t="shared" si="386"/>
        <v>168746.78579538484</v>
      </c>
      <c r="T196" s="107">
        <f t="shared" si="386"/>
        <v>0</v>
      </c>
      <c r="U196" s="107">
        <f t="shared" si="386"/>
        <v>168746.78579538484</v>
      </c>
      <c r="V196" s="107">
        <f t="shared" si="386"/>
        <v>0</v>
      </c>
      <c r="W196" s="107">
        <f t="shared" si="386"/>
        <v>1242120.8137547933</v>
      </c>
      <c r="X196" s="107">
        <f t="shared" si="386"/>
        <v>0</v>
      </c>
      <c r="Y196" s="108">
        <f>E196+I196+M196+Q196+U196</f>
        <v>1242120.8137547935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77" customFormat="1" x14ac:dyDescent="0.25">
      <c r="A197" s="74" t="s">
        <v>6</v>
      </c>
      <c r="B197" s="74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129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s="61" customFormat="1" x14ac:dyDescent="0.25">
      <c r="A198" s="50">
        <v>3.6999999999999998E-2</v>
      </c>
      <c r="B198" s="52" t="s">
        <v>107</v>
      </c>
      <c r="C198" s="124">
        <f>C189*A198*1.03</f>
        <v>0</v>
      </c>
      <c r="D198" s="56">
        <f>D189*A198</f>
        <v>0</v>
      </c>
      <c r="E198" s="56">
        <f t="shared" ref="E198:E203" si="387">SUM(C198:D198)</f>
        <v>0</v>
      </c>
      <c r="F198" s="58"/>
      <c r="G198" s="124">
        <f>(G189+G190)*A198*1.03*1.03</f>
        <v>4204.8134959999998</v>
      </c>
      <c r="H198" s="56">
        <f>H189*A198*1.03</f>
        <v>0</v>
      </c>
      <c r="I198" s="57">
        <f t="shared" ref="I198:I203" si="388">SUM(G198:H198)</f>
        <v>4204.8134959999998</v>
      </c>
      <c r="J198" s="58"/>
      <c r="K198" s="124">
        <f>(K189+K190)*A198*1.03*1.03*1.03</f>
        <v>4460.8866379064002</v>
      </c>
      <c r="L198" s="56">
        <f>L189*A198*1.03*1.03</f>
        <v>0</v>
      </c>
      <c r="M198" s="57">
        <f t="shared" ref="M198:M203" si="389">SUM(K198:L198)</f>
        <v>4460.8866379064002</v>
      </c>
      <c r="N198" s="58"/>
      <c r="O198" s="124">
        <f>(O189+O190)*A198*1.03*1.03*1.03*1.03</f>
        <v>4732.5546341548998</v>
      </c>
      <c r="P198" s="56">
        <f>P189*A198*1.03*1.03*1.03</f>
        <v>0</v>
      </c>
      <c r="Q198" s="57">
        <f t="shared" ref="Q198:Q203" si="390">SUM(O198:P198)</f>
        <v>4732.5546341548998</v>
      </c>
      <c r="R198" s="58"/>
      <c r="S198" s="124">
        <f>(S189+S190)*A198*1.03*1.03*1.03*1.03*1.03</f>
        <v>5020.7672113749331</v>
      </c>
      <c r="T198" s="56">
        <f>T189*A198*1.03*1.03*1.03*1.03</f>
        <v>0</v>
      </c>
      <c r="U198" s="57">
        <f t="shared" ref="U198:U203" si="391">SUM(S198:T198)</f>
        <v>5020.7672113749331</v>
      </c>
      <c r="V198" s="59"/>
      <c r="W198" s="124">
        <f t="shared" ref="W198:Y204" si="392">C198+G198+K198+O198+S198</f>
        <v>18419.021979436235</v>
      </c>
      <c r="X198" s="57">
        <f t="shared" si="392"/>
        <v>0</v>
      </c>
      <c r="Y198" s="84">
        <f t="shared" si="392"/>
        <v>18419.021979436235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(C186)*A199*1.03</f>
        <v>4967.2574241465672</v>
      </c>
      <c r="D199" s="56">
        <f>(D186)*A199*1.03</f>
        <v>0</v>
      </c>
      <c r="E199" s="56">
        <f t="shared" si="387"/>
        <v>4967.2574241465672</v>
      </c>
      <c r="F199" s="58"/>
      <c r="G199" s="124">
        <f>(G180+G184+G185)*A199*1.03*1.03</f>
        <v>5269.7634012770941</v>
      </c>
      <c r="H199" s="56">
        <f>H186*(A199*1.03*1.03)</f>
        <v>0</v>
      </c>
      <c r="I199" s="57">
        <f t="shared" si="388"/>
        <v>5269.7634012770941</v>
      </c>
      <c r="J199" s="58"/>
      <c r="K199" s="124">
        <f>(K186)*A199*1.03*1.03*1.03</f>
        <v>5590.6919924148697</v>
      </c>
      <c r="L199" s="56">
        <f>(L186)*A199*1.03*1.03*1.03</f>
        <v>0</v>
      </c>
      <c r="M199" s="57">
        <f t="shared" si="389"/>
        <v>5590.6919924148697</v>
      </c>
      <c r="N199" s="58"/>
      <c r="O199" s="124">
        <f>(O186)*A199*1.03*1.03*1.03*1.03</f>
        <v>5931.1651347529341</v>
      </c>
      <c r="P199" s="56">
        <f>(P186)*A199*1.03*1.03*1.03*1.03</f>
        <v>0</v>
      </c>
      <c r="Q199" s="57">
        <f t="shared" si="390"/>
        <v>5931.1651347529341</v>
      </c>
      <c r="R199" s="58"/>
      <c r="S199" s="124">
        <f>(S186)*A199*1.03*1.03*1.03*1.03*1.03</f>
        <v>6292.373091459388</v>
      </c>
      <c r="T199" s="56">
        <f>(T186)*A199*1.03*1.03*1.03*1.03*1.03</f>
        <v>0</v>
      </c>
      <c r="U199" s="57">
        <f t="shared" si="391"/>
        <v>6292.373091459388</v>
      </c>
      <c r="V199" s="59"/>
      <c r="W199" s="124">
        <f t="shared" si="392"/>
        <v>28051.251044050852</v>
      </c>
      <c r="X199" s="57">
        <f t="shared" si="392"/>
        <v>0</v>
      </c>
      <c r="Y199" s="84">
        <f t="shared" si="392"/>
        <v>28051.251044050852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61" customFormat="1" x14ac:dyDescent="0.25">
      <c r="A200" s="50">
        <v>0.36099999999999999</v>
      </c>
      <c r="B200" s="52" t="s">
        <v>52</v>
      </c>
      <c r="C200" s="124">
        <f>(C182)*A200</f>
        <v>0</v>
      </c>
      <c r="D200" s="56">
        <f>(D182+D181)*A200</f>
        <v>0</v>
      </c>
      <c r="E200" s="151">
        <f t="shared" si="387"/>
        <v>0</v>
      </c>
      <c r="F200" s="189"/>
      <c r="G200" s="124">
        <f>(G181+G182)*A200*1.03*1.03</f>
        <v>65107.432999999997</v>
      </c>
      <c r="H200" s="56">
        <f>(H182+H181)*A200*1.03</f>
        <v>0</v>
      </c>
      <c r="I200" s="57">
        <f t="shared" si="388"/>
        <v>65107.432999999997</v>
      </c>
      <c r="J200" s="58"/>
      <c r="K200" s="124">
        <f>(K182+K184)*A200*1.03*1.03*1.03*0</f>
        <v>0</v>
      </c>
      <c r="L200" s="56">
        <f>(L182+L181)*A200*1.03*1.03</f>
        <v>0</v>
      </c>
      <c r="M200" s="57">
        <f t="shared" si="389"/>
        <v>0</v>
      </c>
      <c r="N200" s="58"/>
      <c r="O200" s="124">
        <f>(O182+O184)*A200*1.03*1.03*1.03*0</f>
        <v>0</v>
      </c>
      <c r="P200" s="56">
        <f>(P182+P181)*A200*1.03*1.03*1.03</f>
        <v>0</v>
      </c>
      <c r="Q200" s="57">
        <f t="shared" si="390"/>
        <v>0</v>
      </c>
      <c r="R200" s="58"/>
      <c r="S200" s="124">
        <f>(S182+S184)*A200*1.03*1.03*1.03*1.03*0</f>
        <v>0</v>
      </c>
      <c r="T200" s="56">
        <f>(T182+T181)*A200*1.03*1.03*1.03*1.03</f>
        <v>0</v>
      </c>
      <c r="U200" s="57">
        <f t="shared" si="391"/>
        <v>0</v>
      </c>
      <c r="V200" s="59"/>
      <c r="W200" s="124">
        <f t="shared" si="392"/>
        <v>65107.432999999997</v>
      </c>
      <c r="X200" s="57">
        <f t="shared" si="392"/>
        <v>0</v>
      </c>
      <c r="Y200" s="84">
        <f t="shared" si="392"/>
        <v>65107.432999999997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61" customFormat="1" x14ac:dyDescent="0.25">
      <c r="A201" s="50">
        <v>0.34899999999999998</v>
      </c>
      <c r="B201" s="52" t="s">
        <v>109</v>
      </c>
      <c r="C201" s="124">
        <f>C188*A201*1.03</f>
        <v>0</v>
      </c>
      <c r="D201" s="56">
        <f>D188*A201</f>
        <v>0</v>
      </c>
      <c r="E201" s="56">
        <f t="shared" si="387"/>
        <v>0</v>
      </c>
      <c r="F201" s="58"/>
      <c r="G201" s="124">
        <f>G188*A201*1.03*1.03</f>
        <v>45763.406759999998</v>
      </c>
      <c r="H201" s="56">
        <f>H188*A201*1.03</f>
        <v>0</v>
      </c>
      <c r="I201" s="57">
        <f t="shared" si="388"/>
        <v>45763.406759999998</v>
      </c>
      <c r="J201" s="58"/>
      <c r="K201" s="124">
        <f>K188*A201*1.03*1.03*1.03</f>
        <v>72825.597347526011</v>
      </c>
      <c r="L201" s="56">
        <f>L188*A201*1.03*1.03</f>
        <v>0</v>
      </c>
      <c r="M201" s="57">
        <f t="shared" si="389"/>
        <v>72825.597347526011</v>
      </c>
      <c r="N201" s="58"/>
      <c r="O201" s="124">
        <f>O188*A201*1.03*1.03*1.03*1.03</f>
        <v>25753.558741996778</v>
      </c>
      <c r="P201" s="56">
        <f>P188*A201*1.03*1.03*1.03</f>
        <v>0</v>
      </c>
      <c r="Q201" s="57">
        <f t="shared" si="390"/>
        <v>25753.558741996778</v>
      </c>
      <c r="R201" s="58"/>
      <c r="S201" s="124">
        <f>S188*A201*1.03*1.03*1.03*1.03*1.03</f>
        <v>0</v>
      </c>
      <c r="T201" s="56">
        <f>T188*A201*1.03*1.03*1.03*1.03</f>
        <v>0</v>
      </c>
      <c r="U201" s="57">
        <f t="shared" si="391"/>
        <v>0</v>
      </c>
      <c r="V201" s="59"/>
      <c r="W201" s="124">
        <f t="shared" si="392"/>
        <v>144342.5628495228</v>
      </c>
      <c r="X201" s="57">
        <f t="shared" si="392"/>
        <v>0</v>
      </c>
      <c r="Y201" s="84">
        <f t="shared" si="392"/>
        <v>144342.5628495228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f>C190*0.089</f>
        <v>0</v>
      </c>
      <c r="D202" s="56">
        <f>D190*A202</f>
        <v>0</v>
      </c>
      <c r="E202" s="56">
        <f t="shared" si="387"/>
        <v>0</v>
      </c>
      <c r="F202" s="58"/>
      <c r="G202" s="124">
        <f>G190*A202*1.03*0</f>
        <v>0</v>
      </c>
      <c r="H202" s="56">
        <f>H190*A202*1.03</f>
        <v>0</v>
      </c>
      <c r="I202" s="57">
        <f t="shared" si="388"/>
        <v>0</v>
      </c>
      <c r="J202" s="58"/>
      <c r="K202" s="124">
        <f>K190*A202*1.03*1.03*0</f>
        <v>0</v>
      </c>
      <c r="L202" s="56">
        <f>L190*A202*1.03*1.03</f>
        <v>0</v>
      </c>
      <c r="M202" s="57">
        <f t="shared" si="389"/>
        <v>0</v>
      </c>
      <c r="N202" s="58"/>
      <c r="O202" s="124">
        <f>O190*A202*1.03*1.03*1.03*0</f>
        <v>0</v>
      </c>
      <c r="P202" s="56">
        <f>P190*A202*1.03*1.03*1.03</f>
        <v>0</v>
      </c>
      <c r="Q202" s="57">
        <f t="shared" si="390"/>
        <v>0</v>
      </c>
      <c r="R202" s="58"/>
      <c r="S202" s="124">
        <f>S190*A202*1.03*1.03*1.03*1.03*0</f>
        <v>0</v>
      </c>
      <c r="T202" s="56">
        <f>T190*A202*1.03*1.03*1.03*1.03</f>
        <v>0</v>
      </c>
      <c r="U202" s="57">
        <f t="shared" si="391"/>
        <v>0</v>
      </c>
      <c r="V202" s="59"/>
      <c r="W202" s="124">
        <f t="shared" si="392"/>
        <v>0</v>
      </c>
      <c r="X202" s="57">
        <f t="shared" si="392"/>
        <v>0</v>
      </c>
      <c r="Y202" s="84">
        <f t="shared" si="392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f>C191*0.089</f>
        <v>0</v>
      </c>
      <c r="D203" s="56">
        <v>0</v>
      </c>
      <c r="E203" s="56">
        <f t="shared" si="387"/>
        <v>0</v>
      </c>
      <c r="F203" s="58"/>
      <c r="G203" s="55">
        <f>C203*1.05</f>
        <v>0</v>
      </c>
      <c r="H203" s="57">
        <f>D203*1.05</f>
        <v>0</v>
      </c>
      <c r="I203" s="57">
        <f t="shared" si="388"/>
        <v>0</v>
      </c>
      <c r="J203" s="58"/>
      <c r="K203" s="55">
        <f>G203*1.05</f>
        <v>0</v>
      </c>
      <c r="L203" s="57">
        <f>H203*1.05</f>
        <v>0</v>
      </c>
      <c r="M203" s="57">
        <f t="shared" si="389"/>
        <v>0</v>
      </c>
      <c r="N203" s="58"/>
      <c r="O203" s="55">
        <f>K203*1.05</f>
        <v>0</v>
      </c>
      <c r="P203" s="57">
        <f>L203*1.05</f>
        <v>0</v>
      </c>
      <c r="Q203" s="57">
        <f t="shared" si="390"/>
        <v>0</v>
      </c>
      <c r="R203" s="58"/>
      <c r="S203" s="55">
        <f>O203*1.05</f>
        <v>0</v>
      </c>
      <c r="T203" s="57">
        <f>P203*1.05</f>
        <v>0</v>
      </c>
      <c r="U203" s="57">
        <f t="shared" si="391"/>
        <v>0</v>
      </c>
      <c r="V203" s="59"/>
      <c r="W203" s="124">
        <f t="shared" si="392"/>
        <v>0</v>
      </c>
      <c r="X203" s="57">
        <f t="shared" si="392"/>
        <v>0</v>
      </c>
      <c r="Y203" s="84">
        <f t="shared" si="392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4967.2574241465672</v>
      </c>
      <c r="D204" s="125">
        <f>SUM(D198:D203)</f>
        <v>0</v>
      </c>
      <c r="E204" s="125">
        <f>SUM(E198:E203)</f>
        <v>4967.2574241465672</v>
      </c>
      <c r="F204" s="81"/>
      <c r="G204" s="79">
        <f>SUM(G198:G203)</f>
        <v>120345.41665727709</v>
      </c>
      <c r="H204" s="80">
        <f>SUM(H198:H203)</f>
        <v>0</v>
      </c>
      <c r="I204" s="80">
        <f>SUM(I198:I203)</f>
        <v>120345.41665727709</v>
      </c>
      <c r="J204" s="81"/>
      <c r="K204" s="79">
        <f>SUM(K198:K203)</f>
        <v>82877.175977847277</v>
      </c>
      <c r="L204" s="80">
        <f>SUM(L198:L203)</f>
        <v>0</v>
      </c>
      <c r="M204" s="80">
        <f>SUM(M198:M203)</f>
        <v>82877.175977847277</v>
      </c>
      <c r="N204" s="81"/>
      <c r="O204" s="79">
        <f>SUM(O198:O203)</f>
        <v>36417.278510904609</v>
      </c>
      <c r="P204" s="80">
        <f>SUM(P198:P203)</f>
        <v>0</v>
      </c>
      <c r="Q204" s="80">
        <f>SUM(Q198:Q203)</f>
        <v>36417.278510904609</v>
      </c>
      <c r="R204" s="81"/>
      <c r="S204" s="79">
        <f>SUM(S198:S203)</f>
        <v>11313.140302834321</v>
      </c>
      <c r="T204" s="80">
        <f>SUM(T198:T203)</f>
        <v>0</v>
      </c>
      <c r="U204" s="80">
        <f>SUM(U198:U203)</f>
        <v>11313.140302834321</v>
      </c>
      <c r="V204" s="82"/>
      <c r="W204" s="228">
        <f t="shared" si="392"/>
        <v>255920.26887300986</v>
      </c>
      <c r="X204" s="80">
        <f t="shared" si="392"/>
        <v>0</v>
      </c>
      <c r="Y204" s="80">
        <f t="shared" si="392"/>
        <v>255920.26887300986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393">C204+C196</f>
        <v>50896.590980749133</v>
      </c>
      <c r="D205" s="107">
        <f t="shared" si="393"/>
        <v>0</v>
      </c>
      <c r="E205" s="107">
        <f t="shared" si="393"/>
        <v>50896.590980749133</v>
      </c>
      <c r="F205" s="107">
        <f t="shared" si="393"/>
        <v>0</v>
      </c>
      <c r="G205" s="107">
        <f t="shared" si="393"/>
        <v>568372.63022057782</v>
      </c>
      <c r="H205" s="107">
        <f t="shared" si="393"/>
        <v>0</v>
      </c>
      <c r="I205" s="107">
        <f t="shared" si="393"/>
        <v>568372.63022057782</v>
      </c>
      <c r="J205" s="107">
        <f t="shared" si="393"/>
        <v>0</v>
      </c>
      <c r="K205" s="107">
        <f t="shared" si="393"/>
        <v>432899.20594804687</v>
      </c>
      <c r="L205" s="107">
        <f t="shared" si="393"/>
        <v>0</v>
      </c>
      <c r="M205" s="107">
        <f t="shared" si="393"/>
        <v>432899.20594804687</v>
      </c>
      <c r="N205" s="107">
        <f t="shared" si="393"/>
        <v>0</v>
      </c>
      <c r="O205" s="107">
        <f t="shared" si="393"/>
        <v>265812.72938021028</v>
      </c>
      <c r="P205" s="107">
        <f t="shared" si="393"/>
        <v>0</v>
      </c>
      <c r="Q205" s="107">
        <f t="shared" si="393"/>
        <v>265812.72938021028</v>
      </c>
      <c r="R205" s="107">
        <f t="shared" si="393"/>
        <v>0</v>
      </c>
      <c r="S205" s="107">
        <f t="shared" si="393"/>
        <v>180059.92609821918</v>
      </c>
      <c r="T205" s="107">
        <f t="shared" si="393"/>
        <v>0</v>
      </c>
      <c r="U205" s="107">
        <f t="shared" si="393"/>
        <v>180059.92609821918</v>
      </c>
      <c r="V205" s="107">
        <f t="shared" si="393"/>
        <v>0</v>
      </c>
      <c r="W205" s="107">
        <f t="shared" si="393"/>
        <v>1498041.0826278031</v>
      </c>
      <c r="X205" s="107">
        <f t="shared" si="393"/>
        <v>0</v>
      </c>
      <c r="Y205" s="107">
        <f t="shared" si="393"/>
        <v>1498041.0826278033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61" t="s">
        <v>57</v>
      </c>
      <c r="C207" s="124">
        <v>0</v>
      </c>
      <c r="D207" s="56">
        <v>0</v>
      </c>
      <c r="E207" s="56">
        <f t="shared" ref="E207:E216" si="394">SUM(C207:D207)</f>
        <v>0</v>
      </c>
      <c r="F207" s="58"/>
      <c r="G207" s="55">
        <v>0</v>
      </c>
      <c r="H207" s="57">
        <v>0</v>
      </c>
      <c r="I207" s="57">
        <f t="shared" ref="I207:I216" si="395">SUM(G207:H207)</f>
        <v>0</v>
      </c>
      <c r="J207" s="58"/>
      <c r="K207" s="55">
        <v>0</v>
      </c>
      <c r="L207" s="57">
        <v>0</v>
      </c>
      <c r="M207" s="57">
        <f t="shared" ref="M207:M216" si="396">SUM(K207:L207)</f>
        <v>0</v>
      </c>
      <c r="N207" s="58"/>
      <c r="O207" s="55">
        <v>0</v>
      </c>
      <c r="P207" s="57">
        <v>0</v>
      </c>
      <c r="Q207" s="57">
        <f t="shared" ref="Q207:Q216" si="397">SUM(O207:P207)</f>
        <v>0</v>
      </c>
      <c r="R207" s="58"/>
      <c r="S207" s="55">
        <v>0</v>
      </c>
      <c r="T207" s="57">
        <v>0</v>
      </c>
      <c r="U207" s="57">
        <f t="shared" ref="U207:U216" si="398">SUM(S207:T207)</f>
        <v>0</v>
      </c>
      <c r="V207" s="59"/>
      <c r="W207" s="124">
        <f t="shared" ref="W207:W217" si="399">C207+G207+K207+O207+S207</f>
        <v>0</v>
      </c>
      <c r="X207" s="57">
        <f t="shared" ref="X207:X217" si="400">D207+H207+L207+P207+T207</f>
        <v>0</v>
      </c>
      <c r="Y207" s="84">
        <f t="shared" ref="Y207:Y217" si="401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A208" s="52"/>
      <c r="B208" s="61" t="s">
        <v>57</v>
      </c>
      <c r="C208" s="124">
        <v>0</v>
      </c>
      <c r="D208" s="56">
        <v>0</v>
      </c>
      <c r="E208" s="56">
        <f t="shared" si="394"/>
        <v>0</v>
      </c>
      <c r="F208" s="58"/>
      <c r="G208" s="55">
        <v>0</v>
      </c>
      <c r="H208" s="57">
        <v>0</v>
      </c>
      <c r="I208" s="57">
        <f t="shared" si="395"/>
        <v>0</v>
      </c>
      <c r="J208" s="58"/>
      <c r="K208" s="55">
        <v>0</v>
      </c>
      <c r="L208" s="57">
        <v>0</v>
      </c>
      <c r="M208" s="57">
        <f t="shared" si="396"/>
        <v>0</v>
      </c>
      <c r="N208" s="58"/>
      <c r="O208" s="55">
        <f>K208</f>
        <v>0</v>
      </c>
      <c r="P208" s="57">
        <v>0</v>
      </c>
      <c r="Q208" s="57">
        <f t="shared" si="397"/>
        <v>0</v>
      </c>
      <c r="R208" s="58"/>
      <c r="S208" s="55">
        <f>O208</f>
        <v>0</v>
      </c>
      <c r="T208" s="57">
        <v>0</v>
      </c>
      <c r="U208" s="57">
        <f t="shared" si="398"/>
        <v>0</v>
      </c>
      <c r="V208" s="59"/>
      <c r="W208" s="124">
        <f t="shared" si="399"/>
        <v>0</v>
      </c>
      <c r="X208" s="57">
        <f t="shared" si="400"/>
        <v>0</v>
      </c>
      <c r="Y208" s="84">
        <f t="shared" si="401"/>
        <v>0</v>
      </c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s="61" customFormat="1" x14ac:dyDescent="0.25">
      <c r="A209" s="204" t="s">
        <v>57</v>
      </c>
      <c r="B209" s="61" t="s">
        <v>57</v>
      </c>
      <c r="C209" s="124">
        <v>0</v>
      </c>
      <c r="D209" s="56">
        <v>0</v>
      </c>
      <c r="E209" s="56">
        <f t="shared" si="394"/>
        <v>0</v>
      </c>
      <c r="F209" s="58"/>
      <c r="G209" s="55">
        <v>0</v>
      </c>
      <c r="H209" s="57">
        <v>0</v>
      </c>
      <c r="I209" s="57">
        <f t="shared" si="395"/>
        <v>0</v>
      </c>
      <c r="J209" s="58"/>
      <c r="K209" s="55">
        <f>G209</f>
        <v>0</v>
      </c>
      <c r="L209" s="57">
        <v>0</v>
      </c>
      <c r="M209" s="57">
        <f t="shared" si="396"/>
        <v>0</v>
      </c>
      <c r="N209" s="58"/>
      <c r="O209" s="55">
        <v>0</v>
      </c>
      <c r="P209" s="57">
        <v>0</v>
      </c>
      <c r="Q209" s="57">
        <f t="shared" si="397"/>
        <v>0</v>
      </c>
      <c r="R209" s="58"/>
      <c r="S209" s="55">
        <f>O209</f>
        <v>0</v>
      </c>
      <c r="T209" s="57">
        <v>0</v>
      </c>
      <c r="U209" s="57">
        <f t="shared" si="398"/>
        <v>0</v>
      </c>
      <c r="V209" s="59"/>
      <c r="W209" s="124">
        <f t="shared" si="399"/>
        <v>0</v>
      </c>
      <c r="X209" s="57">
        <f t="shared" si="400"/>
        <v>0</v>
      </c>
      <c r="Y209" s="84">
        <f t="shared" si="401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204" t="s">
        <v>75</v>
      </c>
      <c r="B210" s="61" t="s">
        <v>57</v>
      </c>
      <c r="C210" s="124">
        <v>0</v>
      </c>
      <c r="D210" s="56">
        <v>0</v>
      </c>
      <c r="E210" s="56">
        <f t="shared" si="394"/>
        <v>0</v>
      </c>
      <c r="F210" s="58"/>
      <c r="G210" s="55">
        <f>C210</f>
        <v>0</v>
      </c>
      <c r="H210" s="57">
        <v>0</v>
      </c>
      <c r="I210" s="57">
        <f t="shared" si="395"/>
        <v>0</v>
      </c>
      <c r="J210" s="58"/>
      <c r="K210" s="55">
        <v>0</v>
      </c>
      <c r="L210" s="57">
        <v>0</v>
      </c>
      <c r="M210" s="57">
        <f t="shared" si="396"/>
        <v>0</v>
      </c>
      <c r="N210" s="58"/>
      <c r="O210" s="55">
        <v>0</v>
      </c>
      <c r="P210" s="57">
        <v>0</v>
      </c>
      <c r="Q210" s="57">
        <f t="shared" si="397"/>
        <v>0</v>
      </c>
      <c r="R210" s="58"/>
      <c r="S210" s="55">
        <v>0</v>
      </c>
      <c r="T210" s="57">
        <v>0</v>
      </c>
      <c r="U210" s="57">
        <f t="shared" si="398"/>
        <v>0</v>
      </c>
      <c r="V210" s="59"/>
      <c r="W210" s="124">
        <f t="shared" si="399"/>
        <v>0</v>
      </c>
      <c r="X210" s="57">
        <f t="shared" si="400"/>
        <v>0</v>
      </c>
      <c r="Y210" s="84">
        <f t="shared" si="401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204" t="s">
        <v>57</v>
      </c>
      <c r="B211" s="61" t="s">
        <v>57</v>
      </c>
      <c r="C211" s="124">
        <v>0</v>
      </c>
      <c r="D211" s="56">
        <v>0</v>
      </c>
      <c r="E211" s="56">
        <f t="shared" si="394"/>
        <v>0</v>
      </c>
      <c r="F211" s="58"/>
      <c r="G211" s="55">
        <v>0</v>
      </c>
      <c r="H211" s="57">
        <v>0</v>
      </c>
      <c r="I211" s="57">
        <f t="shared" si="395"/>
        <v>0</v>
      </c>
      <c r="J211" s="58"/>
      <c r="K211" s="55">
        <v>0</v>
      </c>
      <c r="L211" s="57">
        <v>0</v>
      </c>
      <c r="M211" s="57">
        <f t="shared" si="396"/>
        <v>0</v>
      </c>
      <c r="N211" s="58"/>
      <c r="O211" s="55">
        <f>K211</f>
        <v>0</v>
      </c>
      <c r="P211" s="57">
        <v>0</v>
      </c>
      <c r="Q211" s="57">
        <f t="shared" si="397"/>
        <v>0</v>
      </c>
      <c r="R211" s="58"/>
      <c r="S211" s="55">
        <f>O211</f>
        <v>0</v>
      </c>
      <c r="T211" s="57">
        <v>0</v>
      </c>
      <c r="U211" s="57">
        <f t="shared" si="398"/>
        <v>0</v>
      </c>
      <c r="V211" s="59"/>
      <c r="W211" s="124">
        <f t="shared" si="399"/>
        <v>0</v>
      </c>
      <c r="X211" s="57">
        <f t="shared" si="400"/>
        <v>0</v>
      </c>
      <c r="Y211" s="84">
        <f t="shared" si="401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204" t="s">
        <v>57</v>
      </c>
      <c r="B212" s="61" t="s">
        <v>57</v>
      </c>
      <c r="C212" s="124">
        <v>0</v>
      </c>
      <c r="D212" s="56">
        <v>0</v>
      </c>
      <c r="E212" s="56">
        <f t="shared" si="394"/>
        <v>0</v>
      </c>
      <c r="F212" s="58"/>
      <c r="G212" s="55">
        <v>0</v>
      </c>
      <c r="H212" s="57">
        <v>0</v>
      </c>
      <c r="I212" s="57">
        <f t="shared" si="395"/>
        <v>0</v>
      </c>
      <c r="J212" s="58"/>
      <c r="K212" s="55">
        <v>0</v>
      </c>
      <c r="L212" s="57">
        <v>0</v>
      </c>
      <c r="M212" s="57">
        <f t="shared" si="396"/>
        <v>0</v>
      </c>
      <c r="N212" s="58"/>
      <c r="O212" s="55">
        <f>K212</f>
        <v>0</v>
      </c>
      <c r="P212" s="57">
        <v>0</v>
      </c>
      <c r="Q212" s="57">
        <f t="shared" si="397"/>
        <v>0</v>
      </c>
      <c r="R212" s="58"/>
      <c r="S212" s="55">
        <f>O212</f>
        <v>0</v>
      </c>
      <c r="T212" s="57">
        <v>0</v>
      </c>
      <c r="U212" s="57">
        <f t="shared" si="398"/>
        <v>0</v>
      </c>
      <c r="V212" s="59"/>
      <c r="W212" s="124">
        <f t="shared" si="399"/>
        <v>0</v>
      </c>
      <c r="X212" s="57">
        <f t="shared" si="400"/>
        <v>0</v>
      </c>
      <c r="Y212" s="84">
        <f t="shared" si="401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394"/>
        <v>0</v>
      </c>
      <c r="F213" s="58"/>
      <c r="G213" s="55">
        <v>0</v>
      </c>
      <c r="H213" s="57">
        <v>0</v>
      </c>
      <c r="I213" s="57">
        <f t="shared" si="395"/>
        <v>0</v>
      </c>
      <c r="J213" s="58"/>
      <c r="K213" s="55">
        <v>0</v>
      </c>
      <c r="L213" s="57">
        <v>0</v>
      </c>
      <c r="M213" s="57">
        <f t="shared" si="396"/>
        <v>0</v>
      </c>
      <c r="N213" s="58"/>
      <c r="O213" s="55">
        <v>0</v>
      </c>
      <c r="P213" s="57">
        <v>0</v>
      </c>
      <c r="Q213" s="57">
        <f t="shared" si="397"/>
        <v>0</v>
      </c>
      <c r="R213" s="58"/>
      <c r="S213" s="55">
        <v>0</v>
      </c>
      <c r="T213" s="57">
        <v>0</v>
      </c>
      <c r="U213" s="57">
        <f t="shared" si="398"/>
        <v>0</v>
      </c>
      <c r="V213" s="59"/>
      <c r="W213" s="124">
        <f t="shared" si="399"/>
        <v>0</v>
      </c>
      <c r="X213" s="57">
        <f t="shared" si="400"/>
        <v>0</v>
      </c>
      <c r="Y213" s="84">
        <f t="shared" si="401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394"/>
        <v>0</v>
      </c>
      <c r="F214" s="58"/>
      <c r="G214" s="55">
        <v>0</v>
      </c>
      <c r="H214" s="57">
        <v>0</v>
      </c>
      <c r="I214" s="57">
        <f t="shared" si="395"/>
        <v>0</v>
      </c>
      <c r="J214" s="58"/>
      <c r="K214" s="55">
        <v>0</v>
      </c>
      <c r="L214" s="57">
        <v>0</v>
      </c>
      <c r="M214" s="57">
        <f t="shared" si="396"/>
        <v>0</v>
      </c>
      <c r="N214" s="58"/>
      <c r="O214" s="55">
        <v>0</v>
      </c>
      <c r="P214" s="57">
        <v>0</v>
      </c>
      <c r="Q214" s="57">
        <f t="shared" si="397"/>
        <v>0</v>
      </c>
      <c r="R214" s="58"/>
      <c r="S214" s="55">
        <v>0</v>
      </c>
      <c r="T214" s="57">
        <v>0</v>
      </c>
      <c r="U214" s="57">
        <f t="shared" si="398"/>
        <v>0</v>
      </c>
      <c r="V214" s="59"/>
      <c r="W214" s="124">
        <f t="shared" si="399"/>
        <v>0</v>
      </c>
      <c r="X214" s="57">
        <f t="shared" si="400"/>
        <v>0</v>
      </c>
      <c r="Y214" s="84">
        <f t="shared" si="401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394"/>
        <v>0</v>
      </c>
      <c r="F215" s="58"/>
      <c r="G215" s="55">
        <v>0</v>
      </c>
      <c r="H215" s="57">
        <v>0</v>
      </c>
      <c r="I215" s="57">
        <f t="shared" si="395"/>
        <v>0</v>
      </c>
      <c r="J215" s="58"/>
      <c r="K215" s="55">
        <v>0</v>
      </c>
      <c r="L215" s="57">
        <v>0</v>
      </c>
      <c r="M215" s="57">
        <f t="shared" si="396"/>
        <v>0</v>
      </c>
      <c r="N215" s="58"/>
      <c r="O215" s="55">
        <v>0</v>
      </c>
      <c r="P215" s="57">
        <v>0</v>
      </c>
      <c r="Q215" s="57">
        <f t="shared" si="397"/>
        <v>0</v>
      </c>
      <c r="R215" s="58"/>
      <c r="S215" s="55">
        <v>0</v>
      </c>
      <c r="T215" s="57">
        <v>0</v>
      </c>
      <c r="U215" s="57">
        <f t="shared" si="398"/>
        <v>0</v>
      </c>
      <c r="V215" s="59"/>
      <c r="W215" s="124">
        <f t="shared" si="399"/>
        <v>0</v>
      </c>
      <c r="X215" s="57">
        <f t="shared" si="400"/>
        <v>0</v>
      </c>
      <c r="Y215" s="84">
        <f t="shared" si="401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394"/>
        <v>0</v>
      </c>
      <c r="F216" s="58"/>
      <c r="G216" s="55">
        <v>0</v>
      </c>
      <c r="H216" s="57">
        <v>0</v>
      </c>
      <c r="I216" s="57">
        <f t="shared" si="395"/>
        <v>0</v>
      </c>
      <c r="J216" s="58"/>
      <c r="K216" s="55">
        <v>0</v>
      </c>
      <c r="L216" s="57">
        <v>0</v>
      </c>
      <c r="M216" s="57">
        <f t="shared" si="396"/>
        <v>0</v>
      </c>
      <c r="N216" s="58"/>
      <c r="O216" s="55">
        <v>0</v>
      </c>
      <c r="P216" s="57">
        <v>0</v>
      </c>
      <c r="Q216" s="57">
        <f t="shared" si="397"/>
        <v>0</v>
      </c>
      <c r="R216" s="58"/>
      <c r="S216" s="55">
        <v>0</v>
      </c>
      <c r="T216" s="57">
        <v>0</v>
      </c>
      <c r="U216" s="57">
        <f t="shared" si="398"/>
        <v>0</v>
      </c>
      <c r="V216" s="59"/>
      <c r="W216" s="124">
        <f t="shared" si="399"/>
        <v>0</v>
      </c>
      <c r="X216" s="57">
        <f t="shared" si="400"/>
        <v>0</v>
      </c>
      <c r="Y216" s="84">
        <f t="shared" si="401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0</v>
      </c>
      <c r="H217" s="125">
        <f>SUM(H207:H216)</f>
        <v>0</v>
      </c>
      <c r="I217" s="125">
        <f>SUM(I207:I216)</f>
        <v>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399"/>
        <v>0</v>
      </c>
      <c r="X217" s="80">
        <f t="shared" si="400"/>
        <v>0</v>
      </c>
      <c r="Y217" s="80">
        <f t="shared" si="401"/>
        <v>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4"/>
      <c r="B219" s="52" t="s">
        <v>125</v>
      </c>
      <c r="C219" s="124">
        <f>12*800*0.5</f>
        <v>4800</v>
      </c>
      <c r="D219" s="56">
        <f>12*800*0.5</f>
        <v>4800</v>
      </c>
      <c r="E219" s="56">
        <f t="shared" ref="E219:E220" si="402">SUM(C219:D219)</f>
        <v>9600</v>
      </c>
      <c r="F219" s="58"/>
      <c r="G219" s="55">
        <f>C219</f>
        <v>4800</v>
      </c>
      <c r="H219" s="57">
        <f>D219</f>
        <v>4800</v>
      </c>
      <c r="I219" s="57">
        <f t="shared" ref="I219:I220" si="403">SUM(G219:H219)</f>
        <v>9600</v>
      </c>
      <c r="J219" s="58"/>
      <c r="K219" s="55">
        <f>G219</f>
        <v>4800</v>
      </c>
      <c r="L219" s="57">
        <f>H219</f>
        <v>4800</v>
      </c>
      <c r="M219" s="57">
        <f t="shared" ref="M219:M220" si="404">SUM(K219:L219)</f>
        <v>9600</v>
      </c>
      <c r="N219" s="58"/>
      <c r="O219" s="55">
        <f>K219</f>
        <v>4800</v>
      </c>
      <c r="P219" s="57">
        <f>L219</f>
        <v>4800</v>
      </c>
      <c r="Q219" s="57">
        <f t="shared" ref="Q219:Q220" si="405">SUM(O219:P219)</f>
        <v>9600</v>
      </c>
      <c r="R219" s="58"/>
      <c r="S219" s="55">
        <f>O219</f>
        <v>4800</v>
      </c>
      <c r="T219" s="57">
        <f>P219</f>
        <v>4800</v>
      </c>
      <c r="U219" s="57">
        <f t="shared" ref="U219:U220" si="406">SUM(S219:T219)</f>
        <v>9600</v>
      </c>
      <c r="V219" s="59"/>
      <c r="W219" s="124">
        <f t="shared" ref="W219:W220" si="407">C219+G219+K219+O219+S219</f>
        <v>24000</v>
      </c>
      <c r="X219" s="57">
        <f t="shared" ref="X219:X220" si="408">D219+H219+L219+P219+T219</f>
        <v>24000</v>
      </c>
      <c r="Y219" s="84">
        <f t="shared" ref="Y219:Y220" si="409">E219+I219+M219+Q219+U219</f>
        <v>48000</v>
      </c>
    </row>
    <row r="220" spans="1:77" s="61" customFormat="1" x14ac:dyDescent="0.25">
      <c r="A220" s="203"/>
      <c r="B220" s="52" t="s">
        <v>115</v>
      </c>
      <c r="C220" s="124">
        <f>2000*5</f>
        <v>10000</v>
      </c>
      <c r="D220" s="56">
        <f>2000*5*0.5*0</f>
        <v>0</v>
      </c>
      <c r="E220" s="56">
        <f t="shared" si="402"/>
        <v>10000</v>
      </c>
      <c r="F220" s="58"/>
      <c r="G220" s="55">
        <f>C220</f>
        <v>10000</v>
      </c>
      <c r="H220" s="57">
        <f>D220</f>
        <v>0</v>
      </c>
      <c r="I220" s="57">
        <f t="shared" si="403"/>
        <v>10000</v>
      </c>
      <c r="J220" s="58"/>
      <c r="K220" s="55">
        <f>G220</f>
        <v>10000</v>
      </c>
      <c r="L220" s="57">
        <f>H220</f>
        <v>0</v>
      </c>
      <c r="M220" s="57">
        <f t="shared" si="404"/>
        <v>10000</v>
      </c>
      <c r="N220" s="58"/>
      <c r="O220" s="55">
        <f>K220</f>
        <v>10000</v>
      </c>
      <c r="P220" s="57">
        <f>L220</f>
        <v>0</v>
      </c>
      <c r="Q220" s="57">
        <f t="shared" si="405"/>
        <v>10000</v>
      </c>
      <c r="R220" s="58"/>
      <c r="S220" s="55">
        <f>O220</f>
        <v>10000</v>
      </c>
      <c r="T220" s="57">
        <f>P220</f>
        <v>0</v>
      </c>
      <c r="U220" s="57">
        <f t="shared" si="406"/>
        <v>10000</v>
      </c>
      <c r="V220" s="59"/>
      <c r="W220" s="124">
        <f t="shared" si="407"/>
        <v>50000</v>
      </c>
      <c r="X220" s="57">
        <f t="shared" si="408"/>
        <v>0</v>
      </c>
      <c r="Y220" s="84">
        <f t="shared" si="409"/>
        <v>50000</v>
      </c>
    </row>
    <row r="221" spans="1:77" s="61" customFormat="1" x14ac:dyDescent="0.25">
      <c r="A221" s="52"/>
      <c r="B221" s="52"/>
      <c r="C221" s="124">
        <v>0</v>
      </c>
      <c r="D221" s="56">
        <v>0</v>
      </c>
      <c r="E221" s="56">
        <f t="shared" ref="E221:E224" si="410">SUM(C221:D221)</f>
        <v>0</v>
      </c>
      <c r="F221" s="58"/>
      <c r="G221" s="55">
        <v>0</v>
      </c>
      <c r="H221" s="57">
        <v>0</v>
      </c>
      <c r="I221" s="57">
        <f t="shared" ref="I221:I224" si="411">SUM(G221:H221)</f>
        <v>0</v>
      </c>
      <c r="J221" s="58"/>
      <c r="K221" s="55">
        <v>0</v>
      </c>
      <c r="L221" s="57">
        <v>0</v>
      </c>
      <c r="M221" s="57">
        <f t="shared" ref="M221:M224" si="412">SUM(K221:L221)</f>
        <v>0</v>
      </c>
      <c r="N221" s="58"/>
      <c r="O221" s="55">
        <v>0</v>
      </c>
      <c r="P221" s="57">
        <v>0</v>
      </c>
      <c r="Q221" s="57">
        <f t="shared" ref="Q221:Q224" si="413">SUM(O221:P221)</f>
        <v>0</v>
      </c>
      <c r="R221" s="58"/>
      <c r="S221" s="55">
        <v>0</v>
      </c>
      <c r="T221" s="57">
        <v>0</v>
      </c>
      <c r="U221" s="57">
        <f t="shared" ref="U221:U224" si="414">SUM(S221:T221)</f>
        <v>0</v>
      </c>
      <c r="V221" s="59"/>
      <c r="W221" s="124">
        <f t="shared" ref="W221:Y225" si="415">C221+G221+K221+O221+S221</f>
        <v>0</v>
      </c>
      <c r="X221" s="57">
        <f t="shared" si="415"/>
        <v>0</v>
      </c>
      <c r="Y221" s="84">
        <f t="shared" si="415"/>
        <v>0</v>
      </c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</row>
    <row r="222" spans="1:77" s="61" customFormat="1" x14ac:dyDescent="0.25">
      <c r="A222" s="52"/>
      <c r="B222" s="52"/>
      <c r="C222" s="124">
        <v>0</v>
      </c>
      <c r="D222" s="56">
        <v>0</v>
      </c>
      <c r="E222" s="56">
        <f t="shared" si="410"/>
        <v>0</v>
      </c>
      <c r="F222" s="58"/>
      <c r="G222" s="55">
        <v>0</v>
      </c>
      <c r="H222" s="57">
        <v>0</v>
      </c>
      <c r="I222" s="57">
        <f t="shared" si="411"/>
        <v>0</v>
      </c>
      <c r="J222" s="58"/>
      <c r="K222" s="55">
        <v>0</v>
      </c>
      <c r="L222" s="57">
        <v>0</v>
      </c>
      <c r="M222" s="57">
        <f t="shared" si="412"/>
        <v>0</v>
      </c>
      <c r="N222" s="58"/>
      <c r="O222" s="55">
        <v>0</v>
      </c>
      <c r="P222" s="57">
        <v>0</v>
      </c>
      <c r="Q222" s="57">
        <f t="shared" si="413"/>
        <v>0</v>
      </c>
      <c r="R222" s="58"/>
      <c r="S222" s="55">
        <v>0</v>
      </c>
      <c r="T222" s="57">
        <v>0</v>
      </c>
      <c r="U222" s="57">
        <f t="shared" si="414"/>
        <v>0</v>
      </c>
      <c r="V222" s="59"/>
      <c r="W222" s="124">
        <f t="shared" si="415"/>
        <v>0</v>
      </c>
      <c r="X222" s="57">
        <f t="shared" si="415"/>
        <v>0</v>
      </c>
      <c r="Y222" s="84">
        <f t="shared" si="415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410"/>
        <v>0</v>
      </c>
      <c r="F223" s="58"/>
      <c r="G223" s="55">
        <v>0</v>
      </c>
      <c r="H223" s="57">
        <v>0</v>
      </c>
      <c r="I223" s="57">
        <f t="shared" si="411"/>
        <v>0</v>
      </c>
      <c r="J223" s="58"/>
      <c r="K223" s="55">
        <v>0</v>
      </c>
      <c r="L223" s="57">
        <v>0</v>
      </c>
      <c r="M223" s="57">
        <f t="shared" si="412"/>
        <v>0</v>
      </c>
      <c r="N223" s="58"/>
      <c r="O223" s="55">
        <v>0</v>
      </c>
      <c r="P223" s="57">
        <v>0</v>
      </c>
      <c r="Q223" s="57">
        <f t="shared" si="413"/>
        <v>0</v>
      </c>
      <c r="R223" s="58"/>
      <c r="S223" s="55">
        <v>0</v>
      </c>
      <c r="T223" s="57">
        <v>0</v>
      </c>
      <c r="U223" s="57">
        <f t="shared" si="414"/>
        <v>0</v>
      </c>
      <c r="V223" s="59"/>
      <c r="W223" s="124">
        <f t="shared" si="415"/>
        <v>0</v>
      </c>
      <c r="X223" s="57">
        <f t="shared" si="415"/>
        <v>0</v>
      </c>
      <c r="Y223" s="84">
        <f t="shared" si="415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410"/>
        <v>0</v>
      </c>
      <c r="F224" s="58"/>
      <c r="G224" s="55">
        <v>0</v>
      </c>
      <c r="H224" s="57">
        <v>0</v>
      </c>
      <c r="I224" s="57">
        <f t="shared" si="411"/>
        <v>0</v>
      </c>
      <c r="J224" s="58"/>
      <c r="K224" s="55">
        <v>0</v>
      </c>
      <c r="L224" s="57">
        <v>0</v>
      </c>
      <c r="M224" s="57">
        <f t="shared" si="412"/>
        <v>0</v>
      </c>
      <c r="N224" s="58"/>
      <c r="O224" s="55">
        <v>0</v>
      </c>
      <c r="P224" s="57">
        <v>0</v>
      </c>
      <c r="Q224" s="57">
        <f t="shared" si="413"/>
        <v>0</v>
      </c>
      <c r="R224" s="58"/>
      <c r="S224" s="55">
        <v>0</v>
      </c>
      <c r="T224" s="57">
        <v>0</v>
      </c>
      <c r="U224" s="57">
        <f t="shared" si="414"/>
        <v>0</v>
      </c>
      <c r="V224" s="59"/>
      <c r="W224" s="124">
        <f t="shared" si="415"/>
        <v>0</v>
      </c>
      <c r="X224" s="57">
        <f t="shared" si="415"/>
        <v>0</v>
      </c>
      <c r="Y224" s="84">
        <f t="shared" si="415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14800</v>
      </c>
      <c r="D225" s="125">
        <f>SUM(D219:D224)</f>
        <v>4800</v>
      </c>
      <c r="E225" s="125">
        <f>SUM(E219:E224)</f>
        <v>19600</v>
      </c>
      <c r="F225" s="81"/>
      <c r="G225" s="79">
        <f>SUM(G219:G224)</f>
        <v>14800</v>
      </c>
      <c r="H225" s="80">
        <f>SUM(H219:H224)</f>
        <v>4800</v>
      </c>
      <c r="I225" s="80">
        <f>SUM(I219:I224)</f>
        <v>19600</v>
      </c>
      <c r="J225" s="81"/>
      <c r="K225" s="79">
        <f>SUM(K219:K224)</f>
        <v>14800</v>
      </c>
      <c r="L225" s="80">
        <f>SUM(L219:L224)</f>
        <v>4800</v>
      </c>
      <c r="M225" s="80">
        <f>SUM(M219:M224)</f>
        <v>19600</v>
      </c>
      <c r="N225" s="81"/>
      <c r="O225" s="79">
        <f>SUM(O219:O224)</f>
        <v>14800</v>
      </c>
      <c r="P225" s="80">
        <f>SUM(P219:P224)</f>
        <v>4800</v>
      </c>
      <c r="Q225" s="80">
        <f>SUM(Q219:Q224)</f>
        <v>19600</v>
      </c>
      <c r="R225" s="81"/>
      <c r="S225" s="79">
        <f>SUM(S219:S224)</f>
        <v>14800</v>
      </c>
      <c r="T225" s="80">
        <f>SUM(T219:T224)</f>
        <v>4800</v>
      </c>
      <c r="U225" s="80">
        <f>SUM(U219:U224)</f>
        <v>19600</v>
      </c>
      <c r="V225" s="82"/>
      <c r="W225" s="228">
        <f t="shared" si="415"/>
        <v>74000</v>
      </c>
      <c r="X225" s="80">
        <f t="shared" si="415"/>
        <v>24000</v>
      </c>
      <c r="Y225" s="80">
        <f t="shared" si="415"/>
        <v>98000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82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/>
      <c r="B227" s="54"/>
      <c r="C227" s="124">
        <v>0</v>
      </c>
      <c r="D227" s="56">
        <v>0</v>
      </c>
      <c r="E227" s="56">
        <f>SUM(C227:D227)</f>
        <v>0</v>
      </c>
      <c r="F227" s="58"/>
      <c r="G227" s="55">
        <v>0</v>
      </c>
      <c r="H227" s="56">
        <v>0</v>
      </c>
      <c r="I227" s="56">
        <f>SUM(G227:H227)</f>
        <v>0</v>
      </c>
      <c r="J227" s="58"/>
      <c r="K227" s="55">
        <v>0</v>
      </c>
      <c r="L227" s="56">
        <v>0</v>
      </c>
      <c r="M227" s="56">
        <f>SUM(K227:L227)</f>
        <v>0</v>
      </c>
      <c r="N227" s="58"/>
      <c r="O227" s="55">
        <v>0</v>
      </c>
      <c r="P227" s="56">
        <v>0</v>
      </c>
      <c r="Q227" s="56">
        <f>SUM(O227:P227)</f>
        <v>0</v>
      </c>
      <c r="R227" s="58"/>
      <c r="S227" s="55">
        <v>0</v>
      </c>
      <c r="T227" s="56">
        <v>0</v>
      </c>
      <c r="U227" s="56">
        <f>SUM(S227:T227)</f>
        <v>0</v>
      </c>
      <c r="V227" s="59"/>
      <c r="W227" s="124">
        <f t="shared" ref="W227:Y231" si="416">C227+G227+K227+O227+S227</f>
        <v>0</v>
      </c>
      <c r="X227" s="57">
        <f t="shared" si="416"/>
        <v>0</v>
      </c>
      <c r="Y227" s="84">
        <f t="shared" si="416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/>
      <c r="B228" s="54"/>
      <c r="C228" s="124">
        <v>0</v>
      </c>
      <c r="D228" s="56">
        <v>0</v>
      </c>
      <c r="E228" s="56">
        <f>SUM(C228:D228)</f>
        <v>0</v>
      </c>
      <c r="F228" s="58"/>
      <c r="G228" s="55">
        <v>0</v>
      </c>
      <c r="H228" s="56">
        <v>0</v>
      </c>
      <c r="I228" s="56">
        <f>SUM(G228:H228)</f>
        <v>0</v>
      </c>
      <c r="J228" s="58"/>
      <c r="K228" s="55">
        <v>0</v>
      </c>
      <c r="L228" s="56">
        <v>0</v>
      </c>
      <c r="M228" s="56">
        <f>SUM(K228:L228)</f>
        <v>0</v>
      </c>
      <c r="N228" s="58"/>
      <c r="O228" s="55">
        <v>0</v>
      </c>
      <c r="P228" s="56">
        <v>0</v>
      </c>
      <c r="Q228" s="56">
        <f>SUM(O228:P228)</f>
        <v>0</v>
      </c>
      <c r="R228" s="58"/>
      <c r="S228" s="55">
        <v>0</v>
      </c>
      <c r="T228" s="56">
        <v>0</v>
      </c>
      <c r="U228" s="56">
        <f>SUM(S228:T228)</f>
        <v>0</v>
      </c>
      <c r="V228" s="59"/>
      <c r="W228" s="124">
        <f t="shared" si="416"/>
        <v>0</v>
      </c>
      <c r="X228" s="57">
        <f t="shared" si="416"/>
        <v>0</v>
      </c>
      <c r="Y228" s="84">
        <f t="shared" si="416"/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54"/>
      <c r="C229" s="124">
        <v>0</v>
      </c>
      <c r="D229" s="56">
        <v>0</v>
      </c>
      <c r="E229" s="56">
        <f>SUM(C229:D229)</f>
        <v>0</v>
      </c>
      <c r="F229" s="58"/>
      <c r="G229" s="55">
        <v>0</v>
      </c>
      <c r="H229" s="56">
        <v>0</v>
      </c>
      <c r="I229" s="56">
        <f>SUM(G229:H229)</f>
        <v>0</v>
      </c>
      <c r="J229" s="58"/>
      <c r="K229" s="55">
        <v>0</v>
      </c>
      <c r="L229" s="56">
        <v>0</v>
      </c>
      <c r="M229" s="56">
        <f>SUM(K229:L229)</f>
        <v>0</v>
      </c>
      <c r="N229" s="58"/>
      <c r="O229" s="55">
        <v>0</v>
      </c>
      <c r="P229" s="56">
        <v>0</v>
      </c>
      <c r="Q229" s="56">
        <f>SUM(O229:P229)</f>
        <v>0</v>
      </c>
      <c r="R229" s="58"/>
      <c r="S229" s="55">
        <v>0</v>
      </c>
      <c r="T229" s="56">
        <v>0</v>
      </c>
      <c r="U229" s="56">
        <f>SUM(S229:T229)</f>
        <v>0</v>
      </c>
      <c r="V229" s="59"/>
      <c r="W229" s="124">
        <f t="shared" si="416"/>
        <v>0</v>
      </c>
      <c r="X229" s="57">
        <f t="shared" si="416"/>
        <v>0</v>
      </c>
      <c r="Y229" s="84">
        <f t="shared" si="416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160" customFormat="1" x14ac:dyDescent="0.25">
      <c r="A230" s="54"/>
      <c r="B230" s="54" t="s">
        <v>49</v>
      </c>
      <c r="C230" s="124">
        <f>((((5161.98)*1.05)*1)+(524.97*1.05))*0</f>
        <v>0</v>
      </c>
      <c r="D230" s="56">
        <v>0</v>
      </c>
      <c r="E230" s="56">
        <f>SUM(C230:D230)</f>
        <v>0</v>
      </c>
      <c r="F230" s="58"/>
      <c r="G230" s="124">
        <f>(((5315)*1.05*1.05)*2*4)+(541*1.05*1.05*4)</f>
        <v>49264.11</v>
      </c>
      <c r="H230" s="56">
        <v>0</v>
      </c>
      <c r="I230" s="56">
        <f>SUM(G230:H230)</f>
        <v>49264.11</v>
      </c>
      <c r="J230" s="58"/>
      <c r="K230" s="124">
        <f>(G230)*1.05</f>
        <v>51727.315500000004</v>
      </c>
      <c r="L230" s="56">
        <v>0</v>
      </c>
      <c r="M230" s="56">
        <f>SUM(K230:L230)</f>
        <v>51727.315500000004</v>
      </c>
      <c r="N230" s="58"/>
      <c r="O230" s="124">
        <f>K231*1.05</f>
        <v>54313.68127500001</v>
      </c>
      <c r="P230" s="56">
        <v>0</v>
      </c>
      <c r="Q230" s="56">
        <f>SUM(O230:P230)</f>
        <v>54313.68127500001</v>
      </c>
      <c r="R230" s="58"/>
      <c r="S230" s="124">
        <f>O230*1.05</f>
        <v>57029.365338750016</v>
      </c>
      <c r="T230" s="56">
        <v>0</v>
      </c>
      <c r="U230" s="56">
        <f>SUM(S230:T230)</f>
        <v>57029.365338750016</v>
      </c>
      <c r="V230" s="59"/>
      <c r="W230" s="124">
        <f t="shared" si="416"/>
        <v>212334.47211375003</v>
      </c>
      <c r="X230" s="56">
        <f t="shared" si="416"/>
        <v>0</v>
      </c>
      <c r="Y230" s="85">
        <f t="shared" si="416"/>
        <v>212334.47211375003</v>
      </c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49264.11</v>
      </c>
      <c r="H231" s="80">
        <f>SUM(H227:H230)</f>
        <v>0</v>
      </c>
      <c r="I231" s="80">
        <f>SUM(I227:I230)</f>
        <v>49264.11</v>
      </c>
      <c r="J231" s="81"/>
      <c r="K231" s="79">
        <f>SUM(K227:K230)</f>
        <v>51727.315500000004</v>
      </c>
      <c r="L231" s="80">
        <f>SUM(L227:L230)</f>
        <v>0</v>
      </c>
      <c r="M231" s="80">
        <f>SUM(M227:M230)</f>
        <v>51727.315500000004</v>
      </c>
      <c r="N231" s="81"/>
      <c r="O231" s="79">
        <f>SUM(O227:O230)</f>
        <v>54313.68127500001</v>
      </c>
      <c r="P231" s="80">
        <f>SUM(P227:P230)</f>
        <v>0</v>
      </c>
      <c r="Q231" s="80">
        <f>SUM(Q227:Q230)</f>
        <v>54313.68127500001</v>
      </c>
      <c r="R231" s="81"/>
      <c r="S231" s="79">
        <f>SUM(S227:S230)</f>
        <v>57029.365338750016</v>
      </c>
      <c r="T231" s="125">
        <f>SUM(T227:T230)</f>
        <v>0</v>
      </c>
      <c r="U231" s="125">
        <f>SUM(U227:U230)</f>
        <v>57029.365338750016</v>
      </c>
      <c r="V231" s="82"/>
      <c r="W231" s="228">
        <f t="shared" si="416"/>
        <v>212334.47211375003</v>
      </c>
      <c r="X231" s="80">
        <f t="shared" si="416"/>
        <v>0</v>
      </c>
      <c r="Y231" s="80">
        <f t="shared" si="416"/>
        <v>212334.47211375003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3" t="s">
        <v>57</v>
      </c>
      <c r="B233" s="61" t="s">
        <v>184</v>
      </c>
      <c r="C233" s="55">
        <v>0</v>
      </c>
      <c r="D233" s="56">
        <v>0</v>
      </c>
      <c r="E233" s="57">
        <f t="shared" ref="E233:E237" si="417">SUM(C233:D233)</f>
        <v>0</v>
      </c>
      <c r="F233" s="58"/>
      <c r="G233" s="55">
        <f>25000*2</f>
        <v>50000</v>
      </c>
      <c r="H233" s="57">
        <v>0</v>
      </c>
      <c r="I233" s="57">
        <f t="shared" ref="I233:I237" si="418">SUM(G233:H233)</f>
        <v>50000</v>
      </c>
      <c r="J233" s="58"/>
      <c r="K233" s="55">
        <f>G233*0</f>
        <v>0</v>
      </c>
      <c r="L233" s="57">
        <v>0</v>
      </c>
      <c r="M233" s="57">
        <f t="shared" ref="M233:M237" si="419">SUM(K233:L233)</f>
        <v>0</v>
      </c>
      <c r="N233" s="58"/>
      <c r="O233" s="55">
        <v>0</v>
      </c>
      <c r="P233" s="56">
        <v>0</v>
      </c>
      <c r="Q233" s="56">
        <f t="shared" ref="Q233:Q237" si="420">SUM(O233:P233)</f>
        <v>0</v>
      </c>
      <c r="R233" s="58"/>
      <c r="S233" s="55">
        <v>0</v>
      </c>
      <c r="T233" s="57">
        <v>0</v>
      </c>
      <c r="U233" s="57">
        <f t="shared" ref="U233:U237" si="421">SUM(S233:T233)</f>
        <v>0</v>
      </c>
      <c r="V233" s="59"/>
      <c r="W233" s="124">
        <f t="shared" ref="W233:W239" si="422">C233+G233+K233+O233+S233</f>
        <v>50000</v>
      </c>
      <c r="X233" s="57">
        <f t="shared" ref="X233:X239" si="423">D233+H233+L233+P233+T233</f>
        <v>0</v>
      </c>
      <c r="Y233" s="202">
        <f t="shared" ref="Y233:Y239" si="424">E233+I233+M233+Q233+U233</f>
        <v>50000</v>
      </c>
    </row>
    <row r="234" spans="1:77" s="61" customFormat="1" x14ac:dyDescent="0.25">
      <c r="A234" s="53" t="s">
        <v>57</v>
      </c>
      <c r="B234" s="61" t="s">
        <v>141</v>
      </c>
      <c r="C234" s="55">
        <v>0</v>
      </c>
      <c r="D234" s="56">
        <v>0</v>
      </c>
      <c r="E234" s="57">
        <f t="shared" si="417"/>
        <v>0</v>
      </c>
      <c r="F234" s="58"/>
      <c r="G234" s="55">
        <f>16500*2</f>
        <v>33000</v>
      </c>
      <c r="H234" s="57">
        <v>0</v>
      </c>
      <c r="I234" s="57">
        <f t="shared" si="418"/>
        <v>33000</v>
      </c>
      <c r="J234" s="58"/>
      <c r="K234" s="55">
        <f>G234*0</f>
        <v>0</v>
      </c>
      <c r="L234" s="56">
        <v>0</v>
      </c>
      <c r="M234" s="57">
        <f t="shared" si="419"/>
        <v>0</v>
      </c>
      <c r="N234" s="58"/>
      <c r="O234" s="55">
        <v>0</v>
      </c>
      <c r="P234" s="56">
        <v>0</v>
      </c>
      <c r="Q234" s="56">
        <f t="shared" si="420"/>
        <v>0</v>
      </c>
      <c r="R234" s="58"/>
      <c r="S234" s="55">
        <v>0</v>
      </c>
      <c r="T234" s="57">
        <v>0</v>
      </c>
      <c r="U234" s="57">
        <f t="shared" si="421"/>
        <v>0</v>
      </c>
      <c r="V234" s="59"/>
      <c r="W234" s="124">
        <f t="shared" si="422"/>
        <v>33000</v>
      </c>
      <c r="X234" s="57">
        <f t="shared" si="423"/>
        <v>0</v>
      </c>
      <c r="Y234" s="202">
        <f t="shared" si="424"/>
        <v>33000</v>
      </c>
    </row>
    <row r="235" spans="1:77" s="61" customFormat="1" x14ac:dyDescent="0.25">
      <c r="A235" s="53"/>
      <c r="B235" s="61" t="s">
        <v>57</v>
      </c>
      <c r="C235" s="55">
        <v>0</v>
      </c>
      <c r="D235" s="56">
        <v>0</v>
      </c>
      <c r="E235" s="57">
        <f t="shared" ref="E235" si="425">SUM(C235:D235)</f>
        <v>0</v>
      </c>
      <c r="F235" s="58"/>
      <c r="G235" s="55">
        <f>16500*0</f>
        <v>0</v>
      </c>
      <c r="H235" s="57">
        <v>0</v>
      </c>
      <c r="I235" s="57">
        <f t="shared" ref="I235" si="426">SUM(G235:H235)</f>
        <v>0</v>
      </c>
      <c r="J235" s="58"/>
      <c r="K235" s="55">
        <f>16500*0</f>
        <v>0</v>
      </c>
      <c r="L235" s="56">
        <v>0</v>
      </c>
      <c r="M235" s="57">
        <f t="shared" ref="M235" si="427">SUM(K235:L235)</f>
        <v>0</v>
      </c>
      <c r="N235" s="58"/>
      <c r="O235" s="55">
        <v>0</v>
      </c>
      <c r="P235" s="56">
        <v>0</v>
      </c>
      <c r="Q235" s="56">
        <f t="shared" ref="Q235" si="428">SUM(O235:P235)</f>
        <v>0</v>
      </c>
      <c r="R235" s="58"/>
      <c r="S235" s="55">
        <v>0</v>
      </c>
      <c r="T235" s="57">
        <v>0</v>
      </c>
      <c r="U235" s="57">
        <f t="shared" ref="U235" si="429">SUM(S235:T235)</f>
        <v>0</v>
      </c>
      <c r="V235" s="59"/>
      <c r="W235" s="124">
        <f t="shared" si="422"/>
        <v>0</v>
      </c>
      <c r="X235" s="57">
        <f t="shared" si="423"/>
        <v>0</v>
      </c>
      <c r="Y235" s="202">
        <f t="shared" si="424"/>
        <v>0</v>
      </c>
    </row>
    <row r="236" spans="1:77" s="169" customFormat="1" x14ac:dyDescent="0.25">
      <c r="A236" s="170"/>
      <c r="B236" s="169" t="s">
        <v>57</v>
      </c>
      <c r="C236" s="172">
        <v>0</v>
      </c>
      <c r="D236" s="174">
        <v>0</v>
      </c>
      <c r="E236" s="173">
        <f t="shared" si="417"/>
        <v>0</v>
      </c>
      <c r="F236" s="175"/>
      <c r="G236" s="172">
        <v>0</v>
      </c>
      <c r="H236" s="173">
        <v>0</v>
      </c>
      <c r="I236" s="173">
        <f t="shared" si="418"/>
        <v>0</v>
      </c>
      <c r="J236" s="175"/>
      <c r="K236" s="172">
        <v>0</v>
      </c>
      <c r="L236" s="174">
        <v>0</v>
      </c>
      <c r="M236" s="173">
        <f t="shared" si="419"/>
        <v>0</v>
      </c>
      <c r="N236" s="175"/>
      <c r="O236" s="172">
        <v>0</v>
      </c>
      <c r="P236" s="174">
        <v>0</v>
      </c>
      <c r="Q236" s="174">
        <f t="shared" si="420"/>
        <v>0</v>
      </c>
      <c r="R236" s="175"/>
      <c r="S236" s="172">
        <v>0</v>
      </c>
      <c r="T236" s="173">
        <v>0</v>
      </c>
      <c r="U236" s="173">
        <f t="shared" si="421"/>
        <v>0</v>
      </c>
      <c r="V236" s="176"/>
      <c r="W236" s="227">
        <f t="shared" si="422"/>
        <v>0</v>
      </c>
      <c r="X236" s="173">
        <f t="shared" si="423"/>
        <v>0</v>
      </c>
      <c r="Y236" s="186">
        <f t="shared" si="424"/>
        <v>0</v>
      </c>
    </row>
    <row r="237" spans="1:77" s="61" customFormat="1" x14ac:dyDescent="0.25">
      <c r="B237" s="61" t="s">
        <v>116</v>
      </c>
      <c r="C237" s="55">
        <f>14000</f>
        <v>14000</v>
      </c>
      <c r="D237" s="56">
        <v>0</v>
      </c>
      <c r="E237" s="57">
        <f t="shared" si="417"/>
        <v>14000</v>
      </c>
      <c r="F237" s="58"/>
      <c r="G237" s="55">
        <f>C237</f>
        <v>14000</v>
      </c>
      <c r="H237" s="56">
        <v>0</v>
      </c>
      <c r="I237" s="57">
        <f t="shared" si="418"/>
        <v>14000</v>
      </c>
      <c r="J237" s="58"/>
      <c r="K237" s="55">
        <f>G237</f>
        <v>14000</v>
      </c>
      <c r="L237" s="56">
        <v>0</v>
      </c>
      <c r="M237" s="57">
        <f t="shared" si="419"/>
        <v>14000</v>
      </c>
      <c r="N237" s="58"/>
      <c r="O237" s="55">
        <f>K237</f>
        <v>14000</v>
      </c>
      <c r="P237" s="56">
        <v>0</v>
      </c>
      <c r="Q237" s="56">
        <f t="shared" si="420"/>
        <v>14000</v>
      </c>
      <c r="R237" s="58"/>
      <c r="S237" s="55">
        <f>O237</f>
        <v>14000</v>
      </c>
      <c r="T237" s="56">
        <v>0</v>
      </c>
      <c r="U237" s="57">
        <f t="shared" si="421"/>
        <v>14000</v>
      </c>
      <c r="V237" s="59"/>
      <c r="W237" s="124">
        <f t="shared" si="422"/>
        <v>70000</v>
      </c>
      <c r="X237" s="57">
        <f t="shared" si="423"/>
        <v>0</v>
      </c>
      <c r="Y237" s="202">
        <f t="shared" si="424"/>
        <v>70000</v>
      </c>
    </row>
    <row r="238" spans="1:77" s="61" customFormat="1" x14ac:dyDescent="0.25">
      <c r="A238" s="203"/>
      <c r="B238" s="54" t="s">
        <v>57</v>
      </c>
      <c r="C238" s="124">
        <v>0</v>
      </c>
      <c r="D238" s="56">
        <v>0</v>
      </c>
      <c r="E238" s="56">
        <f t="shared" ref="E238:E239" si="430">SUM(C238:D238)</f>
        <v>0</v>
      </c>
      <c r="F238" s="58"/>
      <c r="G238" s="55">
        <v>0</v>
      </c>
      <c r="H238" s="57">
        <v>0</v>
      </c>
      <c r="I238" s="57">
        <f t="shared" ref="I238" si="431">SUM(G238:H238)</f>
        <v>0</v>
      </c>
      <c r="J238" s="58"/>
      <c r="K238" s="55">
        <v>0</v>
      </c>
      <c r="L238" s="56">
        <v>0</v>
      </c>
      <c r="M238" s="57">
        <f t="shared" ref="M238:M239" si="432">SUM(K238:L238)</f>
        <v>0</v>
      </c>
      <c r="N238" s="58"/>
      <c r="O238" s="55">
        <v>0</v>
      </c>
      <c r="P238" s="57">
        <v>0</v>
      </c>
      <c r="Q238" s="57">
        <f t="shared" ref="Q238:Q239" si="433">SUM(O238:P238)</f>
        <v>0</v>
      </c>
      <c r="R238" s="58"/>
      <c r="S238" s="55">
        <v>0</v>
      </c>
      <c r="T238" s="56">
        <v>0</v>
      </c>
      <c r="U238" s="57">
        <f t="shared" ref="U238:U239" si="434">SUM(S238:T238)</f>
        <v>0</v>
      </c>
      <c r="V238" s="59"/>
      <c r="W238" s="124">
        <f t="shared" si="422"/>
        <v>0</v>
      </c>
      <c r="X238" s="57">
        <f t="shared" si="423"/>
        <v>0</v>
      </c>
      <c r="Y238" s="84">
        <f t="shared" si="424"/>
        <v>0</v>
      </c>
    </row>
    <row r="239" spans="1:77" s="61" customFormat="1" x14ac:dyDescent="0.25">
      <c r="A239" s="54"/>
      <c r="B239" s="54" t="s">
        <v>68</v>
      </c>
      <c r="C239" s="124">
        <v>0</v>
      </c>
      <c r="D239" s="56">
        <v>0</v>
      </c>
      <c r="E239" s="56">
        <f t="shared" si="430"/>
        <v>0</v>
      </c>
      <c r="F239" s="58"/>
      <c r="G239" s="55">
        <v>0</v>
      </c>
      <c r="H239" s="57"/>
      <c r="I239" s="57">
        <f t="shared" ref="I239" si="435">SUM(G239:H239)</f>
        <v>0</v>
      </c>
      <c r="J239" s="58"/>
      <c r="K239" s="55">
        <v>3000</v>
      </c>
      <c r="L239" s="56">
        <v>0</v>
      </c>
      <c r="M239" s="57">
        <f t="shared" si="432"/>
        <v>3000</v>
      </c>
      <c r="N239" s="58"/>
      <c r="O239" s="55">
        <v>4000</v>
      </c>
      <c r="P239" s="56">
        <v>0</v>
      </c>
      <c r="Q239" s="56">
        <f t="shared" si="433"/>
        <v>4000</v>
      </c>
      <c r="R239" s="58"/>
      <c r="S239" s="55">
        <f>4000+1500</f>
        <v>5500</v>
      </c>
      <c r="T239" s="56">
        <v>0</v>
      </c>
      <c r="U239" s="57">
        <f t="shared" si="434"/>
        <v>5500</v>
      </c>
      <c r="V239" s="59"/>
      <c r="W239" s="124">
        <f t="shared" si="422"/>
        <v>12500</v>
      </c>
      <c r="X239" s="57">
        <f t="shared" si="423"/>
        <v>0</v>
      </c>
      <c r="Y239" s="84">
        <f t="shared" si="424"/>
        <v>12500</v>
      </c>
    </row>
    <row r="240" spans="1:77" s="61" customFormat="1" x14ac:dyDescent="0.25">
      <c r="A240" s="52"/>
      <c r="B240" s="52"/>
      <c r="C240" s="124">
        <v>0</v>
      </c>
      <c r="D240" s="56">
        <v>0</v>
      </c>
      <c r="E240" s="56">
        <f t="shared" ref="E240:E244" si="436">SUM(C240:D240)</f>
        <v>0</v>
      </c>
      <c r="F240" s="58"/>
      <c r="G240" s="55">
        <v>0</v>
      </c>
      <c r="H240" s="57">
        <v>0</v>
      </c>
      <c r="I240" s="57">
        <f t="shared" ref="I240:I244" si="437">SUM(G240:H240)</f>
        <v>0</v>
      </c>
      <c r="J240" s="58"/>
      <c r="K240" s="55">
        <v>0</v>
      </c>
      <c r="L240" s="57">
        <v>0</v>
      </c>
      <c r="M240" s="57">
        <f t="shared" ref="M240:M244" si="438">SUM(K240:L240)</f>
        <v>0</v>
      </c>
      <c r="N240" s="58"/>
      <c r="O240" s="55">
        <v>0</v>
      </c>
      <c r="P240" s="57">
        <v>0</v>
      </c>
      <c r="Q240" s="57">
        <f t="shared" ref="Q240:Q244" si="439">SUM(O240:P240)</f>
        <v>0</v>
      </c>
      <c r="R240" s="58"/>
      <c r="S240" s="55">
        <v>0</v>
      </c>
      <c r="T240" s="57">
        <v>0</v>
      </c>
      <c r="U240" s="57">
        <f t="shared" ref="U240:U244" si="440">SUM(S240:T240)</f>
        <v>0</v>
      </c>
      <c r="V240" s="59"/>
      <c r="W240" s="124">
        <f t="shared" ref="W240:W245" si="441">C240+G240+K240+O240+S240</f>
        <v>0</v>
      </c>
      <c r="X240" s="57">
        <f t="shared" ref="X240:X245" si="442">D240+H240+L240+P240+T240</f>
        <v>0</v>
      </c>
      <c r="Y240" s="84">
        <f t="shared" ref="Y240:Y245" si="443">E240+I240+M240+Q240+U240</f>
        <v>0</v>
      </c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436"/>
        <v>0</v>
      </c>
      <c r="F241" s="58"/>
      <c r="G241" s="55">
        <v>0</v>
      </c>
      <c r="H241" s="57">
        <v>0</v>
      </c>
      <c r="I241" s="57">
        <f t="shared" si="437"/>
        <v>0</v>
      </c>
      <c r="J241" s="58"/>
      <c r="K241" s="55">
        <v>0</v>
      </c>
      <c r="L241" s="57">
        <v>0</v>
      </c>
      <c r="M241" s="57">
        <f t="shared" si="438"/>
        <v>0</v>
      </c>
      <c r="N241" s="58"/>
      <c r="O241" s="55">
        <v>0</v>
      </c>
      <c r="P241" s="57">
        <v>0</v>
      </c>
      <c r="Q241" s="57">
        <f t="shared" si="439"/>
        <v>0</v>
      </c>
      <c r="R241" s="58"/>
      <c r="S241" s="55">
        <v>0</v>
      </c>
      <c r="T241" s="57">
        <v>0</v>
      </c>
      <c r="U241" s="57">
        <f t="shared" si="440"/>
        <v>0</v>
      </c>
      <c r="V241" s="59"/>
      <c r="W241" s="124">
        <f t="shared" si="441"/>
        <v>0</v>
      </c>
      <c r="X241" s="57">
        <f t="shared" si="442"/>
        <v>0</v>
      </c>
      <c r="Y241" s="84">
        <f t="shared" si="443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436"/>
        <v>0</v>
      </c>
      <c r="F242" s="58"/>
      <c r="G242" s="55">
        <v>0</v>
      </c>
      <c r="H242" s="57">
        <v>0</v>
      </c>
      <c r="I242" s="57">
        <f t="shared" si="437"/>
        <v>0</v>
      </c>
      <c r="J242" s="58"/>
      <c r="K242" s="55">
        <v>0</v>
      </c>
      <c r="L242" s="57">
        <v>0</v>
      </c>
      <c r="M242" s="57">
        <f t="shared" si="438"/>
        <v>0</v>
      </c>
      <c r="N242" s="58"/>
      <c r="O242" s="55">
        <v>0</v>
      </c>
      <c r="P242" s="57">
        <v>0</v>
      </c>
      <c r="Q242" s="57">
        <f t="shared" si="439"/>
        <v>0</v>
      </c>
      <c r="R242" s="58"/>
      <c r="S242" s="55">
        <v>0</v>
      </c>
      <c r="T242" s="57">
        <v>0</v>
      </c>
      <c r="U242" s="57">
        <f t="shared" si="440"/>
        <v>0</v>
      </c>
      <c r="V242" s="59"/>
      <c r="W242" s="124">
        <f t="shared" si="441"/>
        <v>0</v>
      </c>
      <c r="X242" s="57">
        <f t="shared" si="442"/>
        <v>0</v>
      </c>
      <c r="Y242" s="84">
        <f t="shared" si="443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436"/>
        <v>0</v>
      </c>
      <c r="F243" s="58"/>
      <c r="G243" s="55">
        <v>0</v>
      </c>
      <c r="H243" s="57">
        <v>0</v>
      </c>
      <c r="I243" s="57">
        <f t="shared" si="437"/>
        <v>0</v>
      </c>
      <c r="J243" s="58"/>
      <c r="K243" s="55">
        <v>0</v>
      </c>
      <c r="L243" s="57">
        <v>0</v>
      </c>
      <c r="M243" s="57">
        <f t="shared" si="438"/>
        <v>0</v>
      </c>
      <c r="N243" s="58"/>
      <c r="O243" s="55">
        <v>0</v>
      </c>
      <c r="P243" s="57">
        <v>0</v>
      </c>
      <c r="Q243" s="57">
        <f t="shared" si="439"/>
        <v>0</v>
      </c>
      <c r="R243" s="58"/>
      <c r="S243" s="55">
        <v>0</v>
      </c>
      <c r="T243" s="57">
        <v>0</v>
      </c>
      <c r="U243" s="57">
        <f t="shared" si="440"/>
        <v>0</v>
      </c>
      <c r="V243" s="59"/>
      <c r="W243" s="124">
        <f t="shared" si="441"/>
        <v>0</v>
      </c>
      <c r="X243" s="57">
        <f t="shared" si="442"/>
        <v>0</v>
      </c>
      <c r="Y243" s="84">
        <f t="shared" si="443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436"/>
        <v>0</v>
      </c>
      <c r="F244" s="58"/>
      <c r="G244" s="55">
        <v>0</v>
      </c>
      <c r="H244" s="57">
        <v>0</v>
      </c>
      <c r="I244" s="57">
        <f t="shared" si="437"/>
        <v>0</v>
      </c>
      <c r="J244" s="58"/>
      <c r="K244" s="55">
        <v>0</v>
      </c>
      <c r="L244" s="57">
        <v>0</v>
      </c>
      <c r="M244" s="57">
        <f t="shared" si="438"/>
        <v>0</v>
      </c>
      <c r="N244" s="58"/>
      <c r="O244" s="55">
        <v>0</v>
      </c>
      <c r="P244" s="57">
        <v>0</v>
      </c>
      <c r="Q244" s="57">
        <f t="shared" si="439"/>
        <v>0</v>
      </c>
      <c r="R244" s="58"/>
      <c r="S244" s="55">
        <v>0</v>
      </c>
      <c r="T244" s="57">
        <v>0</v>
      </c>
      <c r="U244" s="57">
        <f t="shared" si="440"/>
        <v>0</v>
      </c>
      <c r="V244" s="59"/>
      <c r="W244" s="124">
        <f t="shared" si="441"/>
        <v>0</v>
      </c>
      <c r="X244" s="57">
        <f t="shared" si="442"/>
        <v>0</v>
      </c>
      <c r="Y244" s="84">
        <f t="shared" si="443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14000</v>
      </c>
      <c r="D245" s="153">
        <f>SUM(D233:D244)</f>
        <v>0</v>
      </c>
      <c r="E245" s="153">
        <f>SUM(E233:E244)</f>
        <v>14000</v>
      </c>
      <c r="F245" s="154"/>
      <c r="G245" s="152">
        <f>SUM(G233:G244)</f>
        <v>97000</v>
      </c>
      <c r="H245" s="155">
        <f>SUM(H233:H244)</f>
        <v>0</v>
      </c>
      <c r="I245" s="155">
        <f>SUM(I233:I244)</f>
        <v>97000</v>
      </c>
      <c r="J245" s="154"/>
      <c r="K245" s="152">
        <f>SUM(K233:K244)</f>
        <v>17000</v>
      </c>
      <c r="L245" s="155">
        <f>SUM(L233:L244)</f>
        <v>0</v>
      </c>
      <c r="M245" s="155">
        <f>SUM(M233:M244)</f>
        <v>17000</v>
      </c>
      <c r="N245" s="154"/>
      <c r="O245" s="152">
        <f>SUM(O233:O244)</f>
        <v>18000</v>
      </c>
      <c r="P245" s="155">
        <f>SUM(P233:P244)</f>
        <v>0</v>
      </c>
      <c r="Q245" s="155">
        <f>SUM(Q233:Q244)</f>
        <v>18000</v>
      </c>
      <c r="R245" s="154"/>
      <c r="S245" s="152">
        <f>SUM(S233:S244)</f>
        <v>19500</v>
      </c>
      <c r="T245" s="155">
        <f>SUM(T233:T244)</f>
        <v>0</v>
      </c>
      <c r="U245" s="155">
        <f>SUM(U233:U244)</f>
        <v>19500</v>
      </c>
      <c r="V245" s="82"/>
      <c r="W245" s="228">
        <f t="shared" si="441"/>
        <v>165500</v>
      </c>
      <c r="X245" s="80">
        <f t="shared" si="442"/>
        <v>0</v>
      </c>
      <c r="Y245" s="80">
        <f t="shared" si="443"/>
        <v>165500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 t="shared" ref="C246:Y246" si="444">SUM(C205+C217+C225+C231+C245)</f>
        <v>79696.590980749141</v>
      </c>
      <c r="D246" s="111">
        <f t="shared" si="444"/>
        <v>4800</v>
      </c>
      <c r="E246" s="111">
        <f t="shared" si="444"/>
        <v>84496.590980749141</v>
      </c>
      <c r="F246" s="111">
        <f t="shared" si="444"/>
        <v>0</v>
      </c>
      <c r="G246" s="111">
        <f t="shared" si="444"/>
        <v>729436.74022057781</v>
      </c>
      <c r="H246" s="111">
        <f t="shared" si="444"/>
        <v>4800</v>
      </c>
      <c r="I246" s="111">
        <f t="shared" si="444"/>
        <v>734236.74022057781</v>
      </c>
      <c r="J246" s="111">
        <f t="shared" si="444"/>
        <v>0</v>
      </c>
      <c r="K246" s="111">
        <f t="shared" si="444"/>
        <v>516426.5214480469</v>
      </c>
      <c r="L246" s="111">
        <f t="shared" si="444"/>
        <v>4800</v>
      </c>
      <c r="M246" s="111">
        <f t="shared" si="444"/>
        <v>521226.5214480469</v>
      </c>
      <c r="N246" s="111">
        <f t="shared" si="444"/>
        <v>0</v>
      </c>
      <c r="O246" s="111">
        <f t="shared" si="444"/>
        <v>352926.41065521026</v>
      </c>
      <c r="P246" s="111">
        <f t="shared" si="444"/>
        <v>4800</v>
      </c>
      <c r="Q246" s="111">
        <f t="shared" si="444"/>
        <v>357726.41065521026</v>
      </c>
      <c r="R246" s="111">
        <f t="shared" si="444"/>
        <v>0</v>
      </c>
      <c r="S246" s="111">
        <f t="shared" si="444"/>
        <v>271389.29143696919</v>
      </c>
      <c r="T246" s="111">
        <f t="shared" si="444"/>
        <v>4800</v>
      </c>
      <c r="U246" s="111">
        <f t="shared" si="444"/>
        <v>276189.29143696919</v>
      </c>
      <c r="V246" s="111">
        <f t="shared" si="444"/>
        <v>0</v>
      </c>
      <c r="W246" s="111">
        <f t="shared" si="444"/>
        <v>1949875.554741553</v>
      </c>
      <c r="X246" s="111">
        <f t="shared" si="444"/>
        <v>24000</v>
      </c>
      <c r="Y246" s="111">
        <f t="shared" si="444"/>
        <v>1973875.5547415533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((C205+C225+C245)*0.42)</f>
        <v>33472.568211914637</v>
      </c>
      <c r="D247" s="111">
        <v>0</v>
      </c>
      <c r="E247" s="111">
        <f>C247</f>
        <v>33472.568211914637</v>
      </c>
      <c r="F247" s="111">
        <f>F196*0.47</f>
        <v>0</v>
      </c>
      <c r="G247" s="111">
        <f>(G205+G225+G245)*0.42</f>
        <v>285672.50469264266</v>
      </c>
      <c r="H247" s="111">
        <v>0</v>
      </c>
      <c r="I247" s="111">
        <f>G247</f>
        <v>285672.50469264266</v>
      </c>
      <c r="J247" s="111">
        <f>J196*0.47</f>
        <v>0</v>
      </c>
      <c r="K247" s="111">
        <f>(K205+K225+K245)*0.42</f>
        <v>195173.66649817969</v>
      </c>
      <c r="L247" s="111">
        <v>0</v>
      </c>
      <c r="M247" s="111">
        <f>K247</f>
        <v>195173.66649817969</v>
      </c>
      <c r="N247" s="111">
        <f>N196*0.47</f>
        <v>0</v>
      </c>
      <c r="O247" s="111">
        <f>(O205+O225+O245)*0.42</f>
        <v>125417.34633968832</v>
      </c>
      <c r="P247" s="111">
        <v>0</v>
      </c>
      <c r="Q247" s="111">
        <f>O247</f>
        <v>125417.34633968832</v>
      </c>
      <c r="R247" s="111">
        <f>R196*0.47</f>
        <v>0</v>
      </c>
      <c r="S247" s="111">
        <f>(S205+S225+S245)*0.42</f>
        <v>90031.168961252057</v>
      </c>
      <c r="T247" s="111">
        <v>0</v>
      </c>
      <c r="U247" s="111">
        <f>S247</f>
        <v>90031.168961252057</v>
      </c>
      <c r="V247" s="111">
        <f>V196*0.47</f>
        <v>0</v>
      </c>
      <c r="W247" s="111">
        <f>(W205+W225+W245)*0.42</f>
        <v>729767.25470367726</v>
      </c>
      <c r="X247" s="111">
        <v>0</v>
      </c>
      <c r="Y247" s="111">
        <f>W247</f>
        <v>729767.25470367726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113169.15919266378</v>
      </c>
      <c r="D248" s="111">
        <f t="shared" ref="D248:Y248" si="445">SUM(D246:D247)</f>
        <v>4800</v>
      </c>
      <c r="E248" s="111">
        <f t="shared" si="445"/>
        <v>117969.15919266378</v>
      </c>
      <c r="F248" s="111">
        <f t="shared" si="445"/>
        <v>0</v>
      </c>
      <c r="G248" s="111">
        <f t="shared" si="445"/>
        <v>1015109.2449132204</v>
      </c>
      <c r="H248" s="111">
        <f t="shared" si="445"/>
        <v>4800</v>
      </c>
      <c r="I248" s="111">
        <f t="shared" si="445"/>
        <v>1019909.2449132204</v>
      </c>
      <c r="J248" s="111">
        <f t="shared" si="445"/>
        <v>0</v>
      </c>
      <c r="K248" s="111">
        <f t="shared" si="445"/>
        <v>711600.18794622656</v>
      </c>
      <c r="L248" s="111">
        <f t="shared" si="445"/>
        <v>4800</v>
      </c>
      <c r="M248" s="111">
        <f t="shared" si="445"/>
        <v>716400.18794622656</v>
      </c>
      <c r="N248" s="111">
        <f t="shared" si="445"/>
        <v>0</v>
      </c>
      <c r="O248" s="111">
        <f t="shared" si="445"/>
        <v>478343.75699489855</v>
      </c>
      <c r="P248" s="111">
        <f t="shared" si="445"/>
        <v>4800</v>
      </c>
      <c r="Q248" s="111">
        <f t="shared" si="445"/>
        <v>483143.75699489855</v>
      </c>
      <c r="R248" s="111">
        <f t="shared" si="445"/>
        <v>0</v>
      </c>
      <c r="S248" s="111">
        <f t="shared" si="445"/>
        <v>361420.46039822127</v>
      </c>
      <c r="T248" s="111">
        <f t="shared" si="445"/>
        <v>4800</v>
      </c>
      <c r="U248" s="111">
        <f t="shared" si="445"/>
        <v>366220.46039822127</v>
      </c>
      <c r="V248" s="111">
        <f t="shared" si="445"/>
        <v>0</v>
      </c>
      <c r="W248" s="111">
        <f t="shared" si="445"/>
        <v>2679642.8094452303</v>
      </c>
      <c r="X248" s="111">
        <f t="shared" si="445"/>
        <v>24000</v>
      </c>
      <c r="Y248" s="111">
        <f t="shared" si="445"/>
        <v>2703642.8094452303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3" customFormat="1" x14ac:dyDescent="0.25">
      <c r="C249" s="14"/>
      <c r="D249" s="14"/>
      <c r="E249" s="14"/>
      <c r="F249" s="14"/>
      <c r="G249" s="14"/>
      <c r="H249" s="14"/>
      <c r="I249" s="14"/>
      <c r="J249" s="14"/>
      <c r="K249" s="14"/>
      <c r="M249" s="14"/>
      <c r="N249" s="14"/>
      <c r="O249" s="14"/>
      <c r="Q249" s="14"/>
      <c r="R249" s="14"/>
      <c r="S249" s="14"/>
      <c r="U249" s="14"/>
      <c r="V249" s="16"/>
      <c r="W249" s="14"/>
      <c r="X249" s="14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61" customFormat="1" x14ac:dyDescent="0.25">
      <c r="A252" s="53" t="s">
        <v>57</v>
      </c>
      <c r="B252" s="61" t="s">
        <v>152</v>
      </c>
      <c r="C252" s="55">
        <f>(31.5*2080*0.1)*1.03</f>
        <v>6748.56</v>
      </c>
      <c r="D252" s="57">
        <v>0</v>
      </c>
      <c r="E252" s="57">
        <f t="shared" ref="E252" si="446">SUM(C252:D252)</f>
        <v>6748.56</v>
      </c>
      <c r="F252" s="58"/>
      <c r="G252" s="55">
        <f>C252*1.03</f>
        <v>6951.0168000000003</v>
      </c>
      <c r="H252" s="57">
        <f>D252*1.03</f>
        <v>0</v>
      </c>
      <c r="I252" s="57">
        <f t="shared" ref="I252" si="447">SUM(G252:H252)</f>
        <v>6951.0168000000003</v>
      </c>
      <c r="J252" s="58"/>
      <c r="K252" s="55">
        <f>G252*1.03</f>
        <v>7159.5473040000006</v>
      </c>
      <c r="L252" s="57">
        <f>H252*1.03</f>
        <v>0</v>
      </c>
      <c r="M252" s="57">
        <f t="shared" ref="M252" si="448">SUM(K252:L252)</f>
        <v>7159.5473040000006</v>
      </c>
      <c r="N252" s="58"/>
      <c r="O252" s="55">
        <f>K252*1.03</f>
        <v>7374.3337231200012</v>
      </c>
      <c r="P252" s="57">
        <f>L252*1.03</f>
        <v>0</v>
      </c>
      <c r="Q252" s="57">
        <f t="shared" ref="Q252" si="449">SUM(O252:P252)</f>
        <v>7374.3337231200012</v>
      </c>
      <c r="R252" s="58"/>
      <c r="S252" s="55">
        <f>O252*1.03</f>
        <v>7595.5637348136015</v>
      </c>
      <c r="T252" s="57">
        <f>P252*1.03</f>
        <v>0</v>
      </c>
      <c r="U252" s="57">
        <f t="shared" ref="U252" si="450">SUM(S252:T252)</f>
        <v>7595.5637348136015</v>
      </c>
      <c r="V252" s="59"/>
      <c r="W252" s="124">
        <f>C252+G252+K252+O252+S252</f>
        <v>35829.021561933609</v>
      </c>
      <c r="X252" s="57">
        <f t="shared" ref="X252:Y252" si="451">D252+H252+L252+P252+T252</f>
        <v>0</v>
      </c>
      <c r="Y252" s="60">
        <f t="shared" si="451"/>
        <v>35829.021561933609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ref="E253:E255" si="452">SUM(C253:D253)</f>
        <v>0</v>
      </c>
      <c r="F253" s="175"/>
      <c r="G253" s="172">
        <f t="shared" ref="G253:G255" si="453">C253*1.03</f>
        <v>0</v>
      </c>
      <c r="H253" s="173">
        <f t="shared" ref="H253:H255" si="454">D253*1.03</f>
        <v>0</v>
      </c>
      <c r="I253" s="173">
        <f t="shared" ref="I253:I255" si="455">SUM(G253:H253)</f>
        <v>0</v>
      </c>
      <c r="J253" s="175"/>
      <c r="K253" s="172">
        <f t="shared" ref="K253:K255" si="456">G253*1.03</f>
        <v>0</v>
      </c>
      <c r="L253" s="173">
        <f t="shared" ref="L253:L255" si="457">H253*1.03</f>
        <v>0</v>
      </c>
      <c r="M253" s="173">
        <f t="shared" ref="M253:M255" si="458">SUM(K253:L253)</f>
        <v>0</v>
      </c>
      <c r="N253" s="175"/>
      <c r="O253" s="172">
        <f t="shared" ref="O253:O255" si="459">K253*1.03</f>
        <v>0</v>
      </c>
      <c r="P253" s="173">
        <f t="shared" ref="P253:P255" si="460">L253*1.03</f>
        <v>0</v>
      </c>
      <c r="Q253" s="173">
        <f t="shared" ref="Q253:Q255" si="461">SUM(O253:P253)</f>
        <v>0</v>
      </c>
      <c r="R253" s="175"/>
      <c r="S253" s="172">
        <f t="shared" ref="S253:S255" si="462">O253*1.03</f>
        <v>0</v>
      </c>
      <c r="T253" s="173">
        <f t="shared" ref="T253:T255" si="463">P253*1.03</f>
        <v>0</v>
      </c>
      <c r="U253" s="173">
        <f t="shared" ref="U253:U255" si="464">SUM(S253:T253)</f>
        <v>0</v>
      </c>
      <c r="V253" s="176"/>
      <c r="W253" s="227">
        <f t="shared" ref="W253:W255" si="465">C253+G253+K253+O253+S253</f>
        <v>0</v>
      </c>
      <c r="X253" s="173">
        <f t="shared" ref="X253:X255" si="466">D253+H253+L253+P253+T253</f>
        <v>0</v>
      </c>
      <c r="Y253" s="177">
        <f t="shared" ref="Y253:Y255" si="467">E253+I253+M253+Q253+U253</f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452"/>
        <v>0</v>
      </c>
      <c r="F254" s="175"/>
      <c r="G254" s="172">
        <f t="shared" si="453"/>
        <v>0</v>
      </c>
      <c r="H254" s="173">
        <f t="shared" si="454"/>
        <v>0</v>
      </c>
      <c r="I254" s="173">
        <f t="shared" si="455"/>
        <v>0</v>
      </c>
      <c r="J254" s="175"/>
      <c r="K254" s="172">
        <f t="shared" si="456"/>
        <v>0</v>
      </c>
      <c r="L254" s="173">
        <f t="shared" si="457"/>
        <v>0</v>
      </c>
      <c r="M254" s="173">
        <f t="shared" si="458"/>
        <v>0</v>
      </c>
      <c r="N254" s="175"/>
      <c r="O254" s="172">
        <f t="shared" si="459"/>
        <v>0</v>
      </c>
      <c r="P254" s="173">
        <f t="shared" si="460"/>
        <v>0</v>
      </c>
      <c r="Q254" s="173">
        <f t="shared" si="461"/>
        <v>0</v>
      </c>
      <c r="R254" s="175"/>
      <c r="S254" s="172">
        <f t="shared" si="462"/>
        <v>0</v>
      </c>
      <c r="T254" s="173">
        <f t="shared" si="463"/>
        <v>0</v>
      </c>
      <c r="U254" s="173">
        <f t="shared" si="464"/>
        <v>0</v>
      </c>
      <c r="V254" s="176"/>
      <c r="W254" s="227">
        <f t="shared" si="465"/>
        <v>0</v>
      </c>
      <c r="X254" s="173">
        <f t="shared" si="466"/>
        <v>0</v>
      </c>
      <c r="Y254" s="177">
        <f t="shared" si="467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452"/>
        <v>0</v>
      </c>
      <c r="F255" s="175"/>
      <c r="G255" s="172">
        <f t="shared" si="453"/>
        <v>0</v>
      </c>
      <c r="H255" s="173">
        <f t="shared" si="454"/>
        <v>0</v>
      </c>
      <c r="I255" s="173">
        <f t="shared" si="455"/>
        <v>0</v>
      </c>
      <c r="J255" s="175"/>
      <c r="K255" s="172">
        <f t="shared" si="456"/>
        <v>0</v>
      </c>
      <c r="L255" s="173">
        <f t="shared" si="457"/>
        <v>0</v>
      </c>
      <c r="M255" s="173">
        <f t="shared" si="458"/>
        <v>0</v>
      </c>
      <c r="N255" s="175"/>
      <c r="O255" s="172">
        <f t="shared" si="459"/>
        <v>0</v>
      </c>
      <c r="P255" s="173">
        <f t="shared" si="460"/>
        <v>0</v>
      </c>
      <c r="Q255" s="173">
        <f t="shared" si="461"/>
        <v>0</v>
      </c>
      <c r="R255" s="175"/>
      <c r="S255" s="172">
        <f t="shared" si="462"/>
        <v>0</v>
      </c>
      <c r="T255" s="173">
        <f t="shared" si="463"/>
        <v>0</v>
      </c>
      <c r="U255" s="173">
        <f t="shared" si="464"/>
        <v>0</v>
      </c>
      <c r="V255" s="176"/>
      <c r="W255" s="227">
        <f t="shared" si="465"/>
        <v>0</v>
      </c>
      <c r="X255" s="173">
        <f t="shared" si="466"/>
        <v>0</v>
      </c>
      <c r="Y255" s="177">
        <f t="shared" si="467"/>
        <v>0</v>
      </c>
    </row>
    <row r="256" spans="1:77" s="83" customFormat="1" x14ac:dyDescent="0.25">
      <c r="A256" s="78"/>
      <c r="B256" s="78" t="s">
        <v>9</v>
      </c>
      <c r="C256" s="228">
        <f>SUM(C252:C255)</f>
        <v>6748.56</v>
      </c>
      <c r="D256" s="125">
        <f>SUM(D252:D255)</f>
        <v>0</v>
      </c>
      <c r="E256" s="125">
        <f>SUM(E252:E255)</f>
        <v>6748.56</v>
      </c>
      <c r="F256" s="81"/>
      <c r="G256" s="79">
        <f>SUM(G252:G255)</f>
        <v>6951.0168000000003</v>
      </c>
      <c r="H256" s="80">
        <f>SUM(H252:H255)</f>
        <v>0</v>
      </c>
      <c r="I256" s="80">
        <f>SUM(I252:I255)</f>
        <v>6951.0168000000003</v>
      </c>
      <c r="J256" s="81"/>
      <c r="K256" s="79">
        <f>SUM(K252:K255)</f>
        <v>7159.5473040000006</v>
      </c>
      <c r="L256" s="80">
        <f>SUM(L252:L255)</f>
        <v>0</v>
      </c>
      <c r="M256" s="80">
        <f>SUM(M252:M255)</f>
        <v>7159.5473040000006</v>
      </c>
      <c r="N256" s="81"/>
      <c r="O256" s="79">
        <f>SUM(O252:O255)</f>
        <v>7374.3337231200012</v>
      </c>
      <c r="P256" s="80">
        <f>SUM(P252:P255)</f>
        <v>0</v>
      </c>
      <c r="Q256" s="80">
        <f>SUM(Q252:Q255)</f>
        <v>7374.3337231200012</v>
      </c>
      <c r="R256" s="81"/>
      <c r="S256" s="79">
        <f>SUM(S252:S255)</f>
        <v>7595.5637348136015</v>
      </c>
      <c r="T256" s="80">
        <f>SUM(T252:T255)</f>
        <v>0</v>
      </c>
      <c r="U256" s="80">
        <f>SUM(U252:U255)</f>
        <v>7595.5637348136015</v>
      </c>
      <c r="V256" s="82"/>
      <c r="W256" s="228">
        <f t="shared" ref="W256" si="468">C256+G256+K256+O256+S256</f>
        <v>35829.021561933609</v>
      </c>
      <c r="X256" s="80">
        <f t="shared" ref="X256" si="469">D256+H256+L256+P256+T256</f>
        <v>0</v>
      </c>
      <c r="Y256" s="80">
        <f t="shared" ref="Y256" si="470">E256+I256+M256+Q256+U256</f>
        <v>35829.021561933609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" si="471">G258*1.03</f>
        <v>0</v>
      </c>
      <c r="L258" s="57">
        <f t="shared" ref="L258" si="472">H258*1.03</f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W262" si="473">C258+G258+K258+O258+S258</f>
        <v>0</v>
      </c>
      <c r="X258" s="57">
        <f t="shared" ref="X258:X262" si="474">D258+H258+L258+P258+T258</f>
        <v>0</v>
      </c>
      <c r="Y258" s="57">
        <f t="shared" ref="Y258" si="475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24">
        <v>0</v>
      </c>
      <c r="D259" s="56">
        <v>0</v>
      </c>
      <c r="E259" s="56">
        <f t="shared" ref="E259" si="476">SUM(C259:D259)</f>
        <v>0</v>
      </c>
      <c r="F259" s="58"/>
      <c r="G259" s="55">
        <f t="shared" ref="G259" si="477">C259*1.03</f>
        <v>0</v>
      </c>
      <c r="H259" s="57">
        <f t="shared" ref="H259" si="478">D259*1.03</f>
        <v>0</v>
      </c>
      <c r="I259" s="57">
        <f t="shared" ref="I259" si="479">SUM(G259:H259)</f>
        <v>0</v>
      </c>
      <c r="J259" s="58"/>
      <c r="K259" s="55">
        <f t="shared" ref="K259" si="480">G259*1.03</f>
        <v>0</v>
      </c>
      <c r="L259" s="57">
        <f t="shared" ref="L259" si="481">H259*1.03</f>
        <v>0</v>
      </c>
      <c r="M259" s="57">
        <f t="shared" ref="M259" si="482">SUM(K259:L259)</f>
        <v>0</v>
      </c>
      <c r="N259" s="58"/>
      <c r="O259" s="55">
        <f t="shared" ref="O259" si="483">K259*1.03</f>
        <v>0</v>
      </c>
      <c r="P259" s="57">
        <f t="shared" ref="P259" si="484">L259*1.03</f>
        <v>0</v>
      </c>
      <c r="Q259" s="57">
        <f t="shared" ref="Q259" si="485">SUM(O259:P259)</f>
        <v>0</v>
      </c>
      <c r="R259" s="58"/>
      <c r="S259" s="55">
        <f t="shared" ref="S259" si="486">O259*1.03</f>
        <v>0</v>
      </c>
      <c r="T259" s="57">
        <f t="shared" ref="T259" si="487">P259*1.03</f>
        <v>0</v>
      </c>
      <c r="U259" s="57">
        <f t="shared" ref="U259" si="488">SUM(S259:T259)</f>
        <v>0</v>
      </c>
      <c r="V259" s="59"/>
      <c r="W259" s="124">
        <f t="shared" ref="W259" si="489">C259+G259+K259+O259+S259</f>
        <v>0</v>
      </c>
      <c r="X259" s="57">
        <f t="shared" ref="X259" si="490">D259+H259+L259+P259+T259</f>
        <v>0</v>
      </c>
      <c r="Y259" s="57">
        <f t="shared" ref="Y259" si="491">SUM(W259:X259)</f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ref="E260:E261" si="492">SUM(C260:D260)</f>
        <v>0</v>
      </c>
      <c r="F260" s="58"/>
      <c r="G260" s="55">
        <f t="shared" ref="G260:G261" si="493">C260*1.03</f>
        <v>0</v>
      </c>
      <c r="H260" s="57">
        <f t="shared" ref="H260:H261" si="494">D260*1.03</f>
        <v>0</v>
      </c>
      <c r="I260" s="57">
        <f t="shared" ref="I260:I261" si="495">SUM(G260:H260)</f>
        <v>0</v>
      </c>
      <c r="J260" s="58"/>
      <c r="K260" s="55">
        <f t="shared" ref="K260:K261" si="496">G260*1.03</f>
        <v>0</v>
      </c>
      <c r="L260" s="57">
        <f t="shared" ref="L260:L261" si="497">H260*1.03</f>
        <v>0</v>
      </c>
      <c r="M260" s="57">
        <f t="shared" ref="M260:M261" si="498">SUM(K260:L260)</f>
        <v>0</v>
      </c>
      <c r="N260" s="58"/>
      <c r="O260" s="55">
        <f t="shared" ref="O260:O261" si="499">K260*1.03</f>
        <v>0</v>
      </c>
      <c r="P260" s="57">
        <f t="shared" ref="P260:P261" si="500">L260*1.03</f>
        <v>0</v>
      </c>
      <c r="Q260" s="57">
        <f t="shared" ref="Q260:Q261" si="501">SUM(O260:P260)</f>
        <v>0</v>
      </c>
      <c r="R260" s="58"/>
      <c r="S260" s="55">
        <f t="shared" ref="S260:S261" si="502">O260*1.03</f>
        <v>0</v>
      </c>
      <c r="T260" s="57">
        <f t="shared" ref="T260:T261" si="503">P260*1.03</f>
        <v>0</v>
      </c>
      <c r="U260" s="57">
        <f t="shared" ref="U260:U261" si="504">SUM(S260:T260)</f>
        <v>0</v>
      </c>
      <c r="V260" s="59"/>
      <c r="W260" s="124">
        <f t="shared" ref="W260:W261" si="505">C260+G260+K260+O260+S260</f>
        <v>0</v>
      </c>
      <c r="X260" s="57">
        <f t="shared" ref="X260:X261" si="506">D260+H260+L260+P260+T260</f>
        <v>0</v>
      </c>
      <c r="Y260" s="57">
        <f t="shared" ref="Y260:Y261" si="507">SUM(W260:X260)</f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492"/>
        <v>0</v>
      </c>
      <c r="F261" s="58"/>
      <c r="G261" s="55">
        <f t="shared" si="493"/>
        <v>0</v>
      </c>
      <c r="H261" s="57">
        <f t="shared" si="494"/>
        <v>0</v>
      </c>
      <c r="I261" s="57">
        <f t="shared" si="495"/>
        <v>0</v>
      </c>
      <c r="J261" s="58"/>
      <c r="K261" s="55">
        <f t="shared" si="496"/>
        <v>0</v>
      </c>
      <c r="L261" s="57">
        <f t="shared" si="497"/>
        <v>0</v>
      </c>
      <c r="M261" s="57">
        <f t="shared" si="498"/>
        <v>0</v>
      </c>
      <c r="N261" s="58"/>
      <c r="O261" s="55">
        <f t="shared" si="499"/>
        <v>0</v>
      </c>
      <c r="P261" s="57">
        <f t="shared" si="500"/>
        <v>0</v>
      </c>
      <c r="Q261" s="57">
        <f t="shared" si="501"/>
        <v>0</v>
      </c>
      <c r="R261" s="58"/>
      <c r="S261" s="55">
        <f t="shared" si="502"/>
        <v>0</v>
      </c>
      <c r="T261" s="57">
        <f t="shared" si="503"/>
        <v>0</v>
      </c>
      <c r="U261" s="57">
        <f t="shared" si="504"/>
        <v>0</v>
      </c>
      <c r="V261" s="59"/>
      <c r="W261" s="124">
        <f t="shared" si="505"/>
        <v>0</v>
      </c>
      <c r="X261" s="57">
        <f t="shared" si="506"/>
        <v>0</v>
      </c>
      <c r="Y261" s="57">
        <f t="shared" si="507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473"/>
        <v>0</v>
      </c>
      <c r="X262" s="80">
        <f t="shared" si="474"/>
        <v>0</v>
      </c>
      <c r="Y262" s="80">
        <f t="shared" ref="Y262" si="508">E262+I262+M262+Q262+U262</f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509">C262+C256</f>
        <v>6748.56</v>
      </c>
      <c r="D263" s="242">
        <f t="shared" si="509"/>
        <v>0</v>
      </c>
      <c r="E263" s="257">
        <f t="shared" si="509"/>
        <v>6748.56</v>
      </c>
      <c r="F263" s="257">
        <f t="shared" si="509"/>
        <v>0</v>
      </c>
      <c r="G263" s="257">
        <f t="shared" si="509"/>
        <v>6951.0168000000003</v>
      </c>
      <c r="H263" s="257">
        <f t="shared" si="509"/>
        <v>0</v>
      </c>
      <c r="I263" s="257">
        <f t="shared" si="509"/>
        <v>6951.0168000000003</v>
      </c>
      <c r="J263" s="257">
        <f t="shared" si="509"/>
        <v>0</v>
      </c>
      <c r="K263" s="257">
        <f t="shared" si="509"/>
        <v>7159.5473040000006</v>
      </c>
      <c r="L263" s="257">
        <f t="shared" si="509"/>
        <v>0</v>
      </c>
      <c r="M263" s="257">
        <f t="shared" si="509"/>
        <v>7159.5473040000006</v>
      </c>
      <c r="N263" s="257">
        <f t="shared" si="509"/>
        <v>0</v>
      </c>
      <c r="O263" s="257">
        <f t="shared" si="509"/>
        <v>7374.3337231200012</v>
      </c>
      <c r="P263" s="257">
        <f t="shared" si="509"/>
        <v>0</v>
      </c>
      <c r="Q263" s="257">
        <f t="shared" si="509"/>
        <v>7374.3337231200012</v>
      </c>
      <c r="R263" s="257">
        <f t="shared" si="509"/>
        <v>0</v>
      </c>
      <c r="S263" s="257">
        <f t="shared" si="509"/>
        <v>7595.5637348136015</v>
      </c>
      <c r="T263" s="242">
        <f t="shared" si="509"/>
        <v>0</v>
      </c>
      <c r="U263" s="242">
        <f t="shared" si="509"/>
        <v>7595.5637348136015</v>
      </c>
      <c r="V263" s="242">
        <f t="shared" si="509"/>
        <v>0</v>
      </c>
      <c r="W263" s="242">
        <f t="shared" si="509"/>
        <v>35829.021561933609</v>
      </c>
      <c r="X263" s="242">
        <f t="shared" si="509"/>
        <v>0</v>
      </c>
      <c r="Y263" s="243">
        <f>E263+I263+M263+Q263+U263</f>
        <v>35829.021561933609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258"/>
      <c r="F264" s="258"/>
      <c r="G264" s="258"/>
      <c r="H264" s="258"/>
      <c r="I264" s="258"/>
      <c r="J264" s="258"/>
      <c r="K264" s="258"/>
      <c r="L264" s="258"/>
      <c r="M264" s="258"/>
      <c r="N264" s="258"/>
      <c r="O264" s="258"/>
      <c r="P264" s="258"/>
      <c r="Q264" s="258"/>
      <c r="R264" s="258"/>
      <c r="S264" s="2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259">
        <f t="shared" ref="E265:E267" si="510">SUM(C265:D265)</f>
        <v>0</v>
      </c>
      <c r="F265" s="258"/>
      <c r="G265" s="260">
        <f>G258*A265*1.03*1.03</f>
        <v>0</v>
      </c>
      <c r="H265" s="259">
        <f>H258*A265*1.03</f>
        <v>0</v>
      </c>
      <c r="I265" s="261">
        <f t="shared" ref="I265:I267" si="511">SUM(G265:H265)</f>
        <v>0</v>
      </c>
      <c r="J265" s="258"/>
      <c r="K265" s="260">
        <f>K258*A265*1.03*1.03*1.03</f>
        <v>0</v>
      </c>
      <c r="L265" s="259">
        <f>L258*A265*1.03*1.03</f>
        <v>0</v>
      </c>
      <c r="M265" s="261">
        <f t="shared" ref="M265:M267" si="512">SUM(K265:L265)</f>
        <v>0</v>
      </c>
      <c r="N265" s="258"/>
      <c r="O265" s="260">
        <f>O258*A265*1.03*1.03*1.03*1.03</f>
        <v>0</v>
      </c>
      <c r="P265" s="259">
        <f>P258*A265*1.03*1.03*1.03</f>
        <v>0</v>
      </c>
      <c r="Q265" s="261">
        <f t="shared" ref="Q265:Q267" si="513">SUM(O265:P265)</f>
        <v>0</v>
      </c>
      <c r="R265" s="258"/>
      <c r="S265" s="260">
        <f>S258*A265*1.03*1.03*1.03*1.03*1.03</f>
        <v>0</v>
      </c>
      <c r="T265" s="56">
        <f>T258*A265*1.03*1.03*1.03*1.03</f>
        <v>0</v>
      </c>
      <c r="U265" s="57">
        <f t="shared" ref="U265:U267" si="514">SUM(S265:T265)</f>
        <v>0</v>
      </c>
      <c r="V265" s="59"/>
      <c r="W265" s="124">
        <f t="shared" ref="W265:W268" si="515">C265+G265+K265+O265+S265</f>
        <v>0</v>
      </c>
      <c r="X265" s="57">
        <f t="shared" ref="X265:X268" si="516">D265+H265+L265+P265+T265</f>
        <v>0</v>
      </c>
      <c r="Y265" s="84">
        <f t="shared" ref="Y265:Y268" si="517">E265+I265+M265+Q265+U265</f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3807.7670030400004</v>
      </c>
      <c r="D266" s="56">
        <f>D256*A266*1.03</f>
        <v>0</v>
      </c>
      <c r="E266" s="259">
        <f t="shared" si="510"/>
        <v>3807.7670030400004</v>
      </c>
      <c r="F266" s="258"/>
      <c r="G266" s="260">
        <f>G256*A266*1.03*1.03</f>
        <v>4039.660013525136</v>
      </c>
      <c r="H266" s="259">
        <f>H256*A266*1.03*1.03</f>
        <v>0</v>
      </c>
      <c r="I266" s="261">
        <f t="shared" si="511"/>
        <v>4039.660013525136</v>
      </c>
      <c r="J266" s="258"/>
      <c r="K266" s="260">
        <f>K260*A266*1.03*1.03</f>
        <v>0</v>
      </c>
      <c r="L266" s="259">
        <f>L260*A266*1.03*1.03</f>
        <v>0</v>
      </c>
      <c r="M266" s="261">
        <f t="shared" si="512"/>
        <v>0</v>
      </c>
      <c r="N266" s="258"/>
      <c r="O266" s="260">
        <f>O260*A266*1.03*1.03*1.03</f>
        <v>0</v>
      </c>
      <c r="P266" s="259">
        <f>P260*A266*1.03*1.03*1.03</f>
        <v>0</v>
      </c>
      <c r="Q266" s="261">
        <f t="shared" si="513"/>
        <v>0</v>
      </c>
      <c r="R266" s="258"/>
      <c r="S266" s="260">
        <f>S260*A266*1.03*1.03*1.03*1.03</f>
        <v>0</v>
      </c>
      <c r="T266" s="56">
        <f>T260*A266*1.03*1.03*1.03*1.03</f>
        <v>0</v>
      </c>
      <c r="U266" s="57">
        <f t="shared" si="514"/>
        <v>0</v>
      </c>
      <c r="V266" s="59"/>
      <c r="W266" s="124">
        <f t="shared" si="515"/>
        <v>7847.427016565136</v>
      </c>
      <c r="X266" s="57">
        <f t="shared" si="516"/>
        <v>0</v>
      </c>
      <c r="Y266" s="84">
        <f t="shared" si="517"/>
        <v>7847.427016565136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259">
        <f t="shared" si="510"/>
        <v>0</v>
      </c>
      <c r="F267" s="258"/>
      <c r="G267" s="262">
        <f>C267*1.05</f>
        <v>0</v>
      </c>
      <c r="H267" s="261">
        <f>D267*1.05</f>
        <v>0</v>
      </c>
      <c r="I267" s="261">
        <f t="shared" si="511"/>
        <v>0</v>
      </c>
      <c r="J267" s="258"/>
      <c r="K267" s="262">
        <f>K256*A266*1.03*1.03*1.03</f>
        <v>4285.6753083488175</v>
      </c>
      <c r="L267" s="259">
        <f>L256*A266*1.03*1.03*1.03</f>
        <v>0</v>
      </c>
      <c r="M267" s="261">
        <f t="shared" si="512"/>
        <v>4285.6753083488175</v>
      </c>
      <c r="N267" s="258"/>
      <c r="O267" s="262">
        <f>O256*A266*1.03*1.03*1.03*1.03</f>
        <v>4546.6729346272614</v>
      </c>
      <c r="P267" s="259">
        <f>P256*A266*1.03*1.03*1.03*1.03</f>
        <v>0</v>
      </c>
      <c r="Q267" s="261">
        <f t="shared" si="513"/>
        <v>4546.6729346272614</v>
      </c>
      <c r="R267" s="258"/>
      <c r="S267" s="262">
        <f>S256*A266*1.03*1.03*1.03*1.03*1.03</f>
        <v>4823.565316346062</v>
      </c>
      <c r="T267" s="56">
        <f>T256*A266*1.03*1.03*1.03*1.03*1.03</f>
        <v>0</v>
      </c>
      <c r="U267" s="57">
        <f t="shared" si="514"/>
        <v>4823.565316346062</v>
      </c>
      <c r="V267" s="59"/>
      <c r="W267" s="124">
        <f t="shared" si="515"/>
        <v>13655.91355932214</v>
      </c>
      <c r="X267" s="57">
        <f t="shared" si="516"/>
        <v>0</v>
      </c>
      <c r="Y267" s="84">
        <f t="shared" si="517"/>
        <v>13655.91355932214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3807.7670030400004</v>
      </c>
      <c r="D268" s="125">
        <f>SUM(D265:D267)</f>
        <v>0</v>
      </c>
      <c r="E268" s="125">
        <f>SUM(E265:E267)</f>
        <v>3807.7670030400004</v>
      </c>
      <c r="F268" s="81"/>
      <c r="G268" s="79">
        <f>SUM(G265:G267)</f>
        <v>4039.660013525136</v>
      </c>
      <c r="H268" s="80">
        <f>SUM(H265:H267)</f>
        <v>0</v>
      </c>
      <c r="I268" s="80">
        <f>SUM(I265:I267)</f>
        <v>4039.660013525136</v>
      </c>
      <c r="J268" s="81"/>
      <c r="K268" s="79">
        <f>SUM(K265:K267)</f>
        <v>4285.6753083488175</v>
      </c>
      <c r="L268" s="80">
        <f>SUM(L265:L267)</f>
        <v>0</v>
      </c>
      <c r="M268" s="80">
        <f>SUM(M265:M267)</f>
        <v>4285.6753083488175</v>
      </c>
      <c r="N268" s="81"/>
      <c r="O268" s="79">
        <f>SUM(O265:O267)</f>
        <v>4546.6729346272614</v>
      </c>
      <c r="P268" s="80">
        <f>SUM(P265:P267)</f>
        <v>0</v>
      </c>
      <c r="Q268" s="80">
        <f>SUM(Q265:Q267)</f>
        <v>4546.6729346272614</v>
      </c>
      <c r="R268" s="81"/>
      <c r="S268" s="79">
        <f>SUM(S265:S267)</f>
        <v>4823.565316346062</v>
      </c>
      <c r="T268" s="80">
        <f>SUM(T265:T267)</f>
        <v>0</v>
      </c>
      <c r="U268" s="80">
        <f>SUM(U265:U267)</f>
        <v>4823.565316346062</v>
      </c>
      <c r="V268" s="82"/>
      <c r="W268" s="228">
        <f t="shared" si="515"/>
        <v>21503.34057588728</v>
      </c>
      <c r="X268" s="80">
        <f t="shared" si="516"/>
        <v>0</v>
      </c>
      <c r="Y268" s="80">
        <f t="shared" si="517"/>
        <v>21503.34057588728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518">C268+C263</f>
        <v>10556.327003040002</v>
      </c>
      <c r="D269" s="242">
        <f t="shared" si="518"/>
        <v>0</v>
      </c>
      <c r="E269" s="242">
        <f t="shared" si="518"/>
        <v>10556.327003040002</v>
      </c>
      <c r="F269" s="242">
        <f t="shared" si="518"/>
        <v>0</v>
      </c>
      <c r="G269" s="242">
        <f t="shared" si="518"/>
        <v>10990.676813525137</v>
      </c>
      <c r="H269" s="242">
        <f t="shared" si="518"/>
        <v>0</v>
      </c>
      <c r="I269" s="242">
        <f t="shared" si="518"/>
        <v>10990.676813525137</v>
      </c>
      <c r="J269" s="242">
        <f t="shared" si="518"/>
        <v>0</v>
      </c>
      <c r="K269" s="242">
        <f t="shared" si="518"/>
        <v>11445.222612348818</v>
      </c>
      <c r="L269" s="242">
        <f t="shared" si="518"/>
        <v>0</v>
      </c>
      <c r="M269" s="242">
        <f t="shared" si="518"/>
        <v>11445.222612348818</v>
      </c>
      <c r="N269" s="242">
        <f t="shared" si="518"/>
        <v>0</v>
      </c>
      <c r="O269" s="242">
        <f t="shared" si="518"/>
        <v>11921.006657747263</v>
      </c>
      <c r="P269" s="242">
        <f t="shared" si="518"/>
        <v>0</v>
      </c>
      <c r="Q269" s="242">
        <f t="shared" si="518"/>
        <v>11921.006657747263</v>
      </c>
      <c r="R269" s="242">
        <f t="shared" si="518"/>
        <v>0</v>
      </c>
      <c r="S269" s="242">
        <f t="shared" si="518"/>
        <v>12419.129051159664</v>
      </c>
      <c r="T269" s="242">
        <f t="shared" si="518"/>
        <v>0</v>
      </c>
      <c r="U269" s="242">
        <f t="shared" si="518"/>
        <v>12419.129051159664</v>
      </c>
      <c r="V269" s="242">
        <f t="shared" si="518"/>
        <v>0</v>
      </c>
      <c r="W269" s="242">
        <f t="shared" si="518"/>
        <v>57332.362137820892</v>
      </c>
      <c r="X269" s="242">
        <f t="shared" si="518"/>
        <v>0</v>
      </c>
      <c r="Y269" s="242">
        <f t="shared" si="518"/>
        <v>57332.362137820892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519">SUM(C271:D271)</f>
        <v>0</v>
      </c>
      <c r="F271" s="58"/>
      <c r="G271" s="55">
        <v>0</v>
      </c>
      <c r="H271" s="57">
        <v>0</v>
      </c>
      <c r="I271" s="57">
        <f t="shared" ref="I271:I273" si="520">SUM(G271:H271)</f>
        <v>0</v>
      </c>
      <c r="J271" s="58"/>
      <c r="K271" s="55">
        <v>0</v>
      </c>
      <c r="L271" s="57">
        <v>0</v>
      </c>
      <c r="M271" s="57">
        <f t="shared" ref="M271:M273" si="521">SUM(K271:L271)</f>
        <v>0</v>
      </c>
      <c r="N271" s="58"/>
      <c r="O271" s="55">
        <v>0</v>
      </c>
      <c r="P271" s="57">
        <v>0</v>
      </c>
      <c r="Q271" s="57">
        <f t="shared" ref="Q271:Q273" si="522">SUM(O271:P271)</f>
        <v>0</v>
      </c>
      <c r="R271" s="58"/>
      <c r="S271" s="55">
        <v>0</v>
      </c>
      <c r="T271" s="57">
        <v>0</v>
      </c>
      <c r="U271" s="57">
        <f t="shared" ref="U271:U273" si="523">SUM(S271:T271)</f>
        <v>0</v>
      </c>
      <c r="V271" s="59"/>
      <c r="W271" s="124">
        <f t="shared" ref="W271:W274" si="524">C271+G271+K271+O271+S271</f>
        <v>0</v>
      </c>
      <c r="X271" s="57">
        <f t="shared" ref="X271:X274" si="525">D271+H271+L271+P271+T271</f>
        <v>0</v>
      </c>
      <c r="Y271" s="84">
        <f t="shared" ref="Y271:Y274" si="526">E271+I271+M271+Q271+U271</f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519"/>
        <v>0</v>
      </c>
      <c r="F272" s="58"/>
      <c r="G272" s="55">
        <v>0</v>
      </c>
      <c r="H272" s="57">
        <v>0</v>
      </c>
      <c r="I272" s="57">
        <f t="shared" si="520"/>
        <v>0</v>
      </c>
      <c r="J272" s="58"/>
      <c r="K272" s="55">
        <v>0</v>
      </c>
      <c r="L272" s="57">
        <v>0</v>
      </c>
      <c r="M272" s="57">
        <f t="shared" si="521"/>
        <v>0</v>
      </c>
      <c r="N272" s="58"/>
      <c r="O272" s="55">
        <f>K272</f>
        <v>0</v>
      </c>
      <c r="P272" s="57">
        <v>0</v>
      </c>
      <c r="Q272" s="57">
        <f t="shared" si="522"/>
        <v>0</v>
      </c>
      <c r="R272" s="58"/>
      <c r="S272" s="55">
        <f>O272</f>
        <v>0</v>
      </c>
      <c r="T272" s="57">
        <v>0</v>
      </c>
      <c r="U272" s="57">
        <f t="shared" si="523"/>
        <v>0</v>
      </c>
      <c r="V272" s="59"/>
      <c r="W272" s="124">
        <f t="shared" si="524"/>
        <v>0</v>
      </c>
      <c r="X272" s="57">
        <f t="shared" si="525"/>
        <v>0</v>
      </c>
      <c r="Y272" s="84">
        <f t="shared" si="526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519"/>
        <v>0</v>
      </c>
      <c r="F273" s="58"/>
      <c r="G273" s="55">
        <v>0</v>
      </c>
      <c r="H273" s="57">
        <v>0</v>
      </c>
      <c r="I273" s="57">
        <f t="shared" si="520"/>
        <v>0</v>
      </c>
      <c r="J273" s="58"/>
      <c r="K273" s="55">
        <f>G273</f>
        <v>0</v>
      </c>
      <c r="L273" s="57">
        <v>0</v>
      </c>
      <c r="M273" s="57">
        <f t="shared" si="521"/>
        <v>0</v>
      </c>
      <c r="N273" s="58"/>
      <c r="O273" s="55">
        <v>0</v>
      </c>
      <c r="P273" s="57">
        <v>0</v>
      </c>
      <c r="Q273" s="57">
        <f t="shared" si="522"/>
        <v>0</v>
      </c>
      <c r="R273" s="58"/>
      <c r="S273" s="55">
        <f>O273</f>
        <v>0</v>
      </c>
      <c r="T273" s="57">
        <v>0</v>
      </c>
      <c r="U273" s="57">
        <f t="shared" si="523"/>
        <v>0</v>
      </c>
      <c r="V273" s="59"/>
      <c r="W273" s="124">
        <f t="shared" si="524"/>
        <v>0</v>
      </c>
      <c r="X273" s="57">
        <f t="shared" si="525"/>
        <v>0</v>
      </c>
      <c r="Y273" s="84">
        <f t="shared" si="526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524"/>
        <v>0</v>
      </c>
      <c r="X274" s="80">
        <f t="shared" si="525"/>
        <v>0</v>
      </c>
      <c r="Y274" s="80">
        <f t="shared" si="526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191</v>
      </c>
      <c r="C276" s="124">
        <v>1000</v>
      </c>
      <c r="D276" s="56">
        <f>12*800*0.5*0</f>
        <v>0</v>
      </c>
      <c r="E276" s="56">
        <f t="shared" ref="E276" si="527">SUM(C276:D276)</f>
        <v>1000</v>
      </c>
      <c r="F276" s="58"/>
      <c r="G276" s="55">
        <f>C276</f>
        <v>1000</v>
      </c>
      <c r="H276" s="57">
        <f>D276</f>
        <v>0</v>
      </c>
      <c r="I276" s="57">
        <f t="shared" ref="I276" si="528">SUM(G276:H276)</f>
        <v>1000</v>
      </c>
      <c r="J276" s="58"/>
      <c r="K276" s="55">
        <f>G276</f>
        <v>1000</v>
      </c>
      <c r="L276" s="57">
        <f>H276</f>
        <v>0</v>
      </c>
      <c r="M276" s="57">
        <f t="shared" ref="M276" si="529">SUM(K276:L276)</f>
        <v>1000</v>
      </c>
      <c r="N276" s="58"/>
      <c r="O276" s="55">
        <f>K276</f>
        <v>1000</v>
      </c>
      <c r="P276" s="57">
        <f>L276</f>
        <v>0</v>
      </c>
      <c r="Q276" s="57">
        <f t="shared" ref="Q276" si="530">SUM(O276:P276)</f>
        <v>1000</v>
      </c>
      <c r="R276" s="58"/>
      <c r="S276" s="55">
        <f>O276</f>
        <v>1000</v>
      </c>
      <c r="T276" s="57">
        <f>P276</f>
        <v>0</v>
      </c>
      <c r="U276" s="57">
        <f t="shared" ref="U276" si="531">SUM(S276:T276)</f>
        <v>1000</v>
      </c>
      <c r="V276" s="59"/>
      <c r="W276" s="124">
        <f t="shared" ref="W276:Y276" si="532">C276+G276+K276+O276+S276</f>
        <v>5000</v>
      </c>
      <c r="X276" s="57">
        <f t="shared" si="532"/>
        <v>0</v>
      </c>
      <c r="Y276" s="84">
        <f t="shared" si="532"/>
        <v>5000</v>
      </c>
    </row>
    <row r="277" spans="1:77" s="61" customFormat="1" x14ac:dyDescent="0.25">
      <c r="A277" s="203"/>
      <c r="B277" s="52" t="s">
        <v>57</v>
      </c>
      <c r="C277" s="124">
        <f>2000*5*0.5*0</f>
        <v>0</v>
      </c>
      <c r="D277" s="56">
        <f>2000*5*0.5*0</f>
        <v>0</v>
      </c>
      <c r="E277" s="56">
        <f t="shared" ref="E277:E278" si="533">SUM(C277:D277)</f>
        <v>0</v>
      </c>
      <c r="F277" s="58"/>
      <c r="G277" s="55">
        <f>C277</f>
        <v>0</v>
      </c>
      <c r="H277" s="57">
        <f>D277</f>
        <v>0</v>
      </c>
      <c r="I277" s="57">
        <f t="shared" ref="I277:I278" si="534">SUM(G277:H277)</f>
        <v>0</v>
      </c>
      <c r="J277" s="58"/>
      <c r="K277" s="55">
        <f>G277</f>
        <v>0</v>
      </c>
      <c r="L277" s="57">
        <f>H277</f>
        <v>0</v>
      </c>
      <c r="M277" s="57">
        <f t="shared" ref="M277:M278" si="535">SUM(K277:L277)</f>
        <v>0</v>
      </c>
      <c r="N277" s="58"/>
      <c r="O277" s="55">
        <f>K277</f>
        <v>0</v>
      </c>
      <c r="P277" s="57">
        <f>L277</f>
        <v>0</v>
      </c>
      <c r="Q277" s="57">
        <f t="shared" ref="Q277:Q278" si="536">SUM(O277:P277)</f>
        <v>0</v>
      </c>
      <c r="R277" s="58"/>
      <c r="S277" s="55">
        <f>O277</f>
        <v>0</v>
      </c>
      <c r="T277" s="57">
        <f>P277</f>
        <v>0</v>
      </c>
      <c r="U277" s="57">
        <f t="shared" ref="U277:U278" si="537">SUM(S277:T277)</f>
        <v>0</v>
      </c>
      <c r="V277" s="59"/>
      <c r="W277" s="124">
        <f t="shared" ref="W277:W279" si="538">C277+G277+K277+O277+S277</f>
        <v>0</v>
      </c>
      <c r="X277" s="57">
        <f t="shared" ref="X277:X279" si="539">D277+H277+L277+P277+T277</f>
        <v>0</v>
      </c>
      <c r="Y277" s="84">
        <f t="shared" ref="Y277:Y279" si="540">E277+I277+M277+Q277+U277</f>
        <v>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si="533"/>
        <v>0</v>
      </c>
      <c r="F278" s="58"/>
      <c r="G278" s="55">
        <v>0</v>
      </c>
      <c r="H278" s="57">
        <v>0</v>
      </c>
      <c r="I278" s="57">
        <f t="shared" si="534"/>
        <v>0</v>
      </c>
      <c r="J278" s="58"/>
      <c r="K278" s="55">
        <v>0</v>
      </c>
      <c r="L278" s="57">
        <v>0</v>
      </c>
      <c r="M278" s="57">
        <f t="shared" si="535"/>
        <v>0</v>
      </c>
      <c r="N278" s="58"/>
      <c r="O278" s="55">
        <v>0</v>
      </c>
      <c r="P278" s="57">
        <v>0</v>
      </c>
      <c r="Q278" s="57">
        <f t="shared" si="536"/>
        <v>0</v>
      </c>
      <c r="R278" s="58"/>
      <c r="S278" s="55">
        <v>0</v>
      </c>
      <c r="T278" s="57">
        <v>0</v>
      </c>
      <c r="U278" s="57">
        <f t="shared" si="537"/>
        <v>0</v>
      </c>
      <c r="V278" s="59"/>
      <c r="W278" s="124">
        <f t="shared" si="538"/>
        <v>0</v>
      </c>
      <c r="X278" s="57">
        <f t="shared" si="539"/>
        <v>0</v>
      </c>
      <c r="Y278" s="84">
        <f t="shared" si="540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1000</v>
      </c>
      <c r="D279" s="125">
        <f>SUM(D276:D278)</f>
        <v>0</v>
      </c>
      <c r="E279" s="125">
        <f>SUM(E276:E278)</f>
        <v>1000</v>
      </c>
      <c r="F279" s="81"/>
      <c r="G279" s="79">
        <f>SUM(G276:G278)</f>
        <v>1000</v>
      </c>
      <c r="H279" s="80">
        <f>SUM(H276:H278)</f>
        <v>0</v>
      </c>
      <c r="I279" s="80">
        <f>SUM(I276:I278)</f>
        <v>1000</v>
      </c>
      <c r="J279" s="81"/>
      <c r="K279" s="79">
        <f>SUM(K276:K278)</f>
        <v>1000</v>
      </c>
      <c r="L279" s="80">
        <f>SUM(L276:L278)</f>
        <v>0</v>
      </c>
      <c r="M279" s="80">
        <f>SUM(M276:M278)</f>
        <v>1000</v>
      </c>
      <c r="N279" s="81"/>
      <c r="O279" s="79">
        <f>SUM(O276:O278)</f>
        <v>1000</v>
      </c>
      <c r="P279" s="80">
        <f>SUM(P276:P278)</f>
        <v>0</v>
      </c>
      <c r="Q279" s="80">
        <f>SUM(Q276:Q278)</f>
        <v>1000</v>
      </c>
      <c r="R279" s="81"/>
      <c r="S279" s="79">
        <f>SUM(S276:S278)</f>
        <v>1000</v>
      </c>
      <c r="T279" s="80">
        <f>SUM(T276:T278)</f>
        <v>0</v>
      </c>
      <c r="U279" s="80">
        <f>SUM(U276:U278)</f>
        <v>1000</v>
      </c>
      <c r="V279" s="82"/>
      <c r="W279" s="228">
        <f t="shared" si="538"/>
        <v>5000</v>
      </c>
      <c r="X279" s="80">
        <f t="shared" si="539"/>
        <v>0</v>
      </c>
      <c r="Y279" s="80">
        <f t="shared" si="540"/>
        <v>5000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W283" si="541">C281+G281+K281+O281+S281</f>
        <v>0</v>
      </c>
      <c r="X281" s="57">
        <f t="shared" ref="X281:X283" si="542">D281+H281+L281+P281+T281</f>
        <v>0</v>
      </c>
      <c r="Y281" s="84">
        <f t="shared" ref="Y281:Y283" si="543">E281+I281+M281+Q281+U281</f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541"/>
        <v>0</v>
      </c>
      <c r="X282" s="56">
        <f t="shared" si="542"/>
        <v>0</v>
      </c>
      <c r="Y282" s="85">
        <f t="shared" si="543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541"/>
        <v>0</v>
      </c>
      <c r="X283" s="80">
        <f t="shared" si="542"/>
        <v>0</v>
      </c>
      <c r="Y283" s="80">
        <f t="shared" si="543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61" customFormat="1" x14ac:dyDescent="0.25">
      <c r="B285" s="61" t="s">
        <v>190</v>
      </c>
      <c r="C285" s="55">
        <v>1000</v>
      </c>
      <c r="D285" s="56">
        <v>0</v>
      </c>
      <c r="E285" s="57">
        <f t="shared" ref="E285" si="544">SUM(C285:D285)</f>
        <v>1000</v>
      </c>
      <c r="F285" s="58"/>
      <c r="G285" s="55">
        <f>C285</f>
        <v>1000</v>
      </c>
      <c r="H285" s="56">
        <v>0</v>
      </c>
      <c r="I285" s="57">
        <f t="shared" ref="I285" si="545">SUM(G285:H285)</f>
        <v>1000</v>
      </c>
      <c r="J285" s="58"/>
      <c r="K285" s="55">
        <f>G285</f>
        <v>1000</v>
      </c>
      <c r="L285" s="56">
        <v>0</v>
      </c>
      <c r="M285" s="57">
        <f t="shared" ref="M285" si="546">SUM(K285:L285)</f>
        <v>1000</v>
      </c>
      <c r="N285" s="58"/>
      <c r="O285" s="55">
        <f>K285</f>
        <v>1000</v>
      </c>
      <c r="P285" s="56">
        <v>0</v>
      </c>
      <c r="Q285" s="56">
        <f t="shared" ref="Q285" si="547">SUM(O285:P285)</f>
        <v>1000</v>
      </c>
      <c r="R285" s="58"/>
      <c r="S285" s="55">
        <f>O285</f>
        <v>1000</v>
      </c>
      <c r="T285" s="56">
        <v>0</v>
      </c>
      <c r="U285" s="57">
        <f t="shared" ref="U285" si="548">SUM(S285:T285)</f>
        <v>1000</v>
      </c>
      <c r="V285" s="59"/>
      <c r="W285" s="124">
        <f t="shared" ref="W285:Y285" si="549">C285+G285+K285+O285+S285</f>
        <v>5000</v>
      </c>
      <c r="X285" s="57">
        <f t="shared" si="549"/>
        <v>0</v>
      </c>
      <c r="Y285" s="202">
        <f t="shared" si="549"/>
        <v>5000</v>
      </c>
    </row>
    <row r="286" spans="1:77" s="61" customFormat="1" x14ac:dyDescent="0.25">
      <c r="A286" s="203"/>
      <c r="B286" s="54" t="s">
        <v>57</v>
      </c>
      <c r="C286" s="124">
        <v>0</v>
      </c>
      <c r="D286" s="56">
        <v>0</v>
      </c>
      <c r="E286" s="56">
        <f t="shared" ref="E286:E288" si="550">SUM(C286:D286)</f>
        <v>0</v>
      </c>
      <c r="F286" s="58"/>
      <c r="G286" s="55">
        <v>0</v>
      </c>
      <c r="H286" s="57">
        <v>0</v>
      </c>
      <c r="I286" s="57">
        <f t="shared" ref="I286:I288" si="551">SUM(G286:H286)</f>
        <v>0</v>
      </c>
      <c r="J286" s="58"/>
      <c r="K286" s="55">
        <v>0</v>
      </c>
      <c r="L286" s="56">
        <v>0</v>
      </c>
      <c r="M286" s="57">
        <f t="shared" ref="M286:M288" si="552">SUM(K286:L286)</f>
        <v>0</v>
      </c>
      <c r="N286" s="58"/>
      <c r="O286" s="55">
        <v>0</v>
      </c>
      <c r="P286" s="57">
        <v>0</v>
      </c>
      <c r="Q286" s="57">
        <f t="shared" ref="Q286:Q288" si="553">SUM(O286:P286)</f>
        <v>0</v>
      </c>
      <c r="R286" s="58"/>
      <c r="S286" s="55">
        <v>0</v>
      </c>
      <c r="T286" s="56">
        <v>0</v>
      </c>
      <c r="U286" s="57">
        <f t="shared" ref="U286:U288" si="554">SUM(S286:T286)</f>
        <v>0</v>
      </c>
      <c r="V286" s="59"/>
      <c r="W286" s="124">
        <f t="shared" ref="W286:W289" si="555">C286+G286+K286+O286+S286</f>
        <v>0</v>
      </c>
      <c r="X286" s="57">
        <f t="shared" ref="X286:X289" si="556">D286+H286+L286+P286+T286</f>
        <v>0</v>
      </c>
      <c r="Y286" s="84">
        <f t="shared" ref="Y286:Y289" si="557">E286+I286+M286+Q286+U286</f>
        <v>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si="550"/>
        <v>0</v>
      </c>
      <c r="F287" s="58"/>
      <c r="G287" s="55">
        <v>0</v>
      </c>
      <c r="H287" s="57"/>
      <c r="I287" s="57">
        <f t="shared" si="551"/>
        <v>0</v>
      </c>
      <c r="J287" s="58"/>
      <c r="K287" s="55">
        <v>0</v>
      </c>
      <c r="L287" s="56">
        <v>0</v>
      </c>
      <c r="M287" s="57">
        <f t="shared" si="552"/>
        <v>0</v>
      </c>
      <c r="N287" s="58"/>
      <c r="O287" s="55">
        <v>0</v>
      </c>
      <c r="P287" s="56">
        <v>0</v>
      </c>
      <c r="Q287" s="56">
        <f t="shared" si="553"/>
        <v>0</v>
      </c>
      <c r="R287" s="58"/>
      <c r="S287" s="55">
        <v>0</v>
      </c>
      <c r="T287" s="56">
        <v>0</v>
      </c>
      <c r="U287" s="57">
        <f t="shared" si="554"/>
        <v>0</v>
      </c>
      <c r="V287" s="59"/>
      <c r="W287" s="124">
        <f t="shared" si="555"/>
        <v>0</v>
      </c>
      <c r="X287" s="57">
        <f t="shared" si="556"/>
        <v>0</v>
      </c>
      <c r="Y287" s="84">
        <f t="shared" si="557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550"/>
        <v>0</v>
      </c>
      <c r="F288" s="58"/>
      <c r="G288" s="55">
        <v>0</v>
      </c>
      <c r="H288" s="57">
        <v>0</v>
      </c>
      <c r="I288" s="57">
        <f t="shared" si="551"/>
        <v>0</v>
      </c>
      <c r="J288" s="58"/>
      <c r="K288" s="55">
        <v>0</v>
      </c>
      <c r="L288" s="57">
        <v>0</v>
      </c>
      <c r="M288" s="57">
        <f t="shared" si="552"/>
        <v>0</v>
      </c>
      <c r="N288" s="58"/>
      <c r="O288" s="55">
        <v>0</v>
      </c>
      <c r="P288" s="57">
        <v>0</v>
      </c>
      <c r="Q288" s="57">
        <f t="shared" si="553"/>
        <v>0</v>
      </c>
      <c r="R288" s="58"/>
      <c r="S288" s="55">
        <v>0</v>
      </c>
      <c r="T288" s="57">
        <v>0</v>
      </c>
      <c r="U288" s="57">
        <f t="shared" si="554"/>
        <v>0</v>
      </c>
      <c r="V288" s="59"/>
      <c r="W288" s="124">
        <f t="shared" si="555"/>
        <v>0</v>
      </c>
      <c r="X288" s="57">
        <f t="shared" si="556"/>
        <v>0</v>
      </c>
      <c r="Y288" s="84">
        <f t="shared" si="557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1000</v>
      </c>
      <c r="D289" s="153">
        <f>SUM(D285:D288)</f>
        <v>0</v>
      </c>
      <c r="E289" s="153">
        <f>SUM(E285:E288)</f>
        <v>1000</v>
      </c>
      <c r="F289" s="154"/>
      <c r="G289" s="152">
        <f>SUM(G285:G288)</f>
        <v>1000</v>
      </c>
      <c r="H289" s="155">
        <f>SUM(H285:H288)</f>
        <v>0</v>
      </c>
      <c r="I289" s="155">
        <f>SUM(I285:I288)</f>
        <v>1000</v>
      </c>
      <c r="J289" s="154"/>
      <c r="K289" s="152">
        <f>SUM(K285:K288)</f>
        <v>1000</v>
      </c>
      <c r="L289" s="155">
        <f>SUM(L285:L288)</f>
        <v>0</v>
      </c>
      <c r="M289" s="155">
        <f>SUM(M285:M288)</f>
        <v>1000</v>
      </c>
      <c r="N289" s="154"/>
      <c r="O289" s="152">
        <f>SUM(O285:O288)</f>
        <v>1000</v>
      </c>
      <c r="P289" s="155">
        <f>SUM(P285:P288)</f>
        <v>0</v>
      </c>
      <c r="Q289" s="155">
        <f>SUM(Q285:Q288)</f>
        <v>1000</v>
      </c>
      <c r="R289" s="154"/>
      <c r="S289" s="152">
        <f>SUM(S285:S288)</f>
        <v>1000</v>
      </c>
      <c r="T289" s="155">
        <f>SUM(T285:T288)</f>
        <v>0</v>
      </c>
      <c r="U289" s="155">
        <f>SUM(U285:U288)</f>
        <v>1000</v>
      </c>
      <c r="V289" s="82"/>
      <c r="W289" s="228">
        <f t="shared" si="555"/>
        <v>5000</v>
      </c>
      <c r="X289" s="80">
        <f t="shared" si="556"/>
        <v>0</v>
      </c>
      <c r="Y289" s="80">
        <f t="shared" si="557"/>
        <v>5000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558">SUM(C269+C274+C279+C283+C289)</f>
        <v>12556.327003040002</v>
      </c>
      <c r="D290" s="246">
        <f t="shared" si="558"/>
        <v>0</v>
      </c>
      <c r="E290" s="246">
        <f t="shared" si="558"/>
        <v>12556.327003040002</v>
      </c>
      <c r="F290" s="246">
        <f t="shared" si="558"/>
        <v>0</v>
      </c>
      <c r="G290" s="246">
        <f t="shared" si="558"/>
        <v>12990.676813525137</v>
      </c>
      <c r="H290" s="246">
        <f t="shared" si="558"/>
        <v>0</v>
      </c>
      <c r="I290" s="246">
        <f t="shared" si="558"/>
        <v>12990.676813525137</v>
      </c>
      <c r="J290" s="246">
        <f t="shared" si="558"/>
        <v>0</v>
      </c>
      <c r="K290" s="246">
        <f t="shared" si="558"/>
        <v>13445.222612348818</v>
      </c>
      <c r="L290" s="246">
        <f t="shared" si="558"/>
        <v>0</v>
      </c>
      <c r="M290" s="246">
        <f t="shared" si="558"/>
        <v>13445.222612348818</v>
      </c>
      <c r="N290" s="246">
        <f t="shared" si="558"/>
        <v>0</v>
      </c>
      <c r="O290" s="246">
        <f t="shared" si="558"/>
        <v>13921.006657747263</v>
      </c>
      <c r="P290" s="246">
        <f t="shared" si="558"/>
        <v>0</v>
      </c>
      <c r="Q290" s="246">
        <f t="shared" si="558"/>
        <v>13921.006657747263</v>
      </c>
      <c r="R290" s="246">
        <f t="shared" si="558"/>
        <v>0</v>
      </c>
      <c r="S290" s="246">
        <f t="shared" si="558"/>
        <v>14419.129051159664</v>
      </c>
      <c r="T290" s="246">
        <f t="shared" si="558"/>
        <v>0</v>
      </c>
      <c r="U290" s="246">
        <f t="shared" si="558"/>
        <v>14419.129051159664</v>
      </c>
      <c r="V290" s="246">
        <f t="shared" si="558"/>
        <v>0</v>
      </c>
      <c r="W290" s="246">
        <f t="shared" si="558"/>
        <v>67332.362137820892</v>
      </c>
      <c r="X290" s="246">
        <f t="shared" si="558"/>
        <v>0</v>
      </c>
      <c r="Y290" s="246">
        <f t="shared" si="558"/>
        <v>67332.362137820892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3779.1936000000005</v>
      </c>
      <c r="D291" s="246">
        <v>0</v>
      </c>
      <c r="E291" s="246">
        <f>C291</f>
        <v>3779.1936000000005</v>
      </c>
      <c r="F291" s="246">
        <f>F263*0.47</f>
        <v>0</v>
      </c>
      <c r="G291" s="246">
        <f>((G263)*0.56)</f>
        <v>3892.5694080000007</v>
      </c>
      <c r="H291" s="246">
        <v>0</v>
      </c>
      <c r="I291" s="246">
        <f>G291</f>
        <v>3892.5694080000007</v>
      </c>
      <c r="J291" s="246">
        <f>J263*0.47</f>
        <v>0</v>
      </c>
      <c r="K291" s="246">
        <f>((K263)*0.56)</f>
        <v>4009.3464902400005</v>
      </c>
      <c r="L291" s="246">
        <v>0</v>
      </c>
      <c r="M291" s="246">
        <f>K291</f>
        <v>4009.3464902400005</v>
      </c>
      <c r="N291" s="246">
        <f>N263*0.47</f>
        <v>0</v>
      </c>
      <c r="O291" s="246">
        <f>((O263)*0.56)</f>
        <v>4129.6268849472008</v>
      </c>
      <c r="P291" s="246">
        <v>0</v>
      </c>
      <c r="Q291" s="246">
        <f>O291</f>
        <v>4129.6268849472008</v>
      </c>
      <c r="R291" s="246">
        <f>R263*0.47</f>
        <v>0</v>
      </c>
      <c r="S291" s="246">
        <f>((S263)*0.56)</f>
        <v>4253.5156914956169</v>
      </c>
      <c r="T291" s="246">
        <v>0</v>
      </c>
      <c r="U291" s="246">
        <f>S291</f>
        <v>4253.5156914956169</v>
      </c>
      <c r="V291" s="246">
        <f>V263*0.47</f>
        <v>0</v>
      </c>
      <c r="W291" s="246">
        <f>((W263)*0.56)</f>
        <v>20064.252074682823</v>
      </c>
      <c r="X291" s="246">
        <v>0</v>
      </c>
      <c r="Y291" s="246">
        <f>W291</f>
        <v>20064.252074682823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16335.520603040002</v>
      </c>
      <c r="D292" s="246">
        <f t="shared" ref="D292:Y292" si="559">SUM(D290:D291)</f>
        <v>0</v>
      </c>
      <c r="E292" s="246">
        <f t="shared" si="559"/>
        <v>16335.520603040002</v>
      </c>
      <c r="F292" s="246">
        <f t="shared" si="559"/>
        <v>0</v>
      </c>
      <c r="G292" s="246">
        <f t="shared" si="559"/>
        <v>16883.246221525136</v>
      </c>
      <c r="H292" s="246">
        <f t="shared" si="559"/>
        <v>0</v>
      </c>
      <c r="I292" s="246">
        <f t="shared" si="559"/>
        <v>16883.246221525136</v>
      </c>
      <c r="J292" s="246">
        <f t="shared" si="559"/>
        <v>0</v>
      </c>
      <c r="K292" s="246">
        <f t="shared" si="559"/>
        <v>17454.569102588819</v>
      </c>
      <c r="L292" s="246">
        <f t="shared" si="559"/>
        <v>0</v>
      </c>
      <c r="M292" s="246">
        <f t="shared" si="559"/>
        <v>17454.569102588819</v>
      </c>
      <c r="N292" s="246">
        <f t="shared" si="559"/>
        <v>0</v>
      </c>
      <c r="O292" s="246">
        <f t="shared" si="559"/>
        <v>18050.633542694464</v>
      </c>
      <c r="P292" s="246">
        <f t="shared" si="559"/>
        <v>0</v>
      </c>
      <c r="Q292" s="246">
        <f t="shared" si="559"/>
        <v>18050.633542694464</v>
      </c>
      <c r="R292" s="246">
        <f t="shared" si="559"/>
        <v>0</v>
      </c>
      <c r="S292" s="246">
        <f t="shared" si="559"/>
        <v>18672.64474265528</v>
      </c>
      <c r="T292" s="246">
        <f t="shared" si="559"/>
        <v>0</v>
      </c>
      <c r="U292" s="246">
        <f t="shared" si="559"/>
        <v>18672.64474265528</v>
      </c>
      <c r="V292" s="246">
        <f t="shared" si="559"/>
        <v>0</v>
      </c>
      <c r="W292" s="246">
        <f t="shared" si="559"/>
        <v>87396.614212503715</v>
      </c>
      <c r="X292" s="246">
        <f t="shared" si="559"/>
        <v>0</v>
      </c>
      <c r="Y292" s="246">
        <f t="shared" si="559"/>
        <v>87396.614212503715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61" customFormat="1" x14ac:dyDescent="0.25">
      <c r="A296" s="53" t="s">
        <v>57</v>
      </c>
      <c r="B296" s="61" t="s">
        <v>153</v>
      </c>
      <c r="C296" s="55">
        <f>((74651*1.03)/2080)*240</f>
        <v>8871.9842307692306</v>
      </c>
      <c r="D296" s="57">
        <v>0</v>
      </c>
      <c r="E296" s="57">
        <f t="shared" ref="E296" si="560">SUM(C296:D296)</f>
        <v>8871.9842307692306</v>
      </c>
      <c r="F296" s="58"/>
      <c r="G296" s="55">
        <f>C296*1.03</f>
        <v>9138.1437576923072</v>
      </c>
      <c r="H296" s="57">
        <f>D296*1.03</f>
        <v>0</v>
      </c>
      <c r="I296" s="57">
        <f t="shared" ref="I296" si="561">SUM(G296:H296)</f>
        <v>9138.1437576923072</v>
      </c>
      <c r="J296" s="58"/>
      <c r="K296" s="55">
        <f>G296*1.03</f>
        <v>9412.2880704230774</v>
      </c>
      <c r="L296" s="57">
        <f>H296*1.03</f>
        <v>0</v>
      </c>
      <c r="M296" s="57">
        <f t="shared" ref="M296" si="562">SUM(K296:L296)</f>
        <v>9412.2880704230774</v>
      </c>
      <c r="N296" s="58"/>
      <c r="O296" s="55">
        <f>K296*1.03</f>
        <v>9694.6567125357706</v>
      </c>
      <c r="P296" s="57">
        <f>L296*1.03</f>
        <v>0</v>
      </c>
      <c r="Q296" s="57">
        <f t="shared" ref="Q296" si="563">SUM(O296:P296)</f>
        <v>9694.6567125357706</v>
      </c>
      <c r="R296" s="58"/>
      <c r="S296" s="55">
        <f>O296*1.03</f>
        <v>9985.4964139118438</v>
      </c>
      <c r="T296" s="57">
        <f>P296*1.03</f>
        <v>0</v>
      </c>
      <c r="U296" s="57">
        <f t="shared" ref="U296" si="564">SUM(S296:T296)</f>
        <v>9985.4964139118438</v>
      </c>
      <c r="V296" s="59"/>
      <c r="W296" s="124">
        <f>C296+G296+K296+O296+S296</f>
        <v>47102.569185332228</v>
      </c>
      <c r="X296" s="57">
        <f t="shared" ref="X296:Y296" si="565">D296+H296+L296+P296+T296</f>
        <v>0</v>
      </c>
      <c r="Y296" s="60">
        <f t="shared" si="565"/>
        <v>47102.569185332228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ref="E297:E299" si="566">SUM(C297:D297)</f>
        <v>0</v>
      </c>
      <c r="F297" s="175"/>
      <c r="G297" s="172">
        <f t="shared" ref="G297:G299" si="567">C297*1.03</f>
        <v>0</v>
      </c>
      <c r="H297" s="173">
        <f t="shared" ref="H297:H299" si="568">D297*1.03</f>
        <v>0</v>
      </c>
      <c r="I297" s="173">
        <f t="shared" ref="I297:I299" si="569">SUM(G297:H297)</f>
        <v>0</v>
      </c>
      <c r="J297" s="175"/>
      <c r="K297" s="172">
        <f t="shared" ref="K297:K299" si="570">G297*1.03</f>
        <v>0</v>
      </c>
      <c r="L297" s="173">
        <f t="shared" ref="L297:L299" si="571">H297*1.03</f>
        <v>0</v>
      </c>
      <c r="M297" s="173">
        <f t="shared" ref="M297:M299" si="572">SUM(K297:L297)</f>
        <v>0</v>
      </c>
      <c r="N297" s="175"/>
      <c r="O297" s="172">
        <f t="shared" ref="O297:O299" si="573">K297*1.03</f>
        <v>0</v>
      </c>
      <c r="P297" s="173">
        <f t="shared" ref="P297:P299" si="574">L297*1.03</f>
        <v>0</v>
      </c>
      <c r="Q297" s="173">
        <f t="shared" ref="Q297:Q299" si="575">SUM(O297:P297)</f>
        <v>0</v>
      </c>
      <c r="R297" s="175"/>
      <c r="S297" s="172">
        <f t="shared" ref="S297:S299" si="576">O297*1.03</f>
        <v>0</v>
      </c>
      <c r="T297" s="173">
        <f t="shared" ref="T297:T299" si="577">P297*1.03</f>
        <v>0</v>
      </c>
      <c r="U297" s="173">
        <f t="shared" ref="U297:U299" si="578">SUM(S297:T297)</f>
        <v>0</v>
      </c>
      <c r="V297" s="176"/>
      <c r="W297" s="227">
        <f t="shared" ref="W297:W300" si="579">C297+G297+K297+O297+S297</f>
        <v>0</v>
      </c>
      <c r="X297" s="173">
        <f t="shared" ref="X297:X300" si="580">D297+H297+L297+P297+T297</f>
        <v>0</v>
      </c>
      <c r="Y297" s="177">
        <f t="shared" ref="Y297:Y300" si="581">E297+I297+M297+Q297+U297</f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566"/>
        <v>0</v>
      </c>
      <c r="F298" s="175"/>
      <c r="G298" s="172">
        <f t="shared" si="567"/>
        <v>0</v>
      </c>
      <c r="H298" s="173">
        <f t="shared" si="568"/>
        <v>0</v>
      </c>
      <c r="I298" s="173">
        <f t="shared" si="569"/>
        <v>0</v>
      </c>
      <c r="J298" s="175"/>
      <c r="K298" s="172">
        <f t="shared" si="570"/>
        <v>0</v>
      </c>
      <c r="L298" s="173">
        <f t="shared" si="571"/>
        <v>0</v>
      </c>
      <c r="M298" s="173">
        <f t="shared" si="572"/>
        <v>0</v>
      </c>
      <c r="N298" s="175"/>
      <c r="O298" s="172">
        <f t="shared" si="573"/>
        <v>0</v>
      </c>
      <c r="P298" s="173">
        <f t="shared" si="574"/>
        <v>0</v>
      </c>
      <c r="Q298" s="173">
        <f t="shared" si="575"/>
        <v>0</v>
      </c>
      <c r="R298" s="175"/>
      <c r="S298" s="172">
        <f t="shared" si="576"/>
        <v>0</v>
      </c>
      <c r="T298" s="173">
        <f t="shared" si="577"/>
        <v>0</v>
      </c>
      <c r="U298" s="173">
        <f t="shared" si="578"/>
        <v>0</v>
      </c>
      <c r="V298" s="176"/>
      <c r="W298" s="227">
        <f t="shared" si="579"/>
        <v>0</v>
      </c>
      <c r="X298" s="173">
        <f t="shared" si="580"/>
        <v>0</v>
      </c>
      <c r="Y298" s="177">
        <f t="shared" si="581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566"/>
        <v>0</v>
      </c>
      <c r="F299" s="175"/>
      <c r="G299" s="172">
        <f t="shared" si="567"/>
        <v>0</v>
      </c>
      <c r="H299" s="173">
        <f t="shared" si="568"/>
        <v>0</v>
      </c>
      <c r="I299" s="173">
        <f t="shared" si="569"/>
        <v>0</v>
      </c>
      <c r="J299" s="175"/>
      <c r="K299" s="172">
        <f t="shared" si="570"/>
        <v>0</v>
      </c>
      <c r="L299" s="173">
        <f t="shared" si="571"/>
        <v>0</v>
      </c>
      <c r="M299" s="173">
        <f t="shared" si="572"/>
        <v>0</v>
      </c>
      <c r="N299" s="175"/>
      <c r="O299" s="172">
        <f t="shared" si="573"/>
        <v>0</v>
      </c>
      <c r="P299" s="173">
        <f t="shared" si="574"/>
        <v>0</v>
      </c>
      <c r="Q299" s="173">
        <f t="shared" si="575"/>
        <v>0</v>
      </c>
      <c r="R299" s="175"/>
      <c r="S299" s="172">
        <f t="shared" si="576"/>
        <v>0</v>
      </c>
      <c r="T299" s="173">
        <f t="shared" si="577"/>
        <v>0</v>
      </c>
      <c r="U299" s="173">
        <f t="shared" si="578"/>
        <v>0</v>
      </c>
      <c r="V299" s="176"/>
      <c r="W299" s="227">
        <f t="shared" si="579"/>
        <v>0</v>
      </c>
      <c r="X299" s="173">
        <f t="shared" si="580"/>
        <v>0</v>
      </c>
      <c r="Y299" s="177">
        <f t="shared" si="581"/>
        <v>0</v>
      </c>
    </row>
    <row r="300" spans="1:77" s="83" customFormat="1" x14ac:dyDescent="0.25">
      <c r="A300" s="78"/>
      <c r="B300" s="78" t="s">
        <v>9</v>
      </c>
      <c r="C300" s="228">
        <f>SUM(C296:C299)</f>
        <v>8871.9842307692306</v>
      </c>
      <c r="D300" s="125">
        <f>SUM(D296:D299)</f>
        <v>0</v>
      </c>
      <c r="E300" s="125">
        <f>SUM(E296:E299)</f>
        <v>8871.9842307692306</v>
      </c>
      <c r="F300" s="81"/>
      <c r="G300" s="79">
        <f>SUM(G296:G299)</f>
        <v>9138.1437576923072</v>
      </c>
      <c r="H300" s="80">
        <f>SUM(H296:H299)</f>
        <v>0</v>
      </c>
      <c r="I300" s="80">
        <f>SUM(I296:I299)</f>
        <v>9138.1437576923072</v>
      </c>
      <c r="J300" s="81"/>
      <c r="K300" s="79">
        <f>SUM(K296:K299)</f>
        <v>9412.2880704230774</v>
      </c>
      <c r="L300" s="80">
        <f>SUM(L296:L299)</f>
        <v>0</v>
      </c>
      <c r="M300" s="80">
        <f>SUM(M296:M299)</f>
        <v>9412.2880704230774</v>
      </c>
      <c r="N300" s="81"/>
      <c r="O300" s="79">
        <f>SUM(O296:O299)</f>
        <v>9694.6567125357706</v>
      </c>
      <c r="P300" s="80">
        <f>SUM(P296:P299)</f>
        <v>0</v>
      </c>
      <c r="Q300" s="80">
        <f>SUM(Q296:Q299)</f>
        <v>9694.6567125357706</v>
      </c>
      <c r="R300" s="81"/>
      <c r="S300" s="79">
        <f>SUM(S296:S299)</f>
        <v>9985.4964139118438</v>
      </c>
      <c r="T300" s="80">
        <f>SUM(T296:T299)</f>
        <v>0</v>
      </c>
      <c r="U300" s="80">
        <f>SUM(U296:U299)</f>
        <v>9985.4964139118438</v>
      </c>
      <c r="V300" s="82"/>
      <c r="W300" s="228">
        <f t="shared" si="579"/>
        <v>47102.569185332228</v>
      </c>
      <c r="X300" s="80">
        <f t="shared" si="580"/>
        <v>0</v>
      </c>
      <c r="Y300" s="80">
        <f t="shared" si="581"/>
        <v>47102.569185332228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K305" si="582">G302*1.03</f>
        <v>0</v>
      </c>
      <c r="L302" s="57">
        <f t="shared" ref="L302:L305" si="583">H302*1.03</f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W306" si="584">C302+G302+K302+O302+S302</f>
        <v>0</v>
      </c>
      <c r="X302" s="57">
        <f t="shared" ref="X302:X306" si="585">D302+H302+L302+P302+T302</f>
        <v>0</v>
      </c>
      <c r="Y302" s="57">
        <f t="shared" ref="Y302:Y305" si="586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587">SUM(C303:D303)</f>
        <v>0</v>
      </c>
      <c r="F303" s="58"/>
      <c r="G303" s="55">
        <f t="shared" ref="G303:G305" si="588">C303*1.03</f>
        <v>0</v>
      </c>
      <c r="H303" s="57">
        <f t="shared" ref="H303:H305" si="589">D303*1.03</f>
        <v>0</v>
      </c>
      <c r="I303" s="57">
        <f t="shared" ref="I303:I305" si="590">SUM(G303:H303)</f>
        <v>0</v>
      </c>
      <c r="J303" s="58"/>
      <c r="K303" s="55">
        <f t="shared" si="582"/>
        <v>0</v>
      </c>
      <c r="L303" s="57">
        <f t="shared" si="583"/>
        <v>0</v>
      </c>
      <c r="M303" s="57">
        <f t="shared" ref="M303:M305" si="591">SUM(K303:L303)</f>
        <v>0</v>
      </c>
      <c r="N303" s="58"/>
      <c r="O303" s="55">
        <f t="shared" ref="O303:O305" si="592">K303*1.03</f>
        <v>0</v>
      </c>
      <c r="P303" s="57">
        <f t="shared" ref="P303:P305" si="593">L303*1.03</f>
        <v>0</v>
      </c>
      <c r="Q303" s="57">
        <f t="shared" ref="Q303:Q305" si="594">SUM(O303:P303)</f>
        <v>0</v>
      </c>
      <c r="R303" s="58"/>
      <c r="S303" s="55">
        <f t="shared" ref="S303:S305" si="595">O303*1.03</f>
        <v>0</v>
      </c>
      <c r="T303" s="57">
        <f t="shared" ref="T303:T305" si="596">P303*1.03</f>
        <v>0</v>
      </c>
      <c r="U303" s="57">
        <f t="shared" ref="U303:U305" si="597">SUM(S303:T303)</f>
        <v>0</v>
      </c>
      <c r="V303" s="59"/>
      <c r="W303" s="124">
        <f t="shared" si="584"/>
        <v>0</v>
      </c>
      <c r="X303" s="57">
        <f t="shared" si="585"/>
        <v>0</v>
      </c>
      <c r="Y303" s="57">
        <f t="shared" si="586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587"/>
        <v>0</v>
      </c>
      <c r="F304" s="58"/>
      <c r="G304" s="55">
        <f t="shared" si="588"/>
        <v>0</v>
      </c>
      <c r="H304" s="57">
        <f t="shared" si="589"/>
        <v>0</v>
      </c>
      <c r="I304" s="57">
        <f t="shared" si="590"/>
        <v>0</v>
      </c>
      <c r="J304" s="58"/>
      <c r="K304" s="55">
        <f t="shared" si="582"/>
        <v>0</v>
      </c>
      <c r="L304" s="57">
        <f t="shared" si="583"/>
        <v>0</v>
      </c>
      <c r="M304" s="57">
        <f t="shared" si="591"/>
        <v>0</v>
      </c>
      <c r="N304" s="58"/>
      <c r="O304" s="55">
        <f t="shared" si="592"/>
        <v>0</v>
      </c>
      <c r="P304" s="57">
        <f t="shared" si="593"/>
        <v>0</v>
      </c>
      <c r="Q304" s="57">
        <f t="shared" si="594"/>
        <v>0</v>
      </c>
      <c r="R304" s="58"/>
      <c r="S304" s="55">
        <f t="shared" si="595"/>
        <v>0</v>
      </c>
      <c r="T304" s="57">
        <f t="shared" si="596"/>
        <v>0</v>
      </c>
      <c r="U304" s="57">
        <f t="shared" si="597"/>
        <v>0</v>
      </c>
      <c r="V304" s="59"/>
      <c r="W304" s="124">
        <f t="shared" si="584"/>
        <v>0</v>
      </c>
      <c r="X304" s="57">
        <f t="shared" si="585"/>
        <v>0</v>
      </c>
      <c r="Y304" s="57">
        <f t="shared" si="586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587"/>
        <v>0</v>
      </c>
      <c r="F305" s="58"/>
      <c r="G305" s="55">
        <f t="shared" si="588"/>
        <v>0</v>
      </c>
      <c r="H305" s="57">
        <f t="shared" si="589"/>
        <v>0</v>
      </c>
      <c r="I305" s="57">
        <f t="shared" si="590"/>
        <v>0</v>
      </c>
      <c r="J305" s="58"/>
      <c r="K305" s="55">
        <f t="shared" si="582"/>
        <v>0</v>
      </c>
      <c r="L305" s="57">
        <f t="shared" si="583"/>
        <v>0</v>
      </c>
      <c r="M305" s="57">
        <f t="shared" si="591"/>
        <v>0</v>
      </c>
      <c r="N305" s="58"/>
      <c r="O305" s="55">
        <f t="shared" si="592"/>
        <v>0</v>
      </c>
      <c r="P305" s="57">
        <f t="shared" si="593"/>
        <v>0</v>
      </c>
      <c r="Q305" s="57">
        <f t="shared" si="594"/>
        <v>0</v>
      </c>
      <c r="R305" s="58"/>
      <c r="S305" s="55">
        <f t="shared" si="595"/>
        <v>0</v>
      </c>
      <c r="T305" s="57">
        <f t="shared" si="596"/>
        <v>0</v>
      </c>
      <c r="U305" s="57">
        <f t="shared" si="597"/>
        <v>0</v>
      </c>
      <c r="V305" s="59"/>
      <c r="W305" s="124">
        <f t="shared" si="584"/>
        <v>0</v>
      </c>
      <c r="X305" s="57">
        <f t="shared" si="585"/>
        <v>0</v>
      </c>
      <c r="Y305" s="57">
        <f t="shared" si="586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263">
        <f>SUM(O302:O305)</f>
        <v>0</v>
      </c>
      <c r="P306" s="264">
        <f>SUM(P302:P305)</f>
        <v>0</v>
      </c>
      <c r="Q306" s="264">
        <f>SUM(Q302:Q305)</f>
        <v>0</v>
      </c>
      <c r="R306" s="265"/>
      <c r="S306" s="263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584"/>
        <v>0</v>
      </c>
      <c r="X306" s="80">
        <f t="shared" si="585"/>
        <v>0</v>
      </c>
      <c r="Y306" s="80">
        <f t="shared" ref="Y306" si="598">E306+I306+M306+Q306+U306</f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599">C306+C300</f>
        <v>8871.9842307692306</v>
      </c>
      <c r="D307" s="248">
        <f t="shared" si="599"/>
        <v>0</v>
      </c>
      <c r="E307" s="248">
        <f t="shared" si="599"/>
        <v>8871.9842307692306</v>
      </c>
      <c r="F307" s="248">
        <f t="shared" si="599"/>
        <v>0</v>
      </c>
      <c r="G307" s="248">
        <f t="shared" si="599"/>
        <v>9138.1437576923072</v>
      </c>
      <c r="H307" s="248">
        <f t="shared" si="599"/>
        <v>0</v>
      </c>
      <c r="I307" s="248">
        <f t="shared" si="599"/>
        <v>9138.1437576923072</v>
      </c>
      <c r="J307" s="248">
        <f t="shared" si="599"/>
        <v>0</v>
      </c>
      <c r="K307" s="248">
        <f t="shared" si="599"/>
        <v>9412.2880704230774</v>
      </c>
      <c r="L307" s="248">
        <f t="shared" si="599"/>
        <v>0</v>
      </c>
      <c r="M307" s="248">
        <f t="shared" si="599"/>
        <v>9412.2880704230774</v>
      </c>
      <c r="N307" s="248">
        <f t="shared" si="599"/>
        <v>0</v>
      </c>
      <c r="O307" s="266">
        <f t="shared" si="599"/>
        <v>9694.6567125357706</v>
      </c>
      <c r="P307" s="266">
        <f t="shared" si="599"/>
        <v>0</v>
      </c>
      <c r="Q307" s="266">
        <f t="shared" si="599"/>
        <v>9694.6567125357706</v>
      </c>
      <c r="R307" s="266">
        <f t="shared" si="599"/>
        <v>0</v>
      </c>
      <c r="S307" s="266">
        <f t="shared" si="599"/>
        <v>9985.4964139118438</v>
      </c>
      <c r="T307" s="248">
        <f t="shared" si="599"/>
        <v>0</v>
      </c>
      <c r="U307" s="248">
        <f t="shared" si="599"/>
        <v>9985.4964139118438</v>
      </c>
      <c r="V307" s="248">
        <f t="shared" si="599"/>
        <v>0</v>
      </c>
      <c r="W307" s="248">
        <f t="shared" si="599"/>
        <v>47102.569185332228</v>
      </c>
      <c r="X307" s="248">
        <f t="shared" si="599"/>
        <v>0</v>
      </c>
      <c r="Y307" s="249">
        <f>E307+I307+M307+Q307+U307</f>
        <v>47102.569185332228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258"/>
      <c r="P308" s="258"/>
      <c r="Q308" s="258"/>
      <c r="R308" s="258"/>
      <c r="S308" s="2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600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601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602">SUM(K309:L309)</f>
        <v>0</v>
      </c>
      <c r="N309" s="58"/>
      <c r="O309" s="260">
        <f>O302*A309*1.03*1.03*1.03*1.03</f>
        <v>0</v>
      </c>
      <c r="P309" s="259">
        <f>P302*A309*1.03*1.03*1.03</f>
        <v>0</v>
      </c>
      <c r="Q309" s="261">
        <f t="shared" ref="Q309:Q311" si="603">SUM(O309:P309)</f>
        <v>0</v>
      </c>
      <c r="R309" s="258"/>
      <c r="S309" s="260">
        <f>S302*A309*1.03*1.03*1.03*1.03*1.03</f>
        <v>0</v>
      </c>
      <c r="T309" s="56">
        <f>T302*A309*1.03*1.03*1.03*1.03</f>
        <v>0</v>
      </c>
      <c r="U309" s="57">
        <f t="shared" ref="U309:U311" si="604">SUM(S309:T309)</f>
        <v>0</v>
      </c>
      <c r="V309" s="59"/>
      <c r="W309" s="124">
        <f t="shared" ref="W309:Y312" si="605">C309+G309+K309+O309+S309</f>
        <v>0</v>
      </c>
      <c r="X309" s="57">
        <f t="shared" ref="X309:X312" si="606">D309+H309+L309+P309+T309</f>
        <v>0</v>
      </c>
      <c r="Y309" s="84">
        <f t="shared" ref="Y309:Y312" si="607">E309+I309+M309+Q309+U309</f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0.32990000000000003</v>
      </c>
      <c r="B310" s="52" t="s">
        <v>109</v>
      </c>
      <c r="C310" s="124">
        <f>C300*(A310*1.03)</f>
        <v>3014.6736256626923</v>
      </c>
      <c r="D310" s="56">
        <f>D300*A310*1.03</f>
        <v>0</v>
      </c>
      <c r="E310" s="56">
        <f t="shared" si="600"/>
        <v>3014.6736256626923</v>
      </c>
      <c r="F310" s="58"/>
      <c r="G310" s="124">
        <f>G300*A310*1.03*1.03</f>
        <v>3198.2672494655503</v>
      </c>
      <c r="H310" s="56">
        <f>H300*A310*1.03*1.03</f>
        <v>0</v>
      </c>
      <c r="I310" s="57">
        <f t="shared" si="601"/>
        <v>3198.2672494655503</v>
      </c>
      <c r="J310" s="58"/>
      <c r="K310" s="55">
        <f>K300*A310*1.03*1.03*1.03</f>
        <v>3393.0417249580028</v>
      </c>
      <c r="L310" s="56">
        <f>L304*A310*1.03*1.03</f>
        <v>0</v>
      </c>
      <c r="M310" s="57">
        <f t="shared" si="602"/>
        <v>3393.0417249580028</v>
      </c>
      <c r="N310" s="58"/>
      <c r="O310" s="262">
        <f>O300*A310*1.03*1.03*1.03*1.03</f>
        <v>3599.6779660079455</v>
      </c>
      <c r="P310" s="259">
        <f>P304*A310*1.03*1.03*1.03</f>
        <v>0</v>
      </c>
      <c r="Q310" s="261">
        <f t="shared" si="603"/>
        <v>3599.6779660079455</v>
      </c>
      <c r="R310" s="258"/>
      <c r="S310" s="262">
        <f>S300*A310*1.03*1.03*1.03*1.03*1.03</f>
        <v>3818.8983541378302</v>
      </c>
      <c r="T310" s="56">
        <f>T304*A310*1.03*1.03*1.03*1.03</f>
        <v>0</v>
      </c>
      <c r="U310" s="57">
        <f t="shared" si="604"/>
        <v>3818.8983541378302</v>
      </c>
      <c r="V310" s="59"/>
      <c r="W310" s="124">
        <f t="shared" si="605"/>
        <v>17024.558920232019</v>
      </c>
      <c r="X310" s="57">
        <f t="shared" si="605"/>
        <v>0</v>
      </c>
      <c r="Y310" s="84">
        <f t="shared" si="605"/>
        <v>17024.558920232019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600"/>
        <v>0</v>
      </c>
      <c r="F311" s="58"/>
      <c r="G311" s="55">
        <f>C311*1.05</f>
        <v>0</v>
      </c>
      <c r="H311" s="57">
        <f>D311*1.05</f>
        <v>0</v>
      </c>
      <c r="I311" s="57">
        <f t="shared" si="601"/>
        <v>0</v>
      </c>
      <c r="J311" s="58"/>
      <c r="K311" s="55">
        <f>K300*A310*1.03*1.03*1.03*0</f>
        <v>0</v>
      </c>
      <c r="L311" s="56">
        <f>L300*A310*1.03*1.03*1.03</f>
        <v>0</v>
      </c>
      <c r="M311" s="57">
        <f t="shared" si="602"/>
        <v>0</v>
      </c>
      <c r="N311" s="58"/>
      <c r="O311" s="55">
        <f>O300*A310*1.03*1.03*1.03*1.03*0</f>
        <v>0</v>
      </c>
      <c r="P311" s="56">
        <f>P300*A310*1.03*1.03*1.03*1.03</f>
        <v>0</v>
      </c>
      <c r="Q311" s="57">
        <f t="shared" si="603"/>
        <v>0</v>
      </c>
      <c r="R311" s="58"/>
      <c r="S311" s="55">
        <f>S300*A310*1.03*1.03*1.03*1.03*1.03*0</f>
        <v>0</v>
      </c>
      <c r="T311" s="56">
        <f>T300*A310*1.03*1.03*1.03*1.03*1.03</f>
        <v>0</v>
      </c>
      <c r="U311" s="57">
        <f t="shared" si="604"/>
        <v>0</v>
      </c>
      <c r="V311" s="59"/>
      <c r="W311" s="124">
        <f t="shared" si="605"/>
        <v>0</v>
      </c>
      <c r="X311" s="57">
        <f t="shared" si="606"/>
        <v>0</v>
      </c>
      <c r="Y311" s="84">
        <f t="shared" si="607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3014.6736256626923</v>
      </c>
      <c r="D312" s="125">
        <f>SUM(D309:D311)</f>
        <v>0</v>
      </c>
      <c r="E312" s="125">
        <f>SUM(E309:E311)</f>
        <v>3014.6736256626923</v>
      </c>
      <c r="F312" s="81"/>
      <c r="G312" s="79">
        <f>SUM(G309:G311)</f>
        <v>3198.2672494655503</v>
      </c>
      <c r="H312" s="80">
        <f>SUM(H309:H311)</f>
        <v>0</v>
      </c>
      <c r="I312" s="80">
        <f>SUM(I309:I311)</f>
        <v>3198.2672494655503</v>
      </c>
      <c r="J312" s="81"/>
      <c r="K312" s="79">
        <f>SUM(K309:K311)</f>
        <v>3393.0417249580028</v>
      </c>
      <c r="L312" s="80">
        <f>SUM(L309:L311)</f>
        <v>0</v>
      </c>
      <c r="M312" s="80">
        <f>SUM(M309:M311)</f>
        <v>3393.0417249580028</v>
      </c>
      <c r="N312" s="81"/>
      <c r="O312" s="79">
        <f>SUM(O309:O311)</f>
        <v>3599.6779660079455</v>
      </c>
      <c r="P312" s="80">
        <f>SUM(P309:P311)</f>
        <v>0</v>
      </c>
      <c r="Q312" s="80">
        <f>SUM(Q309:Q311)</f>
        <v>3599.6779660079455</v>
      </c>
      <c r="R312" s="81"/>
      <c r="S312" s="79">
        <f>SUM(S309:S311)</f>
        <v>3818.8983541378302</v>
      </c>
      <c r="T312" s="80">
        <f>SUM(T309:T311)</f>
        <v>0</v>
      </c>
      <c r="U312" s="80">
        <f>SUM(U309:U311)</f>
        <v>3818.8983541378302</v>
      </c>
      <c r="V312" s="82"/>
      <c r="W312" s="228">
        <f t="shared" si="605"/>
        <v>17024.558920232019</v>
      </c>
      <c r="X312" s="80">
        <f t="shared" si="606"/>
        <v>0</v>
      </c>
      <c r="Y312" s="80">
        <f t="shared" si="607"/>
        <v>17024.558920232019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608">C312+C307</f>
        <v>11886.657856431922</v>
      </c>
      <c r="D313" s="248">
        <f t="shared" si="608"/>
        <v>0</v>
      </c>
      <c r="E313" s="248">
        <f t="shared" si="608"/>
        <v>11886.657856431922</v>
      </c>
      <c r="F313" s="248">
        <f t="shared" si="608"/>
        <v>0</v>
      </c>
      <c r="G313" s="248">
        <f t="shared" si="608"/>
        <v>12336.411007157858</v>
      </c>
      <c r="H313" s="248">
        <f t="shared" si="608"/>
        <v>0</v>
      </c>
      <c r="I313" s="248">
        <f t="shared" si="608"/>
        <v>12336.411007157858</v>
      </c>
      <c r="J313" s="248">
        <f t="shared" si="608"/>
        <v>0</v>
      </c>
      <c r="K313" s="248">
        <f t="shared" si="608"/>
        <v>12805.32979538108</v>
      </c>
      <c r="L313" s="248">
        <f t="shared" si="608"/>
        <v>0</v>
      </c>
      <c r="M313" s="248">
        <f t="shared" si="608"/>
        <v>12805.32979538108</v>
      </c>
      <c r="N313" s="248">
        <f t="shared" si="608"/>
        <v>0</v>
      </c>
      <c r="O313" s="248">
        <f t="shared" si="608"/>
        <v>13294.334678543717</v>
      </c>
      <c r="P313" s="248">
        <f t="shared" si="608"/>
        <v>0</v>
      </c>
      <c r="Q313" s="248">
        <f t="shared" si="608"/>
        <v>13294.334678543717</v>
      </c>
      <c r="R313" s="248">
        <f t="shared" si="608"/>
        <v>0</v>
      </c>
      <c r="S313" s="248">
        <f t="shared" si="608"/>
        <v>13804.394768049675</v>
      </c>
      <c r="T313" s="248">
        <f t="shared" si="608"/>
        <v>0</v>
      </c>
      <c r="U313" s="248">
        <f t="shared" si="608"/>
        <v>13804.394768049675</v>
      </c>
      <c r="V313" s="248">
        <f t="shared" si="608"/>
        <v>0</v>
      </c>
      <c r="W313" s="248">
        <f t="shared" si="608"/>
        <v>64127.128105564247</v>
      </c>
      <c r="X313" s="248">
        <f t="shared" si="608"/>
        <v>0</v>
      </c>
      <c r="Y313" s="248">
        <f t="shared" si="608"/>
        <v>64127.128105564247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609">SUM(C315:D315)</f>
        <v>0</v>
      </c>
      <c r="F315" s="58"/>
      <c r="G315" s="55">
        <v>0</v>
      </c>
      <c r="H315" s="57">
        <v>0</v>
      </c>
      <c r="I315" s="57">
        <f t="shared" ref="I315:I317" si="610">SUM(G315:H315)</f>
        <v>0</v>
      </c>
      <c r="J315" s="58"/>
      <c r="K315" s="55">
        <v>0</v>
      </c>
      <c r="L315" s="57">
        <v>0</v>
      </c>
      <c r="M315" s="57">
        <f t="shared" ref="M315:M317" si="611">SUM(K315:L315)</f>
        <v>0</v>
      </c>
      <c r="N315" s="58"/>
      <c r="O315" s="55">
        <v>0</v>
      </c>
      <c r="P315" s="57">
        <v>0</v>
      </c>
      <c r="Q315" s="57">
        <f t="shared" ref="Q315:Q317" si="612">SUM(O315:P315)</f>
        <v>0</v>
      </c>
      <c r="R315" s="58"/>
      <c r="S315" s="55">
        <v>0</v>
      </c>
      <c r="T315" s="57">
        <v>0</v>
      </c>
      <c r="U315" s="57">
        <f t="shared" ref="U315:U317" si="613">SUM(S315:T315)</f>
        <v>0</v>
      </c>
      <c r="V315" s="59"/>
      <c r="W315" s="124">
        <f t="shared" ref="W315:W318" si="614">C315+G315+K315+O315+S315</f>
        <v>0</v>
      </c>
      <c r="X315" s="57">
        <f t="shared" ref="X315:X318" si="615">D315+H315+L315+P315+T315</f>
        <v>0</v>
      </c>
      <c r="Y315" s="84">
        <f t="shared" ref="Y315:Y318" si="616">E315+I315+M315+Q315+U315</f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609"/>
        <v>0</v>
      </c>
      <c r="F316" s="58"/>
      <c r="G316" s="55">
        <v>0</v>
      </c>
      <c r="H316" s="57">
        <v>0</v>
      </c>
      <c r="I316" s="57">
        <f t="shared" si="610"/>
        <v>0</v>
      </c>
      <c r="J316" s="58"/>
      <c r="K316" s="55">
        <v>0</v>
      </c>
      <c r="L316" s="57">
        <v>0</v>
      </c>
      <c r="M316" s="57">
        <f t="shared" si="611"/>
        <v>0</v>
      </c>
      <c r="N316" s="58"/>
      <c r="O316" s="55">
        <f>K316</f>
        <v>0</v>
      </c>
      <c r="P316" s="57">
        <v>0</v>
      </c>
      <c r="Q316" s="57">
        <f t="shared" si="612"/>
        <v>0</v>
      </c>
      <c r="R316" s="58"/>
      <c r="S316" s="55">
        <f>O316</f>
        <v>0</v>
      </c>
      <c r="T316" s="57">
        <v>0</v>
      </c>
      <c r="U316" s="57">
        <f t="shared" si="613"/>
        <v>0</v>
      </c>
      <c r="V316" s="59"/>
      <c r="W316" s="124">
        <f t="shared" si="614"/>
        <v>0</v>
      </c>
      <c r="X316" s="57">
        <f t="shared" si="615"/>
        <v>0</v>
      </c>
      <c r="Y316" s="84">
        <f t="shared" si="616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609"/>
        <v>0</v>
      </c>
      <c r="F317" s="58"/>
      <c r="G317" s="55">
        <v>0</v>
      </c>
      <c r="H317" s="57">
        <v>0</v>
      </c>
      <c r="I317" s="57">
        <f t="shared" si="610"/>
        <v>0</v>
      </c>
      <c r="J317" s="58"/>
      <c r="K317" s="55">
        <f>G317</f>
        <v>0</v>
      </c>
      <c r="L317" s="57">
        <v>0</v>
      </c>
      <c r="M317" s="57">
        <f t="shared" si="611"/>
        <v>0</v>
      </c>
      <c r="N317" s="58"/>
      <c r="O317" s="55">
        <v>0</v>
      </c>
      <c r="P317" s="57">
        <v>0</v>
      </c>
      <c r="Q317" s="57">
        <f t="shared" si="612"/>
        <v>0</v>
      </c>
      <c r="R317" s="58"/>
      <c r="S317" s="55">
        <f>O317</f>
        <v>0</v>
      </c>
      <c r="T317" s="57">
        <v>0</v>
      </c>
      <c r="U317" s="57">
        <f t="shared" si="613"/>
        <v>0</v>
      </c>
      <c r="V317" s="59"/>
      <c r="W317" s="124">
        <f t="shared" si="614"/>
        <v>0</v>
      </c>
      <c r="X317" s="57">
        <f t="shared" si="615"/>
        <v>0</v>
      </c>
      <c r="Y317" s="84">
        <f t="shared" si="616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614"/>
        <v>0</v>
      </c>
      <c r="X318" s="80">
        <f t="shared" si="615"/>
        <v>0</v>
      </c>
      <c r="Y318" s="80">
        <f t="shared" si="616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191</v>
      </c>
      <c r="C320" s="124">
        <v>1000</v>
      </c>
      <c r="D320" s="56">
        <f>12*800*0.5*0</f>
        <v>0</v>
      </c>
      <c r="E320" s="56">
        <f t="shared" ref="E320" si="617">SUM(C320:D320)</f>
        <v>1000</v>
      </c>
      <c r="F320" s="58"/>
      <c r="G320" s="55">
        <f>C320</f>
        <v>1000</v>
      </c>
      <c r="H320" s="57">
        <f>D320</f>
        <v>0</v>
      </c>
      <c r="I320" s="57">
        <f t="shared" ref="I320" si="618">SUM(G320:H320)</f>
        <v>1000</v>
      </c>
      <c r="J320" s="58"/>
      <c r="K320" s="55">
        <f>G320</f>
        <v>1000</v>
      </c>
      <c r="L320" s="57">
        <f>H320</f>
        <v>0</v>
      </c>
      <c r="M320" s="57">
        <f t="shared" ref="M320" si="619">SUM(K320:L320)</f>
        <v>1000</v>
      </c>
      <c r="N320" s="58"/>
      <c r="O320" s="55">
        <f>K320</f>
        <v>1000</v>
      </c>
      <c r="P320" s="57">
        <f>L320</f>
        <v>0</v>
      </c>
      <c r="Q320" s="57">
        <f t="shared" ref="Q320" si="620">SUM(O320:P320)</f>
        <v>1000</v>
      </c>
      <c r="R320" s="58"/>
      <c r="S320" s="55">
        <f>O320</f>
        <v>1000</v>
      </c>
      <c r="T320" s="57">
        <f>P320</f>
        <v>0</v>
      </c>
      <c r="U320" s="57">
        <f t="shared" ref="U320" si="621">SUM(S320:T320)</f>
        <v>1000</v>
      </c>
      <c r="V320" s="59"/>
      <c r="W320" s="124">
        <f t="shared" ref="W320:Y320" si="622">C320+G320+K320+O320+S320</f>
        <v>5000</v>
      </c>
      <c r="X320" s="57">
        <f t="shared" si="622"/>
        <v>0</v>
      </c>
      <c r="Y320" s="84">
        <f t="shared" si="622"/>
        <v>5000</v>
      </c>
    </row>
    <row r="321" spans="1:77" s="61" customFormat="1" x14ac:dyDescent="0.25">
      <c r="A321" s="203"/>
      <c r="B321" s="52" t="s">
        <v>57</v>
      </c>
      <c r="C321" s="124">
        <f>2000*5*0.5*0</f>
        <v>0</v>
      </c>
      <c r="D321" s="56">
        <f>2000*5*0.5*0</f>
        <v>0</v>
      </c>
      <c r="E321" s="56">
        <f t="shared" ref="E321:E322" si="623">SUM(C321:D321)</f>
        <v>0</v>
      </c>
      <c r="F321" s="58"/>
      <c r="G321" s="55">
        <f>C321</f>
        <v>0</v>
      </c>
      <c r="H321" s="57">
        <f>D321</f>
        <v>0</v>
      </c>
      <c r="I321" s="57">
        <f t="shared" ref="I321:I322" si="624">SUM(G321:H321)</f>
        <v>0</v>
      </c>
      <c r="J321" s="58"/>
      <c r="K321" s="55">
        <f>G321</f>
        <v>0</v>
      </c>
      <c r="L321" s="57">
        <f>H321</f>
        <v>0</v>
      </c>
      <c r="M321" s="57">
        <f t="shared" ref="M321:M322" si="625">SUM(K321:L321)</f>
        <v>0</v>
      </c>
      <c r="N321" s="58"/>
      <c r="O321" s="55">
        <f>K321</f>
        <v>0</v>
      </c>
      <c r="P321" s="57">
        <f>L321</f>
        <v>0</v>
      </c>
      <c r="Q321" s="57">
        <f t="shared" ref="Q321:Q322" si="626">SUM(O321:P321)</f>
        <v>0</v>
      </c>
      <c r="R321" s="58"/>
      <c r="S321" s="55">
        <f>O321</f>
        <v>0</v>
      </c>
      <c r="T321" s="57">
        <f>P321</f>
        <v>0</v>
      </c>
      <c r="U321" s="57">
        <f t="shared" ref="U321:U322" si="627">SUM(S321:T321)</f>
        <v>0</v>
      </c>
      <c r="V321" s="59"/>
      <c r="W321" s="124">
        <f t="shared" ref="W321:W323" si="628">C321+G321+K321+O321+S321</f>
        <v>0</v>
      </c>
      <c r="X321" s="57">
        <f t="shared" ref="X321:X323" si="629">D321+H321+L321+P321+T321</f>
        <v>0</v>
      </c>
      <c r="Y321" s="84">
        <f t="shared" ref="Y321:Y323" si="630">E321+I321+M321+Q321+U321</f>
        <v>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si="623"/>
        <v>0</v>
      </c>
      <c r="F322" s="58"/>
      <c r="G322" s="55">
        <v>0</v>
      </c>
      <c r="H322" s="57">
        <v>0</v>
      </c>
      <c r="I322" s="57">
        <f t="shared" si="624"/>
        <v>0</v>
      </c>
      <c r="J322" s="58"/>
      <c r="K322" s="55">
        <v>0</v>
      </c>
      <c r="L322" s="57">
        <v>0</v>
      </c>
      <c r="M322" s="57">
        <f t="shared" si="625"/>
        <v>0</v>
      </c>
      <c r="N322" s="58"/>
      <c r="O322" s="55">
        <v>0</v>
      </c>
      <c r="P322" s="57">
        <v>0</v>
      </c>
      <c r="Q322" s="57">
        <f t="shared" si="626"/>
        <v>0</v>
      </c>
      <c r="R322" s="58"/>
      <c r="S322" s="55">
        <v>0</v>
      </c>
      <c r="T322" s="57">
        <v>0</v>
      </c>
      <c r="U322" s="57">
        <f t="shared" si="627"/>
        <v>0</v>
      </c>
      <c r="V322" s="59"/>
      <c r="W322" s="124">
        <f t="shared" si="628"/>
        <v>0</v>
      </c>
      <c r="X322" s="57">
        <f t="shared" si="629"/>
        <v>0</v>
      </c>
      <c r="Y322" s="84">
        <f t="shared" si="630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1000</v>
      </c>
      <c r="D323" s="125">
        <f>SUM(D320:D322)</f>
        <v>0</v>
      </c>
      <c r="E323" s="125">
        <f>SUM(E320:E322)</f>
        <v>1000</v>
      </c>
      <c r="F323" s="81"/>
      <c r="G323" s="79">
        <f>SUM(G320:G322)</f>
        <v>1000</v>
      </c>
      <c r="H323" s="80">
        <f>SUM(H320:H322)</f>
        <v>0</v>
      </c>
      <c r="I323" s="80">
        <f>SUM(I320:I322)</f>
        <v>1000</v>
      </c>
      <c r="J323" s="81"/>
      <c r="K323" s="79">
        <f>SUM(K320:K322)</f>
        <v>1000</v>
      </c>
      <c r="L323" s="80">
        <f>SUM(L320:L322)</f>
        <v>0</v>
      </c>
      <c r="M323" s="80">
        <f>SUM(M320:M322)</f>
        <v>1000</v>
      </c>
      <c r="N323" s="81"/>
      <c r="O323" s="79">
        <f>SUM(O320:O322)</f>
        <v>1000</v>
      </c>
      <c r="P323" s="80">
        <f>SUM(P320:P322)</f>
        <v>0</v>
      </c>
      <c r="Q323" s="80">
        <f>SUM(Q320:Q322)</f>
        <v>1000</v>
      </c>
      <c r="R323" s="81"/>
      <c r="S323" s="79">
        <f>SUM(S320:S322)</f>
        <v>1000</v>
      </c>
      <c r="T323" s="80">
        <f>SUM(T320:T322)</f>
        <v>0</v>
      </c>
      <c r="U323" s="80">
        <f>SUM(U320:U322)</f>
        <v>1000</v>
      </c>
      <c r="V323" s="82"/>
      <c r="W323" s="228">
        <f t="shared" si="628"/>
        <v>5000</v>
      </c>
      <c r="X323" s="80">
        <f t="shared" si="629"/>
        <v>0</v>
      </c>
      <c r="Y323" s="80">
        <f t="shared" si="630"/>
        <v>5000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W327" si="631">C325+G325+K325+O325+S325</f>
        <v>0</v>
      </c>
      <c r="X325" s="57">
        <f t="shared" ref="X325:X327" si="632">D325+H325+L325+P325+T325</f>
        <v>0</v>
      </c>
      <c r="Y325" s="84">
        <f t="shared" ref="Y325:Y327" si="633">E325+I325+M325+Q325+U325</f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631"/>
        <v>0</v>
      </c>
      <c r="X326" s="56">
        <f t="shared" si="632"/>
        <v>0</v>
      </c>
      <c r="Y326" s="85">
        <f t="shared" si="633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631"/>
        <v>0</v>
      </c>
      <c r="X327" s="80">
        <f t="shared" si="632"/>
        <v>0</v>
      </c>
      <c r="Y327" s="80">
        <f t="shared" si="633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61" customFormat="1" x14ac:dyDescent="0.25">
      <c r="B329" s="61" t="s">
        <v>190</v>
      </c>
      <c r="C329" s="55">
        <v>1000</v>
      </c>
      <c r="D329" s="56">
        <v>0</v>
      </c>
      <c r="E329" s="57">
        <f t="shared" ref="E329" si="634">SUM(C329:D329)</f>
        <v>1000</v>
      </c>
      <c r="F329" s="58"/>
      <c r="G329" s="55">
        <f>C329</f>
        <v>1000</v>
      </c>
      <c r="H329" s="56">
        <v>0</v>
      </c>
      <c r="I329" s="57">
        <f t="shared" ref="I329" si="635">SUM(G329:H329)</f>
        <v>1000</v>
      </c>
      <c r="J329" s="58"/>
      <c r="K329" s="55">
        <f>G329</f>
        <v>1000</v>
      </c>
      <c r="L329" s="56">
        <v>0</v>
      </c>
      <c r="M329" s="57">
        <f t="shared" ref="M329" si="636">SUM(K329:L329)</f>
        <v>1000</v>
      </c>
      <c r="N329" s="58"/>
      <c r="O329" s="55">
        <f>K329</f>
        <v>1000</v>
      </c>
      <c r="P329" s="56">
        <v>0</v>
      </c>
      <c r="Q329" s="56">
        <f t="shared" ref="Q329" si="637">SUM(O329:P329)</f>
        <v>1000</v>
      </c>
      <c r="R329" s="58"/>
      <c r="S329" s="55">
        <f>O329</f>
        <v>1000</v>
      </c>
      <c r="T329" s="56">
        <v>0</v>
      </c>
      <c r="U329" s="57">
        <f t="shared" ref="U329" si="638">SUM(S329:T329)</f>
        <v>1000</v>
      </c>
      <c r="V329" s="59"/>
      <c r="W329" s="124">
        <f t="shared" ref="W329" si="639">C329+G329+K329+O329+S329</f>
        <v>5000</v>
      </c>
      <c r="X329" s="57">
        <f t="shared" ref="X329" si="640">D329+H329+L329+P329+T329</f>
        <v>0</v>
      </c>
      <c r="Y329" s="202">
        <f t="shared" ref="Y329" si="641">E329+I329+M329+Q329+U329</f>
        <v>5000</v>
      </c>
    </row>
    <row r="330" spans="1:77" s="61" customFormat="1" x14ac:dyDescent="0.25">
      <c r="A330" s="203"/>
      <c r="B330" s="54" t="s">
        <v>57</v>
      </c>
      <c r="C330" s="124">
        <v>0</v>
      </c>
      <c r="D330" s="56">
        <v>0</v>
      </c>
      <c r="E330" s="56">
        <f t="shared" ref="E330:E332" si="642">SUM(C330:D330)</f>
        <v>0</v>
      </c>
      <c r="F330" s="58"/>
      <c r="G330" s="55">
        <v>0</v>
      </c>
      <c r="H330" s="57">
        <v>0</v>
      </c>
      <c r="I330" s="57">
        <f t="shared" ref="I330:I332" si="643">SUM(G330:H330)</f>
        <v>0</v>
      </c>
      <c r="J330" s="58"/>
      <c r="K330" s="55">
        <v>0</v>
      </c>
      <c r="L330" s="56">
        <v>0</v>
      </c>
      <c r="M330" s="57">
        <f t="shared" ref="M330:M332" si="644">SUM(K330:L330)</f>
        <v>0</v>
      </c>
      <c r="N330" s="58"/>
      <c r="O330" s="55">
        <v>0</v>
      </c>
      <c r="P330" s="57">
        <v>0</v>
      </c>
      <c r="Q330" s="57">
        <f t="shared" ref="Q330:Q332" si="645">SUM(O330:P330)</f>
        <v>0</v>
      </c>
      <c r="R330" s="58"/>
      <c r="S330" s="55">
        <v>0</v>
      </c>
      <c r="T330" s="56">
        <v>0</v>
      </c>
      <c r="U330" s="57">
        <f t="shared" ref="U330:U332" si="646">SUM(S330:T330)</f>
        <v>0</v>
      </c>
      <c r="V330" s="59"/>
      <c r="W330" s="124">
        <f t="shared" ref="W330:W333" si="647">C330+G330+K330+O330+S330</f>
        <v>0</v>
      </c>
      <c r="X330" s="57">
        <f t="shared" ref="X330:X333" si="648">D330+H330+L330+P330+T330</f>
        <v>0</v>
      </c>
      <c r="Y330" s="84">
        <f t="shared" ref="Y330:Y333" si="649">E330+I330+M330+Q330+U330</f>
        <v>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si="642"/>
        <v>0</v>
      </c>
      <c r="F331" s="58"/>
      <c r="G331" s="55">
        <v>0</v>
      </c>
      <c r="H331" s="57"/>
      <c r="I331" s="57">
        <f t="shared" si="643"/>
        <v>0</v>
      </c>
      <c r="J331" s="58"/>
      <c r="K331" s="55">
        <v>0</v>
      </c>
      <c r="L331" s="56">
        <v>0</v>
      </c>
      <c r="M331" s="57">
        <f t="shared" si="644"/>
        <v>0</v>
      </c>
      <c r="N331" s="58"/>
      <c r="O331" s="55">
        <v>0</v>
      </c>
      <c r="P331" s="56">
        <v>0</v>
      </c>
      <c r="Q331" s="56">
        <f t="shared" si="645"/>
        <v>0</v>
      </c>
      <c r="R331" s="58"/>
      <c r="S331" s="55">
        <v>0</v>
      </c>
      <c r="T331" s="56">
        <v>0</v>
      </c>
      <c r="U331" s="57">
        <f t="shared" si="646"/>
        <v>0</v>
      </c>
      <c r="V331" s="59"/>
      <c r="W331" s="124">
        <f t="shared" si="647"/>
        <v>0</v>
      </c>
      <c r="X331" s="57">
        <f t="shared" si="648"/>
        <v>0</v>
      </c>
      <c r="Y331" s="84">
        <f t="shared" si="649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642"/>
        <v>0</v>
      </c>
      <c r="F332" s="58"/>
      <c r="G332" s="55">
        <v>0</v>
      </c>
      <c r="H332" s="57">
        <v>0</v>
      </c>
      <c r="I332" s="57">
        <f t="shared" si="643"/>
        <v>0</v>
      </c>
      <c r="J332" s="58"/>
      <c r="K332" s="55">
        <v>0</v>
      </c>
      <c r="L332" s="57">
        <v>0</v>
      </c>
      <c r="M332" s="57">
        <f t="shared" si="644"/>
        <v>0</v>
      </c>
      <c r="N332" s="58"/>
      <c r="O332" s="55">
        <v>0</v>
      </c>
      <c r="P332" s="57">
        <v>0</v>
      </c>
      <c r="Q332" s="57">
        <f t="shared" si="645"/>
        <v>0</v>
      </c>
      <c r="R332" s="58"/>
      <c r="S332" s="55">
        <v>0</v>
      </c>
      <c r="T332" s="57">
        <v>0</v>
      </c>
      <c r="U332" s="57">
        <f t="shared" si="646"/>
        <v>0</v>
      </c>
      <c r="V332" s="59"/>
      <c r="W332" s="124">
        <f t="shared" si="647"/>
        <v>0</v>
      </c>
      <c r="X332" s="57">
        <f t="shared" si="648"/>
        <v>0</v>
      </c>
      <c r="Y332" s="84">
        <f t="shared" si="649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1000</v>
      </c>
      <c r="D333" s="153">
        <f>SUM(D329:D332)</f>
        <v>0</v>
      </c>
      <c r="E333" s="153">
        <f>SUM(E329:E332)</f>
        <v>1000</v>
      </c>
      <c r="F333" s="154"/>
      <c r="G333" s="152">
        <f>SUM(G329:G332)</f>
        <v>1000</v>
      </c>
      <c r="H333" s="155">
        <f>SUM(H329:H332)</f>
        <v>0</v>
      </c>
      <c r="I333" s="155">
        <f>SUM(I329:I332)</f>
        <v>1000</v>
      </c>
      <c r="J333" s="154"/>
      <c r="K333" s="152">
        <f>SUM(K329:K332)</f>
        <v>1000</v>
      </c>
      <c r="L333" s="155">
        <f>SUM(L329:L332)</f>
        <v>0</v>
      </c>
      <c r="M333" s="155">
        <f>SUM(M329:M332)</f>
        <v>1000</v>
      </c>
      <c r="N333" s="154"/>
      <c r="O333" s="152">
        <f>SUM(O329:O332)</f>
        <v>1000</v>
      </c>
      <c r="P333" s="155">
        <f>SUM(P329:P332)</f>
        <v>0</v>
      </c>
      <c r="Q333" s="155">
        <f>SUM(Q329:Q332)</f>
        <v>1000</v>
      </c>
      <c r="R333" s="154"/>
      <c r="S333" s="152">
        <f>SUM(S329:S332)</f>
        <v>1000</v>
      </c>
      <c r="T333" s="155">
        <f>SUM(T329:T332)</f>
        <v>0</v>
      </c>
      <c r="U333" s="155">
        <f>SUM(U329:U332)</f>
        <v>1000</v>
      </c>
      <c r="V333" s="82"/>
      <c r="W333" s="228">
        <f t="shared" si="647"/>
        <v>5000</v>
      </c>
      <c r="X333" s="80">
        <f t="shared" si="648"/>
        <v>0</v>
      </c>
      <c r="Y333" s="80">
        <f t="shared" si="649"/>
        <v>5000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650">SUM(C313+C318+C323+C327+C333)</f>
        <v>13886.657856431922</v>
      </c>
      <c r="D334" s="251">
        <f t="shared" si="650"/>
        <v>0</v>
      </c>
      <c r="E334" s="251">
        <f t="shared" si="650"/>
        <v>13886.657856431922</v>
      </c>
      <c r="F334" s="251">
        <f t="shared" si="650"/>
        <v>0</v>
      </c>
      <c r="G334" s="251">
        <f t="shared" si="650"/>
        <v>14336.411007157858</v>
      </c>
      <c r="H334" s="251">
        <f t="shared" si="650"/>
        <v>0</v>
      </c>
      <c r="I334" s="251">
        <f t="shared" si="650"/>
        <v>14336.411007157858</v>
      </c>
      <c r="J334" s="251">
        <f t="shared" si="650"/>
        <v>0</v>
      </c>
      <c r="K334" s="251">
        <f t="shared" si="650"/>
        <v>14805.32979538108</v>
      </c>
      <c r="L334" s="251">
        <f t="shared" si="650"/>
        <v>0</v>
      </c>
      <c r="M334" s="251">
        <f t="shared" si="650"/>
        <v>14805.32979538108</v>
      </c>
      <c r="N334" s="251">
        <f t="shared" si="650"/>
        <v>0</v>
      </c>
      <c r="O334" s="251">
        <f t="shared" si="650"/>
        <v>15294.334678543717</v>
      </c>
      <c r="P334" s="251">
        <f t="shared" si="650"/>
        <v>0</v>
      </c>
      <c r="Q334" s="251">
        <f t="shared" si="650"/>
        <v>15294.334678543717</v>
      </c>
      <c r="R334" s="251">
        <f t="shared" si="650"/>
        <v>0</v>
      </c>
      <c r="S334" s="251">
        <f t="shared" si="650"/>
        <v>15804.394768049675</v>
      </c>
      <c r="T334" s="251">
        <f t="shared" si="650"/>
        <v>0</v>
      </c>
      <c r="U334" s="251">
        <f t="shared" si="650"/>
        <v>15804.394768049675</v>
      </c>
      <c r="V334" s="251">
        <f t="shared" si="650"/>
        <v>0</v>
      </c>
      <c r="W334" s="251">
        <f t="shared" si="650"/>
        <v>74127.128105564247</v>
      </c>
      <c r="X334" s="251">
        <f t="shared" si="650"/>
        <v>0</v>
      </c>
      <c r="Y334" s="251">
        <f t="shared" si="650"/>
        <v>74127.128105564247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((C313+C323+C333)*0.2627)</f>
        <v>3648.0250188846658</v>
      </c>
      <c r="D335" s="251">
        <v>0</v>
      </c>
      <c r="E335" s="251">
        <f>C335</f>
        <v>3648.0250188846658</v>
      </c>
      <c r="F335" s="251">
        <f>F307*0.47</f>
        <v>0</v>
      </c>
      <c r="G335" s="251">
        <f>((G313+G323+G333)*0.2627)</f>
        <v>3766.1751715803694</v>
      </c>
      <c r="H335" s="251">
        <v>0</v>
      </c>
      <c r="I335" s="251">
        <f>G335</f>
        <v>3766.1751715803694</v>
      </c>
      <c r="J335" s="251">
        <f>J307*0.47</f>
        <v>0</v>
      </c>
      <c r="K335" s="251">
        <f>((K313+K323+K333)*0.2627)</f>
        <v>3889.3601372466096</v>
      </c>
      <c r="L335" s="251">
        <v>0</v>
      </c>
      <c r="M335" s="251">
        <f>K335</f>
        <v>3889.3601372466096</v>
      </c>
      <c r="N335" s="251">
        <f>N307*0.47</f>
        <v>0</v>
      </c>
      <c r="O335" s="251">
        <f>((O313+O323+O333)*0.2627)</f>
        <v>4017.8217200534341</v>
      </c>
      <c r="P335" s="251">
        <v>0</v>
      </c>
      <c r="Q335" s="251">
        <f>O335</f>
        <v>4017.8217200534341</v>
      </c>
      <c r="R335" s="251">
        <f>R307*0.47</f>
        <v>0</v>
      </c>
      <c r="S335" s="251">
        <f>((S313+S323+S333)*0.2627)</f>
        <v>4151.8145055666491</v>
      </c>
      <c r="T335" s="251">
        <v>0</v>
      </c>
      <c r="U335" s="251">
        <f>S335</f>
        <v>4151.8145055666491</v>
      </c>
      <c r="V335" s="251">
        <f>V307*0.47</f>
        <v>0</v>
      </c>
      <c r="W335" s="251">
        <f>((W313+W323+W333)*0.2627)</f>
        <v>19473.196553331727</v>
      </c>
      <c r="X335" s="251">
        <v>0</v>
      </c>
      <c r="Y335" s="251">
        <f>W335</f>
        <v>19473.196553331727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17534.68287531659</v>
      </c>
      <c r="D336" s="251">
        <f t="shared" ref="D336:Y336" si="651">SUM(D334:D335)</f>
        <v>0</v>
      </c>
      <c r="E336" s="251">
        <f t="shared" si="651"/>
        <v>17534.68287531659</v>
      </c>
      <c r="F336" s="251">
        <f t="shared" si="651"/>
        <v>0</v>
      </c>
      <c r="G336" s="251">
        <f t="shared" si="651"/>
        <v>18102.586178738227</v>
      </c>
      <c r="H336" s="251">
        <f t="shared" si="651"/>
        <v>0</v>
      </c>
      <c r="I336" s="251">
        <f t="shared" si="651"/>
        <v>18102.586178738227</v>
      </c>
      <c r="J336" s="251">
        <f t="shared" si="651"/>
        <v>0</v>
      </c>
      <c r="K336" s="251">
        <f t="shared" si="651"/>
        <v>18694.689932627691</v>
      </c>
      <c r="L336" s="251">
        <f t="shared" si="651"/>
        <v>0</v>
      </c>
      <c r="M336" s="251">
        <f t="shared" si="651"/>
        <v>18694.689932627691</v>
      </c>
      <c r="N336" s="251">
        <f t="shared" si="651"/>
        <v>0</v>
      </c>
      <c r="O336" s="251">
        <f t="shared" si="651"/>
        <v>19312.156398597152</v>
      </c>
      <c r="P336" s="251">
        <f t="shared" si="651"/>
        <v>0</v>
      </c>
      <c r="Q336" s="251">
        <f t="shared" si="651"/>
        <v>19312.156398597152</v>
      </c>
      <c r="R336" s="251">
        <f t="shared" si="651"/>
        <v>0</v>
      </c>
      <c r="S336" s="251">
        <f t="shared" si="651"/>
        <v>19956.209273616325</v>
      </c>
      <c r="T336" s="251">
        <f t="shared" si="651"/>
        <v>0</v>
      </c>
      <c r="U336" s="251">
        <f t="shared" si="651"/>
        <v>19956.209273616325</v>
      </c>
      <c r="V336" s="251">
        <f t="shared" si="651"/>
        <v>0</v>
      </c>
      <c r="W336" s="251">
        <f t="shared" si="651"/>
        <v>93600.324658895974</v>
      </c>
      <c r="X336" s="251">
        <f t="shared" si="651"/>
        <v>0</v>
      </c>
      <c r="Y336" s="251">
        <f t="shared" si="651"/>
        <v>93600.324658895974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 t="shared" ref="C339:Y339" si="652">C248+C176+C88+C292+C336</f>
        <v>423930.89691764547</v>
      </c>
      <c r="D339" s="121">
        <f t="shared" si="652"/>
        <v>12478</v>
      </c>
      <c r="E339" s="121">
        <f t="shared" si="652"/>
        <v>416408.89691764547</v>
      </c>
      <c r="F339" s="121">
        <f t="shared" si="652"/>
        <v>0</v>
      </c>
      <c r="G339" s="121">
        <f t="shared" si="652"/>
        <v>2642132.4151295749</v>
      </c>
      <c r="H339" s="121">
        <f t="shared" si="652"/>
        <v>13200</v>
      </c>
      <c r="I339" s="121">
        <f t="shared" si="652"/>
        <v>2634732.4151295749</v>
      </c>
      <c r="J339" s="121">
        <f t="shared" si="652"/>
        <v>0</v>
      </c>
      <c r="K339" s="121">
        <f t="shared" si="652"/>
        <v>2460419.8900235118</v>
      </c>
      <c r="L339" s="121">
        <f t="shared" si="652"/>
        <v>19200</v>
      </c>
      <c r="M339" s="121">
        <f t="shared" si="652"/>
        <v>2458401.8900235118</v>
      </c>
      <c r="N339" s="121">
        <f t="shared" si="652"/>
        <v>0</v>
      </c>
      <c r="O339" s="121">
        <f t="shared" si="652"/>
        <v>1661142.1397852604</v>
      </c>
      <c r="P339" s="121">
        <f t="shared" si="652"/>
        <v>19200</v>
      </c>
      <c r="Q339" s="121">
        <f t="shared" si="652"/>
        <v>1658487.5997852604</v>
      </c>
      <c r="R339" s="121">
        <f t="shared" si="652"/>
        <v>0</v>
      </c>
      <c r="S339" s="121">
        <f t="shared" si="652"/>
        <v>1448360.2049886205</v>
      </c>
      <c r="T339" s="121">
        <f t="shared" si="652"/>
        <v>19200</v>
      </c>
      <c r="U339" s="121">
        <f t="shared" si="652"/>
        <v>1445050.0287886204</v>
      </c>
      <c r="V339" s="121">
        <f t="shared" si="652"/>
        <v>0</v>
      </c>
      <c r="W339" s="121">
        <f t="shared" si="652"/>
        <v>8635985.5468446147</v>
      </c>
      <c r="X339" s="121">
        <f t="shared" si="652"/>
        <v>83278</v>
      </c>
      <c r="Y339" s="121">
        <f t="shared" si="652"/>
        <v>8719263.5468446147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x14ac:dyDescent="0.25">
      <c r="C340" s="4"/>
      <c r="D340" s="4"/>
      <c r="E340" s="41"/>
      <c r="F340" s="4"/>
      <c r="G340" s="4"/>
      <c r="H340" s="4"/>
      <c r="I340" s="41"/>
      <c r="J340" s="4"/>
      <c r="K340" s="4"/>
      <c r="M340" s="42"/>
      <c r="N340" s="4"/>
      <c r="O340" s="4"/>
      <c r="Q340" s="42"/>
      <c r="R340" s="4"/>
      <c r="S340" s="4"/>
      <c r="U340" s="42"/>
      <c r="V340" s="43"/>
      <c r="W340" s="44"/>
      <c r="X340" s="44"/>
      <c r="Y340" s="12"/>
      <c r="Z340" s="13"/>
      <c r="AA340" s="13"/>
      <c r="AB340" s="13"/>
    </row>
    <row r="341" spans="1:77" s="4" customFormat="1" x14ac:dyDescent="0.25">
      <c r="C341" s="5"/>
      <c r="G341" s="5"/>
      <c r="K341" s="5"/>
      <c r="O341" s="5"/>
      <c r="S341" s="5"/>
      <c r="V341" s="45"/>
      <c r="W341" s="44"/>
      <c r="X341" s="44"/>
      <c r="Y341" s="46"/>
    </row>
    <row r="342" spans="1:77" s="4" customFormat="1" x14ac:dyDescent="0.25">
      <c r="V342" s="45"/>
      <c r="W342" s="44"/>
      <c r="X342" s="44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47"/>
      <c r="X348" s="47"/>
      <c r="Y348" s="46"/>
    </row>
    <row r="349" spans="1:77" s="4" customFormat="1" x14ac:dyDescent="0.25">
      <c r="V349" s="45"/>
      <c r="W349" s="47"/>
      <c r="X349" s="47"/>
      <c r="Y349" s="46"/>
    </row>
    <row r="350" spans="1:77" s="4" customFormat="1" x14ac:dyDescent="0.25">
      <c r="V350" s="45"/>
      <c r="W350" s="47"/>
      <c r="X350" s="47"/>
      <c r="Y350" s="46"/>
    </row>
    <row r="351" spans="1:77" s="4" customFormat="1" x14ac:dyDescent="0.25">
      <c r="V351" s="45"/>
      <c r="W351" s="47"/>
      <c r="X351" s="47"/>
      <c r="Y351" s="46"/>
    </row>
    <row r="352" spans="1:77" s="4" customFormat="1" x14ac:dyDescent="0.25">
      <c r="V352" s="45"/>
      <c r="W352" s="47"/>
      <c r="X352" s="47"/>
      <c r="Y352" s="46"/>
    </row>
    <row r="353" spans="22:25" s="4" customFormat="1" x14ac:dyDescent="0.25">
      <c r="V353" s="45"/>
      <c r="W353" s="47"/>
      <c r="X353" s="47"/>
      <c r="Y353" s="46"/>
    </row>
    <row r="354" spans="22:25" s="4" customFormat="1" x14ac:dyDescent="0.25">
      <c r="V354" s="45"/>
      <c r="W354" s="47"/>
      <c r="X354" s="47"/>
      <c r="Y354" s="46"/>
    </row>
    <row r="355" spans="22:25" s="4" customFormat="1" x14ac:dyDescent="0.25">
      <c r="V355" s="45"/>
      <c r="W355" s="47"/>
      <c r="X355" s="47"/>
      <c r="Y355" s="46"/>
    </row>
    <row r="356" spans="22:25" s="4" customFormat="1" x14ac:dyDescent="0.25">
      <c r="V356" s="45"/>
      <c r="W356" s="47"/>
      <c r="X356" s="47"/>
      <c r="Y356" s="46"/>
    </row>
    <row r="357" spans="22:25" s="4" customFormat="1" x14ac:dyDescent="0.25">
      <c r="V357" s="45"/>
      <c r="W357" s="47"/>
      <c r="X357" s="47"/>
      <c r="Y357" s="46"/>
    </row>
    <row r="358" spans="22:25" s="4" customFormat="1" x14ac:dyDescent="0.25">
      <c r="V358" s="45"/>
      <c r="W358" s="47"/>
      <c r="X358" s="47"/>
      <c r="Y358" s="46"/>
    </row>
    <row r="359" spans="22:25" s="4" customFormat="1" x14ac:dyDescent="0.25">
      <c r="V359" s="45"/>
      <c r="W359" s="47"/>
      <c r="X359" s="47"/>
      <c r="Y359" s="46"/>
    </row>
    <row r="360" spans="22:25" s="4" customFormat="1" x14ac:dyDescent="0.25">
      <c r="V360" s="45"/>
      <c r="W360" s="47"/>
      <c r="X360" s="47"/>
      <c r="Y360" s="46"/>
    </row>
    <row r="361" spans="22:25" s="4" customFormat="1" x14ac:dyDescent="0.25">
      <c r="V361" s="45"/>
      <c r="W361" s="47"/>
      <c r="X361" s="47"/>
      <c r="Y361" s="46"/>
    </row>
    <row r="362" spans="22:25" s="4" customFormat="1" x14ac:dyDescent="0.25">
      <c r="V362" s="45"/>
      <c r="W362" s="47"/>
      <c r="X362" s="47"/>
      <c r="Y362" s="46"/>
    </row>
    <row r="363" spans="22:25" s="4" customFormat="1" x14ac:dyDescent="0.25">
      <c r="V363" s="45"/>
      <c r="W363" s="47"/>
      <c r="X363" s="47"/>
      <c r="Y363" s="46"/>
    </row>
    <row r="364" spans="22:25" s="4" customFormat="1" x14ac:dyDescent="0.25">
      <c r="V364" s="45"/>
      <c r="W364" s="47"/>
      <c r="X364" s="47"/>
      <c r="Y364" s="46"/>
    </row>
    <row r="365" spans="22:25" s="4" customFormat="1" x14ac:dyDescent="0.25">
      <c r="V365" s="45"/>
      <c r="W365" s="47"/>
      <c r="X365" s="47"/>
      <c r="Y365" s="46"/>
    </row>
    <row r="366" spans="22:25" s="4" customFormat="1" x14ac:dyDescent="0.25">
      <c r="V366" s="45"/>
      <c r="W366" s="47"/>
      <c r="X366" s="47"/>
      <c r="Y366" s="46"/>
    </row>
    <row r="367" spans="22:25" s="4" customFormat="1" x14ac:dyDescent="0.25">
      <c r="V367" s="45"/>
      <c r="W367" s="47"/>
      <c r="X367" s="47"/>
      <c r="Y367" s="46"/>
    </row>
    <row r="368" spans="22:25" s="4" customFormat="1" x14ac:dyDescent="0.25">
      <c r="V368" s="45"/>
      <c r="W368" s="47"/>
      <c r="X368" s="47"/>
      <c r="Y368" s="46"/>
    </row>
    <row r="369" spans="22:25" s="4" customFormat="1" x14ac:dyDescent="0.25">
      <c r="V369" s="45"/>
      <c r="W369" s="47"/>
      <c r="X369" s="47"/>
      <c r="Y369" s="46"/>
    </row>
    <row r="370" spans="22:25" s="4" customFormat="1" x14ac:dyDescent="0.25">
      <c r="V370" s="45"/>
      <c r="W370" s="47"/>
      <c r="X370" s="47"/>
      <c r="Y370" s="46"/>
    </row>
    <row r="371" spans="22:25" s="4" customFormat="1" x14ac:dyDescent="0.25">
      <c r="V371" s="45"/>
      <c r="W371" s="47"/>
      <c r="X371" s="47"/>
      <c r="Y371" s="46"/>
    </row>
    <row r="372" spans="22:25" s="4" customFormat="1" x14ac:dyDescent="0.25">
      <c r="V372" s="45"/>
      <c r="W372" s="47"/>
      <c r="X372" s="47"/>
      <c r="Y372" s="46"/>
    </row>
    <row r="373" spans="22:25" s="4" customFormat="1" x14ac:dyDescent="0.25">
      <c r="V373" s="45"/>
      <c r="W373" s="47"/>
      <c r="X373" s="47"/>
      <c r="Y373" s="46"/>
    </row>
    <row r="374" spans="22:25" s="4" customFormat="1" x14ac:dyDescent="0.25">
      <c r="V374" s="45"/>
      <c r="W374" s="47"/>
      <c r="X374" s="47"/>
      <c r="Y374" s="46"/>
    </row>
    <row r="375" spans="22:25" s="4" customFormat="1" x14ac:dyDescent="0.25">
      <c r="V375" s="45"/>
      <c r="W375" s="47"/>
      <c r="X375" s="47"/>
      <c r="Y375" s="46"/>
    </row>
    <row r="376" spans="22:25" s="4" customFormat="1" x14ac:dyDescent="0.25">
      <c r="V376" s="45"/>
      <c r="W376" s="47"/>
      <c r="X376" s="47"/>
      <c r="Y376" s="46"/>
    </row>
    <row r="377" spans="22:25" s="4" customFormat="1" x14ac:dyDescent="0.25">
      <c r="V377" s="45"/>
      <c r="W377" s="47"/>
      <c r="X377" s="47"/>
      <c r="Y377" s="46"/>
    </row>
    <row r="378" spans="22:25" s="4" customFormat="1" x14ac:dyDescent="0.25">
      <c r="V378" s="45"/>
      <c r="W378" s="47"/>
      <c r="X378" s="47"/>
      <c r="Y378" s="46"/>
    </row>
    <row r="379" spans="22:25" s="4" customFormat="1" x14ac:dyDescent="0.25">
      <c r="V379" s="45"/>
      <c r="W379" s="47"/>
      <c r="X379" s="47"/>
      <c r="Y379" s="46"/>
    </row>
    <row r="380" spans="22:25" s="4" customFormat="1" x14ac:dyDescent="0.25">
      <c r="V380" s="45"/>
      <c r="W380" s="47"/>
      <c r="X380" s="47"/>
      <c r="Y380" s="46"/>
    </row>
    <row r="381" spans="22:25" s="4" customFormat="1" x14ac:dyDescent="0.25">
      <c r="V381" s="45"/>
      <c r="W381" s="47"/>
      <c r="X381" s="47"/>
      <c r="Y381" s="46"/>
    </row>
    <row r="382" spans="22:25" s="4" customFormat="1" x14ac:dyDescent="0.25">
      <c r="V382" s="45"/>
      <c r="W382" s="47"/>
      <c r="X382" s="47"/>
      <c r="Y382" s="46"/>
    </row>
    <row r="383" spans="22:25" s="4" customFormat="1" x14ac:dyDescent="0.25">
      <c r="V383" s="45"/>
      <c r="W383" s="47"/>
      <c r="X383" s="47"/>
      <c r="Y383" s="46"/>
    </row>
    <row r="384" spans="22:25" s="4" customFormat="1" x14ac:dyDescent="0.25">
      <c r="V384" s="45"/>
      <c r="W384" s="47"/>
      <c r="X384" s="47"/>
      <c r="Y384" s="46"/>
    </row>
    <row r="385" spans="22:25" s="4" customFormat="1" x14ac:dyDescent="0.25">
      <c r="V385" s="45"/>
      <c r="W385" s="47"/>
      <c r="X385" s="47"/>
      <c r="Y385" s="46"/>
    </row>
    <row r="386" spans="22:25" s="4" customFormat="1" x14ac:dyDescent="0.25">
      <c r="V386" s="45"/>
      <c r="W386" s="47"/>
      <c r="X386" s="47"/>
      <c r="Y386" s="46"/>
    </row>
    <row r="387" spans="22:25" s="4" customFormat="1" x14ac:dyDescent="0.25">
      <c r="V387" s="45"/>
      <c r="W387" s="47"/>
      <c r="X387" s="47"/>
      <c r="Y387" s="46"/>
    </row>
    <row r="388" spans="22:25" s="4" customFormat="1" x14ac:dyDescent="0.25">
      <c r="V388" s="45"/>
      <c r="W388" s="47"/>
      <c r="X388" s="47"/>
      <c r="Y388" s="46"/>
    </row>
    <row r="389" spans="22:25" s="4" customFormat="1" x14ac:dyDescent="0.25">
      <c r="V389" s="45"/>
      <c r="W389" s="47"/>
      <c r="X389" s="47"/>
      <c r="Y389" s="46"/>
    </row>
    <row r="390" spans="22:25" s="4" customFormat="1" x14ac:dyDescent="0.25">
      <c r="V390" s="45"/>
      <c r="W390" s="47"/>
      <c r="X390" s="47"/>
      <c r="Y390" s="46"/>
    </row>
    <row r="391" spans="22:25" s="4" customFormat="1" x14ac:dyDescent="0.25">
      <c r="V391" s="45"/>
      <c r="W391" s="47"/>
      <c r="X391" s="47"/>
      <c r="Y391" s="46"/>
    </row>
    <row r="392" spans="22:25" s="4" customFormat="1" x14ac:dyDescent="0.25">
      <c r="V392" s="45"/>
      <c r="W392" s="47"/>
      <c r="X392" s="47"/>
      <c r="Y392" s="46"/>
    </row>
    <row r="393" spans="22:25" s="4" customFormat="1" x14ac:dyDescent="0.25">
      <c r="V393" s="45"/>
      <c r="W393" s="47"/>
      <c r="X393" s="47"/>
      <c r="Y393" s="46"/>
    </row>
    <row r="394" spans="22:25" s="4" customFormat="1" x14ac:dyDescent="0.25">
      <c r="V394" s="45"/>
      <c r="W394" s="47"/>
      <c r="X394" s="47"/>
      <c r="Y394" s="46"/>
    </row>
    <row r="395" spans="22:25" s="4" customFormat="1" x14ac:dyDescent="0.25">
      <c r="V395" s="45"/>
      <c r="W395" s="47"/>
      <c r="X395" s="47"/>
      <c r="Y395" s="46"/>
    </row>
    <row r="396" spans="22:25" s="4" customFormat="1" x14ac:dyDescent="0.25">
      <c r="V396" s="45"/>
      <c r="W396" s="47"/>
      <c r="X396" s="47"/>
      <c r="Y396" s="46"/>
    </row>
    <row r="397" spans="22:25" s="4" customFormat="1" x14ac:dyDescent="0.25">
      <c r="V397" s="45"/>
      <c r="W397" s="47"/>
      <c r="X397" s="47"/>
      <c r="Y397" s="46"/>
    </row>
    <row r="398" spans="22:25" s="4" customFormat="1" x14ac:dyDescent="0.25">
      <c r="V398" s="45"/>
      <c r="W398" s="47"/>
      <c r="X398" s="47"/>
      <c r="Y398" s="46"/>
    </row>
    <row r="399" spans="22:25" s="4" customFormat="1" x14ac:dyDescent="0.25">
      <c r="V399" s="45"/>
      <c r="W399" s="47"/>
      <c r="X399" s="47"/>
      <c r="Y399" s="46"/>
    </row>
    <row r="400" spans="22:25" s="4" customFormat="1" x14ac:dyDescent="0.25">
      <c r="V400" s="45"/>
      <c r="W400" s="47"/>
      <c r="X400" s="47"/>
      <c r="Y400" s="46"/>
    </row>
    <row r="401" spans="22:25" s="4" customFormat="1" x14ac:dyDescent="0.25">
      <c r="V401" s="45"/>
      <c r="W401" s="47"/>
      <c r="X401" s="47"/>
      <c r="Y401" s="46"/>
    </row>
    <row r="402" spans="22:25" s="4" customFormat="1" x14ac:dyDescent="0.25">
      <c r="V402" s="45"/>
      <c r="W402" s="47"/>
      <c r="X402" s="47"/>
      <c r="Y402" s="46"/>
    </row>
    <row r="403" spans="22:25" s="4" customFormat="1" x14ac:dyDescent="0.25">
      <c r="V403" s="45"/>
      <c r="W403" s="47"/>
      <c r="X403" s="47"/>
      <c r="Y403" s="46"/>
    </row>
    <row r="404" spans="22:25" s="4" customFormat="1" x14ac:dyDescent="0.25">
      <c r="V404" s="45"/>
      <c r="W404" s="47"/>
      <c r="X404" s="47"/>
      <c r="Y404" s="46"/>
    </row>
    <row r="405" spans="22:25" s="4" customFormat="1" x14ac:dyDescent="0.25">
      <c r="V405" s="45"/>
      <c r="W405" s="47"/>
      <c r="X405" s="47"/>
      <c r="Y405" s="46"/>
    </row>
    <row r="406" spans="22:25" s="4" customFormat="1" x14ac:dyDescent="0.25">
      <c r="V406" s="45"/>
      <c r="W406" s="47"/>
      <c r="X406" s="47"/>
      <c r="Y406" s="46"/>
    </row>
    <row r="407" spans="22:25" s="4" customFormat="1" x14ac:dyDescent="0.25">
      <c r="V407" s="45"/>
      <c r="W407" s="47"/>
      <c r="X407" s="47"/>
      <c r="Y407" s="46"/>
    </row>
    <row r="408" spans="22:25" s="4" customFormat="1" x14ac:dyDescent="0.25">
      <c r="V408" s="45"/>
      <c r="W408" s="47"/>
      <c r="X408" s="47"/>
      <c r="Y408" s="46"/>
    </row>
    <row r="409" spans="22:25" s="4" customFormat="1" x14ac:dyDescent="0.25">
      <c r="V409" s="45"/>
      <c r="W409" s="47"/>
      <c r="X409" s="47"/>
      <c r="Y409" s="46"/>
    </row>
    <row r="410" spans="22:25" s="4" customFormat="1" x14ac:dyDescent="0.25">
      <c r="V410" s="45"/>
      <c r="W410" s="47"/>
      <c r="X410" s="47"/>
      <c r="Y410" s="46"/>
    </row>
    <row r="411" spans="22:25" s="4" customFormat="1" x14ac:dyDescent="0.25">
      <c r="V411" s="45"/>
      <c r="W411" s="47"/>
      <c r="X411" s="47"/>
      <c r="Y411" s="46"/>
    </row>
    <row r="412" spans="22:25" s="4" customFormat="1" x14ac:dyDescent="0.25">
      <c r="V412" s="45"/>
      <c r="W412" s="47"/>
      <c r="X412" s="47"/>
      <c r="Y412" s="46"/>
    </row>
    <row r="413" spans="22:25" s="4" customFormat="1" x14ac:dyDescent="0.25">
      <c r="V413" s="45"/>
      <c r="W413" s="47"/>
      <c r="X413" s="47"/>
      <c r="Y413" s="46"/>
    </row>
    <row r="414" spans="22:25" s="4" customFormat="1" x14ac:dyDescent="0.25">
      <c r="V414" s="45"/>
      <c r="W414" s="47"/>
      <c r="X414" s="47"/>
      <c r="Y414" s="46"/>
    </row>
    <row r="415" spans="22:25" s="4" customFormat="1" x14ac:dyDescent="0.25">
      <c r="V415" s="45"/>
      <c r="W415" s="47"/>
      <c r="X415" s="47"/>
      <c r="Y415" s="46"/>
    </row>
    <row r="416" spans="22:25" s="4" customFormat="1" x14ac:dyDescent="0.25">
      <c r="V416" s="45"/>
      <c r="W416" s="47"/>
      <c r="X416" s="47"/>
      <c r="Y416" s="46"/>
    </row>
    <row r="417" spans="22:25" s="4" customFormat="1" x14ac:dyDescent="0.25">
      <c r="V417" s="45"/>
      <c r="W417" s="47"/>
      <c r="X417" s="47"/>
      <c r="Y417" s="46"/>
    </row>
    <row r="418" spans="22:25" s="4" customFormat="1" x14ac:dyDescent="0.25">
      <c r="V418" s="45"/>
      <c r="W418" s="47"/>
      <c r="X418" s="47"/>
      <c r="Y418" s="46"/>
    </row>
    <row r="419" spans="22:25" s="4" customFormat="1" x14ac:dyDescent="0.25">
      <c r="V419" s="45"/>
      <c r="W419" s="47"/>
      <c r="X419" s="47"/>
      <c r="Y419" s="46"/>
    </row>
    <row r="420" spans="22:25" s="4" customFormat="1" x14ac:dyDescent="0.25">
      <c r="V420" s="45"/>
      <c r="W420" s="47"/>
      <c r="X420" s="47"/>
      <c r="Y420" s="46"/>
    </row>
    <row r="421" spans="22:25" s="4" customFormat="1" x14ac:dyDescent="0.25">
      <c r="V421" s="45"/>
      <c r="W421" s="47"/>
      <c r="X421" s="47"/>
      <c r="Y421" s="46"/>
    </row>
    <row r="422" spans="22:25" s="4" customFormat="1" x14ac:dyDescent="0.25">
      <c r="V422" s="45"/>
      <c r="W422" s="47"/>
      <c r="X422" s="47"/>
      <c r="Y422" s="46"/>
    </row>
    <row r="423" spans="22:25" s="4" customFormat="1" x14ac:dyDescent="0.25">
      <c r="V423" s="45"/>
      <c r="W423" s="47"/>
      <c r="X423" s="47"/>
      <c r="Y423" s="46"/>
    </row>
    <row r="424" spans="22:25" s="4" customFormat="1" x14ac:dyDescent="0.25">
      <c r="V424" s="45"/>
      <c r="W424" s="47"/>
      <c r="X424" s="47"/>
      <c r="Y424" s="46"/>
    </row>
    <row r="425" spans="22:25" s="4" customFormat="1" x14ac:dyDescent="0.25">
      <c r="V425" s="45"/>
      <c r="W425" s="47"/>
      <c r="X425" s="47"/>
      <c r="Y425" s="46"/>
    </row>
    <row r="426" spans="22:25" s="4" customFormat="1" x14ac:dyDescent="0.25">
      <c r="V426" s="45"/>
      <c r="W426" s="47"/>
      <c r="X426" s="47"/>
      <c r="Y426" s="46"/>
    </row>
    <row r="427" spans="22:25" s="4" customFormat="1" x14ac:dyDescent="0.25">
      <c r="V427" s="45"/>
      <c r="W427" s="47"/>
      <c r="X427" s="47"/>
      <c r="Y427" s="46"/>
    </row>
    <row r="428" spans="22:25" s="4" customFormat="1" x14ac:dyDescent="0.25">
      <c r="V428" s="45"/>
      <c r="W428" s="47"/>
      <c r="X428" s="47"/>
      <c r="Y428" s="46"/>
    </row>
    <row r="429" spans="22:25" s="4" customFormat="1" x14ac:dyDescent="0.25">
      <c r="V429" s="45"/>
      <c r="W429" s="47"/>
      <c r="X429" s="47"/>
      <c r="Y429" s="46"/>
    </row>
    <row r="430" spans="22:25" s="4" customFormat="1" x14ac:dyDescent="0.25">
      <c r="V430" s="45"/>
      <c r="W430" s="47"/>
      <c r="X430" s="47"/>
      <c r="Y430" s="46"/>
    </row>
    <row r="431" spans="22:25" s="4" customFormat="1" x14ac:dyDescent="0.25">
      <c r="V431" s="45"/>
      <c r="W431" s="47"/>
      <c r="X431" s="47"/>
      <c r="Y431" s="46"/>
    </row>
    <row r="432" spans="22:25" s="4" customFormat="1" x14ac:dyDescent="0.25">
      <c r="V432" s="45"/>
      <c r="W432" s="47"/>
      <c r="X432" s="47"/>
      <c r="Y432" s="46"/>
    </row>
    <row r="433" spans="22:25" s="4" customFormat="1" x14ac:dyDescent="0.25">
      <c r="V433" s="45"/>
      <c r="W433" s="47"/>
      <c r="X433" s="47"/>
      <c r="Y433" s="46"/>
    </row>
    <row r="434" spans="22:25" s="4" customFormat="1" x14ac:dyDescent="0.25">
      <c r="V434" s="45"/>
      <c r="W434" s="47"/>
      <c r="X434" s="47"/>
      <c r="Y434" s="46"/>
    </row>
    <row r="435" spans="22:25" s="4" customFormat="1" x14ac:dyDescent="0.25">
      <c r="V435" s="45"/>
      <c r="W435" s="47"/>
      <c r="X435" s="47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  <row r="452" spans="22:25" s="4" customFormat="1" x14ac:dyDescent="0.25">
      <c r="V452" s="45"/>
      <c r="W452" s="12"/>
      <c r="X452" s="12"/>
      <c r="Y452" s="46"/>
    </row>
    <row r="453" spans="22:25" s="4" customFormat="1" x14ac:dyDescent="0.25">
      <c r="V453" s="45"/>
      <c r="W453" s="12"/>
      <c r="X453" s="12"/>
      <c r="Y453" s="46"/>
    </row>
    <row r="454" spans="22:25" s="4" customFormat="1" x14ac:dyDescent="0.25">
      <c r="V454" s="45"/>
      <c r="W454" s="12"/>
      <c r="X454" s="12"/>
      <c r="Y454" s="46"/>
    </row>
    <row r="455" spans="22:25" s="4" customFormat="1" x14ac:dyDescent="0.25">
      <c r="V455" s="45"/>
      <c r="W455" s="12"/>
      <c r="X455" s="12"/>
      <c r="Y455" s="46"/>
    </row>
    <row r="456" spans="22:25" s="4" customFormat="1" x14ac:dyDescent="0.25">
      <c r="V456" s="45"/>
      <c r="W456" s="12"/>
      <c r="X456" s="12"/>
      <c r="Y456" s="46"/>
    </row>
    <row r="457" spans="22:25" s="4" customFormat="1" x14ac:dyDescent="0.25">
      <c r="V457" s="45"/>
      <c r="W457" s="12"/>
      <c r="X457" s="12"/>
      <c r="Y457" s="46"/>
    </row>
    <row r="458" spans="22:25" s="4" customFormat="1" x14ac:dyDescent="0.25">
      <c r="V458" s="45"/>
      <c r="W458" s="12"/>
      <c r="X458" s="12"/>
      <c r="Y458" s="46"/>
    </row>
    <row r="459" spans="22:25" s="4" customFormat="1" x14ac:dyDescent="0.25">
      <c r="V459" s="45"/>
      <c r="W459" s="12"/>
      <c r="X459" s="12"/>
      <c r="Y459" s="46"/>
    </row>
    <row r="460" spans="22:25" s="4" customFormat="1" x14ac:dyDescent="0.25">
      <c r="V460" s="45"/>
      <c r="W460" s="12"/>
      <c r="X460" s="12"/>
      <c r="Y460" s="46"/>
    </row>
    <row r="461" spans="22:25" s="4" customFormat="1" x14ac:dyDescent="0.25">
      <c r="V461" s="45"/>
      <c r="W461" s="12"/>
      <c r="X461" s="12"/>
      <c r="Y461" s="46"/>
    </row>
    <row r="462" spans="22:25" s="4" customFormat="1" x14ac:dyDescent="0.25">
      <c r="V462" s="45"/>
      <c r="W462" s="12"/>
      <c r="X462" s="12"/>
      <c r="Y462" s="46"/>
    </row>
    <row r="463" spans="22:25" s="4" customFormat="1" x14ac:dyDescent="0.25">
      <c r="V463" s="45"/>
      <c r="W463" s="12"/>
      <c r="X463" s="12"/>
      <c r="Y463" s="46"/>
    </row>
    <row r="464" spans="22:25" s="4" customFormat="1" x14ac:dyDescent="0.25">
      <c r="V464" s="45"/>
      <c r="W464" s="12"/>
      <c r="X464" s="12"/>
      <c r="Y464" s="46"/>
    </row>
    <row r="465" spans="22:25" s="4" customFormat="1" x14ac:dyDescent="0.25">
      <c r="V465" s="45"/>
      <c r="W465" s="12"/>
      <c r="X465" s="12"/>
      <c r="Y465" s="46"/>
    </row>
    <row r="466" spans="22:25" s="4" customFormat="1" x14ac:dyDescent="0.25">
      <c r="V466" s="45"/>
      <c r="W466" s="12"/>
      <c r="X466" s="12"/>
      <c r="Y466" s="46"/>
    </row>
    <row r="467" spans="22:25" s="4" customFormat="1" x14ac:dyDescent="0.25">
      <c r="V467" s="45"/>
      <c r="W467" s="12"/>
      <c r="X467" s="12"/>
      <c r="Y467" s="46"/>
    </row>
    <row r="468" spans="22:25" s="4" customFormat="1" x14ac:dyDescent="0.25">
      <c r="V468" s="45"/>
      <c r="W468" s="12"/>
      <c r="X468" s="12"/>
      <c r="Y468" s="46"/>
    </row>
    <row r="469" spans="22:25" s="4" customFormat="1" x14ac:dyDescent="0.25">
      <c r="V469" s="45"/>
      <c r="W469" s="12"/>
      <c r="X469" s="12"/>
      <c r="Y469" s="46"/>
    </row>
    <row r="470" spans="22:25" s="4" customFormat="1" x14ac:dyDescent="0.25">
      <c r="V470" s="45"/>
      <c r="W470" s="12"/>
      <c r="X470" s="12"/>
      <c r="Y470" s="46"/>
    </row>
    <row r="471" spans="22:25" s="4" customFormat="1" x14ac:dyDescent="0.25">
      <c r="V471" s="45"/>
      <c r="W471" s="12"/>
      <c r="X471" s="12"/>
      <c r="Y471" s="46"/>
    </row>
    <row r="472" spans="22:25" s="4" customFormat="1" x14ac:dyDescent="0.25">
      <c r="V472" s="45"/>
      <c r="W472" s="12"/>
      <c r="X472" s="12"/>
      <c r="Y472" s="46"/>
    </row>
    <row r="473" spans="22:25" s="4" customFormat="1" x14ac:dyDescent="0.25">
      <c r="V473" s="45"/>
      <c r="W473" s="12"/>
      <c r="X473" s="12"/>
      <c r="Y473" s="46"/>
    </row>
    <row r="474" spans="22:25" s="4" customFormat="1" x14ac:dyDescent="0.25">
      <c r="V474" s="45"/>
      <c r="W474" s="12"/>
      <c r="X474" s="12"/>
      <c r="Y474" s="46"/>
    </row>
    <row r="475" spans="22:25" s="4" customFormat="1" x14ac:dyDescent="0.25">
      <c r="V475" s="45"/>
      <c r="W475" s="12"/>
      <c r="X475" s="12"/>
      <c r="Y475" s="46"/>
    </row>
    <row r="476" spans="22:25" s="4" customFormat="1" x14ac:dyDescent="0.25">
      <c r="V476" s="45"/>
      <c r="W476" s="12"/>
      <c r="X476" s="12"/>
      <c r="Y476" s="46"/>
    </row>
    <row r="477" spans="22:25" s="4" customFormat="1" x14ac:dyDescent="0.25">
      <c r="V477" s="45"/>
      <c r="W477" s="12"/>
      <c r="X477" s="12"/>
      <c r="Y477" s="46"/>
    </row>
    <row r="478" spans="22:25" s="4" customFormat="1" x14ac:dyDescent="0.25">
      <c r="V478" s="45"/>
      <c r="W478" s="12"/>
      <c r="X478" s="12"/>
      <c r="Y478" s="46"/>
    </row>
    <row r="479" spans="22:25" s="4" customFormat="1" x14ac:dyDescent="0.25">
      <c r="V479" s="45"/>
      <c r="W479" s="12"/>
      <c r="X479" s="12"/>
      <c r="Y479" s="46"/>
    </row>
    <row r="480" spans="22:25" s="4" customFormat="1" x14ac:dyDescent="0.25">
      <c r="V480" s="45"/>
      <c r="W480" s="12"/>
      <c r="X480" s="12"/>
      <c r="Y480" s="46"/>
    </row>
    <row r="481" spans="22:25" s="4" customFormat="1" x14ac:dyDescent="0.25">
      <c r="V481" s="45"/>
      <c r="W481" s="12"/>
      <c r="X481" s="12"/>
      <c r="Y481" s="46"/>
    </row>
    <row r="482" spans="22:25" s="4" customFormat="1" x14ac:dyDescent="0.25">
      <c r="V482" s="45"/>
      <c r="W482" s="12"/>
      <c r="X482" s="12"/>
      <c r="Y482" s="46"/>
    </row>
    <row r="483" spans="22:25" s="4" customFormat="1" x14ac:dyDescent="0.25">
      <c r="V483" s="45"/>
      <c r="W483" s="12"/>
      <c r="X483" s="12"/>
      <c r="Y483" s="46"/>
    </row>
    <row r="484" spans="22:25" s="4" customFormat="1" x14ac:dyDescent="0.25">
      <c r="V484" s="45"/>
      <c r="W484" s="12"/>
      <c r="X484" s="12"/>
      <c r="Y484" s="46"/>
    </row>
    <row r="485" spans="22:25" s="4" customFormat="1" x14ac:dyDescent="0.25">
      <c r="V485" s="45"/>
      <c r="W485" s="12"/>
      <c r="X485" s="12"/>
      <c r="Y485" s="46"/>
    </row>
    <row r="486" spans="22:25" s="4" customFormat="1" x14ac:dyDescent="0.25">
      <c r="V486" s="45"/>
      <c r="W486" s="12"/>
      <c r="X486" s="12"/>
      <c r="Y486" s="46"/>
    </row>
    <row r="487" spans="22:25" s="4" customFormat="1" x14ac:dyDescent="0.25">
      <c r="V487" s="45"/>
      <c r="W487" s="12"/>
      <c r="X487" s="12"/>
      <c r="Y487" s="46"/>
    </row>
    <row r="488" spans="22:25" s="4" customFormat="1" x14ac:dyDescent="0.25">
      <c r="V488" s="45"/>
      <c r="W488" s="12"/>
      <c r="X488" s="12"/>
      <c r="Y488" s="46"/>
    </row>
    <row r="489" spans="22:25" s="4" customFormat="1" x14ac:dyDescent="0.25">
      <c r="V489" s="45"/>
      <c r="W489" s="12"/>
      <c r="X489" s="12"/>
      <c r="Y489" s="46"/>
    </row>
    <row r="490" spans="22:25" s="4" customFormat="1" x14ac:dyDescent="0.25">
      <c r="V490" s="45"/>
      <c r="W490" s="12"/>
      <c r="X490" s="12"/>
      <c r="Y490" s="46"/>
    </row>
    <row r="491" spans="22:25" s="4" customFormat="1" x14ac:dyDescent="0.25">
      <c r="V491" s="45"/>
      <c r="W491" s="12"/>
      <c r="X491" s="12"/>
      <c r="Y491" s="46"/>
    </row>
    <row r="492" spans="22:25" s="4" customFormat="1" x14ac:dyDescent="0.25">
      <c r="V492" s="45"/>
      <c r="W492" s="12"/>
      <c r="X492" s="12"/>
      <c r="Y492" s="46"/>
    </row>
    <row r="493" spans="22:25" s="4" customFormat="1" x14ac:dyDescent="0.25">
      <c r="V493" s="45"/>
      <c r="W493" s="12"/>
      <c r="X493" s="12"/>
      <c r="Y493" s="46"/>
    </row>
    <row r="494" spans="22:25" s="4" customFormat="1" x14ac:dyDescent="0.25">
      <c r="V494" s="45"/>
      <c r="W494" s="12"/>
      <c r="X494" s="12"/>
      <c r="Y494" s="46"/>
    </row>
    <row r="495" spans="22:25" s="4" customFormat="1" x14ac:dyDescent="0.25">
      <c r="V495" s="45"/>
      <c r="W495" s="12"/>
      <c r="X495" s="12"/>
      <c r="Y495" s="46"/>
    </row>
    <row r="496" spans="22:25" s="4" customFormat="1" x14ac:dyDescent="0.25">
      <c r="V496" s="45"/>
      <c r="W496" s="12"/>
      <c r="X496" s="12"/>
      <c r="Y496" s="46"/>
    </row>
    <row r="497" spans="22:25" s="4" customFormat="1" x14ac:dyDescent="0.25">
      <c r="V497" s="45"/>
      <c r="W497" s="12"/>
      <c r="X497" s="12"/>
      <c r="Y497" s="46"/>
    </row>
    <row r="498" spans="22:25" s="4" customFormat="1" x14ac:dyDescent="0.25">
      <c r="V498" s="45"/>
      <c r="W498" s="12"/>
      <c r="X498" s="12"/>
      <c r="Y498" s="46"/>
    </row>
    <row r="499" spans="22:25" s="4" customFormat="1" x14ac:dyDescent="0.25">
      <c r="V499" s="45"/>
      <c r="W499" s="12"/>
      <c r="X499" s="12"/>
      <c r="Y499" s="46"/>
    </row>
    <row r="500" spans="22:25" s="4" customFormat="1" x14ac:dyDescent="0.25">
      <c r="V500" s="45"/>
      <c r="W500" s="12"/>
      <c r="X500" s="12"/>
      <c r="Y500" s="46"/>
    </row>
    <row r="501" spans="22:25" s="4" customFormat="1" x14ac:dyDescent="0.25">
      <c r="V501" s="45"/>
      <c r="W501" s="12"/>
      <c r="X501" s="12"/>
      <c r="Y501" s="46"/>
    </row>
    <row r="502" spans="22:25" s="4" customFormat="1" x14ac:dyDescent="0.25">
      <c r="V502" s="45"/>
      <c r="W502" s="12"/>
      <c r="X502" s="12"/>
      <c r="Y502" s="46"/>
    </row>
    <row r="503" spans="22:25" s="4" customFormat="1" x14ac:dyDescent="0.25">
      <c r="V503" s="45"/>
      <c r="W503" s="12"/>
      <c r="X503" s="12"/>
      <c r="Y503" s="46"/>
    </row>
    <row r="504" spans="22:25" s="4" customFormat="1" x14ac:dyDescent="0.25">
      <c r="V504" s="45"/>
      <c r="W504" s="12"/>
      <c r="X504" s="12"/>
      <c r="Y504" s="46"/>
    </row>
    <row r="505" spans="22:25" s="4" customFormat="1" x14ac:dyDescent="0.25">
      <c r="V505" s="45"/>
      <c r="W505" s="12"/>
      <c r="X505" s="12"/>
      <c r="Y505" s="46"/>
    </row>
    <row r="506" spans="22:25" s="4" customFormat="1" x14ac:dyDescent="0.25">
      <c r="V506" s="45"/>
      <c r="W506" s="12"/>
      <c r="X506" s="12"/>
      <c r="Y506" s="46"/>
    </row>
    <row r="507" spans="22:25" s="4" customFormat="1" x14ac:dyDescent="0.25">
      <c r="V507" s="45"/>
      <c r="W507" s="12"/>
      <c r="X507" s="12"/>
      <c r="Y507" s="46"/>
    </row>
    <row r="508" spans="22:25" s="4" customFormat="1" x14ac:dyDescent="0.25">
      <c r="V508" s="45"/>
      <c r="W508" s="12"/>
      <c r="X508" s="12"/>
      <c r="Y508" s="46"/>
    </row>
    <row r="509" spans="22:25" s="4" customFormat="1" x14ac:dyDescent="0.25">
      <c r="V509" s="45"/>
      <c r="W509" s="12"/>
      <c r="X509" s="12"/>
      <c r="Y509" s="46"/>
    </row>
    <row r="510" spans="22:25" s="4" customFormat="1" x14ac:dyDescent="0.25">
      <c r="V510" s="45"/>
      <c r="W510" s="12"/>
      <c r="X510" s="12"/>
      <c r="Y510" s="46"/>
    </row>
    <row r="511" spans="22:25" s="4" customFormat="1" x14ac:dyDescent="0.25">
      <c r="V511" s="45"/>
      <c r="W511" s="12"/>
      <c r="X511" s="12"/>
      <c r="Y511" s="46"/>
    </row>
    <row r="512" spans="22:25" s="4" customFormat="1" x14ac:dyDescent="0.25">
      <c r="V512" s="45"/>
      <c r="W512" s="12"/>
      <c r="X512" s="12"/>
      <c r="Y512" s="46"/>
    </row>
    <row r="513" spans="22:25" s="4" customFormat="1" x14ac:dyDescent="0.25">
      <c r="V513" s="45"/>
      <c r="W513" s="12"/>
      <c r="X513" s="12"/>
      <c r="Y513" s="46"/>
    </row>
    <row r="514" spans="22:25" s="4" customFormat="1" x14ac:dyDescent="0.25">
      <c r="V514" s="45"/>
      <c r="W514" s="12"/>
      <c r="X514" s="12"/>
      <c r="Y514" s="46"/>
    </row>
    <row r="515" spans="22:25" s="4" customFormat="1" x14ac:dyDescent="0.25">
      <c r="V515" s="45"/>
      <c r="W515" s="12"/>
      <c r="X515" s="12"/>
      <c r="Y515" s="46"/>
    </row>
    <row r="516" spans="22:25" s="4" customFormat="1" x14ac:dyDescent="0.25">
      <c r="V516" s="45"/>
      <c r="W516" s="12"/>
      <c r="X516" s="12"/>
      <c r="Y516" s="46"/>
    </row>
    <row r="517" spans="22:25" s="4" customFormat="1" x14ac:dyDescent="0.25">
      <c r="V517" s="45"/>
      <c r="W517" s="12"/>
      <c r="X517" s="12"/>
      <c r="Y517" s="46"/>
    </row>
    <row r="518" spans="22:25" s="4" customFormat="1" x14ac:dyDescent="0.25">
      <c r="V518" s="45"/>
      <c r="W518" s="12"/>
      <c r="X518" s="12"/>
      <c r="Y518" s="46"/>
    </row>
    <row r="519" spans="22:25" s="4" customFormat="1" x14ac:dyDescent="0.25">
      <c r="V519" s="45"/>
      <c r="W519" s="12"/>
      <c r="X519" s="12"/>
      <c r="Y519" s="46"/>
    </row>
    <row r="520" spans="22:25" s="4" customFormat="1" x14ac:dyDescent="0.25">
      <c r="V520" s="45"/>
      <c r="W520" s="12"/>
      <c r="X520" s="12"/>
      <c r="Y520" s="46"/>
    </row>
    <row r="521" spans="22:25" s="4" customFormat="1" x14ac:dyDescent="0.25">
      <c r="V521" s="45"/>
      <c r="W521" s="12"/>
      <c r="X521" s="12"/>
      <c r="Y521" s="46"/>
    </row>
    <row r="522" spans="22:25" s="4" customFormat="1" x14ac:dyDescent="0.25">
      <c r="V522" s="45"/>
      <c r="W522" s="12"/>
      <c r="X522" s="12"/>
      <c r="Y522" s="46"/>
    </row>
    <row r="523" spans="22:25" s="4" customFormat="1" x14ac:dyDescent="0.25">
      <c r="V523" s="45"/>
      <c r="W523" s="12"/>
      <c r="X523" s="12"/>
      <c r="Y523" s="46"/>
    </row>
    <row r="524" spans="22:25" s="4" customFormat="1" x14ac:dyDescent="0.25">
      <c r="V524" s="45"/>
      <c r="W524" s="12"/>
      <c r="X524" s="12"/>
      <c r="Y524" s="46"/>
    </row>
    <row r="525" spans="22:25" s="4" customFormat="1" x14ac:dyDescent="0.25">
      <c r="V525" s="45"/>
      <c r="W525" s="12"/>
      <c r="X525" s="12"/>
      <c r="Y525" s="46"/>
    </row>
    <row r="526" spans="22:25" s="4" customFormat="1" x14ac:dyDescent="0.25">
      <c r="V526" s="45"/>
      <c r="W526" s="12"/>
      <c r="X526" s="12"/>
      <c r="Y526" s="46"/>
    </row>
    <row r="527" spans="22:25" s="4" customFormat="1" x14ac:dyDescent="0.25">
      <c r="V527" s="45"/>
      <c r="W527" s="12"/>
      <c r="X527" s="12"/>
      <c r="Y527" s="46"/>
    </row>
    <row r="528" spans="22:25" s="4" customFormat="1" x14ac:dyDescent="0.25">
      <c r="V528" s="45"/>
      <c r="W528" s="12"/>
      <c r="X528" s="12"/>
      <c r="Y528" s="46"/>
    </row>
    <row r="529" spans="22:25" s="4" customFormat="1" x14ac:dyDescent="0.25">
      <c r="V529" s="45"/>
      <c r="W529" s="12"/>
      <c r="X529" s="12"/>
      <c r="Y529" s="46"/>
    </row>
    <row r="530" spans="22:25" s="4" customFormat="1" x14ac:dyDescent="0.25">
      <c r="V530" s="45"/>
      <c r="W530" s="12"/>
      <c r="X530" s="12"/>
      <c r="Y530" s="46"/>
    </row>
    <row r="531" spans="22:25" s="4" customFormat="1" x14ac:dyDescent="0.25">
      <c r="V531" s="45"/>
      <c r="W531" s="12"/>
      <c r="X531" s="12"/>
      <c r="Y531" s="46"/>
    </row>
    <row r="532" spans="22:25" s="4" customFormat="1" x14ac:dyDescent="0.25">
      <c r="V532" s="45"/>
      <c r="W532" s="12"/>
      <c r="X532" s="12"/>
      <c r="Y532" s="46"/>
    </row>
    <row r="533" spans="22:25" s="4" customFormat="1" x14ac:dyDescent="0.25">
      <c r="V533" s="45"/>
      <c r="W533" s="12"/>
      <c r="X533" s="12"/>
      <c r="Y533" s="46"/>
    </row>
    <row r="534" spans="22:25" s="4" customFormat="1" x14ac:dyDescent="0.25">
      <c r="V534" s="45"/>
      <c r="W534" s="12"/>
      <c r="X534" s="12"/>
      <c r="Y534" s="46"/>
    </row>
    <row r="535" spans="22:25" s="4" customFormat="1" x14ac:dyDescent="0.25">
      <c r="V535" s="45"/>
      <c r="W535" s="12"/>
      <c r="X535" s="12"/>
      <c r="Y535" s="46"/>
    </row>
    <row r="536" spans="22:25" s="4" customFormat="1" x14ac:dyDescent="0.25">
      <c r="V536" s="45"/>
      <c r="W536" s="12"/>
      <c r="X536" s="12"/>
      <c r="Y536" s="46"/>
    </row>
    <row r="537" spans="22:25" s="4" customFormat="1" x14ac:dyDescent="0.25">
      <c r="V537" s="45"/>
      <c r="W537" s="12"/>
      <c r="X537" s="12"/>
      <c r="Y537" s="46"/>
    </row>
    <row r="538" spans="22:25" s="4" customFormat="1" x14ac:dyDescent="0.25">
      <c r="V538" s="45"/>
      <c r="W538" s="12"/>
      <c r="X538" s="12"/>
      <c r="Y538" s="46"/>
    </row>
    <row r="539" spans="22:25" s="4" customFormat="1" x14ac:dyDescent="0.25">
      <c r="V539" s="45"/>
      <c r="W539" s="12"/>
      <c r="X539" s="12"/>
      <c r="Y539" s="46"/>
    </row>
  </sheetData>
  <sheetProtection formatCells="0" sort="0"/>
  <mergeCells count="13">
    <mergeCell ref="A250:Y250"/>
    <mergeCell ref="A294:Y294"/>
    <mergeCell ref="A178:Y178"/>
    <mergeCell ref="A4:Y4"/>
    <mergeCell ref="A90:Y90"/>
    <mergeCell ref="A1:Y1"/>
    <mergeCell ref="A2:B2"/>
    <mergeCell ref="C2:E2"/>
    <mergeCell ref="G2:I2"/>
    <mergeCell ref="K2:M2"/>
    <mergeCell ref="O2:Q2"/>
    <mergeCell ref="S2:U2"/>
    <mergeCell ref="W2:Y2"/>
  </mergeCells>
  <phoneticPr fontId="28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Y451"/>
  <sheetViews>
    <sheetView zoomScale="80" zoomScaleNormal="80" zoomScalePageLayoutView="80" workbookViewId="0">
      <pane xSplit="2" ySplit="5" topLeftCell="C132" activePane="bottomRight" state="frozen"/>
      <selection pane="topRight" activeCell="C1" sqref="C1"/>
      <selection pane="bottomLeft" activeCell="A6" sqref="A6"/>
      <selection pane="bottomRight" activeCell="S181" sqref="S181"/>
    </sheetView>
  </sheetViews>
  <sheetFormatPr defaultColWidth="8.88671875" defaultRowHeight="13.2" x14ac:dyDescent="0.25"/>
  <cols>
    <col min="1" max="1" width="10.109375" style="7" customWidth="1"/>
    <col min="2" max="2" width="42.44140625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4.664062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4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77" s="61" customFormat="1" x14ac:dyDescent="0.25">
      <c r="A1" s="316" t="s">
        <v>95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77" s="61" customFormat="1" x14ac:dyDescent="0.25">
      <c r="A2" s="319">
        <v>44778</v>
      </c>
      <c r="B2" s="320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77" s="72" customFormat="1" ht="26.4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77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77" s="77" customForma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77" s="61" customFormat="1" x14ac:dyDescent="0.25">
      <c r="A6" s="53"/>
      <c r="B6" s="52" t="s">
        <v>134</v>
      </c>
      <c r="C6" s="124">
        <f>(((92114.57*1.03)/1560)*173.33)*1</f>
        <v>10541.798058104489</v>
      </c>
      <c r="D6" s="56">
        <f>(((92114.57*1.03)/1560)*173.33)*0</f>
        <v>0</v>
      </c>
      <c r="E6" s="56">
        <f t="shared" ref="E6:E14" si="0">SUM(C6:D6)</f>
        <v>10541.798058104489</v>
      </c>
      <c r="F6" s="58"/>
      <c r="G6" s="55">
        <f>C6*1.03</f>
        <v>10858.051999847623</v>
      </c>
      <c r="H6" s="57">
        <f>D6*1.03</f>
        <v>0</v>
      </c>
      <c r="I6" s="57">
        <f t="shared" ref="I6:I14" si="1">SUM(G6:H6)</f>
        <v>10858.051999847623</v>
      </c>
      <c r="J6" s="58"/>
      <c r="K6" s="55">
        <f>G6*1.03</f>
        <v>11183.793559843052</v>
      </c>
      <c r="L6" s="57">
        <f>H6*1.03</f>
        <v>0</v>
      </c>
      <c r="M6" s="57">
        <f t="shared" ref="M6:M14" si="2">SUM(K6:L6)</f>
        <v>11183.793559843052</v>
      </c>
      <c r="N6" s="58"/>
      <c r="O6" s="55">
        <f>K6*1.03</f>
        <v>11519.307366638344</v>
      </c>
      <c r="P6" s="57">
        <f>L6*1.03</f>
        <v>0</v>
      </c>
      <c r="Q6" s="57">
        <f t="shared" ref="Q6:Q14" si="3">SUM(O6:P6)</f>
        <v>11519.307366638344</v>
      </c>
      <c r="R6" s="58"/>
      <c r="S6" s="55">
        <f>O6*1.03</f>
        <v>11864.886587637495</v>
      </c>
      <c r="T6" s="57">
        <f>P6*1.03</f>
        <v>0</v>
      </c>
      <c r="U6" s="57">
        <f t="shared" ref="U6:U14" si="4">SUM(S6:T6)</f>
        <v>11864.886587637495</v>
      </c>
      <c r="V6" s="59"/>
      <c r="W6" s="124">
        <f t="shared" ref="W6:W15" si="5">C6+G6+K6+O6+S6</f>
        <v>55967.837572071003</v>
      </c>
      <c r="X6" s="57">
        <f t="shared" ref="X6:X15" si="6">D6+H6+L6+P6+T6</f>
        <v>0</v>
      </c>
      <c r="Y6" s="60">
        <f t="shared" ref="Y6:Y15" si="7">E6+I6+M6+Q6+U6</f>
        <v>55967.837572071003</v>
      </c>
    </row>
    <row r="7" spans="1:77" s="61" customFormat="1" x14ac:dyDescent="0.25">
      <c r="A7" s="53"/>
      <c r="B7" s="52" t="s">
        <v>202</v>
      </c>
      <c r="C7" s="124">
        <f>5000*2</f>
        <v>10000</v>
      </c>
      <c r="D7" s="56">
        <v>0</v>
      </c>
      <c r="E7" s="56">
        <f t="shared" si="0"/>
        <v>10000</v>
      </c>
      <c r="F7" s="58"/>
      <c r="G7" s="55">
        <f>C7*1.03</f>
        <v>10300</v>
      </c>
      <c r="H7" s="57">
        <f t="shared" ref="H7:H14" si="8">D7*1.05</f>
        <v>0</v>
      </c>
      <c r="I7" s="57">
        <f t="shared" si="1"/>
        <v>10300</v>
      </c>
      <c r="J7" s="58"/>
      <c r="K7" s="55">
        <f>G7*1.03</f>
        <v>10609</v>
      </c>
      <c r="L7" s="57">
        <f t="shared" ref="L7:L14" si="9">H7*1.05</f>
        <v>0</v>
      </c>
      <c r="M7" s="57">
        <f t="shared" si="2"/>
        <v>10609</v>
      </c>
      <c r="N7" s="58"/>
      <c r="O7" s="55">
        <f>K7*1.03</f>
        <v>10927.27</v>
      </c>
      <c r="P7" s="57">
        <f t="shared" ref="P7:P14" si="10">L7*1.05</f>
        <v>0</v>
      </c>
      <c r="Q7" s="57">
        <f t="shared" si="3"/>
        <v>10927.27</v>
      </c>
      <c r="R7" s="58"/>
      <c r="S7" s="55">
        <f>O7*1.03</f>
        <v>11255.088100000001</v>
      </c>
      <c r="T7" s="57">
        <f t="shared" ref="T7:T14" si="11">P7*1.05</f>
        <v>0</v>
      </c>
      <c r="U7" s="57">
        <f t="shared" si="4"/>
        <v>11255.088100000001</v>
      </c>
      <c r="V7" s="59"/>
      <c r="W7" s="124">
        <f t="shared" si="5"/>
        <v>53091.358100000005</v>
      </c>
      <c r="X7" s="57">
        <f t="shared" si="6"/>
        <v>0</v>
      </c>
      <c r="Y7" s="60">
        <f t="shared" si="7"/>
        <v>53091.358100000005</v>
      </c>
    </row>
    <row r="8" spans="1:77" s="61" customFormat="1" x14ac:dyDescent="0.25">
      <c r="A8" s="52"/>
      <c r="B8" s="52" t="s">
        <v>177</v>
      </c>
      <c r="C8" s="124">
        <f>C6/2</f>
        <v>5270.8990290522443</v>
      </c>
      <c r="D8" s="56">
        <v>0</v>
      </c>
      <c r="E8" s="56">
        <f t="shared" ref="E8" si="12">SUM(C8:D8)</f>
        <v>5270.8990290522443</v>
      </c>
      <c r="F8" s="58"/>
      <c r="G8" s="55">
        <f>C8*1.03</f>
        <v>5429.0259999238115</v>
      </c>
      <c r="H8" s="57">
        <f t="shared" si="8"/>
        <v>0</v>
      </c>
      <c r="I8" s="57">
        <f t="shared" ref="I8:I9" si="13">SUM(G8:H8)</f>
        <v>5429.0259999238115</v>
      </c>
      <c r="J8" s="58"/>
      <c r="K8" s="55">
        <f>G8*1.03</f>
        <v>5591.8967799215261</v>
      </c>
      <c r="L8" s="57">
        <f t="shared" si="9"/>
        <v>0</v>
      </c>
      <c r="M8" s="57">
        <f t="shared" ref="M8:M9" si="14">SUM(K8:L8)</f>
        <v>5591.8967799215261</v>
      </c>
      <c r="N8" s="58"/>
      <c r="O8" s="55">
        <f>K8*1.03</f>
        <v>5759.6536833191722</v>
      </c>
      <c r="P8" s="57">
        <f t="shared" si="10"/>
        <v>0</v>
      </c>
      <c r="Q8" s="57">
        <f t="shared" ref="Q8:Q9" si="15">SUM(O8:P8)</f>
        <v>5759.6536833191722</v>
      </c>
      <c r="R8" s="58"/>
      <c r="S8" s="55">
        <f>O8*1.03</f>
        <v>5932.4432938187474</v>
      </c>
      <c r="T8" s="57">
        <f t="shared" si="11"/>
        <v>0</v>
      </c>
      <c r="U8" s="57">
        <f t="shared" ref="U8:U9" si="16">SUM(S8:T8)</f>
        <v>5932.4432938187474</v>
      </c>
      <c r="V8" s="59"/>
      <c r="W8" s="124">
        <f t="shared" si="5"/>
        <v>27983.918786035501</v>
      </c>
      <c r="X8" s="57">
        <f t="shared" si="6"/>
        <v>0</v>
      </c>
      <c r="Y8" s="84">
        <f t="shared" si="7"/>
        <v>27983.918786035501</v>
      </c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4"/>
      <c r="BY8" s="54"/>
    </row>
    <row r="9" spans="1:77" s="61" customFormat="1" x14ac:dyDescent="0.25">
      <c r="A9" s="52"/>
      <c r="B9" s="52" t="s">
        <v>230</v>
      </c>
      <c r="C9" s="124">
        <f>5000*0</f>
        <v>0</v>
      </c>
      <c r="D9" s="56">
        <v>5000</v>
      </c>
      <c r="E9" s="56">
        <f t="shared" ref="E9" si="17">SUM(C9:D9)</f>
        <v>5000</v>
      </c>
      <c r="F9" s="58"/>
      <c r="G9" s="55">
        <f>C9*1.03</f>
        <v>0</v>
      </c>
      <c r="H9" s="57">
        <f>D9*1.03</f>
        <v>5150</v>
      </c>
      <c r="I9" s="57">
        <f t="shared" si="13"/>
        <v>5150</v>
      </c>
      <c r="J9" s="58"/>
      <c r="K9" s="55">
        <f>C9*1.03*1.03*0</f>
        <v>0</v>
      </c>
      <c r="L9" s="57"/>
      <c r="M9" s="57">
        <f t="shared" si="14"/>
        <v>0</v>
      </c>
      <c r="N9" s="58"/>
      <c r="O9" s="55">
        <f>K9*1.03*0</f>
        <v>0</v>
      </c>
      <c r="P9" s="57"/>
      <c r="Q9" s="57">
        <f t="shared" si="15"/>
        <v>0</v>
      </c>
      <c r="R9" s="58"/>
      <c r="S9" s="55">
        <f>K9*1.03*1.03</f>
        <v>0</v>
      </c>
      <c r="T9" s="57"/>
      <c r="U9" s="57">
        <f t="shared" si="16"/>
        <v>0</v>
      </c>
      <c r="V9" s="59"/>
      <c r="W9" s="124">
        <f t="shared" si="5"/>
        <v>0</v>
      </c>
      <c r="X9" s="57">
        <f t="shared" si="6"/>
        <v>10150</v>
      </c>
      <c r="Y9" s="84">
        <f t="shared" si="7"/>
        <v>10150</v>
      </c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</row>
    <row r="10" spans="1:77" s="61" customFormat="1" x14ac:dyDescent="0.25">
      <c r="A10" s="53"/>
      <c r="B10" s="54"/>
      <c r="C10" s="124">
        <v>0</v>
      </c>
      <c r="D10" s="56">
        <v>0</v>
      </c>
      <c r="E10" s="56">
        <f t="shared" si="0"/>
        <v>0</v>
      </c>
      <c r="F10" s="58"/>
      <c r="G10" s="55">
        <f t="shared" ref="G10:G14" si="18">C10*1.05</f>
        <v>0</v>
      </c>
      <c r="H10" s="57">
        <f t="shared" si="8"/>
        <v>0</v>
      </c>
      <c r="I10" s="57">
        <f t="shared" si="1"/>
        <v>0</v>
      </c>
      <c r="J10" s="58"/>
      <c r="K10" s="55">
        <f t="shared" ref="K10:K14" si="19">G10*1.05</f>
        <v>0</v>
      </c>
      <c r="L10" s="57">
        <f t="shared" si="9"/>
        <v>0</v>
      </c>
      <c r="M10" s="57">
        <f t="shared" si="2"/>
        <v>0</v>
      </c>
      <c r="N10" s="58"/>
      <c r="O10" s="55">
        <f t="shared" ref="O10:O14" si="20">K10*1.05</f>
        <v>0</v>
      </c>
      <c r="P10" s="57">
        <f t="shared" si="10"/>
        <v>0</v>
      </c>
      <c r="Q10" s="57">
        <f t="shared" si="3"/>
        <v>0</v>
      </c>
      <c r="R10" s="58"/>
      <c r="S10" s="55">
        <f t="shared" ref="S10:S14" si="21">O10*1.05</f>
        <v>0</v>
      </c>
      <c r="T10" s="57">
        <f t="shared" si="11"/>
        <v>0</v>
      </c>
      <c r="U10" s="57">
        <f t="shared" si="4"/>
        <v>0</v>
      </c>
      <c r="V10" s="59"/>
      <c r="W10" s="124">
        <f t="shared" si="5"/>
        <v>0</v>
      </c>
      <c r="X10" s="57">
        <f t="shared" si="6"/>
        <v>0</v>
      </c>
      <c r="Y10" s="60">
        <f t="shared" si="7"/>
        <v>0</v>
      </c>
    </row>
    <row r="11" spans="1:77" s="61" customFormat="1" x14ac:dyDescent="0.25">
      <c r="A11" s="53"/>
      <c r="B11" s="54"/>
      <c r="C11" s="124">
        <v>0</v>
      </c>
      <c r="D11" s="56">
        <v>0</v>
      </c>
      <c r="E11" s="56">
        <f t="shared" si="0"/>
        <v>0</v>
      </c>
      <c r="F11" s="58"/>
      <c r="G11" s="55">
        <f t="shared" si="18"/>
        <v>0</v>
      </c>
      <c r="H11" s="57">
        <f t="shared" si="8"/>
        <v>0</v>
      </c>
      <c r="I11" s="57">
        <f t="shared" si="1"/>
        <v>0</v>
      </c>
      <c r="J11" s="58"/>
      <c r="K11" s="55">
        <f t="shared" si="19"/>
        <v>0</v>
      </c>
      <c r="L11" s="57">
        <f t="shared" si="9"/>
        <v>0</v>
      </c>
      <c r="M11" s="57">
        <f t="shared" si="2"/>
        <v>0</v>
      </c>
      <c r="N11" s="58"/>
      <c r="O11" s="55">
        <f t="shared" si="20"/>
        <v>0</v>
      </c>
      <c r="P11" s="57">
        <f t="shared" si="10"/>
        <v>0</v>
      </c>
      <c r="Q11" s="57">
        <f t="shared" si="3"/>
        <v>0</v>
      </c>
      <c r="R11" s="58"/>
      <c r="S11" s="55">
        <f t="shared" si="21"/>
        <v>0</v>
      </c>
      <c r="T11" s="57">
        <f t="shared" si="11"/>
        <v>0</v>
      </c>
      <c r="U11" s="57">
        <f t="shared" si="4"/>
        <v>0</v>
      </c>
      <c r="V11" s="59"/>
      <c r="W11" s="124">
        <f t="shared" si="5"/>
        <v>0</v>
      </c>
      <c r="X11" s="57">
        <f t="shared" si="6"/>
        <v>0</v>
      </c>
      <c r="Y11" s="60">
        <f t="shared" si="7"/>
        <v>0</v>
      </c>
    </row>
    <row r="12" spans="1:77" s="61" customFormat="1" x14ac:dyDescent="0.25">
      <c r="A12" s="52"/>
      <c r="B12" s="54"/>
      <c r="C12" s="124">
        <v>0</v>
      </c>
      <c r="D12" s="56">
        <v>0</v>
      </c>
      <c r="E12" s="56">
        <f t="shared" si="0"/>
        <v>0</v>
      </c>
      <c r="F12" s="58"/>
      <c r="G12" s="55">
        <f t="shared" si="18"/>
        <v>0</v>
      </c>
      <c r="H12" s="57">
        <f t="shared" si="8"/>
        <v>0</v>
      </c>
      <c r="I12" s="57">
        <f t="shared" si="1"/>
        <v>0</v>
      </c>
      <c r="J12" s="58"/>
      <c r="K12" s="55">
        <f t="shared" si="19"/>
        <v>0</v>
      </c>
      <c r="L12" s="57">
        <f t="shared" si="9"/>
        <v>0</v>
      </c>
      <c r="M12" s="57">
        <f t="shared" si="2"/>
        <v>0</v>
      </c>
      <c r="N12" s="58"/>
      <c r="O12" s="55">
        <f t="shared" si="20"/>
        <v>0</v>
      </c>
      <c r="P12" s="57">
        <f t="shared" si="10"/>
        <v>0</v>
      </c>
      <c r="Q12" s="57">
        <f t="shared" si="3"/>
        <v>0</v>
      </c>
      <c r="R12" s="58"/>
      <c r="S12" s="55">
        <f t="shared" si="21"/>
        <v>0</v>
      </c>
      <c r="T12" s="57">
        <f t="shared" si="11"/>
        <v>0</v>
      </c>
      <c r="U12" s="57">
        <f t="shared" si="4"/>
        <v>0</v>
      </c>
      <c r="V12" s="59"/>
      <c r="W12" s="124">
        <f t="shared" si="5"/>
        <v>0</v>
      </c>
      <c r="X12" s="57">
        <f t="shared" si="6"/>
        <v>0</v>
      </c>
      <c r="Y12" s="84">
        <f t="shared" si="7"/>
        <v>0</v>
      </c>
    </row>
    <row r="13" spans="1:77" s="61" customFormat="1" x14ac:dyDescent="0.25">
      <c r="A13" s="52"/>
      <c r="B13" s="54"/>
      <c r="C13" s="124">
        <v>0</v>
      </c>
      <c r="D13" s="56">
        <v>0</v>
      </c>
      <c r="E13" s="56">
        <f t="shared" si="0"/>
        <v>0</v>
      </c>
      <c r="F13" s="58"/>
      <c r="G13" s="55">
        <f t="shared" si="18"/>
        <v>0</v>
      </c>
      <c r="H13" s="57">
        <f t="shared" si="8"/>
        <v>0</v>
      </c>
      <c r="I13" s="57">
        <f t="shared" si="1"/>
        <v>0</v>
      </c>
      <c r="J13" s="58"/>
      <c r="K13" s="55">
        <f t="shared" si="19"/>
        <v>0</v>
      </c>
      <c r="L13" s="57">
        <f t="shared" si="9"/>
        <v>0</v>
      </c>
      <c r="M13" s="57">
        <f t="shared" si="2"/>
        <v>0</v>
      </c>
      <c r="N13" s="58"/>
      <c r="O13" s="55">
        <f t="shared" si="20"/>
        <v>0</v>
      </c>
      <c r="P13" s="57">
        <f t="shared" si="10"/>
        <v>0</v>
      </c>
      <c r="Q13" s="57">
        <f t="shared" si="3"/>
        <v>0</v>
      </c>
      <c r="R13" s="58"/>
      <c r="S13" s="55">
        <f t="shared" si="21"/>
        <v>0</v>
      </c>
      <c r="T13" s="57">
        <f t="shared" si="11"/>
        <v>0</v>
      </c>
      <c r="U13" s="57">
        <f t="shared" si="4"/>
        <v>0</v>
      </c>
      <c r="V13" s="59"/>
      <c r="W13" s="124">
        <f t="shared" si="5"/>
        <v>0</v>
      </c>
      <c r="X13" s="57">
        <f t="shared" si="6"/>
        <v>0</v>
      </c>
      <c r="Y13" s="84">
        <f t="shared" si="7"/>
        <v>0</v>
      </c>
    </row>
    <row r="14" spans="1:77" s="61" customFormat="1" x14ac:dyDescent="0.25">
      <c r="A14" s="52"/>
      <c r="B14" s="54"/>
      <c r="C14" s="124">
        <v>0</v>
      </c>
      <c r="D14" s="56">
        <v>0</v>
      </c>
      <c r="E14" s="56">
        <f t="shared" si="0"/>
        <v>0</v>
      </c>
      <c r="F14" s="58"/>
      <c r="G14" s="55">
        <f t="shared" si="18"/>
        <v>0</v>
      </c>
      <c r="H14" s="57">
        <f t="shared" si="8"/>
        <v>0</v>
      </c>
      <c r="I14" s="57">
        <f t="shared" si="1"/>
        <v>0</v>
      </c>
      <c r="J14" s="58"/>
      <c r="K14" s="55">
        <f t="shared" si="19"/>
        <v>0</v>
      </c>
      <c r="L14" s="57">
        <f t="shared" si="9"/>
        <v>0</v>
      </c>
      <c r="M14" s="57">
        <f t="shared" si="2"/>
        <v>0</v>
      </c>
      <c r="N14" s="58"/>
      <c r="O14" s="55">
        <f t="shared" si="20"/>
        <v>0</v>
      </c>
      <c r="P14" s="57">
        <f t="shared" si="10"/>
        <v>0</v>
      </c>
      <c r="Q14" s="57">
        <f t="shared" si="3"/>
        <v>0</v>
      </c>
      <c r="R14" s="58"/>
      <c r="S14" s="55">
        <f t="shared" si="21"/>
        <v>0</v>
      </c>
      <c r="T14" s="57">
        <f t="shared" si="11"/>
        <v>0</v>
      </c>
      <c r="U14" s="57">
        <f t="shared" si="4"/>
        <v>0</v>
      </c>
      <c r="V14" s="59"/>
      <c r="W14" s="124">
        <f t="shared" si="5"/>
        <v>0</v>
      </c>
      <c r="X14" s="57">
        <f t="shared" si="6"/>
        <v>0</v>
      </c>
      <c r="Y14" s="84">
        <f t="shared" si="7"/>
        <v>0</v>
      </c>
    </row>
    <row r="15" spans="1:77" s="83" customFormat="1" x14ac:dyDescent="0.25">
      <c r="A15" s="78"/>
      <c r="B15" s="78" t="s">
        <v>9</v>
      </c>
      <c r="C15" s="228">
        <f>SUM(C6:C14)</f>
        <v>25812.697087156736</v>
      </c>
      <c r="D15" s="125">
        <f>SUM(D6:D14)</f>
        <v>5000</v>
      </c>
      <c r="E15" s="125">
        <f>SUM(E6:E14)</f>
        <v>30812.697087156736</v>
      </c>
      <c r="F15" s="81"/>
      <c r="G15" s="79">
        <f>SUM(G6:G14)</f>
        <v>26587.077999771434</v>
      </c>
      <c r="H15" s="80">
        <f>SUM(H6:H14)</f>
        <v>5150</v>
      </c>
      <c r="I15" s="80">
        <f>SUM(I6:I14)</f>
        <v>31737.077999771434</v>
      </c>
      <c r="J15" s="81"/>
      <c r="K15" s="79">
        <f>SUM(K6:K14)</f>
        <v>27384.69033976458</v>
      </c>
      <c r="L15" s="80">
        <f>SUM(L6:L14)</f>
        <v>0</v>
      </c>
      <c r="M15" s="80">
        <f>SUM(M6:M14)</f>
        <v>27384.69033976458</v>
      </c>
      <c r="N15" s="81"/>
      <c r="O15" s="79">
        <f>SUM(O6:O14)</f>
        <v>28206.231049957518</v>
      </c>
      <c r="P15" s="80">
        <f>SUM(P6:P14)</f>
        <v>0</v>
      </c>
      <c r="Q15" s="80">
        <f>SUM(Q6:Q14)</f>
        <v>28206.231049957518</v>
      </c>
      <c r="R15" s="81"/>
      <c r="S15" s="79">
        <f>SUM(S6:S14)</f>
        <v>29052.417981456245</v>
      </c>
      <c r="T15" s="80">
        <f>SUM(T6:T14)</f>
        <v>0</v>
      </c>
      <c r="U15" s="80">
        <f>SUM(U6:U14)</f>
        <v>29052.417981456245</v>
      </c>
      <c r="V15" s="82"/>
      <c r="W15" s="228">
        <f t="shared" si="5"/>
        <v>137043.11445810652</v>
      </c>
      <c r="X15" s="80">
        <f t="shared" si="6"/>
        <v>10150</v>
      </c>
      <c r="Y15" s="80">
        <f t="shared" si="7"/>
        <v>147193.11445810652</v>
      </c>
    </row>
    <row r="16" spans="1:77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61" customFormat="1" x14ac:dyDescent="0.25">
      <c r="A17" s="52"/>
      <c r="B17" s="54"/>
      <c r="C17" s="124">
        <v>0</v>
      </c>
      <c r="D17" s="56">
        <v>0</v>
      </c>
      <c r="E17" s="56">
        <f t="shared" ref="E17:E25" si="22">SUM(C17:D17)</f>
        <v>0</v>
      </c>
      <c r="F17" s="58"/>
      <c r="G17" s="55">
        <f t="shared" ref="G17:G25" si="23">C17*1.05</f>
        <v>0</v>
      </c>
      <c r="H17" s="57">
        <f t="shared" ref="H17:H25" si="24">D17*1.05</f>
        <v>0</v>
      </c>
      <c r="I17" s="57">
        <f t="shared" ref="I17:I25" si="25">SUM(G17:H17)</f>
        <v>0</v>
      </c>
      <c r="J17" s="58"/>
      <c r="K17" s="55">
        <f t="shared" ref="K17:K25" si="26">G17*1.05</f>
        <v>0</v>
      </c>
      <c r="L17" s="57">
        <f t="shared" ref="L17:L25" si="27">H17*1.05</f>
        <v>0</v>
      </c>
      <c r="M17" s="57">
        <f t="shared" ref="M17:M25" si="28">SUM(K17:L17)</f>
        <v>0</v>
      </c>
      <c r="N17" s="58"/>
      <c r="O17" s="55">
        <f t="shared" ref="O17:O25" si="29">K17*1.05</f>
        <v>0</v>
      </c>
      <c r="P17" s="57">
        <f t="shared" ref="P17:P25" si="30">L17*1.05</f>
        <v>0</v>
      </c>
      <c r="Q17" s="57">
        <f t="shared" ref="Q17:Q25" si="31">SUM(O17:P17)</f>
        <v>0</v>
      </c>
      <c r="R17" s="58"/>
      <c r="S17" s="55">
        <f t="shared" ref="S17:S25" si="32">O17*1.05</f>
        <v>0</v>
      </c>
      <c r="T17" s="57">
        <f t="shared" ref="T17:T25" si="33">P17*1.05</f>
        <v>0</v>
      </c>
      <c r="U17" s="57">
        <f t="shared" ref="U17:U25" si="34">SUM(S17:T17)</f>
        <v>0</v>
      </c>
      <c r="V17" s="59"/>
      <c r="W17" s="124">
        <f t="shared" ref="W17:W26" si="35">C17+G17+K17+O17+S17</f>
        <v>0</v>
      </c>
      <c r="X17" s="57">
        <f t="shared" ref="X17:X26" si="36">D17+H17+L17+P17+T17</f>
        <v>0</v>
      </c>
      <c r="Y17" s="84">
        <f t="shared" ref="Y17:Y26" si="37">E17+I17+M17+Q17+U17</f>
        <v>0</v>
      </c>
    </row>
    <row r="18" spans="1:77" s="61" customFormat="1" x14ac:dyDescent="0.25">
      <c r="A18" s="203"/>
      <c r="B18" s="199" t="s">
        <v>172</v>
      </c>
      <c r="C18" s="124">
        <f>28000*0</f>
        <v>0</v>
      </c>
      <c r="D18" s="56">
        <v>0</v>
      </c>
      <c r="E18" s="56">
        <f t="shared" si="22"/>
        <v>0</v>
      </c>
      <c r="F18" s="58"/>
      <c r="G18" s="201">
        <f>((28000*1)*1.03)</f>
        <v>28840</v>
      </c>
      <c r="H18" s="57">
        <f>D18*1.03</f>
        <v>0</v>
      </c>
      <c r="I18" s="57">
        <f t="shared" ref="I18" si="38">SUM(G18:H18)</f>
        <v>28840</v>
      </c>
      <c r="J18" s="58"/>
      <c r="K18" s="55">
        <f>G18*1.03</f>
        <v>29705.200000000001</v>
      </c>
      <c r="L18" s="57">
        <f>H18*1.03</f>
        <v>0</v>
      </c>
      <c r="M18" s="57">
        <f t="shared" ref="M18" si="39">SUM(K18:L18)</f>
        <v>29705.200000000001</v>
      </c>
      <c r="N18" s="58"/>
      <c r="O18" s="55">
        <f>K18*1.03</f>
        <v>30596.356</v>
      </c>
      <c r="P18" s="57">
        <f t="shared" ref="P18" si="40">L18*1.03</f>
        <v>0</v>
      </c>
      <c r="Q18" s="57">
        <f t="shared" ref="Q18" si="41">SUM(O18:P18)</f>
        <v>30596.356</v>
      </c>
      <c r="R18" s="58"/>
      <c r="S18" s="55">
        <f>O18*1.03</f>
        <v>31514.24668</v>
      </c>
      <c r="T18" s="57">
        <f t="shared" ref="T18" si="42">P18*1.03</f>
        <v>0</v>
      </c>
      <c r="U18" s="57">
        <f t="shared" ref="U18" si="43">SUM(S18:T18)</f>
        <v>31514.24668</v>
      </c>
      <c r="V18" s="59"/>
      <c r="W18" s="124">
        <f t="shared" si="35"/>
        <v>120655.80267999999</v>
      </c>
      <c r="X18" s="57">
        <f t="shared" si="36"/>
        <v>0</v>
      </c>
      <c r="Y18" s="57">
        <f t="shared" ref="Y18" si="44">SUM(W18:X18)</f>
        <v>120655.80267999999</v>
      </c>
    </row>
    <row r="19" spans="1:77" s="61" customFormat="1" x14ac:dyDescent="0.25">
      <c r="A19" s="52"/>
      <c r="B19" s="52"/>
      <c r="C19" s="124">
        <v>0</v>
      </c>
      <c r="D19" s="56">
        <v>0</v>
      </c>
      <c r="E19" s="56">
        <f t="shared" si="22"/>
        <v>0</v>
      </c>
      <c r="F19" s="58"/>
      <c r="G19" s="55">
        <f t="shared" si="23"/>
        <v>0</v>
      </c>
      <c r="H19" s="57">
        <f t="shared" si="24"/>
        <v>0</v>
      </c>
      <c r="I19" s="57">
        <f t="shared" si="25"/>
        <v>0</v>
      </c>
      <c r="J19" s="58"/>
      <c r="K19" s="55">
        <f t="shared" si="26"/>
        <v>0</v>
      </c>
      <c r="L19" s="57">
        <f t="shared" si="27"/>
        <v>0</v>
      </c>
      <c r="M19" s="57">
        <f t="shared" si="28"/>
        <v>0</v>
      </c>
      <c r="N19" s="58"/>
      <c r="O19" s="55">
        <f t="shared" si="29"/>
        <v>0</v>
      </c>
      <c r="P19" s="57">
        <f t="shared" si="30"/>
        <v>0</v>
      </c>
      <c r="Q19" s="57">
        <f t="shared" si="31"/>
        <v>0</v>
      </c>
      <c r="R19" s="58"/>
      <c r="S19" s="55">
        <f t="shared" si="32"/>
        <v>0</v>
      </c>
      <c r="T19" s="57">
        <f t="shared" si="33"/>
        <v>0</v>
      </c>
      <c r="U19" s="57">
        <f t="shared" si="34"/>
        <v>0</v>
      </c>
      <c r="V19" s="59"/>
      <c r="W19" s="124">
        <f t="shared" si="35"/>
        <v>0</v>
      </c>
      <c r="X19" s="57">
        <f t="shared" si="36"/>
        <v>0</v>
      </c>
      <c r="Y19" s="84">
        <f t="shared" si="37"/>
        <v>0</v>
      </c>
    </row>
    <row r="20" spans="1:77" s="61" customFormat="1" x14ac:dyDescent="0.25">
      <c r="A20" s="52"/>
      <c r="B20" s="54"/>
      <c r="C20" s="124">
        <v>0</v>
      </c>
      <c r="D20" s="56">
        <v>0</v>
      </c>
      <c r="E20" s="56">
        <f t="shared" si="22"/>
        <v>0</v>
      </c>
      <c r="F20" s="58"/>
      <c r="G20" s="55">
        <f t="shared" si="23"/>
        <v>0</v>
      </c>
      <c r="H20" s="57">
        <f t="shared" si="24"/>
        <v>0</v>
      </c>
      <c r="I20" s="57">
        <f t="shared" si="25"/>
        <v>0</v>
      </c>
      <c r="J20" s="58"/>
      <c r="K20" s="55">
        <f t="shared" si="26"/>
        <v>0</v>
      </c>
      <c r="L20" s="57">
        <f t="shared" si="27"/>
        <v>0</v>
      </c>
      <c r="M20" s="57">
        <f t="shared" si="28"/>
        <v>0</v>
      </c>
      <c r="N20" s="58"/>
      <c r="O20" s="55">
        <f t="shared" si="29"/>
        <v>0</v>
      </c>
      <c r="P20" s="57">
        <f t="shared" si="30"/>
        <v>0</v>
      </c>
      <c r="Q20" s="57">
        <f t="shared" si="31"/>
        <v>0</v>
      </c>
      <c r="R20" s="58"/>
      <c r="S20" s="55">
        <f t="shared" si="32"/>
        <v>0</v>
      </c>
      <c r="T20" s="57">
        <f t="shared" si="33"/>
        <v>0</v>
      </c>
      <c r="U20" s="57">
        <f t="shared" si="34"/>
        <v>0</v>
      </c>
      <c r="V20" s="59"/>
      <c r="W20" s="124">
        <f t="shared" si="35"/>
        <v>0</v>
      </c>
      <c r="X20" s="57">
        <f t="shared" si="36"/>
        <v>0</v>
      </c>
      <c r="Y20" s="84">
        <f t="shared" si="37"/>
        <v>0</v>
      </c>
    </row>
    <row r="21" spans="1:77" s="61" customFormat="1" x14ac:dyDescent="0.25">
      <c r="A21" s="87"/>
      <c r="B21" s="54"/>
      <c r="C21" s="124">
        <v>0</v>
      </c>
      <c r="D21" s="56">
        <v>0</v>
      </c>
      <c r="E21" s="56">
        <f t="shared" si="22"/>
        <v>0</v>
      </c>
      <c r="F21" s="58"/>
      <c r="G21" s="55">
        <f t="shared" si="23"/>
        <v>0</v>
      </c>
      <c r="H21" s="57">
        <f t="shared" si="24"/>
        <v>0</v>
      </c>
      <c r="I21" s="57">
        <f t="shared" si="25"/>
        <v>0</v>
      </c>
      <c r="J21" s="58"/>
      <c r="K21" s="55">
        <f t="shared" si="26"/>
        <v>0</v>
      </c>
      <c r="L21" s="57">
        <f t="shared" si="27"/>
        <v>0</v>
      </c>
      <c r="M21" s="57">
        <f t="shared" si="28"/>
        <v>0</v>
      </c>
      <c r="N21" s="58"/>
      <c r="O21" s="55">
        <f t="shared" si="29"/>
        <v>0</v>
      </c>
      <c r="P21" s="57">
        <f t="shared" si="30"/>
        <v>0</v>
      </c>
      <c r="Q21" s="57">
        <f t="shared" si="31"/>
        <v>0</v>
      </c>
      <c r="R21" s="58"/>
      <c r="S21" s="55">
        <f t="shared" si="32"/>
        <v>0</v>
      </c>
      <c r="T21" s="57">
        <f t="shared" si="33"/>
        <v>0</v>
      </c>
      <c r="U21" s="57">
        <f t="shared" si="34"/>
        <v>0</v>
      </c>
      <c r="V21" s="59"/>
      <c r="W21" s="124">
        <f t="shared" si="35"/>
        <v>0</v>
      </c>
      <c r="X21" s="57">
        <f t="shared" si="36"/>
        <v>0</v>
      </c>
      <c r="Y21" s="84">
        <f t="shared" si="37"/>
        <v>0</v>
      </c>
    </row>
    <row r="22" spans="1:77" s="61" customFormat="1" x14ac:dyDescent="0.25">
      <c r="A22" s="87"/>
      <c r="B22" s="54"/>
      <c r="C22" s="124">
        <v>0</v>
      </c>
      <c r="D22" s="56">
        <v>0</v>
      </c>
      <c r="E22" s="56">
        <f t="shared" si="22"/>
        <v>0</v>
      </c>
      <c r="F22" s="58"/>
      <c r="G22" s="55">
        <f t="shared" si="23"/>
        <v>0</v>
      </c>
      <c r="H22" s="57">
        <f t="shared" si="24"/>
        <v>0</v>
      </c>
      <c r="I22" s="57">
        <f t="shared" si="25"/>
        <v>0</v>
      </c>
      <c r="J22" s="58"/>
      <c r="K22" s="55">
        <f t="shared" si="26"/>
        <v>0</v>
      </c>
      <c r="L22" s="57">
        <f t="shared" si="27"/>
        <v>0</v>
      </c>
      <c r="M22" s="57">
        <f t="shared" si="28"/>
        <v>0</v>
      </c>
      <c r="N22" s="58"/>
      <c r="O22" s="55">
        <f t="shared" si="29"/>
        <v>0</v>
      </c>
      <c r="P22" s="57">
        <f t="shared" si="30"/>
        <v>0</v>
      </c>
      <c r="Q22" s="57">
        <f t="shared" si="31"/>
        <v>0</v>
      </c>
      <c r="R22" s="58"/>
      <c r="S22" s="55">
        <f t="shared" si="32"/>
        <v>0</v>
      </c>
      <c r="T22" s="57">
        <f t="shared" si="33"/>
        <v>0</v>
      </c>
      <c r="U22" s="57">
        <f t="shared" si="34"/>
        <v>0</v>
      </c>
      <c r="V22" s="59"/>
      <c r="W22" s="124">
        <f t="shared" si="35"/>
        <v>0</v>
      </c>
      <c r="X22" s="57">
        <f t="shared" si="36"/>
        <v>0</v>
      </c>
      <c r="Y22" s="84">
        <f t="shared" si="37"/>
        <v>0</v>
      </c>
    </row>
    <row r="23" spans="1:77" s="61" customFormat="1" x14ac:dyDescent="0.25">
      <c r="A23" s="52"/>
      <c r="B23" s="54"/>
      <c r="C23" s="124">
        <v>0</v>
      </c>
      <c r="D23" s="56">
        <v>0</v>
      </c>
      <c r="E23" s="56">
        <f t="shared" si="22"/>
        <v>0</v>
      </c>
      <c r="F23" s="58"/>
      <c r="G23" s="55">
        <f t="shared" si="23"/>
        <v>0</v>
      </c>
      <c r="H23" s="57">
        <f t="shared" si="24"/>
        <v>0</v>
      </c>
      <c r="I23" s="57">
        <f t="shared" si="25"/>
        <v>0</v>
      </c>
      <c r="J23" s="58"/>
      <c r="K23" s="55">
        <f t="shared" si="26"/>
        <v>0</v>
      </c>
      <c r="L23" s="57">
        <f t="shared" si="27"/>
        <v>0</v>
      </c>
      <c r="M23" s="57">
        <f t="shared" si="28"/>
        <v>0</v>
      </c>
      <c r="N23" s="58"/>
      <c r="O23" s="55">
        <f t="shared" si="29"/>
        <v>0</v>
      </c>
      <c r="P23" s="57">
        <f t="shared" si="30"/>
        <v>0</v>
      </c>
      <c r="Q23" s="57">
        <f t="shared" si="31"/>
        <v>0</v>
      </c>
      <c r="R23" s="58"/>
      <c r="S23" s="55">
        <f t="shared" si="32"/>
        <v>0</v>
      </c>
      <c r="T23" s="57">
        <f t="shared" si="33"/>
        <v>0</v>
      </c>
      <c r="U23" s="57">
        <f t="shared" si="34"/>
        <v>0</v>
      </c>
      <c r="V23" s="59"/>
      <c r="W23" s="124">
        <f t="shared" si="35"/>
        <v>0</v>
      </c>
      <c r="X23" s="57">
        <f t="shared" si="36"/>
        <v>0</v>
      </c>
      <c r="Y23" s="84">
        <f t="shared" si="37"/>
        <v>0</v>
      </c>
    </row>
    <row r="24" spans="1:77" s="61" customFormat="1" x14ac:dyDescent="0.25">
      <c r="A24" s="52"/>
      <c r="B24" s="54"/>
      <c r="C24" s="124">
        <v>0</v>
      </c>
      <c r="D24" s="56">
        <v>0</v>
      </c>
      <c r="E24" s="56">
        <f t="shared" si="22"/>
        <v>0</v>
      </c>
      <c r="F24" s="58"/>
      <c r="G24" s="55">
        <f t="shared" si="23"/>
        <v>0</v>
      </c>
      <c r="H24" s="57">
        <f t="shared" si="24"/>
        <v>0</v>
      </c>
      <c r="I24" s="57">
        <f t="shared" si="25"/>
        <v>0</v>
      </c>
      <c r="J24" s="58"/>
      <c r="K24" s="55">
        <f t="shared" si="26"/>
        <v>0</v>
      </c>
      <c r="L24" s="57">
        <f t="shared" si="27"/>
        <v>0</v>
      </c>
      <c r="M24" s="57">
        <f t="shared" si="28"/>
        <v>0</v>
      </c>
      <c r="N24" s="58"/>
      <c r="O24" s="55">
        <f t="shared" si="29"/>
        <v>0</v>
      </c>
      <c r="P24" s="57">
        <f t="shared" si="30"/>
        <v>0</v>
      </c>
      <c r="Q24" s="57">
        <f t="shared" si="31"/>
        <v>0</v>
      </c>
      <c r="R24" s="58"/>
      <c r="S24" s="55">
        <f t="shared" si="32"/>
        <v>0</v>
      </c>
      <c r="T24" s="57">
        <f t="shared" si="33"/>
        <v>0</v>
      </c>
      <c r="U24" s="57">
        <f t="shared" si="34"/>
        <v>0</v>
      </c>
      <c r="V24" s="59"/>
      <c r="W24" s="124">
        <f t="shared" si="35"/>
        <v>0</v>
      </c>
      <c r="X24" s="57">
        <f t="shared" si="36"/>
        <v>0</v>
      </c>
      <c r="Y24" s="84">
        <f t="shared" si="37"/>
        <v>0</v>
      </c>
    </row>
    <row r="25" spans="1:77" s="61" customFormat="1" x14ac:dyDescent="0.25">
      <c r="A25" s="52"/>
      <c r="B25" s="54"/>
      <c r="C25" s="124">
        <v>0</v>
      </c>
      <c r="D25" s="56">
        <v>0</v>
      </c>
      <c r="E25" s="56">
        <f t="shared" si="22"/>
        <v>0</v>
      </c>
      <c r="F25" s="58"/>
      <c r="G25" s="55">
        <f t="shared" si="23"/>
        <v>0</v>
      </c>
      <c r="H25" s="57">
        <f t="shared" si="24"/>
        <v>0</v>
      </c>
      <c r="I25" s="57">
        <f t="shared" si="25"/>
        <v>0</v>
      </c>
      <c r="J25" s="58"/>
      <c r="K25" s="55">
        <f t="shared" si="26"/>
        <v>0</v>
      </c>
      <c r="L25" s="57">
        <f t="shared" si="27"/>
        <v>0</v>
      </c>
      <c r="M25" s="57">
        <f t="shared" si="28"/>
        <v>0</v>
      </c>
      <c r="N25" s="58"/>
      <c r="O25" s="55">
        <f t="shared" si="29"/>
        <v>0</v>
      </c>
      <c r="P25" s="57">
        <f t="shared" si="30"/>
        <v>0</v>
      </c>
      <c r="Q25" s="57">
        <f t="shared" si="31"/>
        <v>0</v>
      </c>
      <c r="R25" s="58"/>
      <c r="S25" s="55">
        <f t="shared" si="32"/>
        <v>0</v>
      </c>
      <c r="T25" s="57">
        <f t="shared" si="33"/>
        <v>0</v>
      </c>
      <c r="U25" s="57">
        <f t="shared" si="34"/>
        <v>0</v>
      </c>
      <c r="V25" s="59"/>
      <c r="W25" s="124">
        <f t="shared" si="35"/>
        <v>0</v>
      </c>
      <c r="X25" s="57">
        <f t="shared" si="36"/>
        <v>0</v>
      </c>
      <c r="Y25" s="84">
        <f t="shared" si="37"/>
        <v>0</v>
      </c>
    </row>
    <row r="26" spans="1:77" s="83" customFormat="1" x14ac:dyDescent="0.25">
      <c r="A26" s="78"/>
      <c r="B26" s="78" t="s">
        <v>9</v>
      </c>
      <c r="C26" s="228">
        <f>SUM(C17:C25)</f>
        <v>0</v>
      </c>
      <c r="D26" s="125">
        <f>SUM(D17:D25)</f>
        <v>0</v>
      </c>
      <c r="E26" s="125">
        <f>SUM(E17:E25)</f>
        <v>0</v>
      </c>
      <c r="F26" s="81"/>
      <c r="G26" s="79">
        <f>SUM(G17:G25)</f>
        <v>28840</v>
      </c>
      <c r="H26" s="80">
        <f>SUM(H17:H25)</f>
        <v>0</v>
      </c>
      <c r="I26" s="80">
        <f>SUM(I17:I25)</f>
        <v>28840</v>
      </c>
      <c r="J26" s="81"/>
      <c r="K26" s="79">
        <f>SUM(K17:K25)</f>
        <v>29705.200000000001</v>
      </c>
      <c r="L26" s="80">
        <f>SUM(L17:L25)</f>
        <v>0</v>
      </c>
      <c r="M26" s="80">
        <f>SUM(M17:M25)</f>
        <v>29705.200000000001</v>
      </c>
      <c r="N26" s="81"/>
      <c r="O26" s="79">
        <f>SUM(O17:O25)</f>
        <v>30596.356</v>
      </c>
      <c r="P26" s="80">
        <f>SUM(P17:P25)</f>
        <v>0</v>
      </c>
      <c r="Q26" s="80">
        <f>SUM(Q17:Q25)</f>
        <v>30596.356</v>
      </c>
      <c r="R26" s="81"/>
      <c r="S26" s="79">
        <f>SUM(S17:S25)</f>
        <v>31514.24668</v>
      </c>
      <c r="T26" s="80">
        <f>SUM(T17:T25)</f>
        <v>0</v>
      </c>
      <c r="U26" s="80">
        <f>SUM(U17:U25)</f>
        <v>31514.24668</v>
      </c>
      <c r="V26" s="82"/>
      <c r="W26" s="228">
        <f t="shared" si="35"/>
        <v>120655.80267999999</v>
      </c>
      <c r="X26" s="80">
        <f t="shared" si="36"/>
        <v>0</v>
      </c>
      <c r="Y26" s="80">
        <f t="shared" si="37"/>
        <v>120655.80267999999</v>
      </c>
    </row>
    <row r="27" spans="1:77" s="92" customFormat="1" x14ac:dyDescent="0.25">
      <c r="A27" s="89" t="s">
        <v>16</v>
      </c>
      <c r="B27" s="89"/>
      <c r="C27" s="90">
        <f>C26+C15</f>
        <v>25812.697087156736</v>
      </c>
      <c r="D27" s="90">
        <f t="shared" ref="D27:Y27" si="45">D26+D15</f>
        <v>5000</v>
      </c>
      <c r="E27" s="90">
        <f t="shared" si="45"/>
        <v>30812.697087156736</v>
      </c>
      <c r="F27" s="90">
        <f t="shared" si="45"/>
        <v>0</v>
      </c>
      <c r="G27" s="90">
        <f t="shared" si="45"/>
        <v>55427.077999771434</v>
      </c>
      <c r="H27" s="90">
        <f t="shared" si="45"/>
        <v>5150</v>
      </c>
      <c r="I27" s="90">
        <f t="shared" si="45"/>
        <v>60577.077999771434</v>
      </c>
      <c r="J27" s="90">
        <f t="shared" si="45"/>
        <v>0</v>
      </c>
      <c r="K27" s="90">
        <f t="shared" si="45"/>
        <v>57089.890339764577</v>
      </c>
      <c r="L27" s="90">
        <f t="shared" si="45"/>
        <v>0</v>
      </c>
      <c r="M27" s="90">
        <f t="shared" si="45"/>
        <v>57089.890339764577</v>
      </c>
      <c r="N27" s="90">
        <f t="shared" si="45"/>
        <v>0</v>
      </c>
      <c r="O27" s="90">
        <f t="shared" si="45"/>
        <v>58802.587049957518</v>
      </c>
      <c r="P27" s="90">
        <f t="shared" si="45"/>
        <v>0</v>
      </c>
      <c r="Q27" s="90">
        <f t="shared" si="45"/>
        <v>58802.587049957518</v>
      </c>
      <c r="R27" s="90">
        <f t="shared" si="45"/>
        <v>0</v>
      </c>
      <c r="S27" s="90">
        <f t="shared" si="45"/>
        <v>60566.664661456249</v>
      </c>
      <c r="T27" s="90">
        <f t="shared" si="45"/>
        <v>0</v>
      </c>
      <c r="U27" s="90">
        <f t="shared" si="45"/>
        <v>60566.664661456249</v>
      </c>
      <c r="V27" s="90">
        <f t="shared" si="45"/>
        <v>0</v>
      </c>
      <c r="W27" s="90">
        <f t="shared" si="45"/>
        <v>257698.91713810651</v>
      </c>
      <c r="X27" s="90">
        <f t="shared" si="45"/>
        <v>10150</v>
      </c>
      <c r="Y27" s="90">
        <f t="shared" si="45"/>
        <v>267848.91713810654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>
        <v>0</v>
      </c>
      <c r="D29" s="56">
        <v>0</v>
      </c>
      <c r="E29" s="56">
        <f t="shared" ref="E29:E35" si="46">SUM(C29:D29)</f>
        <v>0</v>
      </c>
      <c r="F29" s="58"/>
      <c r="G29" s="55">
        <f>(G6)*0.37*0</f>
        <v>0</v>
      </c>
      <c r="H29" s="57">
        <v>0</v>
      </c>
      <c r="I29" s="57">
        <f t="shared" ref="I29:I35" si="47">SUM(G29:H29)</f>
        <v>0</v>
      </c>
      <c r="J29" s="58"/>
      <c r="K29" s="55">
        <f>(K6)*0.37*0</f>
        <v>0</v>
      </c>
      <c r="L29" s="57">
        <v>0</v>
      </c>
      <c r="M29" s="57">
        <f t="shared" ref="M29:M35" si="48">SUM(K29:L29)</f>
        <v>0</v>
      </c>
      <c r="N29" s="58"/>
      <c r="O29" s="55">
        <f>(O6)*0.37*0</f>
        <v>0</v>
      </c>
      <c r="P29" s="57">
        <v>0</v>
      </c>
      <c r="Q29" s="57">
        <f t="shared" ref="Q29:Q35" si="49">SUM(O29:P29)</f>
        <v>0</v>
      </c>
      <c r="R29" s="58"/>
      <c r="S29" s="55">
        <f>(S6)*0.37*0</f>
        <v>0</v>
      </c>
      <c r="T29" s="57">
        <v>0</v>
      </c>
      <c r="U29" s="57">
        <f t="shared" ref="U29:U35" si="50">SUM(S29:T29)</f>
        <v>0</v>
      </c>
      <c r="V29" s="59"/>
      <c r="W29" s="124">
        <f t="shared" ref="W29:Y36" si="51">C29+G29+K29+O29+S29</f>
        <v>0</v>
      </c>
      <c r="X29" s="57">
        <f t="shared" si="51"/>
        <v>0</v>
      </c>
      <c r="Y29" s="84">
        <f t="shared" si="51"/>
        <v>0</v>
      </c>
    </row>
    <row r="30" spans="1:77" s="61" customFormat="1" x14ac:dyDescent="0.25">
      <c r="A30" s="234">
        <v>3.5999999999999997E-2</v>
      </c>
      <c r="B30" s="52" t="s">
        <v>40</v>
      </c>
      <c r="C30" s="55">
        <f>C18*(A30*1.03)</f>
        <v>0</v>
      </c>
      <c r="D30" s="56">
        <v>0</v>
      </c>
      <c r="E30" s="56">
        <f t="shared" si="46"/>
        <v>0</v>
      </c>
      <c r="F30" s="58"/>
      <c r="G30" s="55">
        <f>(G18*A30*1.03*1.03)</f>
        <v>1101.4688160000001</v>
      </c>
      <c r="H30" s="57">
        <f t="shared" ref="G30:H35" si="52">D30*1.05</f>
        <v>0</v>
      </c>
      <c r="I30" s="57">
        <f t="shared" si="47"/>
        <v>1101.4688160000001</v>
      </c>
      <c r="J30" s="58"/>
      <c r="K30" s="55">
        <f>K18*(A30*1.03*1.03*1.03)</f>
        <v>1168.5482668944001</v>
      </c>
      <c r="L30" s="57">
        <f t="shared" ref="K30:L35" si="53">H30*1.05</f>
        <v>0</v>
      </c>
      <c r="M30" s="57">
        <f t="shared" si="48"/>
        <v>1168.5482668944001</v>
      </c>
      <c r="N30" s="58"/>
      <c r="O30" s="55">
        <f>O18*(A30*1.03*1.03*1.03*1.03)</f>
        <v>1239.7128563482688</v>
      </c>
      <c r="P30" s="57">
        <f t="shared" ref="O30:P35" si="54">L30*1.05</f>
        <v>0</v>
      </c>
      <c r="Q30" s="57">
        <f t="shared" si="49"/>
        <v>1239.7128563482688</v>
      </c>
      <c r="R30" s="58"/>
      <c r="S30" s="55">
        <f>S18*(A30*1.03*1.03*1.03*1.03*1.03)</f>
        <v>1315.2113692998785</v>
      </c>
      <c r="T30" s="57">
        <f t="shared" ref="S30:T35" si="55">P30*1.05</f>
        <v>0</v>
      </c>
      <c r="U30" s="57">
        <f t="shared" si="50"/>
        <v>1315.2113692998785</v>
      </c>
      <c r="V30" s="59"/>
      <c r="W30" s="124">
        <f t="shared" si="51"/>
        <v>4824.9413085425476</v>
      </c>
      <c r="X30" s="57">
        <f t="shared" si="51"/>
        <v>0</v>
      </c>
      <c r="Y30" s="84">
        <f t="shared" si="51"/>
        <v>4824.9413085425476</v>
      </c>
    </row>
    <row r="31" spans="1:77" s="61" customFormat="1" x14ac:dyDescent="0.25">
      <c r="A31" s="234">
        <v>8.6999999999999994E-2</v>
      </c>
      <c r="B31" s="52" t="s">
        <v>42</v>
      </c>
      <c r="C31" s="55">
        <f>C18*(A31*1.03)*0</f>
        <v>0</v>
      </c>
      <c r="D31" s="56">
        <v>0</v>
      </c>
      <c r="E31" s="56">
        <f t="shared" si="46"/>
        <v>0</v>
      </c>
      <c r="F31" s="58"/>
      <c r="G31" s="55">
        <f>(G18*A31*1.03*1.03)*0</f>
        <v>0</v>
      </c>
      <c r="H31" s="57">
        <f t="shared" si="52"/>
        <v>0</v>
      </c>
      <c r="I31" s="57">
        <f t="shared" si="47"/>
        <v>0</v>
      </c>
      <c r="J31" s="58"/>
      <c r="K31" s="55">
        <f>K18*(A31*1.03*1.03*1.03)*0</f>
        <v>0</v>
      </c>
      <c r="L31" s="57">
        <f t="shared" si="53"/>
        <v>0</v>
      </c>
      <c r="M31" s="57">
        <f t="shared" si="48"/>
        <v>0</v>
      </c>
      <c r="N31" s="58"/>
      <c r="O31" s="55">
        <f>O18*(A31*1.03*1.03*1.03*1.03)*0</f>
        <v>0</v>
      </c>
      <c r="P31" s="57">
        <f t="shared" si="54"/>
        <v>0</v>
      </c>
      <c r="Q31" s="57">
        <f t="shared" si="49"/>
        <v>0</v>
      </c>
      <c r="R31" s="58"/>
      <c r="S31" s="55">
        <f>S18*(A31*1.03*1.03*1.03*1.03*1.03)*0</f>
        <v>0</v>
      </c>
      <c r="T31" s="57">
        <f t="shared" si="55"/>
        <v>0</v>
      </c>
      <c r="U31" s="57">
        <f t="shared" si="50"/>
        <v>0</v>
      </c>
      <c r="V31" s="59"/>
      <c r="W31" s="124">
        <f>C31+G31+K31+O31+S31</f>
        <v>0</v>
      </c>
      <c r="X31" s="57">
        <f t="shared" si="51"/>
        <v>0</v>
      </c>
      <c r="Y31" s="84">
        <f t="shared" si="51"/>
        <v>0</v>
      </c>
    </row>
    <row r="32" spans="1:77" s="61" customFormat="1" x14ac:dyDescent="0.25">
      <c r="A32" s="234">
        <v>0.30099999999999999</v>
      </c>
      <c r="B32" s="54" t="s">
        <v>41</v>
      </c>
      <c r="C32" s="124">
        <f>C15*(A32*1.03)</f>
        <v>8002.7104779312021</v>
      </c>
      <c r="D32" s="56">
        <f>D15*(A32*1.03)</f>
        <v>1550.1499999999999</v>
      </c>
      <c r="E32" s="56">
        <f t="shared" ref="E32" si="56">SUM(C32:D32)</f>
        <v>9552.8604779312027</v>
      </c>
      <c r="F32" s="58"/>
      <c r="G32" s="55">
        <f>G15*(A32*1.03*1.03)</f>
        <v>8490.0755460372111</v>
      </c>
      <c r="H32" s="56">
        <f>H15*(A32*1.03*1.03)</f>
        <v>1644.5541349999999</v>
      </c>
      <c r="I32" s="57">
        <f t="shared" ref="I32" si="57">SUM(G32:H32)</f>
        <v>10134.629681037211</v>
      </c>
      <c r="J32" s="58"/>
      <c r="K32" s="55">
        <f>K15*(A32*1.03*1.03*1.03)</f>
        <v>9007.1211467908779</v>
      </c>
      <c r="L32" s="56">
        <f>L15*(A32*1.03*1.03*1.03)</f>
        <v>0</v>
      </c>
      <c r="M32" s="57">
        <f t="shared" ref="M32" si="58">SUM(K32:L32)</f>
        <v>9007.1211467908779</v>
      </c>
      <c r="N32" s="58"/>
      <c r="O32" s="55">
        <f>O15*(A32*1.03*1.03*1.03*1.03)</f>
        <v>9555.6548246304428</v>
      </c>
      <c r="P32" s="56">
        <f>P15*(A32*1.03*1.03*1.03*1.03)</f>
        <v>0</v>
      </c>
      <c r="Q32" s="57">
        <f t="shared" ref="Q32" si="59">SUM(O32:P32)</f>
        <v>9555.6548246304428</v>
      </c>
      <c r="R32" s="58"/>
      <c r="S32" s="55">
        <f>S15*(A32*1.03*1.03*1.03*1.03*1.03)</f>
        <v>10137.594203450439</v>
      </c>
      <c r="T32" s="56">
        <f>T15*(A32*1.03*1.03*1.03*1.03*1.03)</f>
        <v>0</v>
      </c>
      <c r="U32" s="57">
        <f t="shared" si="50"/>
        <v>10137.594203450439</v>
      </c>
      <c r="V32" s="59"/>
      <c r="W32" s="124">
        <f t="shared" si="51"/>
        <v>45193.156198840174</v>
      </c>
      <c r="X32" s="57">
        <f t="shared" si="51"/>
        <v>3194.704135</v>
      </c>
      <c r="Y32" s="84">
        <f t="shared" si="51"/>
        <v>48387.860333840181</v>
      </c>
    </row>
    <row r="33" spans="1:77" s="61" customFormat="1" x14ac:dyDescent="0.25">
      <c r="A33" s="234">
        <v>0.42</v>
      </c>
      <c r="B33" s="54" t="s">
        <v>53</v>
      </c>
      <c r="C33" s="124">
        <f>(C17+C19+C21+C20+C22)*(A33*1.03)</f>
        <v>0</v>
      </c>
      <c r="D33" s="56">
        <f>(D17+D18+D19+D21+D20+D22)*(A33*1.03)</f>
        <v>0</v>
      </c>
      <c r="E33" s="56">
        <f t="shared" ref="E33" si="60">SUM(C33:D33)</f>
        <v>0</v>
      </c>
      <c r="F33" s="58"/>
      <c r="G33" s="55">
        <f>(G17+G19+G21+G22)*(A33*1.03*1.03)</f>
        <v>0</v>
      </c>
      <c r="H33" s="56">
        <f>(H17+H18+H19+H21+H22)*(A33*1.03*1.03)</f>
        <v>0</v>
      </c>
      <c r="I33" s="57">
        <f t="shared" ref="I33" si="61">SUM(G33:H33)</f>
        <v>0</v>
      </c>
      <c r="J33" s="58"/>
      <c r="K33" s="55">
        <f>(K17+K19+K21+K22)*(A33*1.03*1.03*1.03)</f>
        <v>0</v>
      </c>
      <c r="L33" s="56">
        <f>(L17+L18+L19+L21+L22)*(A33*1.03*1.03*1.03)</f>
        <v>0</v>
      </c>
      <c r="M33" s="57">
        <f t="shared" ref="M33" si="62">SUM(K33:L33)</f>
        <v>0</v>
      </c>
      <c r="N33" s="58"/>
      <c r="O33" s="55">
        <f>(O17+O19+O21+O22)*(A33*1.03*1.03*1.03*1.03)</f>
        <v>0</v>
      </c>
      <c r="P33" s="56">
        <f>(P17+P18+P19+P21+P22)*(A33*1.03*1.03*1.03*1.03)</f>
        <v>0</v>
      </c>
      <c r="Q33" s="57">
        <f t="shared" ref="Q33" si="63">SUM(O33:P33)</f>
        <v>0</v>
      </c>
      <c r="R33" s="58"/>
      <c r="S33" s="55">
        <f>(S17+S19+S21+S22)*(A33*1.03*1.03*1.03*1.03*1.03)</f>
        <v>0</v>
      </c>
      <c r="T33" s="56">
        <f>(T17+T18+T19+T21+T22)*(A33*1.03*1.03*1.03*1.03*1.03)</f>
        <v>0</v>
      </c>
      <c r="U33" s="57">
        <f t="shared" ref="U33" si="64">SUM(S33:T33)</f>
        <v>0</v>
      </c>
      <c r="V33" s="59"/>
      <c r="W33" s="124">
        <f t="shared" si="51"/>
        <v>0</v>
      </c>
      <c r="X33" s="57">
        <f t="shared" si="51"/>
        <v>0</v>
      </c>
      <c r="Y33" s="84">
        <f t="shared" si="51"/>
        <v>0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46"/>
        <v>0</v>
      </c>
      <c r="F34" s="58"/>
      <c r="G34" s="55">
        <f t="shared" si="52"/>
        <v>0</v>
      </c>
      <c r="H34" s="57">
        <f t="shared" si="52"/>
        <v>0</v>
      </c>
      <c r="I34" s="57">
        <f t="shared" si="47"/>
        <v>0</v>
      </c>
      <c r="J34" s="58"/>
      <c r="K34" s="55">
        <f t="shared" si="53"/>
        <v>0</v>
      </c>
      <c r="L34" s="57">
        <f t="shared" si="53"/>
        <v>0</v>
      </c>
      <c r="M34" s="57">
        <f t="shared" si="48"/>
        <v>0</v>
      </c>
      <c r="N34" s="58"/>
      <c r="O34" s="55">
        <f t="shared" si="54"/>
        <v>0</v>
      </c>
      <c r="P34" s="57">
        <f t="shared" si="54"/>
        <v>0</v>
      </c>
      <c r="Q34" s="57">
        <f t="shared" si="49"/>
        <v>0</v>
      </c>
      <c r="R34" s="58"/>
      <c r="S34" s="55">
        <f t="shared" si="55"/>
        <v>0</v>
      </c>
      <c r="T34" s="57">
        <f t="shared" si="55"/>
        <v>0</v>
      </c>
      <c r="U34" s="57">
        <f t="shared" si="50"/>
        <v>0</v>
      </c>
      <c r="V34" s="59"/>
      <c r="W34" s="124">
        <f t="shared" si="51"/>
        <v>0</v>
      </c>
      <c r="X34" s="57">
        <f t="shared" si="51"/>
        <v>0</v>
      </c>
      <c r="Y34" s="84">
        <f t="shared" si="51"/>
        <v>0</v>
      </c>
    </row>
    <row r="35" spans="1:77" s="61" customFormat="1" x14ac:dyDescent="0.25">
      <c r="A35" s="6"/>
      <c r="B35" s="52"/>
      <c r="C35" s="124">
        <v>0</v>
      </c>
      <c r="D35" s="56">
        <v>0</v>
      </c>
      <c r="E35" s="56">
        <f t="shared" si="46"/>
        <v>0</v>
      </c>
      <c r="F35" s="58"/>
      <c r="G35" s="55">
        <f t="shared" si="52"/>
        <v>0</v>
      </c>
      <c r="H35" s="57">
        <f t="shared" si="52"/>
        <v>0</v>
      </c>
      <c r="I35" s="57">
        <f t="shared" si="47"/>
        <v>0</v>
      </c>
      <c r="J35" s="58"/>
      <c r="K35" s="55">
        <f t="shared" si="53"/>
        <v>0</v>
      </c>
      <c r="L35" s="57">
        <f t="shared" si="53"/>
        <v>0</v>
      </c>
      <c r="M35" s="57">
        <f t="shared" si="48"/>
        <v>0</v>
      </c>
      <c r="N35" s="58"/>
      <c r="O35" s="55">
        <f t="shared" si="54"/>
        <v>0</v>
      </c>
      <c r="P35" s="57">
        <f t="shared" si="54"/>
        <v>0</v>
      </c>
      <c r="Q35" s="57">
        <f t="shared" si="49"/>
        <v>0</v>
      </c>
      <c r="R35" s="58"/>
      <c r="S35" s="55">
        <f t="shared" si="55"/>
        <v>0</v>
      </c>
      <c r="T35" s="57">
        <f t="shared" si="55"/>
        <v>0</v>
      </c>
      <c r="U35" s="57">
        <f t="shared" si="50"/>
        <v>0</v>
      </c>
      <c r="V35" s="59"/>
      <c r="W35" s="124">
        <f t="shared" si="51"/>
        <v>0</v>
      </c>
      <c r="X35" s="57">
        <f t="shared" si="51"/>
        <v>0</v>
      </c>
      <c r="Y35" s="84">
        <f t="shared" si="51"/>
        <v>0</v>
      </c>
    </row>
    <row r="36" spans="1:77" s="83" customFormat="1" x14ac:dyDescent="0.25">
      <c r="A36" s="78"/>
      <c r="B36" s="78" t="s">
        <v>9</v>
      </c>
      <c r="C36" s="228">
        <f>SUM(C29:C35)</f>
        <v>8002.7104779312021</v>
      </c>
      <c r="D36" s="125">
        <f>SUM(D29:D35)</f>
        <v>1550.1499999999999</v>
      </c>
      <c r="E36" s="125">
        <f>SUM(E29:E35)</f>
        <v>9552.8604779312027</v>
      </c>
      <c r="F36" s="81"/>
      <c r="G36" s="79">
        <f>SUM(G29:G35)</f>
        <v>9591.5443620372116</v>
      </c>
      <c r="H36" s="80">
        <f>SUM(H29:H35)</f>
        <v>1644.5541349999999</v>
      </c>
      <c r="I36" s="80">
        <f>SUM(I29:I35)</f>
        <v>11236.098497037212</v>
      </c>
      <c r="J36" s="81"/>
      <c r="K36" s="79">
        <f>SUM(K29:K35)</f>
        <v>10175.669413685278</v>
      </c>
      <c r="L36" s="80">
        <f>SUM(L29:L35)</f>
        <v>0</v>
      </c>
      <c r="M36" s="80">
        <f>SUM(M29:M35)</f>
        <v>10175.669413685278</v>
      </c>
      <c r="N36" s="81"/>
      <c r="O36" s="79">
        <f>SUM(O29:O35)</f>
        <v>10795.367680978712</v>
      </c>
      <c r="P36" s="80">
        <f>SUM(P29:P35)</f>
        <v>0</v>
      </c>
      <c r="Q36" s="80">
        <f>SUM(Q29:Q35)</f>
        <v>10795.367680978712</v>
      </c>
      <c r="R36" s="81"/>
      <c r="S36" s="79">
        <f>SUM(S29:S35)</f>
        <v>11452.805572750318</v>
      </c>
      <c r="T36" s="80">
        <f>SUM(T29:T35)</f>
        <v>0</v>
      </c>
      <c r="U36" s="80">
        <f>SUM(U29:U35)</f>
        <v>11452.805572750318</v>
      </c>
      <c r="V36" s="82"/>
      <c r="W36" s="228">
        <f t="shared" si="51"/>
        <v>50018.097507382721</v>
      </c>
      <c r="X36" s="80">
        <f t="shared" si="51"/>
        <v>3194.704135</v>
      </c>
      <c r="Y36" s="80">
        <f t="shared" si="51"/>
        <v>53212.801642382721</v>
      </c>
    </row>
    <row r="37" spans="1:77" s="94" customFormat="1" x14ac:dyDescent="0.25">
      <c r="A37" s="89" t="s">
        <v>17</v>
      </c>
      <c r="B37" s="89"/>
      <c r="C37" s="90">
        <f t="shared" ref="C37:Y37" si="65">C36+C27</f>
        <v>33815.407565087939</v>
      </c>
      <c r="D37" s="90">
        <f t="shared" si="65"/>
        <v>6550.15</v>
      </c>
      <c r="E37" s="90">
        <f t="shared" si="65"/>
        <v>40365.55756508794</v>
      </c>
      <c r="F37" s="90">
        <f t="shared" si="65"/>
        <v>0</v>
      </c>
      <c r="G37" s="90">
        <f t="shared" si="65"/>
        <v>65018.622361808644</v>
      </c>
      <c r="H37" s="90">
        <f t="shared" si="65"/>
        <v>6794.5541350000003</v>
      </c>
      <c r="I37" s="90">
        <f t="shared" si="65"/>
        <v>71813.17649680865</v>
      </c>
      <c r="J37" s="90">
        <f t="shared" si="65"/>
        <v>0</v>
      </c>
      <c r="K37" s="90">
        <f t="shared" si="65"/>
        <v>67265.559753449852</v>
      </c>
      <c r="L37" s="90">
        <f t="shared" si="65"/>
        <v>0</v>
      </c>
      <c r="M37" s="90">
        <f t="shared" si="65"/>
        <v>67265.559753449852</v>
      </c>
      <c r="N37" s="90">
        <f t="shared" si="65"/>
        <v>0</v>
      </c>
      <c r="O37" s="90">
        <f t="shared" si="65"/>
        <v>69597.954730936224</v>
      </c>
      <c r="P37" s="90">
        <f t="shared" si="65"/>
        <v>0</v>
      </c>
      <c r="Q37" s="90">
        <f t="shared" si="65"/>
        <v>69597.954730936224</v>
      </c>
      <c r="R37" s="90">
        <f t="shared" si="65"/>
        <v>0</v>
      </c>
      <c r="S37" s="90">
        <f t="shared" si="65"/>
        <v>72019.470234206572</v>
      </c>
      <c r="T37" s="90">
        <f t="shared" si="65"/>
        <v>0</v>
      </c>
      <c r="U37" s="90">
        <f t="shared" si="65"/>
        <v>72019.470234206572</v>
      </c>
      <c r="V37" s="90">
        <f t="shared" si="65"/>
        <v>0</v>
      </c>
      <c r="W37" s="90">
        <f t="shared" si="65"/>
        <v>307717.01464548922</v>
      </c>
      <c r="X37" s="90">
        <f t="shared" si="65"/>
        <v>13344.704135</v>
      </c>
      <c r="Y37" s="90">
        <f t="shared" si="65"/>
        <v>321061.71878048929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2"/>
      <c r="B39" s="52"/>
      <c r="C39" s="124">
        <v>0</v>
      </c>
      <c r="D39" s="56">
        <v>0</v>
      </c>
      <c r="E39" s="56">
        <f t="shared" ref="E39:E48" si="66">SUM(C39:D39)</f>
        <v>0</v>
      </c>
      <c r="F39" s="58"/>
      <c r="G39" s="55">
        <v>0</v>
      </c>
      <c r="H39" s="57">
        <v>0</v>
      </c>
      <c r="I39" s="57">
        <f t="shared" ref="I39:I48" si="67">SUM(G39:H39)</f>
        <v>0</v>
      </c>
      <c r="J39" s="58"/>
      <c r="K39" s="55">
        <v>0</v>
      </c>
      <c r="L39" s="57">
        <v>0</v>
      </c>
      <c r="M39" s="57">
        <f t="shared" ref="M39:M48" si="68">SUM(K39:L39)</f>
        <v>0</v>
      </c>
      <c r="N39" s="58"/>
      <c r="O39" s="55">
        <v>0</v>
      </c>
      <c r="P39" s="57">
        <v>0</v>
      </c>
      <c r="Q39" s="57">
        <f t="shared" ref="Q39:Q48" si="69">SUM(O39:P39)</f>
        <v>0</v>
      </c>
      <c r="R39" s="58"/>
      <c r="S39" s="55">
        <v>0</v>
      </c>
      <c r="T39" s="57">
        <v>0</v>
      </c>
      <c r="U39" s="57">
        <f t="shared" ref="U39:U48" si="70">SUM(S39:T39)</f>
        <v>0</v>
      </c>
      <c r="V39" s="59"/>
      <c r="W39" s="124">
        <f t="shared" ref="W39:W49" si="71">C39+G39+K39+O39+S39</f>
        <v>0</v>
      </c>
      <c r="X39" s="57">
        <f t="shared" ref="X39:X49" si="72">D39+H39+L39+P39+T39</f>
        <v>0</v>
      </c>
      <c r="Y39" s="84">
        <f t="shared" ref="Y39:Y49" si="73">E39+I39+M39+Q39+U39</f>
        <v>0</v>
      </c>
    </row>
    <row r="40" spans="1:77" s="61" customFormat="1" x14ac:dyDescent="0.25">
      <c r="A40" s="52"/>
      <c r="B40" s="52"/>
      <c r="C40" s="124">
        <v>0</v>
      </c>
      <c r="D40" s="56">
        <v>0</v>
      </c>
      <c r="E40" s="56">
        <f t="shared" si="66"/>
        <v>0</v>
      </c>
      <c r="F40" s="58"/>
      <c r="G40" s="55">
        <v>0</v>
      </c>
      <c r="H40" s="57">
        <v>0</v>
      </c>
      <c r="I40" s="57">
        <f t="shared" si="67"/>
        <v>0</v>
      </c>
      <c r="J40" s="58"/>
      <c r="K40" s="55">
        <v>0</v>
      </c>
      <c r="L40" s="57">
        <v>0</v>
      </c>
      <c r="M40" s="57">
        <f t="shared" si="68"/>
        <v>0</v>
      </c>
      <c r="N40" s="58"/>
      <c r="O40" s="55">
        <v>0</v>
      </c>
      <c r="P40" s="57">
        <v>0</v>
      </c>
      <c r="Q40" s="57">
        <f t="shared" si="69"/>
        <v>0</v>
      </c>
      <c r="R40" s="58"/>
      <c r="S40" s="55">
        <v>0</v>
      </c>
      <c r="T40" s="57">
        <v>0</v>
      </c>
      <c r="U40" s="57">
        <f t="shared" si="70"/>
        <v>0</v>
      </c>
      <c r="V40" s="59"/>
      <c r="W40" s="124">
        <f t="shared" si="71"/>
        <v>0</v>
      </c>
      <c r="X40" s="57">
        <f t="shared" si="72"/>
        <v>0</v>
      </c>
      <c r="Y40" s="84">
        <f t="shared" si="73"/>
        <v>0</v>
      </c>
    </row>
    <row r="41" spans="1:77" s="61" customFormat="1" x14ac:dyDescent="0.25">
      <c r="A41" s="52"/>
      <c r="B41" s="52"/>
      <c r="C41" s="124">
        <v>0</v>
      </c>
      <c r="D41" s="56">
        <v>0</v>
      </c>
      <c r="E41" s="56">
        <f t="shared" si="66"/>
        <v>0</v>
      </c>
      <c r="F41" s="58"/>
      <c r="G41" s="55">
        <v>0</v>
      </c>
      <c r="H41" s="57">
        <v>0</v>
      </c>
      <c r="I41" s="57">
        <f t="shared" si="67"/>
        <v>0</v>
      </c>
      <c r="J41" s="58"/>
      <c r="K41" s="55">
        <v>0</v>
      </c>
      <c r="L41" s="57">
        <v>0</v>
      </c>
      <c r="M41" s="57">
        <f t="shared" si="68"/>
        <v>0</v>
      </c>
      <c r="N41" s="58"/>
      <c r="O41" s="55">
        <v>0</v>
      </c>
      <c r="P41" s="57">
        <v>0</v>
      </c>
      <c r="Q41" s="57">
        <f t="shared" si="69"/>
        <v>0</v>
      </c>
      <c r="R41" s="58"/>
      <c r="S41" s="55">
        <v>0</v>
      </c>
      <c r="T41" s="57">
        <v>0</v>
      </c>
      <c r="U41" s="57">
        <f t="shared" si="70"/>
        <v>0</v>
      </c>
      <c r="V41" s="59"/>
      <c r="W41" s="124">
        <f t="shared" si="71"/>
        <v>0</v>
      </c>
      <c r="X41" s="57">
        <f t="shared" si="72"/>
        <v>0</v>
      </c>
      <c r="Y41" s="84">
        <f t="shared" si="73"/>
        <v>0</v>
      </c>
    </row>
    <row r="42" spans="1:77" s="61" customFormat="1" x14ac:dyDescent="0.25">
      <c r="A42" s="52"/>
      <c r="B42" s="52"/>
      <c r="C42" s="124">
        <v>0</v>
      </c>
      <c r="D42" s="56">
        <v>0</v>
      </c>
      <c r="E42" s="56">
        <f t="shared" si="66"/>
        <v>0</v>
      </c>
      <c r="F42" s="58"/>
      <c r="G42" s="55">
        <v>0</v>
      </c>
      <c r="H42" s="57">
        <v>0</v>
      </c>
      <c r="I42" s="57">
        <f t="shared" si="67"/>
        <v>0</v>
      </c>
      <c r="J42" s="58"/>
      <c r="K42" s="55">
        <v>0</v>
      </c>
      <c r="L42" s="57">
        <v>0</v>
      </c>
      <c r="M42" s="57">
        <f t="shared" si="68"/>
        <v>0</v>
      </c>
      <c r="N42" s="58"/>
      <c r="O42" s="55">
        <v>0</v>
      </c>
      <c r="P42" s="57">
        <v>0</v>
      </c>
      <c r="Q42" s="57">
        <f t="shared" si="69"/>
        <v>0</v>
      </c>
      <c r="R42" s="58"/>
      <c r="S42" s="55">
        <v>0</v>
      </c>
      <c r="T42" s="57">
        <v>0</v>
      </c>
      <c r="U42" s="57">
        <f t="shared" si="70"/>
        <v>0</v>
      </c>
      <c r="V42" s="59"/>
      <c r="W42" s="124">
        <f t="shared" si="71"/>
        <v>0</v>
      </c>
      <c r="X42" s="57">
        <f t="shared" si="72"/>
        <v>0</v>
      </c>
      <c r="Y42" s="84">
        <f t="shared" si="73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66"/>
        <v>0</v>
      </c>
      <c r="F43" s="58"/>
      <c r="G43" s="55">
        <v>0</v>
      </c>
      <c r="H43" s="57">
        <v>0</v>
      </c>
      <c r="I43" s="57">
        <f t="shared" si="67"/>
        <v>0</v>
      </c>
      <c r="J43" s="58"/>
      <c r="K43" s="55">
        <v>0</v>
      </c>
      <c r="L43" s="57">
        <v>0</v>
      </c>
      <c r="M43" s="57">
        <f t="shared" si="68"/>
        <v>0</v>
      </c>
      <c r="N43" s="58"/>
      <c r="O43" s="55">
        <v>0</v>
      </c>
      <c r="P43" s="57">
        <v>0</v>
      </c>
      <c r="Q43" s="57">
        <f t="shared" si="69"/>
        <v>0</v>
      </c>
      <c r="R43" s="58"/>
      <c r="S43" s="55">
        <v>0</v>
      </c>
      <c r="T43" s="57">
        <v>0</v>
      </c>
      <c r="U43" s="57">
        <f t="shared" si="70"/>
        <v>0</v>
      </c>
      <c r="V43" s="59"/>
      <c r="W43" s="124">
        <f t="shared" si="71"/>
        <v>0</v>
      </c>
      <c r="X43" s="57">
        <f t="shared" si="72"/>
        <v>0</v>
      </c>
      <c r="Y43" s="84">
        <f t="shared" si="73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66"/>
        <v>0</v>
      </c>
      <c r="F44" s="58"/>
      <c r="G44" s="55">
        <v>0</v>
      </c>
      <c r="H44" s="57">
        <v>0</v>
      </c>
      <c r="I44" s="57">
        <f t="shared" si="67"/>
        <v>0</v>
      </c>
      <c r="J44" s="58"/>
      <c r="K44" s="55">
        <v>0</v>
      </c>
      <c r="L44" s="57">
        <v>0</v>
      </c>
      <c r="M44" s="57">
        <f t="shared" si="68"/>
        <v>0</v>
      </c>
      <c r="N44" s="58"/>
      <c r="O44" s="55">
        <v>0</v>
      </c>
      <c r="P44" s="57">
        <v>0</v>
      </c>
      <c r="Q44" s="57">
        <f t="shared" si="69"/>
        <v>0</v>
      </c>
      <c r="R44" s="58"/>
      <c r="S44" s="55">
        <v>0</v>
      </c>
      <c r="T44" s="57">
        <v>0</v>
      </c>
      <c r="U44" s="57">
        <f t="shared" si="70"/>
        <v>0</v>
      </c>
      <c r="V44" s="59"/>
      <c r="W44" s="124">
        <f t="shared" si="71"/>
        <v>0</v>
      </c>
      <c r="X44" s="57">
        <f t="shared" si="72"/>
        <v>0</v>
      </c>
      <c r="Y44" s="84">
        <f t="shared" si="73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66"/>
        <v>0</v>
      </c>
      <c r="F45" s="58"/>
      <c r="G45" s="55">
        <v>0</v>
      </c>
      <c r="H45" s="57">
        <v>0</v>
      </c>
      <c r="I45" s="57">
        <f t="shared" si="67"/>
        <v>0</v>
      </c>
      <c r="J45" s="58"/>
      <c r="K45" s="55">
        <v>0</v>
      </c>
      <c r="L45" s="57">
        <v>0</v>
      </c>
      <c r="M45" s="57">
        <f t="shared" si="68"/>
        <v>0</v>
      </c>
      <c r="N45" s="58"/>
      <c r="O45" s="55">
        <v>0</v>
      </c>
      <c r="P45" s="57">
        <v>0</v>
      </c>
      <c r="Q45" s="57">
        <f t="shared" si="69"/>
        <v>0</v>
      </c>
      <c r="R45" s="58"/>
      <c r="S45" s="55">
        <v>0</v>
      </c>
      <c r="T45" s="57">
        <v>0</v>
      </c>
      <c r="U45" s="57">
        <f t="shared" si="70"/>
        <v>0</v>
      </c>
      <c r="V45" s="59"/>
      <c r="W45" s="124">
        <f t="shared" si="71"/>
        <v>0</v>
      </c>
      <c r="X45" s="57">
        <f t="shared" si="72"/>
        <v>0</v>
      </c>
      <c r="Y45" s="84">
        <f t="shared" si="73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66"/>
        <v>0</v>
      </c>
      <c r="F46" s="58"/>
      <c r="G46" s="55">
        <v>0</v>
      </c>
      <c r="H46" s="57">
        <v>0</v>
      </c>
      <c r="I46" s="57">
        <f t="shared" si="67"/>
        <v>0</v>
      </c>
      <c r="J46" s="58"/>
      <c r="K46" s="55">
        <v>0</v>
      </c>
      <c r="L46" s="57">
        <v>0</v>
      </c>
      <c r="M46" s="57">
        <f t="shared" si="68"/>
        <v>0</v>
      </c>
      <c r="N46" s="58"/>
      <c r="O46" s="55">
        <v>0</v>
      </c>
      <c r="P46" s="57">
        <v>0</v>
      </c>
      <c r="Q46" s="57">
        <f t="shared" si="69"/>
        <v>0</v>
      </c>
      <c r="R46" s="58"/>
      <c r="S46" s="55">
        <v>0</v>
      </c>
      <c r="T46" s="57">
        <v>0</v>
      </c>
      <c r="U46" s="57">
        <f t="shared" si="70"/>
        <v>0</v>
      </c>
      <c r="V46" s="59"/>
      <c r="W46" s="124">
        <f t="shared" si="71"/>
        <v>0</v>
      </c>
      <c r="X46" s="57">
        <f t="shared" si="72"/>
        <v>0</v>
      </c>
      <c r="Y46" s="84">
        <f t="shared" si="73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66"/>
        <v>0</v>
      </c>
      <c r="F47" s="58"/>
      <c r="G47" s="55">
        <v>0</v>
      </c>
      <c r="H47" s="57">
        <v>0</v>
      </c>
      <c r="I47" s="57">
        <f t="shared" si="67"/>
        <v>0</v>
      </c>
      <c r="J47" s="58"/>
      <c r="K47" s="55">
        <v>0</v>
      </c>
      <c r="L47" s="57">
        <v>0</v>
      </c>
      <c r="M47" s="57">
        <f t="shared" si="68"/>
        <v>0</v>
      </c>
      <c r="N47" s="58"/>
      <c r="O47" s="55">
        <v>0</v>
      </c>
      <c r="P47" s="57">
        <v>0</v>
      </c>
      <c r="Q47" s="57">
        <f t="shared" si="69"/>
        <v>0</v>
      </c>
      <c r="R47" s="58"/>
      <c r="S47" s="55">
        <v>0</v>
      </c>
      <c r="T47" s="57">
        <v>0</v>
      </c>
      <c r="U47" s="57">
        <f t="shared" si="70"/>
        <v>0</v>
      </c>
      <c r="V47" s="59"/>
      <c r="W47" s="124">
        <f t="shared" si="71"/>
        <v>0</v>
      </c>
      <c r="X47" s="57">
        <f t="shared" si="72"/>
        <v>0</v>
      </c>
      <c r="Y47" s="84">
        <f t="shared" si="73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66"/>
        <v>0</v>
      </c>
      <c r="F48" s="58"/>
      <c r="G48" s="55">
        <v>0</v>
      </c>
      <c r="H48" s="57">
        <v>0</v>
      </c>
      <c r="I48" s="57">
        <f t="shared" si="67"/>
        <v>0</v>
      </c>
      <c r="J48" s="58"/>
      <c r="K48" s="55">
        <v>0</v>
      </c>
      <c r="L48" s="57">
        <v>0</v>
      </c>
      <c r="M48" s="57">
        <f t="shared" si="68"/>
        <v>0</v>
      </c>
      <c r="N48" s="58"/>
      <c r="O48" s="55">
        <v>0</v>
      </c>
      <c r="P48" s="57">
        <v>0</v>
      </c>
      <c r="Q48" s="57">
        <f t="shared" si="69"/>
        <v>0</v>
      </c>
      <c r="R48" s="58"/>
      <c r="S48" s="55">
        <v>0</v>
      </c>
      <c r="T48" s="57">
        <v>0</v>
      </c>
      <c r="U48" s="57">
        <f t="shared" si="70"/>
        <v>0</v>
      </c>
      <c r="V48" s="59"/>
      <c r="W48" s="124">
        <f t="shared" si="71"/>
        <v>0</v>
      </c>
      <c r="X48" s="57">
        <f t="shared" si="72"/>
        <v>0</v>
      </c>
      <c r="Y48" s="84">
        <f t="shared" si="73"/>
        <v>0</v>
      </c>
    </row>
    <row r="49" spans="1:77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0</v>
      </c>
      <c r="E49" s="125">
        <f>SUM(E39:E48)</f>
        <v>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71"/>
        <v>0</v>
      </c>
      <c r="X49" s="80">
        <f t="shared" si="72"/>
        <v>0</v>
      </c>
      <c r="Y49" s="80">
        <f t="shared" si="73"/>
        <v>0</v>
      </c>
    </row>
    <row r="50" spans="1:77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77" s="61" customFormat="1" x14ac:dyDescent="0.25">
      <c r="A51" s="54" t="s">
        <v>57</v>
      </c>
      <c r="B51" s="195" t="s">
        <v>171</v>
      </c>
      <c r="C51" s="124">
        <v>0</v>
      </c>
      <c r="D51" s="56">
        <v>0</v>
      </c>
      <c r="E51" s="56">
        <f t="shared" ref="E51:E56" si="74">SUM(C51:D51)</f>
        <v>0</v>
      </c>
      <c r="F51" s="58"/>
      <c r="G51" s="55">
        <v>1000</v>
      </c>
      <c r="H51" s="57">
        <v>0</v>
      </c>
      <c r="I51" s="57">
        <f t="shared" ref="I51:I56" si="75">SUM(G51:H51)</f>
        <v>1000</v>
      </c>
      <c r="J51" s="58"/>
      <c r="K51" s="55">
        <f>G51</f>
        <v>1000</v>
      </c>
      <c r="L51" s="57">
        <v>0</v>
      </c>
      <c r="M51" s="57">
        <f t="shared" ref="M51:M56" si="76">SUM(K51:L51)</f>
        <v>1000</v>
      </c>
      <c r="N51" s="58"/>
      <c r="O51" s="55">
        <f>K51</f>
        <v>1000</v>
      </c>
      <c r="P51" s="57">
        <v>0</v>
      </c>
      <c r="Q51" s="57">
        <f t="shared" ref="Q51:Q56" si="77">SUM(O51:P51)</f>
        <v>1000</v>
      </c>
      <c r="R51" s="58"/>
      <c r="S51" s="55">
        <f>O51</f>
        <v>1000</v>
      </c>
      <c r="T51" s="57">
        <v>0</v>
      </c>
      <c r="U51" s="57">
        <f t="shared" ref="U51:U56" si="78">SUM(S51:T51)</f>
        <v>1000</v>
      </c>
      <c r="V51" s="59"/>
      <c r="W51" s="124">
        <f t="shared" ref="W51:Y57" si="79">C51+G51+K51+O51+S51</f>
        <v>4000</v>
      </c>
      <c r="X51" s="196">
        <f t="shared" si="79"/>
        <v>0</v>
      </c>
      <c r="Y51" s="194">
        <f t="shared" si="79"/>
        <v>4000</v>
      </c>
    </row>
    <row r="52" spans="1:77" x14ac:dyDescent="0.25">
      <c r="B52" s="7" t="s">
        <v>57</v>
      </c>
      <c r="C52" s="252">
        <f>1500*5*0</f>
        <v>0</v>
      </c>
      <c r="D52" s="253">
        <v>0</v>
      </c>
      <c r="E52" s="253">
        <f t="shared" si="74"/>
        <v>0</v>
      </c>
      <c r="F52" s="15"/>
      <c r="G52" s="252">
        <f>1500*5*0</f>
        <v>0</v>
      </c>
      <c r="H52" s="253">
        <v>0</v>
      </c>
      <c r="I52" s="253">
        <f t="shared" si="75"/>
        <v>0</v>
      </c>
      <c r="J52" s="15"/>
      <c r="K52" s="252">
        <f>1500*5*0</f>
        <v>0</v>
      </c>
      <c r="L52" s="253">
        <v>0</v>
      </c>
      <c r="M52" s="253">
        <f t="shared" si="76"/>
        <v>0</v>
      </c>
      <c r="N52" s="15"/>
      <c r="O52" s="252">
        <f>1500*5*0</f>
        <v>0</v>
      </c>
      <c r="P52" s="253">
        <v>0</v>
      </c>
      <c r="Q52" s="253">
        <f t="shared" si="77"/>
        <v>0</v>
      </c>
      <c r="R52" s="15"/>
      <c r="S52" s="252">
        <f>1500*5*0</f>
        <v>0</v>
      </c>
      <c r="T52" s="253">
        <v>0</v>
      </c>
      <c r="U52" s="253">
        <f t="shared" si="78"/>
        <v>0</v>
      </c>
      <c r="V52" s="16"/>
      <c r="W52" s="254">
        <f t="shared" si="79"/>
        <v>0</v>
      </c>
      <c r="X52" s="253">
        <f t="shared" si="79"/>
        <v>0</v>
      </c>
      <c r="Y52" s="255">
        <f t="shared" si="79"/>
        <v>0</v>
      </c>
    </row>
    <row r="53" spans="1:77" s="61" customFormat="1" x14ac:dyDescent="0.25">
      <c r="A53" s="87"/>
      <c r="B53" s="195" t="s">
        <v>178</v>
      </c>
      <c r="C53" s="124">
        <v>0</v>
      </c>
      <c r="D53" s="56">
        <v>0</v>
      </c>
      <c r="E53" s="56">
        <f t="shared" si="74"/>
        <v>0</v>
      </c>
      <c r="F53" s="58"/>
      <c r="G53" s="55">
        <v>5000</v>
      </c>
      <c r="H53" s="57">
        <v>0</v>
      </c>
      <c r="I53" s="57">
        <f t="shared" si="75"/>
        <v>5000</v>
      </c>
      <c r="J53" s="58"/>
      <c r="K53" s="55">
        <f>G53</f>
        <v>5000</v>
      </c>
      <c r="L53" s="57">
        <v>0</v>
      </c>
      <c r="M53" s="57">
        <f t="shared" si="76"/>
        <v>5000</v>
      </c>
      <c r="N53" s="58"/>
      <c r="O53" s="55">
        <f>K53</f>
        <v>5000</v>
      </c>
      <c r="P53" s="57">
        <v>0</v>
      </c>
      <c r="Q53" s="57">
        <f t="shared" si="77"/>
        <v>5000</v>
      </c>
      <c r="R53" s="58"/>
      <c r="S53" s="55">
        <f>O53</f>
        <v>5000</v>
      </c>
      <c r="T53" s="57">
        <v>0</v>
      </c>
      <c r="U53" s="57">
        <f t="shared" si="78"/>
        <v>5000</v>
      </c>
      <c r="V53" s="59"/>
      <c r="W53" s="124">
        <f t="shared" si="79"/>
        <v>20000</v>
      </c>
      <c r="X53" s="57">
        <f t="shared" si="79"/>
        <v>0</v>
      </c>
      <c r="Y53" s="84">
        <f t="shared" si="79"/>
        <v>20000</v>
      </c>
    </row>
    <row r="54" spans="1:77" s="61" customFormat="1" x14ac:dyDescent="0.25">
      <c r="A54" s="52"/>
      <c r="B54" s="52"/>
      <c r="C54" s="124">
        <v>0</v>
      </c>
      <c r="D54" s="56">
        <v>0</v>
      </c>
      <c r="E54" s="56">
        <f t="shared" si="74"/>
        <v>0</v>
      </c>
      <c r="F54" s="58"/>
      <c r="G54" s="55">
        <v>0</v>
      </c>
      <c r="H54" s="57">
        <v>0</v>
      </c>
      <c r="I54" s="57">
        <f t="shared" si="75"/>
        <v>0</v>
      </c>
      <c r="J54" s="58"/>
      <c r="K54" s="55">
        <v>0</v>
      </c>
      <c r="L54" s="57">
        <v>0</v>
      </c>
      <c r="M54" s="57">
        <f t="shared" si="76"/>
        <v>0</v>
      </c>
      <c r="N54" s="58"/>
      <c r="O54" s="55">
        <v>0</v>
      </c>
      <c r="P54" s="57">
        <v>0</v>
      </c>
      <c r="Q54" s="57">
        <f t="shared" si="77"/>
        <v>0</v>
      </c>
      <c r="R54" s="58"/>
      <c r="S54" s="55">
        <v>0</v>
      </c>
      <c r="T54" s="57">
        <v>0</v>
      </c>
      <c r="U54" s="57">
        <f t="shared" si="78"/>
        <v>0</v>
      </c>
      <c r="V54" s="59"/>
      <c r="W54" s="124">
        <f t="shared" si="79"/>
        <v>0</v>
      </c>
      <c r="X54" s="57">
        <f t="shared" si="79"/>
        <v>0</v>
      </c>
      <c r="Y54" s="84">
        <f t="shared" si="79"/>
        <v>0</v>
      </c>
    </row>
    <row r="55" spans="1:77" s="61" customFormat="1" x14ac:dyDescent="0.25">
      <c r="A55" s="52"/>
      <c r="B55" s="195" t="s">
        <v>57</v>
      </c>
      <c r="C55" s="124">
        <v>0</v>
      </c>
      <c r="D55" s="56">
        <v>0</v>
      </c>
      <c r="E55" s="56">
        <f t="shared" si="74"/>
        <v>0</v>
      </c>
      <c r="F55" s="58"/>
      <c r="G55" s="55">
        <f>C55</f>
        <v>0</v>
      </c>
      <c r="H55" s="57">
        <v>0</v>
      </c>
      <c r="I55" s="57">
        <f t="shared" si="75"/>
        <v>0</v>
      </c>
      <c r="J55" s="58"/>
      <c r="K55" s="55">
        <f>G55</f>
        <v>0</v>
      </c>
      <c r="L55" s="57">
        <v>0</v>
      </c>
      <c r="M55" s="57">
        <f t="shared" si="76"/>
        <v>0</v>
      </c>
      <c r="N55" s="58"/>
      <c r="O55" s="55">
        <f>K55</f>
        <v>0</v>
      </c>
      <c r="P55" s="57">
        <v>0</v>
      </c>
      <c r="Q55" s="57">
        <f t="shared" si="77"/>
        <v>0</v>
      </c>
      <c r="R55" s="58"/>
      <c r="S55" s="55">
        <f>O55</f>
        <v>0</v>
      </c>
      <c r="T55" s="57">
        <v>0</v>
      </c>
      <c r="U55" s="57">
        <f t="shared" si="78"/>
        <v>0</v>
      </c>
      <c r="V55" s="59"/>
      <c r="W55" s="124">
        <f t="shared" si="79"/>
        <v>0</v>
      </c>
      <c r="X55" s="57">
        <f t="shared" si="79"/>
        <v>0</v>
      </c>
      <c r="Y55" s="84">
        <f t="shared" si="79"/>
        <v>0</v>
      </c>
    </row>
    <row r="56" spans="1:77" s="61" customFormat="1" x14ac:dyDescent="0.25">
      <c r="A56" s="52"/>
      <c r="B56" s="52"/>
      <c r="C56" s="124">
        <v>0</v>
      </c>
      <c r="D56" s="56">
        <v>0</v>
      </c>
      <c r="E56" s="56">
        <f t="shared" si="74"/>
        <v>0</v>
      </c>
      <c r="F56" s="58"/>
      <c r="G56" s="55">
        <v>0</v>
      </c>
      <c r="H56" s="57">
        <v>0</v>
      </c>
      <c r="I56" s="57">
        <f t="shared" si="75"/>
        <v>0</v>
      </c>
      <c r="J56" s="58"/>
      <c r="K56" s="55">
        <v>0</v>
      </c>
      <c r="L56" s="57">
        <v>0</v>
      </c>
      <c r="M56" s="57">
        <f t="shared" si="76"/>
        <v>0</v>
      </c>
      <c r="N56" s="58"/>
      <c r="O56" s="55">
        <v>0</v>
      </c>
      <c r="P56" s="57">
        <v>0</v>
      </c>
      <c r="Q56" s="57">
        <f t="shared" si="77"/>
        <v>0</v>
      </c>
      <c r="R56" s="58"/>
      <c r="S56" s="55">
        <v>0</v>
      </c>
      <c r="T56" s="57">
        <v>0</v>
      </c>
      <c r="U56" s="57">
        <f t="shared" si="78"/>
        <v>0</v>
      </c>
      <c r="V56" s="59"/>
      <c r="W56" s="124">
        <f t="shared" si="79"/>
        <v>0</v>
      </c>
      <c r="X56" s="57">
        <f t="shared" si="79"/>
        <v>0</v>
      </c>
      <c r="Y56" s="84">
        <f t="shared" si="79"/>
        <v>0</v>
      </c>
    </row>
    <row r="57" spans="1:77" s="83" customFormat="1" x14ac:dyDescent="0.25">
      <c r="A57" s="78"/>
      <c r="B57" s="78" t="s">
        <v>9</v>
      </c>
      <c r="C57" s="228">
        <f>SUM(C51:C56)</f>
        <v>0</v>
      </c>
      <c r="D57" s="125">
        <f>SUM(D51:D56)</f>
        <v>0</v>
      </c>
      <c r="E57" s="125">
        <f>SUM(E51:E56)</f>
        <v>0</v>
      </c>
      <c r="F57" s="81"/>
      <c r="G57" s="79">
        <f>SUM(G51:G56)</f>
        <v>6000</v>
      </c>
      <c r="H57" s="80">
        <f>SUM(H51:H56)</f>
        <v>0</v>
      </c>
      <c r="I57" s="80">
        <f>SUM(I51:I56)</f>
        <v>6000</v>
      </c>
      <c r="J57" s="81"/>
      <c r="K57" s="79">
        <f>SUM(K51:K56)</f>
        <v>6000</v>
      </c>
      <c r="L57" s="80">
        <f>SUM(L51:L56)</f>
        <v>0</v>
      </c>
      <c r="M57" s="80">
        <f>SUM(M51:M56)</f>
        <v>6000</v>
      </c>
      <c r="N57" s="81"/>
      <c r="O57" s="79">
        <f>SUM(O51:O56)</f>
        <v>6000</v>
      </c>
      <c r="P57" s="80">
        <f>SUM(P51:P56)</f>
        <v>0</v>
      </c>
      <c r="Q57" s="80">
        <f>SUM(Q51:Q56)</f>
        <v>6000</v>
      </c>
      <c r="R57" s="81"/>
      <c r="S57" s="79">
        <f>SUM(S51:S56)</f>
        <v>6000</v>
      </c>
      <c r="T57" s="80">
        <f>SUM(T51:T56)</f>
        <v>0</v>
      </c>
      <c r="U57" s="80">
        <f>SUM(U51:U56)</f>
        <v>6000</v>
      </c>
      <c r="V57" s="82"/>
      <c r="W57" s="228">
        <f t="shared" si="79"/>
        <v>24000</v>
      </c>
      <c r="X57" s="80">
        <f t="shared" si="79"/>
        <v>0</v>
      </c>
      <c r="Y57" s="80">
        <f t="shared" si="79"/>
        <v>24000</v>
      </c>
    </row>
    <row r="58" spans="1:77" s="77" customFormat="1" x14ac:dyDescent="0.25">
      <c r="A58" s="74" t="s">
        <v>14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77" s="61" customFormat="1" x14ac:dyDescent="0.25">
      <c r="A59" s="54"/>
      <c r="B59" s="195" t="s">
        <v>170</v>
      </c>
      <c r="C59" s="124">
        <f>(9596*2)*1.05*0</f>
        <v>0</v>
      </c>
      <c r="D59" s="56">
        <v>0</v>
      </c>
      <c r="E59" s="56">
        <f>SUM(C59:D59)</f>
        <v>0</v>
      </c>
      <c r="F59" s="58"/>
      <c r="G59" s="55">
        <f>((9596+1041)*2)*1.05*1.05</f>
        <v>23454.585000000003</v>
      </c>
      <c r="H59" s="57">
        <f>D59*1.05</f>
        <v>0</v>
      </c>
      <c r="I59" s="57">
        <f>SUM(G59:H59)</f>
        <v>23454.585000000003</v>
      </c>
      <c r="J59" s="58"/>
      <c r="K59" s="55">
        <f>(G59*1.05)</f>
        <v>24627.314250000003</v>
      </c>
      <c r="L59" s="57">
        <f>H59*1.05</f>
        <v>0</v>
      </c>
      <c r="M59" s="57">
        <f>SUM(K59:L59)</f>
        <v>24627.314250000003</v>
      </c>
      <c r="N59" s="58"/>
      <c r="O59" s="55">
        <f>K59*1.05</f>
        <v>25858.679962500006</v>
      </c>
      <c r="P59" s="57">
        <f>L59*1.05</f>
        <v>0</v>
      </c>
      <c r="Q59" s="57">
        <f>SUM(O59:P59)</f>
        <v>25858.679962500006</v>
      </c>
      <c r="R59" s="58"/>
      <c r="S59" s="55">
        <f>O59*1.05</f>
        <v>27151.613960625007</v>
      </c>
      <c r="T59" s="57">
        <f>P59*1.05</f>
        <v>0</v>
      </c>
      <c r="U59" s="57">
        <f>SUM(S59:T59)</f>
        <v>27151.613960625007</v>
      </c>
      <c r="V59" s="59"/>
      <c r="W59" s="124">
        <f t="shared" ref="W59:W60" si="80">C59+G59+K59+O59+S59</f>
        <v>101092.19317312502</v>
      </c>
      <c r="X59" s="57">
        <f t="shared" ref="X59:X60" si="81">D59+H59+L59+P59+T59</f>
        <v>0</v>
      </c>
      <c r="Y59" s="84">
        <f>E59+I59+M59+Q59+U59</f>
        <v>101092.19317312502</v>
      </c>
    </row>
    <row r="60" spans="1:77" s="77" customFormat="1" x14ac:dyDescent="0.25">
      <c r="A60" s="54" t="s">
        <v>57</v>
      </c>
      <c r="B60" s="267" t="s">
        <v>209</v>
      </c>
      <c r="C60" s="124">
        <f>2*7000*0</f>
        <v>0</v>
      </c>
      <c r="D60" s="56">
        <v>0</v>
      </c>
      <c r="E60" s="56">
        <f>SUM(C60:D60)</f>
        <v>0</v>
      </c>
      <c r="F60" s="58"/>
      <c r="G60" s="55">
        <f>5000*4*0</f>
        <v>0</v>
      </c>
      <c r="H60" s="56">
        <v>0</v>
      </c>
      <c r="I60" s="56">
        <f>SUM(G60:H60)</f>
        <v>0</v>
      </c>
      <c r="J60" s="58"/>
      <c r="K60" s="55">
        <f>G60</f>
        <v>0</v>
      </c>
      <c r="L60" s="56">
        <v>0</v>
      </c>
      <c r="M60" s="56">
        <f>SUM(K60:L60)</f>
        <v>0</v>
      </c>
      <c r="N60" s="58"/>
      <c r="O60" s="55">
        <f>K60</f>
        <v>0</v>
      </c>
      <c r="P60" s="56">
        <v>0</v>
      </c>
      <c r="Q60" s="56">
        <f>SUM(O60:P60)</f>
        <v>0</v>
      </c>
      <c r="R60" s="58"/>
      <c r="S60" s="55">
        <f>O60</f>
        <v>0</v>
      </c>
      <c r="T60" s="56">
        <v>0</v>
      </c>
      <c r="U60" s="56">
        <f>SUM(S60:T60)</f>
        <v>0</v>
      </c>
      <c r="V60" s="59"/>
      <c r="W60" s="124">
        <f t="shared" si="80"/>
        <v>0</v>
      </c>
      <c r="X60" s="57">
        <f t="shared" si="81"/>
        <v>0</v>
      </c>
      <c r="Y60" s="84">
        <f t="shared" ref="Y60" si="82">E60+I60+M60+Q60+U60</f>
        <v>0</v>
      </c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</row>
    <row r="61" spans="1:77" s="77" customFormat="1" x14ac:dyDescent="0.25">
      <c r="A61" s="54" t="s">
        <v>57</v>
      </c>
      <c r="B61" s="267" t="s">
        <v>210</v>
      </c>
      <c r="C61" s="124">
        <f>2*7000*0</f>
        <v>0</v>
      </c>
      <c r="D61" s="56">
        <v>0</v>
      </c>
      <c r="E61" s="56">
        <f>SUM(C61:D61)</f>
        <v>0</v>
      </c>
      <c r="F61" s="58"/>
      <c r="G61" s="55">
        <f>5000*12*0</f>
        <v>0</v>
      </c>
      <c r="H61" s="56">
        <v>0</v>
      </c>
      <c r="I61" s="56">
        <f>SUM(G61:H61)</f>
        <v>0</v>
      </c>
      <c r="J61" s="58"/>
      <c r="K61" s="55">
        <f>G61</f>
        <v>0</v>
      </c>
      <c r="L61" s="56">
        <v>0</v>
      </c>
      <c r="M61" s="56">
        <f>SUM(K61:L61)</f>
        <v>0</v>
      </c>
      <c r="N61" s="58"/>
      <c r="O61" s="55">
        <f>K61</f>
        <v>0</v>
      </c>
      <c r="P61" s="56">
        <v>0</v>
      </c>
      <c r="Q61" s="56">
        <f>SUM(O61:P61)</f>
        <v>0</v>
      </c>
      <c r="R61" s="58"/>
      <c r="S61" s="55">
        <f>O61</f>
        <v>0</v>
      </c>
      <c r="T61" s="56">
        <v>0</v>
      </c>
      <c r="U61" s="56">
        <f>SUM(S61:T61)</f>
        <v>0</v>
      </c>
      <c r="V61" s="59"/>
      <c r="W61" s="124">
        <f t="shared" ref="W61:Y63" si="83">C61+G61+K61+O61+S61</f>
        <v>0</v>
      </c>
      <c r="X61" s="57">
        <f t="shared" si="83"/>
        <v>0</v>
      </c>
      <c r="Y61" s="84">
        <f t="shared" si="83"/>
        <v>0</v>
      </c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</row>
    <row r="62" spans="1:77" s="77" customFormat="1" x14ac:dyDescent="0.25">
      <c r="A62" s="54"/>
      <c r="B62" s="61" t="s">
        <v>211</v>
      </c>
      <c r="C62" s="124">
        <v>0</v>
      </c>
      <c r="D62" s="56">
        <v>0</v>
      </c>
      <c r="E62" s="56">
        <f>SUM(C62:D62)</f>
        <v>0</v>
      </c>
      <c r="F62" s="58"/>
      <c r="G62" s="55">
        <f>5000*5</f>
        <v>25000</v>
      </c>
      <c r="H62" s="56">
        <v>0</v>
      </c>
      <c r="I62" s="56">
        <f>SUM(G62:H62)</f>
        <v>25000</v>
      </c>
      <c r="J62" s="58"/>
      <c r="K62" s="55">
        <f>G62</f>
        <v>25000</v>
      </c>
      <c r="L62" s="56">
        <v>0</v>
      </c>
      <c r="M62" s="56">
        <f>SUM(K62:L62)</f>
        <v>25000</v>
      </c>
      <c r="N62" s="58"/>
      <c r="O62" s="55">
        <f>K62</f>
        <v>25000</v>
      </c>
      <c r="P62" s="56">
        <v>0</v>
      </c>
      <c r="Q62" s="56">
        <f>SUM(O62:P62)</f>
        <v>25000</v>
      </c>
      <c r="R62" s="58"/>
      <c r="S62" s="55">
        <f>O62</f>
        <v>25000</v>
      </c>
      <c r="T62" s="56">
        <v>0</v>
      </c>
      <c r="U62" s="56">
        <f>SUM(S62:T62)</f>
        <v>25000</v>
      </c>
      <c r="V62" s="59"/>
      <c r="W62" s="124">
        <f t="shared" si="83"/>
        <v>100000</v>
      </c>
      <c r="X62" s="57">
        <f t="shared" si="83"/>
        <v>0</v>
      </c>
      <c r="Y62" s="84">
        <f t="shared" si="83"/>
        <v>100000</v>
      </c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</row>
    <row r="63" spans="1:77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48454.585000000006</v>
      </c>
      <c r="H63" s="125">
        <f>SUM(H59:H62)</f>
        <v>0</v>
      </c>
      <c r="I63" s="125">
        <f>SUM(I59:I62)</f>
        <v>48454.585000000006</v>
      </c>
      <c r="J63" s="81"/>
      <c r="K63" s="79">
        <f>SUM(K59:K62)</f>
        <v>49627.314250000003</v>
      </c>
      <c r="L63" s="125">
        <f>SUM(L59:L62)</f>
        <v>0</v>
      </c>
      <c r="M63" s="125">
        <f>SUM(M59:M62)</f>
        <v>49627.314250000003</v>
      </c>
      <c r="N63" s="81"/>
      <c r="O63" s="79">
        <f>SUM(O59:O62)</f>
        <v>50858.679962500006</v>
      </c>
      <c r="P63" s="125">
        <f>SUM(P59:P62)</f>
        <v>0</v>
      </c>
      <c r="Q63" s="125">
        <f>SUM(Q59:Q62)</f>
        <v>50858.679962500006</v>
      </c>
      <c r="R63" s="81"/>
      <c r="S63" s="79">
        <f>SUM(S59:S62)</f>
        <v>52151.613960625007</v>
      </c>
      <c r="T63" s="125">
        <f>SUM(T59:T62)</f>
        <v>0</v>
      </c>
      <c r="U63" s="125">
        <f>SUM(U59:U62)</f>
        <v>52151.613960625007</v>
      </c>
      <c r="V63" s="82"/>
      <c r="W63" s="228">
        <f t="shared" si="83"/>
        <v>201092.19317312504</v>
      </c>
      <c r="X63" s="80">
        <f t="shared" si="83"/>
        <v>0</v>
      </c>
      <c r="Y63" s="84">
        <f t="shared" si="83"/>
        <v>201092.19317312504</v>
      </c>
    </row>
    <row r="64" spans="1:77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77" s="61" customFormat="1" x14ac:dyDescent="0.25">
      <c r="A65" s="235"/>
      <c r="C65" s="55">
        <v>0</v>
      </c>
      <c r="D65" s="57">
        <v>0</v>
      </c>
      <c r="E65" s="57">
        <f t="shared" ref="E65" si="84">SUM(C65:D65)</f>
        <v>0</v>
      </c>
      <c r="F65" s="58"/>
      <c r="G65" s="55">
        <v>0</v>
      </c>
      <c r="H65" s="57">
        <v>0</v>
      </c>
      <c r="I65" s="57">
        <f t="shared" ref="I65" si="85">SUM(G65:H65)</f>
        <v>0</v>
      </c>
      <c r="J65" s="58"/>
      <c r="K65" s="55">
        <v>0</v>
      </c>
      <c r="L65" s="57">
        <v>0</v>
      </c>
      <c r="M65" s="57">
        <f t="shared" ref="M65" si="86">SUM(K65:L65)</f>
        <v>0</v>
      </c>
      <c r="N65" s="58"/>
      <c r="O65" s="55">
        <v>0</v>
      </c>
      <c r="P65" s="57">
        <v>0</v>
      </c>
      <c r="Q65" s="57">
        <f t="shared" ref="Q65" si="87">SUM(O65:P65)</f>
        <v>0</v>
      </c>
      <c r="R65" s="58"/>
      <c r="S65" s="55">
        <v>0</v>
      </c>
      <c r="T65" s="57">
        <v>0</v>
      </c>
      <c r="U65" s="57">
        <f t="shared" ref="U65" si="88">SUM(S65:T65)</f>
        <v>0</v>
      </c>
      <c r="V65" s="59"/>
      <c r="W65" s="124">
        <f t="shared" ref="W65" si="89">C65+G65+K65+O65+S65</f>
        <v>0</v>
      </c>
      <c r="X65" s="56">
        <f t="shared" ref="X65" si="90">D65+H65+L65+P65+T65</f>
        <v>0</v>
      </c>
      <c r="Y65" s="202">
        <f t="shared" ref="Y65" si="91">E65+I65+M65+Q65+U65</f>
        <v>0</v>
      </c>
    </row>
    <row r="66" spans="1:77" s="61" customFormat="1" x14ac:dyDescent="0.25">
      <c r="A66" s="235"/>
      <c r="C66" s="55">
        <v>0</v>
      </c>
      <c r="D66" s="57">
        <v>0</v>
      </c>
      <c r="E66" s="57">
        <f t="shared" ref="E66" si="92">SUM(C66:D66)</f>
        <v>0</v>
      </c>
      <c r="F66" s="58"/>
      <c r="G66" s="55">
        <v>0</v>
      </c>
      <c r="H66" s="57">
        <v>0</v>
      </c>
      <c r="I66" s="57">
        <f t="shared" ref="I66" si="93">SUM(G66:H66)</f>
        <v>0</v>
      </c>
      <c r="J66" s="58"/>
      <c r="K66" s="55">
        <v>0</v>
      </c>
      <c r="L66" s="57">
        <v>0</v>
      </c>
      <c r="M66" s="57">
        <f t="shared" ref="M66" si="94">SUM(K66:L66)</f>
        <v>0</v>
      </c>
      <c r="N66" s="58"/>
      <c r="O66" s="55">
        <v>0</v>
      </c>
      <c r="P66" s="57">
        <v>0</v>
      </c>
      <c r="Q66" s="57">
        <f t="shared" ref="Q66" si="95">SUM(O66:P66)</f>
        <v>0</v>
      </c>
      <c r="R66" s="58"/>
      <c r="S66" s="55">
        <v>0</v>
      </c>
      <c r="T66" s="57">
        <v>0</v>
      </c>
      <c r="U66" s="57">
        <f t="shared" ref="U66" si="96">SUM(S66:T66)</f>
        <v>0</v>
      </c>
      <c r="V66" s="59"/>
      <c r="W66" s="124">
        <f t="shared" ref="W66" si="97">C66+G66+K66+O66+S66</f>
        <v>0</v>
      </c>
      <c r="X66" s="56">
        <f t="shared" ref="X66" si="98">D66+H66+L66+P66+T66</f>
        <v>0</v>
      </c>
      <c r="Y66" s="202">
        <f t="shared" ref="Y66" si="99">E66+I66+M66+Q66+U66</f>
        <v>0</v>
      </c>
    </row>
    <row r="67" spans="1:77" s="61" customFormat="1" x14ac:dyDescent="0.25">
      <c r="A67" s="235" t="s">
        <v>57</v>
      </c>
      <c r="B67" s="267" t="s">
        <v>173</v>
      </c>
      <c r="C67" s="124">
        <f>10000*1.36*0</f>
        <v>0</v>
      </c>
      <c r="D67" s="57">
        <v>0</v>
      </c>
      <c r="E67" s="56">
        <f t="shared" ref="E67:E76" si="100">SUM(C67:D67)</f>
        <v>0</v>
      </c>
      <c r="F67" s="58"/>
      <c r="G67" s="55">
        <f>C67*1.03</f>
        <v>0</v>
      </c>
      <c r="H67" s="57">
        <v>0</v>
      </c>
      <c r="I67" s="57">
        <f t="shared" ref="I67:I76" si="101">SUM(G67:H67)</f>
        <v>0</v>
      </c>
      <c r="J67" s="58"/>
      <c r="K67" s="55">
        <f>G67*1.03</f>
        <v>0</v>
      </c>
      <c r="L67" s="57">
        <v>0</v>
      </c>
      <c r="M67" s="57">
        <f t="shared" ref="M67:M76" si="102">SUM(K67:L67)</f>
        <v>0</v>
      </c>
      <c r="N67" s="58"/>
      <c r="O67" s="55">
        <f>K67*1.03</f>
        <v>0</v>
      </c>
      <c r="P67" s="57">
        <v>0</v>
      </c>
      <c r="Q67" s="57">
        <f t="shared" ref="Q67:Q76" si="103">SUM(O67:P67)</f>
        <v>0</v>
      </c>
      <c r="R67" s="58"/>
      <c r="S67" s="55">
        <v>0</v>
      </c>
      <c r="T67" s="57">
        <v>0</v>
      </c>
      <c r="U67" s="57">
        <f t="shared" ref="U67:U77" si="104">SUM(S67:T67)</f>
        <v>0</v>
      </c>
      <c r="V67" s="59"/>
      <c r="W67" s="124">
        <f t="shared" ref="W67:Y77" si="105">C67+G67+K67+O67+S67</f>
        <v>0</v>
      </c>
      <c r="X67" s="196">
        <v>0</v>
      </c>
      <c r="Y67" s="236">
        <f t="shared" si="105"/>
        <v>0</v>
      </c>
    </row>
    <row r="68" spans="1:77" s="61" customFormat="1" x14ac:dyDescent="0.25">
      <c r="A68" s="235" t="s">
        <v>57</v>
      </c>
      <c r="B68" s="267" t="s">
        <v>174</v>
      </c>
      <c r="C68" s="124">
        <f>4800*0</f>
        <v>0</v>
      </c>
      <c r="D68" s="57">
        <v>0</v>
      </c>
      <c r="E68" s="56">
        <f t="shared" si="100"/>
        <v>0</v>
      </c>
      <c r="F68" s="58"/>
      <c r="G68" s="55">
        <f>C68</f>
        <v>0</v>
      </c>
      <c r="H68" s="57">
        <v>0</v>
      </c>
      <c r="I68" s="57">
        <f t="shared" si="101"/>
        <v>0</v>
      </c>
      <c r="J68" s="58"/>
      <c r="K68" s="55">
        <f>G68</f>
        <v>0</v>
      </c>
      <c r="L68" s="57">
        <v>0</v>
      </c>
      <c r="M68" s="57">
        <f t="shared" si="102"/>
        <v>0</v>
      </c>
      <c r="N68" s="58"/>
      <c r="O68" s="55">
        <f>K68</f>
        <v>0</v>
      </c>
      <c r="P68" s="57">
        <v>0</v>
      </c>
      <c r="Q68" s="57">
        <f t="shared" si="103"/>
        <v>0</v>
      </c>
      <c r="R68" s="58"/>
      <c r="S68" s="55">
        <f>O68*0</f>
        <v>0</v>
      </c>
      <c r="T68" s="57">
        <v>0</v>
      </c>
      <c r="U68" s="57">
        <f t="shared" si="104"/>
        <v>0</v>
      </c>
      <c r="V68" s="59"/>
      <c r="W68" s="124">
        <f t="shared" si="105"/>
        <v>0</v>
      </c>
      <c r="X68" s="196">
        <v>0</v>
      </c>
      <c r="Y68" s="236">
        <f t="shared" si="105"/>
        <v>0</v>
      </c>
    </row>
    <row r="69" spans="1:77" s="61" customFormat="1" x14ac:dyDescent="0.25">
      <c r="B69" s="160" t="s">
        <v>203</v>
      </c>
      <c r="C69" s="55">
        <v>0</v>
      </c>
      <c r="D69" s="57">
        <v>0</v>
      </c>
      <c r="E69" s="57">
        <f t="shared" ref="E69" si="106">SUM(C69:D69)</f>
        <v>0</v>
      </c>
      <c r="F69" s="58"/>
      <c r="G69" s="55">
        <v>0</v>
      </c>
      <c r="H69" s="57">
        <v>0</v>
      </c>
      <c r="I69" s="57">
        <f t="shared" ref="I69" si="107">SUM(G69:H69)</f>
        <v>0</v>
      </c>
      <c r="J69" s="58"/>
      <c r="K69" s="55">
        <f>30000+5000+5000</f>
        <v>40000</v>
      </c>
      <c r="L69" s="56">
        <v>0</v>
      </c>
      <c r="M69" s="56">
        <f t="shared" ref="M69" si="108">SUM(K69:L69)</f>
        <v>40000</v>
      </c>
      <c r="N69" s="58"/>
      <c r="O69" s="55">
        <v>0</v>
      </c>
      <c r="P69" s="57">
        <v>0</v>
      </c>
      <c r="Q69" s="57">
        <f t="shared" ref="Q69" si="109">SUM(O69:P69)</f>
        <v>0</v>
      </c>
      <c r="R69" s="58"/>
      <c r="S69" s="55">
        <v>0</v>
      </c>
      <c r="T69" s="57">
        <v>0</v>
      </c>
      <c r="U69" s="57">
        <f t="shared" ref="U69" si="110">SUM(S69:T69)</f>
        <v>0</v>
      </c>
      <c r="V69" s="59"/>
      <c r="W69" s="124">
        <f t="shared" ref="W69" si="111">C69+G69+K69+O69+S69</f>
        <v>40000</v>
      </c>
      <c r="X69" s="56">
        <f t="shared" ref="X69" si="112">D69+H69+L69+P69+T69</f>
        <v>0</v>
      </c>
      <c r="Y69" s="202">
        <f t="shared" ref="Y69" si="113">E69+I69+M69+Q69+U69</f>
        <v>40000</v>
      </c>
    </row>
    <row r="70" spans="1:77" s="61" customFormat="1" x14ac:dyDescent="0.25">
      <c r="B70" s="267" t="s">
        <v>205</v>
      </c>
      <c r="C70" s="55">
        <v>0</v>
      </c>
      <c r="D70" s="57">
        <v>0</v>
      </c>
      <c r="E70" s="57">
        <f t="shared" si="100"/>
        <v>0</v>
      </c>
      <c r="F70" s="58"/>
      <c r="G70" s="55">
        <f>10000*0</f>
        <v>0</v>
      </c>
      <c r="H70" s="57">
        <v>0</v>
      </c>
      <c r="I70" s="57">
        <f t="shared" si="101"/>
        <v>0</v>
      </c>
      <c r="J70" s="58"/>
      <c r="K70" s="55">
        <f>G70</f>
        <v>0</v>
      </c>
      <c r="L70" s="56">
        <v>0</v>
      </c>
      <c r="M70" s="56">
        <f t="shared" si="102"/>
        <v>0</v>
      </c>
      <c r="N70" s="58"/>
      <c r="O70" s="55">
        <f>K70</f>
        <v>0</v>
      </c>
      <c r="P70" s="57">
        <v>0</v>
      </c>
      <c r="Q70" s="57">
        <f t="shared" si="103"/>
        <v>0</v>
      </c>
      <c r="R70" s="58"/>
      <c r="S70" s="55">
        <v>0</v>
      </c>
      <c r="T70" s="57">
        <v>0</v>
      </c>
      <c r="U70" s="57">
        <f t="shared" si="104"/>
        <v>0</v>
      </c>
      <c r="V70" s="59"/>
      <c r="W70" s="124">
        <f t="shared" si="105"/>
        <v>0</v>
      </c>
      <c r="X70" s="56">
        <f t="shared" si="105"/>
        <v>0</v>
      </c>
      <c r="Y70" s="202">
        <f t="shared" si="105"/>
        <v>0</v>
      </c>
    </row>
    <row r="71" spans="1:77" s="61" customFormat="1" x14ac:dyDescent="0.25">
      <c r="A71" s="235"/>
      <c r="B71" s="199" t="s">
        <v>188</v>
      </c>
      <c r="C71" s="55">
        <f>10000*3</f>
        <v>30000</v>
      </c>
      <c r="D71" s="57">
        <v>0</v>
      </c>
      <c r="E71" s="57">
        <f t="shared" si="100"/>
        <v>30000</v>
      </c>
      <c r="F71" s="58"/>
      <c r="G71" s="55">
        <f>C71+40000-50000</f>
        <v>20000</v>
      </c>
      <c r="H71" s="57">
        <v>0</v>
      </c>
      <c r="I71" s="57">
        <f t="shared" si="101"/>
        <v>20000</v>
      </c>
      <c r="J71" s="58"/>
      <c r="K71" s="55">
        <f>70000-30000</f>
        <v>40000</v>
      </c>
      <c r="L71" s="56">
        <v>0</v>
      </c>
      <c r="M71" s="56">
        <f t="shared" si="102"/>
        <v>40000</v>
      </c>
      <c r="N71" s="58"/>
      <c r="O71" s="55">
        <f>G71</f>
        <v>20000</v>
      </c>
      <c r="P71" s="57">
        <v>0</v>
      </c>
      <c r="Q71" s="57">
        <f t="shared" si="103"/>
        <v>20000</v>
      </c>
      <c r="R71" s="58"/>
      <c r="S71" s="55">
        <f>K71-20000</f>
        <v>20000</v>
      </c>
      <c r="T71" s="57">
        <v>0</v>
      </c>
      <c r="U71" s="57">
        <f t="shared" si="104"/>
        <v>20000</v>
      </c>
      <c r="V71" s="59"/>
      <c r="W71" s="124">
        <f t="shared" si="105"/>
        <v>130000</v>
      </c>
      <c r="X71" s="196">
        <f t="shared" si="105"/>
        <v>0</v>
      </c>
      <c r="Y71" s="236">
        <f t="shared" si="105"/>
        <v>130000</v>
      </c>
    </row>
    <row r="72" spans="1:77" s="61" customFormat="1" x14ac:dyDescent="0.25">
      <c r="A72" s="235"/>
      <c r="B72" s="199" t="s">
        <v>179</v>
      </c>
      <c r="C72" s="55">
        <v>0</v>
      </c>
      <c r="D72" s="57">
        <v>0</v>
      </c>
      <c r="E72" s="57">
        <f t="shared" si="100"/>
        <v>0</v>
      </c>
      <c r="F72" s="58"/>
      <c r="G72" s="55">
        <v>7500</v>
      </c>
      <c r="H72" s="57">
        <v>0</v>
      </c>
      <c r="I72" s="57">
        <f t="shared" si="101"/>
        <v>7500</v>
      </c>
      <c r="J72" s="58"/>
      <c r="K72" s="55">
        <f>G72</f>
        <v>7500</v>
      </c>
      <c r="L72" s="57">
        <v>0</v>
      </c>
      <c r="M72" s="57">
        <f t="shared" si="102"/>
        <v>7500</v>
      </c>
      <c r="N72" s="58"/>
      <c r="O72" s="55">
        <f>K72</f>
        <v>7500</v>
      </c>
      <c r="P72" s="57">
        <v>0</v>
      </c>
      <c r="Q72" s="57">
        <f t="shared" si="103"/>
        <v>7500</v>
      </c>
      <c r="R72" s="58"/>
      <c r="S72" s="55">
        <f>O72</f>
        <v>7500</v>
      </c>
      <c r="T72" s="57">
        <v>0</v>
      </c>
      <c r="U72" s="57">
        <f t="shared" si="104"/>
        <v>7500</v>
      </c>
      <c r="V72" s="59"/>
      <c r="W72" s="124">
        <f t="shared" si="105"/>
        <v>30000</v>
      </c>
      <c r="X72" s="56">
        <f t="shared" si="105"/>
        <v>0</v>
      </c>
      <c r="Y72" s="202">
        <f t="shared" si="105"/>
        <v>30000</v>
      </c>
    </row>
    <row r="73" spans="1:77" s="61" customFormat="1" x14ac:dyDescent="0.25">
      <c r="A73" s="235"/>
      <c r="B73" s="160" t="s">
        <v>189</v>
      </c>
      <c r="C73" s="55">
        <v>0</v>
      </c>
      <c r="D73" s="57">
        <v>0</v>
      </c>
      <c r="E73" s="57">
        <f t="shared" si="100"/>
        <v>0</v>
      </c>
      <c r="F73" s="58"/>
      <c r="G73" s="55">
        <v>10000</v>
      </c>
      <c r="H73" s="57">
        <v>0</v>
      </c>
      <c r="I73" s="57">
        <f t="shared" si="101"/>
        <v>10000</v>
      </c>
      <c r="J73" s="58"/>
      <c r="K73" s="55">
        <v>10000</v>
      </c>
      <c r="L73" s="56">
        <v>0</v>
      </c>
      <c r="M73" s="56">
        <f t="shared" si="102"/>
        <v>10000</v>
      </c>
      <c r="N73" s="58"/>
      <c r="O73" s="55">
        <f>G73</f>
        <v>10000</v>
      </c>
      <c r="P73" s="57">
        <v>0</v>
      </c>
      <c r="Q73" s="57">
        <f t="shared" si="103"/>
        <v>10000</v>
      </c>
      <c r="R73" s="58"/>
      <c r="S73" s="55">
        <f>O73*0</f>
        <v>0</v>
      </c>
      <c r="T73" s="57">
        <v>0</v>
      </c>
      <c r="U73" s="57">
        <f t="shared" si="104"/>
        <v>0</v>
      </c>
      <c r="V73" s="59"/>
      <c r="W73" s="124">
        <f t="shared" si="105"/>
        <v>30000</v>
      </c>
      <c r="X73" s="196">
        <f t="shared" si="105"/>
        <v>0</v>
      </c>
      <c r="Y73" s="236">
        <f t="shared" si="105"/>
        <v>30000</v>
      </c>
    </row>
    <row r="74" spans="1:77" s="61" customFormat="1" x14ac:dyDescent="0.25">
      <c r="A74" s="203" t="s">
        <v>57</v>
      </c>
      <c r="B74" s="267" t="s">
        <v>212</v>
      </c>
      <c r="C74" s="124">
        <v>0</v>
      </c>
      <c r="D74" s="56">
        <v>0</v>
      </c>
      <c r="E74" s="56">
        <f t="shared" ref="E74" si="114">SUM(C74:D74)</f>
        <v>0</v>
      </c>
      <c r="F74" s="58"/>
      <c r="G74" s="55">
        <f>500*4*0</f>
        <v>0</v>
      </c>
      <c r="H74" s="57">
        <v>0</v>
      </c>
      <c r="I74" s="57">
        <f t="shared" ref="I74" si="115">SUM(G74:H74)</f>
        <v>0</v>
      </c>
      <c r="J74" s="58"/>
      <c r="K74" s="55">
        <f>G74</f>
        <v>0</v>
      </c>
      <c r="L74" s="57">
        <v>0</v>
      </c>
      <c r="M74" s="57">
        <f t="shared" ref="M74" si="116">SUM(K74:L74)</f>
        <v>0</v>
      </c>
      <c r="N74" s="58"/>
      <c r="O74" s="55">
        <f>G74</f>
        <v>0</v>
      </c>
      <c r="P74" s="57">
        <v>0</v>
      </c>
      <c r="Q74" s="57">
        <f t="shared" ref="Q74" si="117">SUM(O74:P74)</f>
        <v>0</v>
      </c>
      <c r="R74" s="58"/>
      <c r="S74" s="55">
        <f>O74</f>
        <v>0</v>
      </c>
      <c r="T74" s="57">
        <v>0</v>
      </c>
      <c r="U74" s="57">
        <f t="shared" ref="U74" si="118">SUM(S74:T74)</f>
        <v>0</v>
      </c>
      <c r="V74" s="59"/>
      <c r="W74" s="124">
        <f t="shared" ref="W74" si="119">C74+G74+K74+O74+S74</f>
        <v>0</v>
      </c>
      <c r="X74" s="57">
        <f t="shared" ref="X74" si="120">D74+H74+L74+P74+T74</f>
        <v>0</v>
      </c>
      <c r="Y74" s="84">
        <f t="shared" ref="Y74" si="121">E74+I74+M74+Q74+U74</f>
        <v>0</v>
      </c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54"/>
      <c r="BH74" s="54"/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</row>
    <row r="75" spans="1:77" s="61" customFormat="1" x14ac:dyDescent="0.25">
      <c r="A75" s="203" t="s">
        <v>57</v>
      </c>
      <c r="B75" s="267" t="s">
        <v>195</v>
      </c>
      <c r="C75" s="124">
        <v>0</v>
      </c>
      <c r="D75" s="56">
        <v>0</v>
      </c>
      <c r="E75" s="56">
        <f t="shared" si="100"/>
        <v>0</v>
      </c>
      <c r="F75" s="58"/>
      <c r="G75" s="55">
        <f>500*12*0</f>
        <v>0</v>
      </c>
      <c r="H75" s="57">
        <v>0</v>
      </c>
      <c r="I75" s="57">
        <f t="shared" si="101"/>
        <v>0</v>
      </c>
      <c r="J75" s="58"/>
      <c r="K75" s="55">
        <f>G75</f>
        <v>0</v>
      </c>
      <c r="L75" s="57">
        <v>0</v>
      </c>
      <c r="M75" s="57">
        <f t="shared" si="102"/>
        <v>0</v>
      </c>
      <c r="N75" s="58"/>
      <c r="O75" s="55">
        <f>G75</f>
        <v>0</v>
      </c>
      <c r="P75" s="57">
        <v>0</v>
      </c>
      <c r="Q75" s="57">
        <f t="shared" si="103"/>
        <v>0</v>
      </c>
      <c r="R75" s="58"/>
      <c r="S75" s="55">
        <f>O75</f>
        <v>0</v>
      </c>
      <c r="T75" s="57">
        <v>0</v>
      </c>
      <c r="U75" s="57">
        <f t="shared" si="104"/>
        <v>0</v>
      </c>
      <c r="V75" s="59"/>
      <c r="W75" s="124">
        <f t="shared" si="105"/>
        <v>0</v>
      </c>
      <c r="X75" s="57">
        <f t="shared" si="105"/>
        <v>0</v>
      </c>
      <c r="Y75" s="84">
        <f t="shared" si="105"/>
        <v>0</v>
      </c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  <c r="BX75" s="54"/>
      <c r="BY75" s="54"/>
    </row>
    <row r="76" spans="1:77" s="61" customFormat="1" x14ac:dyDescent="0.25">
      <c r="A76" s="203" t="s">
        <v>57</v>
      </c>
      <c r="B76" s="61" t="s">
        <v>175</v>
      </c>
      <c r="C76" s="124">
        <v>0</v>
      </c>
      <c r="D76" s="56">
        <v>0</v>
      </c>
      <c r="E76" s="56">
        <f t="shared" si="100"/>
        <v>0</v>
      </c>
      <c r="F76" s="58"/>
      <c r="G76" s="55">
        <f>500*5</f>
        <v>2500</v>
      </c>
      <c r="H76" s="57">
        <v>0</v>
      </c>
      <c r="I76" s="57">
        <f t="shared" si="101"/>
        <v>2500</v>
      </c>
      <c r="J76" s="58"/>
      <c r="K76" s="55">
        <f>G76</f>
        <v>2500</v>
      </c>
      <c r="L76" s="57">
        <v>0</v>
      </c>
      <c r="M76" s="57">
        <f t="shared" si="102"/>
        <v>2500</v>
      </c>
      <c r="N76" s="58"/>
      <c r="O76" s="55">
        <f>G76</f>
        <v>2500</v>
      </c>
      <c r="P76" s="57">
        <v>0</v>
      </c>
      <c r="Q76" s="57">
        <f t="shared" si="103"/>
        <v>2500</v>
      </c>
      <c r="R76" s="58"/>
      <c r="S76" s="55">
        <f>O76</f>
        <v>2500</v>
      </c>
      <c r="T76" s="57">
        <v>0</v>
      </c>
      <c r="U76" s="57">
        <f t="shared" si="104"/>
        <v>2500</v>
      </c>
      <c r="V76" s="59"/>
      <c r="W76" s="124">
        <f t="shared" si="105"/>
        <v>10000</v>
      </c>
      <c r="X76" s="57">
        <f t="shared" si="105"/>
        <v>0</v>
      </c>
      <c r="Y76" s="84">
        <f t="shared" si="105"/>
        <v>10000</v>
      </c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</row>
    <row r="77" spans="1:77" s="61" customFormat="1" x14ac:dyDescent="0.25">
      <c r="A77" s="203" t="s">
        <v>57</v>
      </c>
      <c r="B77" s="54" t="s">
        <v>231</v>
      </c>
      <c r="C77" s="124">
        <f>1000</f>
        <v>1000</v>
      </c>
      <c r="D77" s="56">
        <f>1000*0</f>
        <v>0</v>
      </c>
      <c r="E77" s="56">
        <f t="shared" ref="E77" si="122">SUM(C77:D77)</f>
        <v>1000</v>
      </c>
      <c r="F77" s="58"/>
      <c r="G77" s="55">
        <f>C77</f>
        <v>1000</v>
      </c>
      <c r="H77" s="57">
        <f>D77</f>
        <v>0</v>
      </c>
      <c r="I77" s="57">
        <f t="shared" ref="I77" si="123">SUM(G77:H77)</f>
        <v>1000</v>
      </c>
      <c r="J77" s="58"/>
      <c r="K77" s="55">
        <f>G77</f>
        <v>1000</v>
      </c>
      <c r="L77" s="57">
        <f>H77</f>
        <v>0</v>
      </c>
      <c r="M77" s="57">
        <f t="shared" ref="M77" si="124">SUM(K77:L77)</f>
        <v>1000</v>
      </c>
      <c r="N77" s="58"/>
      <c r="O77" s="55">
        <f>K77</f>
        <v>1000</v>
      </c>
      <c r="P77" s="57">
        <f>L77</f>
        <v>0</v>
      </c>
      <c r="Q77" s="57">
        <f t="shared" ref="Q77" si="125">SUM(O77:P77)</f>
        <v>1000</v>
      </c>
      <c r="R77" s="58"/>
      <c r="S77" s="55">
        <f>O77</f>
        <v>1000</v>
      </c>
      <c r="T77" s="57">
        <f>P77</f>
        <v>0</v>
      </c>
      <c r="U77" s="57">
        <f t="shared" si="104"/>
        <v>1000</v>
      </c>
      <c r="V77" s="59"/>
      <c r="W77" s="124">
        <f t="shared" si="105"/>
        <v>5000</v>
      </c>
      <c r="X77" s="56">
        <f t="shared" si="105"/>
        <v>0</v>
      </c>
      <c r="Y77" s="85">
        <f t="shared" si="105"/>
        <v>5000</v>
      </c>
    </row>
    <row r="78" spans="1:77" s="61" customFormat="1" x14ac:dyDescent="0.25">
      <c r="A78" s="52"/>
      <c r="B78" s="54" t="s">
        <v>57</v>
      </c>
      <c r="C78" s="124">
        <f>3000*0</f>
        <v>0</v>
      </c>
      <c r="D78" s="56">
        <v>0</v>
      </c>
      <c r="E78" s="56">
        <f t="shared" ref="E78:E84" si="126">SUM(C78:D78)</f>
        <v>0</v>
      </c>
      <c r="F78" s="58"/>
      <c r="G78" s="55">
        <f>3000*2*0</f>
        <v>0</v>
      </c>
      <c r="H78" s="57">
        <v>0</v>
      </c>
      <c r="I78" s="57">
        <f t="shared" ref="I78:I84" si="127">SUM(G78:H78)</f>
        <v>0</v>
      </c>
      <c r="J78" s="58"/>
      <c r="K78" s="55">
        <f>G78</f>
        <v>0</v>
      </c>
      <c r="L78" s="57">
        <v>0</v>
      </c>
      <c r="M78" s="57">
        <f t="shared" ref="M78:M84" si="128">SUM(K78:L78)</f>
        <v>0</v>
      </c>
      <c r="N78" s="58"/>
      <c r="O78" s="55">
        <f>3000*3*0</f>
        <v>0</v>
      </c>
      <c r="P78" s="57">
        <v>0</v>
      </c>
      <c r="Q78" s="57">
        <f t="shared" ref="Q78:Q84" si="129">SUM(O78:P78)</f>
        <v>0</v>
      </c>
      <c r="R78" s="58"/>
      <c r="S78" s="55">
        <v>0</v>
      </c>
      <c r="T78" s="57">
        <v>0</v>
      </c>
      <c r="U78" s="57">
        <f t="shared" ref="U78:U84" si="130">SUM(S78:T78)</f>
        <v>0</v>
      </c>
      <c r="V78" s="59"/>
      <c r="W78" s="124">
        <f t="shared" ref="W78:W85" si="131">C78+G78+K78+O78+S78</f>
        <v>0</v>
      </c>
      <c r="X78" s="56">
        <f t="shared" ref="X78:X85" si="132">D78+H78+L78+P78+T78</f>
        <v>0</v>
      </c>
      <c r="Y78" s="85">
        <f t="shared" ref="Y78:Y85" si="133">E78+I78+M78+Q78+U78</f>
        <v>0</v>
      </c>
      <c r="Z78" s="160"/>
      <c r="AA78" s="160"/>
      <c r="AB78" s="160"/>
      <c r="AC78" s="160"/>
    </row>
    <row r="79" spans="1:77" s="183" customFormat="1" x14ac:dyDescent="0.25">
      <c r="A79" s="171"/>
      <c r="B79" s="171" t="s">
        <v>57</v>
      </c>
      <c r="C79" s="227">
        <v>0</v>
      </c>
      <c r="D79" s="174">
        <v>0</v>
      </c>
      <c r="E79" s="174">
        <f t="shared" si="126"/>
        <v>0</v>
      </c>
      <c r="F79" s="175"/>
      <c r="G79" s="172">
        <v>0</v>
      </c>
      <c r="H79" s="174">
        <v>0</v>
      </c>
      <c r="I79" s="174">
        <f t="shared" si="127"/>
        <v>0</v>
      </c>
      <c r="J79" s="175"/>
      <c r="K79" s="172">
        <v>0</v>
      </c>
      <c r="L79" s="174">
        <v>0</v>
      </c>
      <c r="M79" s="174">
        <f t="shared" si="128"/>
        <v>0</v>
      </c>
      <c r="N79" s="175"/>
      <c r="O79" s="172">
        <v>0</v>
      </c>
      <c r="P79" s="174">
        <v>0</v>
      </c>
      <c r="Q79" s="174">
        <f t="shared" si="129"/>
        <v>0</v>
      </c>
      <c r="R79" s="175"/>
      <c r="S79" s="172">
        <v>0</v>
      </c>
      <c r="T79" s="174">
        <v>0</v>
      </c>
      <c r="U79" s="174">
        <f t="shared" si="130"/>
        <v>0</v>
      </c>
      <c r="V79" s="176"/>
      <c r="W79" s="227">
        <f t="shared" si="131"/>
        <v>0</v>
      </c>
      <c r="X79" s="174">
        <f t="shared" si="132"/>
        <v>0</v>
      </c>
      <c r="Y79" s="181">
        <f t="shared" si="133"/>
        <v>0</v>
      </c>
      <c r="Z79" s="182"/>
      <c r="AA79" s="182"/>
      <c r="AB79" s="182"/>
      <c r="AC79" s="182"/>
    </row>
    <row r="80" spans="1:77" s="169" customFormat="1" x14ac:dyDescent="0.25">
      <c r="A80" s="178"/>
      <c r="B80" s="178" t="s">
        <v>57</v>
      </c>
      <c r="C80" s="227">
        <v>0</v>
      </c>
      <c r="D80" s="174">
        <v>0</v>
      </c>
      <c r="E80" s="174">
        <f t="shared" si="126"/>
        <v>0</v>
      </c>
      <c r="F80" s="175"/>
      <c r="G80" s="172">
        <v>0</v>
      </c>
      <c r="H80" s="174">
        <v>0</v>
      </c>
      <c r="I80" s="174">
        <f t="shared" si="127"/>
        <v>0</v>
      </c>
      <c r="J80" s="175"/>
      <c r="K80" s="172">
        <v>0</v>
      </c>
      <c r="L80" s="174">
        <v>0</v>
      </c>
      <c r="M80" s="174">
        <f t="shared" si="128"/>
        <v>0</v>
      </c>
      <c r="N80" s="175"/>
      <c r="O80" s="172">
        <v>0</v>
      </c>
      <c r="P80" s="174">
        <v>0</v>
      </c>
      <c r="Q80" s="174">
        <f t="shared" si="129"/>
        <v>0</v>
      </c>
      <c r="R80" s="175"/>
      <c r="S80" s="172">
        <v>0</v>
      </c>
      <c r="T80" s="174">
        <v>0</v>
      </c>
      <c r="U80" s="174">
        <f t="shared" si="130"/>
        <v>0</v>
      </c>
      <c r="V80" s="176"/>
      <c r="W80" s="227">
        <f t="shared" si="131"/>
        <v>0</v>
      </c>
      <c r="X80" s="174">
        <f t="shared" si="132"/>
        <v>0</v>
      </c>
      <c r="Y80" s="181">
        <f t="shared" si="133"/>
        <v>0</v>
      </c>
      <c r="Z80" s="182"/>
      <c r="AA80" s="182"/>
      <c r="AB80" s="182"/>
      <c r="AC80" s="182"/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126"/>
        <v>0</v>
      </c>
      <c r="F81" s="58"/>
      <c r="G81" s="55">
        <v>0</v>
      </c>
      <c r="H81" s="57">
        <v>0</v>
      </c>
      <c r="I81" s="57">
        <f t="shared" si="127"/>
        <v>0</v>
      </c>
      <c r="J81" s="58"/>
      <c r="K81" s="55">
        <v>0</v>
      </c>
      <c r="L81" s="57">
        <v>0</v>
      </c>
      <c r="M81" s="57">
        <f t="shared" si="128"/>
        <v>0</v>
      </c>
      <c r="N81" s="58"/>
      <c r="O81" s="55">
        <v>0</v>
      </c>
      <c r="P81" s="57">
        <v>0</v>
      </c>
      <c r="Q81" s="57">
        <f t="shared" si="129"/>
        <v>0</v>
      </c>
      <c r="R81" s="58"/>
      <c r="S81" s="55">
        <v>0</v>
      </c>
      <c r="T81" s="57">
        <v>0</v>
      </c>
      <c r="U81" s="57">
        <f t="shared" si="130"/>
        <v>0</v>
      </c>
      <c r="V81" s="59"/>
      <c r="W81" s="124">
        <f t="shared" si="131"/>
        <v>0</v>
      </c>
      <c r="X81" s="56">
        <f t="shared" si="132"/>
        <v>0</v>
      </c>
      <c r="Y81" s="85">
        <f t="shared" si="133"/>
        <v>0</v>
      </c>
      <c r="Z81" s="160"/>
      <c r="AA81" s="160"/>
      <c r="AB81" s="160"/>
      <c r="AC81" s="160"/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126"/>
        <v>0</v>
      </c>
      <c r="F82" s="58"/>
      <c r="G82" s="55">
        <v>0</v>
      </c>
      <c r="H82" s="57">
        <v>0</v>
      </c>
      <c r="I82" s="57">
        <f t="shared" si="127"/>
        <v>0</v>
      </c>
      <c r="J82" s="58"/>
      <c r="K82" s="55">
        <v>0</v>
      </c>
      <c r="L82" s="57">
        <v>0</v>
      </c>
      <c r="M82" s="57">
        <f t="shared" si="128"/>
        <v>0</v>
      </c>
      <c r="N82" s="58"/>
      <c r="O82" s="55">
        <v>0</v>
      </c>
      <c r="P82" s="57">
        <v>0</v>
      </c>
      <c r="Q82" s="57">
        <f t="shared" si="129"/>
        <v>0</v>
      </c>
      <c r="R82" s="58"/>
      <c r="S82" s="55">
        <v>0</v>
      </c>
      <c r="T82" s="57">
        <v>0</v>
      </c>
      <c r="U82" s="57">
        <f t="shared" si="130"/>
        <v>0</v>
      </c>
      <c r="V82" s="59"/>
      <c r="W82" s="124">
        <f t="shared" si="131"/>
        <v>0</v>
      </c>
      <c r="X82" s="56">
        <f t="shared" si="132"/>
        <v>0</v>
      </c>
      <c r="Y82" s="85">
        <f t="shared" si="133"/>
        <v>0</v>
      </c>
      <c r="Z82" s="160"/>
      <c r="AA82" s="160"/>
      <c r="AB82" s="160"/>
      <c r="AC82" s="160"/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126"/>
        <v>0</v>
      </c>
      <c r="F83" s="58"/>
      <c r="G83" s="55">
        <v>0</v>
      </c>
      <c r="H83" s="57">
        <v>0</v>
      </c>
      <c r="I83" s="57">
        <f t="shared" si="127"/>
        <v>0</v>
      </c>
      <c r="J83" s="58"/>
      <c r="K83" s="55">
        <v>0</v>
      </c>
      <c r="L83" s="57">
        <v>0</v>
      </c>
      <c r="M83" s="57">
        <f t="shared" si="128"/>
        <v>0</v>
      </c>
      <c r="N83" s="58"/>
      <c r="O83" s="55">
        <v>0</v>
      </c>
      <c r="P83" s="57">
        <v>0</v>
      </c>
      <c r="Q83" s="57">
        <f t="shared" si="129"/>
        <v>0</v>
      </c>
      <c r="R83" s="58"/>
      <c r="S83" s="55">
        <v>0</v>
      </c>
      <c r="T83" s="57">
        <v>0</v>
      </c>
      <c r="U83" s="57">
        <f t="shared" si="130"/>
        <v>0</v>
      </c>
      <c r="V83" s="59"/>
      <c r="W83" s="124">
        <f t="shared" si="131"/>
        <v>0</v>
      </c>
      <c r="X83" s="57">
        <f t="shared" si="132"/>
        <v>0</v>
      </c>
      <c r="Y83" s="84">
        <f t="shared" si="133"/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126"/>
        <v>0</v>
      </c>
      <c r="F84" s="58"/>
      <c r="G84" s="55">
        <v>0</v>
      </c>
      <c r="H84" s="57">
        <v>0</v>
      </c>
      <c r="I84" s="57">
        <f t="shared" si="127"/>
        <v>0</v>
      </c>
      <c r="J84" s="58"/>
      <c r="K84" s="55">
        <v>0</v>
      </c>
      <c r="L84" s="57">
        <v>0</v>
      </c>
      <c r="M84" s="57">
        <f t="shared" si="128"/>
        <v>0</v>
      </c>
      <c r="N84" s="58"/>
      <c r="O84" s="55">
        <v>0</v>
      </c>
      <c r="P84" s="57">
        <v>0</v>
      </c>
      <c r="Q84" s="57">
        <f t="shared" si="129"/>
        <v>0</v>
      </c>
      <c r="R84" s="58"/>
      <c r="S84" s="55">
        <v>0</v>
      </c>
      <c r="T84" s="57">
        <v>0</v>
      </c>
      <c r="U84" s="57">
        <f t="shared" si="130"/>
        <v>0</v>
      </c>
      <c r="V84" s="59"/>
      <c r="W84" s="124">
        <f t="shared" si="131"/>
        <v>0</v>
      </c>
      <c r="X84" s="57">
        <f t="shared" si="132"/>
        <v>0</v>
      </c>
      <c r="Y84" s="84">
        <f t="shared" si="133"/>
        <v>0</v>
      </c>
    </row>
    <row r="85" spans="1:77" s="83" customFormat="1" x14ac:dyDescent="0.25">
      <c r="A85" s="78"/>
      <c r="B85" s="78" t="s">
        <v>9</v>
      </c>
      <c r="C85" s="229">
        <f>SUM(C65:C84)</f>
        <v>31000</v>
      </c>
      <c r="D85" s="153">
        <f>SUM(D65:D84)</f>
        <v>0</v>
      </c>
      <c r="E85" s="153">
        <f>SUM(E65:E84)</f>
        <v>31000</v>
      </c>
      <c r="F85" s="154"/>
      <c r="G85" s="152">
        <f>SUM(G65:G84)</f>
        <v>41000</v>
      </c>
      <c r="H85" s="153">
        <f>SUM(H65:H84)</f>
        <v>0</v>
      </c>
      <c r="I85" s="153">
        <f>SUM(I65:I84)</f>
        <v>41000</v>
      </c>
      <c r="J85" s="154"/>
      <c r="K85" s="152">
        <f>SUM(K65:K84)</f>
        <v>101000</v>
      </c>
      <c r="L85" s="153">
        <f>SUM(L65:L84)</f>
        <v>0</v>
      </c>
      <c r="M85" s="153">
        <f>SUM(M65:M84)</f>
        <v>101000</v>
      </c>
      <c r="N85" s="154"/>
      <c r="O85" s="152">
        <f>SUM(O65:O84)</f>
        <v>41000</v>
      </c>
      <c r="P85" s="153">
        <f>SUM(P65:P84)</f>
        <v>0</v>
      </c>
      <c r="Q85" s="153">
        <f>SUM(Q65:Q84)</f>
        <v>41000</v>
      </c>
      <c r="R85" s="154"/>
      <c r="S85" s="152">
        <f>SUM(S65:S84)</f>
        <v>31000</v>
      </c>
      <c r="T85" s="153">
        <f>SUM(T65:T84)</f>
        <v>0</v>
      </c>
      <c r="U85" s="153">
        <f>SUM(U65:U84)</f>
        <v>31000</v>
      </c>
      <c r="V85" s="82"/>
      <c r="W85" s="228">
        <f t="shared" si="131"/>
        <v>245000</v>
      </c>
      <c r="X85" s="80">
        <f t="shared" si="132"/>
        <v>0</v>
      </c>
      <c r="Y85" s="80">
        <f t="shared" si="133"/>
        <v>245000</v>
      </c>
    </row>
    <row r="86" spans="1:77" s="97" customFormat="1" x14ac:dyDescent="0.25">
      <c r="A86" s="89" t="s">
        <v>28</v>
      </c>
      <c r="B86" s="89"/>
      <c r="C86" s="95">
        <f t="shared" ref="C86:X86" si="134">C85+C63+C57+C49+C37</f>
        <v>64815.407565087939</v>
      </c>
      <c r="D86" s="95">
        <f t="shared" si="134"/>
        <v>6550.15</v>
      </c>
      <c r="E86" s="95">
        <f>SUM(C86:D86)</f>
        <v>71365.557565087933</v>
      </c>
      <c r="F86" s="95"/>
      <c r="G86" s="95">
        <f t="shared" si="134"/>
        <v>160473.20736180866</v>
      </c>
      <c r="H86" s="95">
        <f t="shared" si="134"/>
        <v>6794.5541350000003</v>
      </c>
      <c r="I86" s="95">
        <f>SUM(G86:H86)</f>
        <v>167267.76149680867</v>
      </c>
      <c r="J86" s="95"/>
      <c r="K86" s="95">
        <f t="shared" si="134"/>
        <v>223892.87400344986</v>
      </c>
      <c r="L86" s="95">
        <f t="shared" si="134"/>
        <v>0</v>
      </c>
      <c r="M86" s="95">
        <f>SUM(K86:L86)</f>
        <v>223892.87400344986</v>
      </c>
      <c r="N86" s="95"/>
      <c r="O86" s="95">
        <f t="shared" si="134"/>
        <v>167456.63469343621</v>
      </c>
      <c r="P86" s="95">
        <f t="shared" si="134"/>
        <v>0</v>
      </c>
      <c r="Q86" s="95">
        <f>SUM(O86:P86)</f>
        <v>167456.63469343621</v>
      </c>
      <c r="R86" s="95"/>
      <c r="S86" s="95">
        <f t="shared" si="134"/>
        <v>161171.08419483158</v>
      </c>
      <c r="T86" s="95">
        <f t="shared" si="134"/>
        <v>0</v>
      </c>
      <c r="U86" s="95">
        <f>SUM(S86:T86)</f>
        <v>161171.08419483158</v>
      </c>
      <c r="V86" s="95"/>
      <c r="W86" s="95">
        <f t="shared" si="134"/>
        <v>777809.20781861432</v>
      </c>
      <c r="X86" s="95">
        <f t="shared" si="134"/>
        <v>13344.704135</v>
      </c>
      <c r="Y86" s="95">
        <f>SUM(W86:X86)</f>
        <v>791153.91195361433</v>
      </c>
      <c r="Z86" s="96"/>
      <c r="AA86" s="96">
        <f>Y86-W86</f>
        <v>13344.704135000007</v>
      </c>
    </row>
    <row r="87" spans="1:77" s="97" customFormat="1" x14ac:dyDescent="0.25">
      <c r="A87" s="89" t="s">
        <v>27</v>
      </c>
      <c r="B87" s="89"/>
      <c r="C87" s="95">
        <f>(C37+C57+C85)*0.5</f>
        <v>32407.703782543969</v>
      </c>
      <c r="D87" s="95">
        <v>0</v>
      </c>
      <c r="E87" s="95">
        <f>SUM(C87:D87)</f>
        <v>32407.703782543969</v>
      </c>
      <c r="F87" s="95"/>
      <c r="G87" s="95">
        <f>(G37+G57+G85)*0.5</f>
        <v>56009.311180904318</v>
      </c>
      <c r="H87" s="95">
        <v>0</v>
      </c>
      <c r="I87" s="95">
        <f>SUM(G87:H87)</f>
        <v>56009.311180904318</v>
      </c>
      <c r="J87" s="95"/>
      <c r="K87" s="95">
        <f>(K37+K57+K85)*0.5</f>
        <v>87132.779876724933</v>
      </c>
      <c r="L87" s="95">
        <v>0</v>
      </c>
      <c r="M87" s="95">
        <f>SUM(K87:L87)</f>
        <v>87132.779876724933</v>
      </c>
      <c r="N87" s="95"/>
      <c r="O87" s="95">
        <f>(O37+O57+O85)*0.5</f>
        <v>58298.977365468112</v>
      </c>
      <c r="P87" s="95">
        <v>0</v>
      </c>
      <c r="Q87" s="95">
        <f>SUM(O87:P87)</f>
        <v>58298.977365468112</v>
      </c>
      <c r="R87" s="95"/>
      <c r="S87" s="95">
        <f>(S37+S57+S85)*0.5</f>
        <v>54509.735117103286</v>
      </c>
      <c r="T87" s="95">
        <v>0</v>
      </c>
      <c r="U87" s="95">
        <f>SUM(S87:T87)</f>
        <v>54509.735117103286</v>
      </c>
      <c r="V87" s="95"/>
      <c r="W87" s="95">
        <f>(W37+W57+W85)*0.5</f>
        <v>288358.50732274458</v>
      </c>
      <c r="X87" s="95">
        <v>0</v>
      </c>
      <c r="Y87" s="95">
        <f>SUM(W87:X87)</f>
        <v>288358.50732274458</v>
      </c>
      <c r="Z87" s="96"/>
      <c r="AA87" s="96"/>
    </row>
    <row r="88" spans="1:77" s="97" customFormat="1" x14ac:dyDescent="0.25">
      <c r="A88" s="89" t="s">
        <v>29</v>
      </c>
      <c r="B88" s="89"/>
      <c r="C88" s="95">
        <f>SUM(C86:C87)</f>
        <v>97223.111347631901</v>
      </c>
      <c r="D88" s="95">
        <f t="shared" ref="D88:X88" si="135">SUM(D86:D87)</f>
        <v>6550.15</v>
      </c>
      <c r="E88" s="95">
        <f>SUM(C88:D88)</f>
        <v>103773.26134763189</v>
      </c>
      <c r="F88" s="95"/>
      <c r="G88" s="95">
        <f t="shared" si="135"/>
        <v>216482.51854271296</v>
      </c>
      <c r="H88" s="95">
        <f t="shared" si="135"/>
        <v>6794.5541350000003</v>
      </c>
      <c r="I88" s="95">
        <f>SUM(G88:H88)</f>
        <v>223277.07267771297</v>
      </c>
      <c r="J88" s="95"/>
      <c r="K88" s="95">
        <f t="shared" si="135"/>
        <v>311025.6538801748</v>
      </c>
      <c r="L88" s="95">
        <f t="shared" si="135"/>
        <v>0</v>
      </c>
      <c r="M88" s="95">
        <f>SUM(K88:L88)</f>
        <v>311025.6538801748</v>
      </c>
      <c r="N88" s="95"/>
      <c r="O88" s="95">
        <f t="shared" si="135"/>
        <v>225755.61205890431</v>
      </c>
      <c r="P88" s="95">
        <f t="shared" si="135"/>
        <v>0</v>
      </c>
      <c r="Q88" s="95">
        <f>SUM(O88:P88)</f>
        <v>225755.61205890431</v>
      </c>
      <c r="R88" s="95"/>
      <c r="S88" s="95">
        <f t="shared" si="135"/>
        <v>215680.81931193487</v>
      </c>
      <c r="T88" s="95">
        <f t="shared" si="135"/>
        <v>0</v>
      </c>
      <c r="U88" s="95">
        <f>SUM(S88:T88)</f>
        <v>215680.81931193487</v>
      </c>
      <c r="V88" s="95"/>
      <c r="W88" s="95">
        <f t="shared" si="135"/>
        <v>1066167.7151413588</v>
      </c>
      <c r="X88" s="95">
        <f t="shared" si="135"/>
        <v>13344.704135</v>
      </c>
      <c r="Y88" s="95">
        <f>SUM(W88:X88)</f>
        <v>1079512.4192763588</v>
      </c>
      <c r="Z88" s="96"/>
      <c r="AA88" s="96"/>
    </row>
    <row r="89" spans="1:77" s="30" customFormat="1" x14ac:dyDescent="0.25">
      <c r="A89" s="24"/>
      <c r="B89" s="24"/>
      <c r="C89" s="27"/>
      <c r="D89" s="27"/>
      <c r="E89" s="28"/>
      <c r="F89" s="24"/>
      <c r="G89" s="27"/>
      <c r="H89" s="27"/>
      <c r="I89" s="28"/>
      <c r="J89" s="24"/>
      <c r="K89" s="27"/>
      <c r="L89" s="27"/>
      <c r="M89" s="28"/>
      <c r="N89" s="24"/>
      <c r="O89" s="27"/>
      <c r="P89" s="27"/>
      <c r="Q89" s="28"/>
      <c r="R89" s="24"/>
      <c r="S89" s="27"/>
      <c r="T89" s="27"/>
      <c r="U89" s="28"/>
      <c r="V89" s="29"/>
      <c r="W89" s="28"/>
      <c r="X89" s="28"/>
      <c r="Y89" s="27"/>
      <c r="Z89" s="28"/>
      <c r="AA89" s="28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s="61" customFormat="1" x14ac:dyDescent="0.25">
      <c r="A92" s="52"/>
      <c r="B92" s="61" t="s">
        <v>163</v>
      </c>
      <c r="C92" s="293">
        <f>6576</f>
        <v>6576</v>
      </c>
      <c r="D92" s="56">
        <f>5000*0</f>
        <v>0</v>
      </c>
      <c r="E92" s="56">
        <f t="shared" ref="E92:E98" si="136">SUM(C92:D92)</f>
        <v>6576</v>
      </c>
      <c r="F92" s="58"/>
      <c r="G92" s="55">
        <f>C92*1.03</f>
        <v>6773.28</v>
      </c>
      <c r="H92" s="57">
        <f>D92*1.03</f>
        <v>0</v>
      </c>
      <c r="I92" s="57">
        <f t="shared" ref="I92:I98" si="137">SUM(G92:H92)</f>
        <v>6773.28</v>
      </c>
      <c r="J92" s="58"/>
      <c r="K92" s="55">
        <f>G92*1.03</f>
        <v>6976.4784</v>
      </c>
      <c r="L92" s="57">
        <f>H92*1.03</f>
        <v>0</v>
      </c>
      <c r="M92" s="57">
        <f t="shared" ref="M92:M98" si="138">SUM(K92:L92)</f>
        <v>6976.4784</v>
      </c>
      <c r="N92" s="58"/>
      <c r="O92" s="55">
        <f>K92*1.03</f>
        <v>7185.7727519999999</v>
      </c>
      <c r="P92" s="57">
        <f>L92*1.03</f>
        <v>0</v>
      </c>
      <c r="Q92" s="57">
        <f t="shared" ref="Q92:Q98" si="139">SUM(O92:P92)</f>
        <v>7185.7727519999999</v>
      </c>
      <c r="R92" s="58"/>
      <c r="S92" s="55">
        <f>O92*1.03</f>
        <v>7401.3459345600004</v>
      </c>
      <c r="T92" s="57">
        <f>P92*1.03</f>
        <v>0</v>
      </c>
      <c r="U92" s="57">
        <f t="shared" ref="U92:U98" si="140">SUM(S92:T92)</f>
        <v>7401.3459345600004</v>
      </c>
      <c r="V92" s="59"/>
      <c r="W92" s="124">
        <f t="shared" ref="W92:Y99" si="141">C92+G92+K92+O92+S92</f>
        <v>34912.877086560002</v>
      </c>
      <c r="X92" s="57">
        <f t="shared" si="141"/>
        <v>0</v>
      </c>
      <c r="Y92" s="84">
        <f t="shared" si="141"/>
        <v>34912.877086560002</v>
      </c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</row>
    <row r="93" spans="1:77" s="61" customFormat="1" x14ac:dyDescent="0.25">
      <c r="A93" s="52"/>
      <c r="B93" s="61" t="s">
        <v>200</v>
      </c>
      <c r="C93" s="293">
        <f>13152</f>
        <v>13152</v>
      </c>
      <c r="D93" s="56">
        <v>0</v>
      </c>
      <c r="E93" s="56">
        <f t="shared" si="136"/>
        <v>13152</v>
      </c>
      <c r="F93" s="58"/>
      <c r="G93" s="55">
        <f>C93*1.03</f>
        <v>13546.56</v>
      </c>
      <c r="H93" s="57">
        <f t="shared" ref="H93:H98" si="142">D93*1.05</f>
        <v>0</v>
      </c>
      <c r="I93" s="57">
        <f t="shared" si="137"/>
        <v>13546.56</v>
      </c>
      <c r="J93" s="58"/>
      <c r="K93" s="55">
        <f>G93*1.03</f>
        <v>13952.9568</v>
      </c>
      <c r="L93" s="57">
        <f t="shared" ref="L93:L98" si="143">H93*1.05</f>
        <v>0</v>
      </c>
      <c r="M93" s="57">
        <f t="shared" si="138"/>
        <v>13952.9568</v>
      </c>
      <c r="N93" s="58"/>
      <c r="O93" s="55">
        <f>K93*1.03</f>
        <v>14371.545504</v>
      </c>
      <c r="P93" s="57">
        <f t="shared" ref="P93:P98" si="144">L93*1.05</f>
        <v>0</v>
      </c>
      <c r="Q93" s="57">
        <f t="shared" si="139"/>
        <v>14371.545504</v>
      </c>
      <c r="R93" s="58"/>
      <c r="S93" s="55">
        <f>O93*1.03</f>
        <v>14802.691869120001</v>
      </c>
      <c r="T93" s="57">
        <f t="shared" ref="T93:T98" si="145">P93*1.05</f>
        <v>0</v>
      </c>
      <c r="U93" s="57">
        <f t="shared" si="140"/>
        <v>14802.691869120001</v>
      </c>
      <c r="V93" s="59"/>
      <c r="W93" s="124">
        <f t="shared" si="141"/>
        <v>69825.754173120004</v>
      </c>
      <c r="X93" s="57">
        <f t="shared" si="141"/>
        <v>0</v>
      </c>
      <c r="Y93" s="84">
        <f t="shared" si="141"/>
        <v>69825.754173120004</v>
      </c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</row>
    <row r="94" spans="1:77" s="61" customFormat="1" x14ac:dyDescent="0.25">
      <c r="A94" s="52"/>
      <c r="B94" s="52" t="s">
        <v>201</v>
      </c>
      <c r="C94" s="293">
        <f>C93/2</f>
        <v>6576</v>
      </c>
      <c r="D94" s="56">
        <v>0</v>
      </c>
      <c r="E94" s="56">
        <f t="shared" ref="E94" si="146">SUM(C94:D94)</f>
        <v>6576</v>
      </c>
      <c r="F94" s="58"/>
      <c r="G94" s="55">
        <f>C94*1.03</f>
        <v>6773.28</v>
      </c>
      <c r="H94" s="57">
        <f t="shared" si="142"/>
        <v>0</v>
      </c>
      <c r="I94" s="57">
        <f t="shared" si="137"/>
        <v>6773.28</v>
      </c>
      <c r="J94" s="58"/>
      <c r="K94" s="55">
        <f>G94*1.03</f>
        <v>6976.4784</v>
      </c>
      <c r="L94" s="57">
        <f t="shared" si="143"/>
        <v>0</v>
      </c>
      <c r="M94" s="57">
        <f t="shared" si="138"/>
        <v>6976.4784</v>
      </c>
      <c r="N94" s="58"/>
      <c r="O94" s="55">
        <f>K94*1.03</f>
        <v>7185.7727519999999</v>
      </c>
      <c r="P94" s="57">
        <f t="shared" si="144"/>
        <v>0</v>
      </c>
      <c r="Q94" s="57">
        <f t="shared" si="139"/>
        <v>7185.7727519999999</v>
      </c>
      <c r="R94" s="58"/>
      <c r="S94" s="55">
        <f>O94*1.03</f>
        <v>7401.3459345600004</v>
      </c>
      <c r="T94" s="57">
        <f t="shared" si="145"/>
        <v>0</v>
      </c>
      <c r="U94" s="57">
        <f t="shared" si="140"/>
        <v>7401.3459345600004</v>
      </c>
      <c r="V94" s="59"/>
      <c r="W94" s="124">
        <f t="shared" si="141"/>
        <v>34912.877086560002</v>
      </c>
      <c r="X94" s="57">
        <f t="shared" si="141"/>
        <v>0</v>
      </c>
      <c r="Y94" s="84">
        <f t="shared" si="141"/>
        <v>34912.877086560002</v>
      </c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</row>
    <row r="95" spans="1:77" s="61" customFormat="1" x14ac:dyDescent="0.25">
      <c r="A95" s="52"/>
      <c r="B95" s="52" t="s">
        <v>230</v>
      </c>
      <c r="C95" s="124">
        <f>5000*0</f>
        <v>0</v>
      </c>
      <c r="D95" s="56">
        <v>5000</v>
      </c>
      <c r="E95" s="56">
        <f t="shared" ref="E95" si="147">SUM(C95:D95)</f>
        <v>5000</v>
      </c>
      <c r="F95" s="58"/>
      <c r="G95" s="55">
        <f>C95*1.03</f>
        <v>0</v>
      </c>
      <c r="H95" s="57">
        <f>D95*1.03</f>
        <v>5150</v>
      </c>
      <c r="I95" s="57">
        <f t="shared" si="137"/>
        <v>5150</v>
      </c>
      <c r="J95" s="58"/>
      <c r="K95" s="55">
        <f>C95*1.03*1.03*0</f>
        <v>0</v>
      </c>
      <c r="L95" s="57"/>
      <c r="M95" s="57">
        <f t="shared" si="138"/>
        <v>0</v>
      </c>
      <c r="N95" s="58"/>
      <c r="O95" s="55">
        <f>K95*1.03*0</f>
        <v>0</v>
      </c>
      <c r="P95" s="57"/>
      <c r="Q95" s="57">
        <f t="shared" si="139"/>
        <v>0</v>
      </c>
      <c r="R95" s="58"/>
      <c r="S95" s="55">
        <f>K95*1.03*1.03</f>
        <v>0</v>
      </c>
      <c r="T95" s="57"/>
      <c r="U95" s="57">
        <f t="shared" si="140"/>
        <v>0</v>
      </c>
      <c r="V95" s="59"/>
      <c r="W95" s="124">
        <f t="shared" si="141"/>
        <v>0</v>
      </c>
      <c r="X95" s="57">
        <f t="shared" si="141"/>
        <v>10150</v>
      </c>
      <c r="Y95" s="84">
        <f t="shared" si="141"/>
        <v>10150</v>
      </c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</row>
    <row r="96" spans="1:77" s="61" customFormat="1" x14ac:dyDescent="0.25">
      <c r="A96" s="52"/>
      <c r="B96" s="52"/>
      <c r="C96" s="124">
        <v>0</v>
      </c>
      <c r="D96" s="56">
        <v>0</v>
      </c>
      <c r="E96" s="56">
        <f t="shared" si="136"/>
        <v>0</v>
      </c>
      <c r="F96" s="58"/>
      <c r="G96" s="55">
        <f t="shared" ref="G96:G98" si="148">C96*1.035</f>
        <v>0</v>
      </c>
      <c r="H96" s="57">
        <f t="shared" si="142"/>
        <v>0</v>
      </c>
      <c r="I96" s="57">
        <f t="shared" si="137"/>
        <v>0</v>
      </c>
      <c r="J96" s="58"/>
      <c r="K96" s="55">
        <f t="shared" ref="K96:K98" si="149">G96*1.035</f>
        <v>0</v>
      </c>
      <c r="L96" s="57">
        <f t="shared" si="143"/>
        <v>0</v>
      </c>
      <c r="M96" s="57">
        <f t="shared" si="138"/>
        <v>0</v>
      </c>
      <c r="N96" s="58"/>
      <c r="O96" s="55">
        <f t="shared" ref="O96:O98" si="150">K96*1.035</f>
        <v>0</v>
      </c>
      <c r="P96" s="57">
        <f t="shared" si="144"/>
        <v>0</v>
      </c>
      <c r="Q96" s="57">
        <f t="shared" si="139"/>
        <v>0</v>
      </c>
      <c r="R96" s="58"/>
      <c r="S96" s="55">
        <f t="shared" ref="S96:S98" si="151">O96*1.035</f>
        <v>0</v>
      </c>
      <c r="T96" s="57">
        <f t="shared" si="145"/>
        <v>0</v>
      </c>
      <c r="U96" s="57">
        <f t="shared" si="140"/>
        <v>0</v>
      </c>
      <c r="V96" s="59"/>
      <c r="W96" s="124">
        <f t="shared" si="141"/>
        <v>0</v>
      </c>
      <c r="X96" s="57">
        <f t="shared" si="141"/>
        <v>0</v>
      </c>
      <c r="Y96" s="84">
        <f t="shared" si="141"/>
        <v>0</v>
      </c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</row>
    <row r="97" spans="1:77" s="61" customFormat="1" x14ac:dyDescent="0.25">
      <c r="A97" s="52"/>
      <c r="B97" s="52"/>
      <c r="C97" s="124">
        <v>0</v>
      </c>
      <c r="D97" s="56">
        <v>0</v>
      </c>
      <c r="E97" s="56">
        <f t="shared" si="136"/>
        <v>0</v>
      </c>
      <c r="F97" s="58"/>
      <c r="G97" s="55">
        <f t="shared" si="148"/>
        <v>0</v>
      </c>
      <c r="H97" s="57">
        <f t="shared" si="142"/>
        <v>0</v>
      </c>
      <c r="I97" s="57">
        <f t="shared" si="137"/>
        <v>0</v>
      </c>
      <c r="J97" s="58"/>
      <c r="K97" s="55">
        <f t="shared" si="149"/>
        <v>0</v>
      </c>
      <c r="L97" s="57">
        <f t="shared" si="143"/>
        <v>0</v>
      </c>
      <c r="M97" s="57">
        <f t="shared" si="138"/>
        <v>0</v>
      </c>
      <c r="N97" s="58"/>
      <c r="O97" s="55">
        <f t="shared" si="150"/>
        <v>0</v>
      </c>
      <c r="P97" s="57">
        <f t="shared" si="144"/>
        <v>0</v>
      </c>
      <c r="Q97" s="57">
        <f t="shared" si="139"/>
        <v>0</v>
      </c>
      <c r="R97" s="58"/>
      <c r="S97" s="55">
        <f t="shared" si="151"/>
        <v>0</v>
      </c>
      <c r="T97" s="57">
        <f t="shared" si="145"/>
        <v>0</v>
      </c>
      <c r="U97" s="57">
        <f t="shared" si="140"/>
        <v>0</v>
      </c>
      <c r="V97" s="59"/>
      <c r="W97" s="124">
        <f t="shared" si="141"/>
        <v>0</v>
      </c>
      <c r="X97" s="57">
        <f t="shared" si="141"/>
        <v>0</v>
      </c>
      <c r="Y97" s="84">
        <f t="shared" si="141"/>
        <v>0</v>
      </c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</row>
    <row r="98" spans="1:77" s="61" customFormat="1" x14ac:dyDescent="0.25">
      <c r="A98" s="52"/>
      <c r="B98" s="52"/>
      <c r="C98" s="124">
        <v>0</v>
      </c>
      <c r="D98" s="56">
        <v>0</v>
      </c>
      <c r="E98" s="56">
        <f t="shared" si="136"/>
        <v>0</v>
      </c>
      <c r="F98" s="58"/>
      <c r="G98" s="55">
        <f t="shared" si="148"/>
        <v>0</v>
      </c>
      <c r="H98" s="57">
        <f t="shared" si="142"/>
        <v>0</v>
      </c>
      <c r="I98" s="57">
        <f t="shared" si="137"/>
        <v>0</v>
      </c>
      <c r="J98" s="58"/>
      <c r="K98" s="55">
        <f t="shared" si="149"/>
        <v>0</v>
      </c>
      <c r="L98" s="57">
        <f t="shared" si="143"/>
        <v>0</v>
      </c>
      <c r="M98" s="57">
        <f t="shared" si="138"/>
        <v>0</v>
      </c>
      <c r="N98" s="58"/>
      <c r="O98" s="55">
        <f t="shared" si="150"/>
        <v>0</v>
      </c>
      <c r="P98" s="57">
        <f t="shared" si="144"/>
        <v>0</v>
      </c>
      <c r="Q98" s="57">
        <f t="shared" si="139"/>
        <v>0</v>
      </c>
      <c r="R98" s="58"/>
      <c r="S98" s="55">
        <f t="shared" si="151"/>
        <v>0</v>
      </c>
      <c r="T98" s="57">
        <f t="shared" si="145"/>
        <v>0</v>
      </c>
      <c r="U98" s="57">
        <f t="shared" si="140"/>
        <v>0</v>
      </c>
      <c r="V98" s="59"/>
      <c r="W98" s="124">
        <f t="shared" si="141"/>
        <v>0</v>
      </c>
      <c r="X98" s="57">
        <f t="shared" si="141"/>
        <v>0</v>
      </c>
      <c r="Y98" s="84">
        <f t="shared" si="141"/>
        <v>0</v>
      </c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</row>
    <row r="99" spans="1:77" s="83" customFormat="1" x14ac:dyDescent="0.25">
      <c r="A99" s="78"/>
      <c r="B99" s="78" t="s">
        <v>9</v>
      </c>
      <c r="C99" s="228">
        <f>SUM(C92:C98)</f>
        <v>26304</v>
      </c>
      <c r="D99" s="125">
        <f>SUM(D92:D98)</f>
        <v>5000</v>
      </c>
      <c r="E99" s="125">
        <f>SUM(E92:E98)</f>
        <v>31304</v>
      </c>
      <c r="F99" s="81"/>
      <c r="G99" s="79">
        <f>SUM(G92:G98)</f>
        <v>27093.119999999999</v>
      </c>
      <c r="H99" s="80">
        <f>SUM(H92:H98)</f>
        <v>5150</v>
      </c>
      <c r="I99" s="80">
        <f>SUM(I92:I98)</f>
        <v>32243.119999999999</v>
      </c>
      <c r="J99" s="81"/>
      <c r="K99" s="79">
        <f>SUM(K92:K98)</f>
        <v>27905.9136</v>
      </c>
      <c r="L99" s="80">
        <f>SUM(L92:L98)</f>
        <v>0</v>
      </c>
      <c r="M99" s="80">
        <f>SUM(M92:M98)</f>
        <v>27905.9136</v>
      </c>
      <c r="N99" s="81"/>
      <c r="O99" s="79">
        <f>SUM(O92:O98)</f>
        <v>28743.091007999999</v>
      </c>
      <c r="P99" s="80">
        <f>SUM(P92:P98)</f>
        <v>0</v>
      </c>
      <c r="Q99" s="80">
        <f>SUM(Q92:Q98)</f>
        <v>28743.091007999999</v>
      </c>
      <c r="R99" s="81"/>
      <c r="S99" s="79">
        <f>SUM(S92:S98)</f>
        <v>29605.383738240002</v>
      </c>
      <c r="T99" s="80">
        <f>SUM(T92:T98)</f>
        <v>0</v>
      </c>
      <c r="U99" s="80">
        <f>SUM(U92:U98)</f>
        <v>29605.383738240002</v>
      </c>
      <c r="V99" s="82"/>
      <c r="W99" s="228">
        <f t="shared" si="141"/>
        <v>139651.50834624001</v>
      </c>
      <c r="X99" s="80">
        <f t="shared" si="141"/>
        <v>10150</v>
      </c>
      <c r="Y99" s="80">
        <f t="shared" si="141"/>
        <v>149801.50834624001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s="61" customFormat="1" x14ac:dyDescent="0.25">
      <c r="A101" s="52"/>
      <c r="B101" s="52"/>
      <c r="C101" s="124">
        <v>0</v>
      </c>
      <c r="D101" s="56">
        <v>0</v>
      </c>
      <c r="E101" s="56">
        <f t="shared" ref="E101:E111" si="152">SUM(C101:D101)</f>
        <v>0</v>
      </c>
      <c r="F101" s="58"/>
      <c r="G101" s="55">
        <f t="shared" ref="G101:G111" si="153">C101*1.05</f>
        <v>0</v>
      </c>
      <c r="H101" s="57">
        <f t="shared" ref="H101:H111" si="154">D101*1.05</f>
        <v>0</v>
      </c>
      <c r="I101" s="57">
        <f t="shared" ref="I101:I111" si="155">SUM(G101:H101)</f>
        <v>0</v>
      </c>
      <c r="J101" s="58"/>
      <c r="K101" s="55">
        <f t="shared" ref="K101:K111" si="156">G101*1.05</f>
        <v>0</v>
      </c>
      <c r="L101" s="57">
        <f t="shared" ref="L101:L111" si="157">H101*1.05</f>
        <v>0</v>
      </c>
      <c r="M101" s="57">
        <f t="shared" ref="M101:M111" si="158">SUM(K101:L101)</f>
        <v>0</v>
      </c>
      <c r="N101" s="58"/>
      <c r="O101" s="55">
        <f t="shared" ref="O101:O111" si="159">K101*1.05</f>
        <v>0</v>
      </c>
      <c r="P101" s="57">
        <f t="shared" ref="P101:P111" si="160">L101*1.05</f>
        <v>0</v>
      </c>
      <c r="Q101" s="57">
        <f t="shared" ref="Q101:Q111" si="161">SUM(O101:P101)</f>
        <v>0</v>
      </c>
      <c r="R101" s="58"/>
      <c r="S101" s="55">
        <f t="shared" ref="S101:S111" si="162">O101*1.05</f>
        <v>0</v>
      </c>
      <c r="T101" s="57">
        <f t="shared" ref="T101:T111" si="163">P101*1.05</f>
        <v>0</v>
      </c>
      <c r="U101" s="57">
        <f t="shared" ref="U101:U111" si="164">SUM(S101:T101)</f>
        <v>0</v>
      </c>
      <c r="V101" s="59"/>
      <c r="W101" s="124">
        <f t="shared" ref="W101:W112" si="165">C101+G101+K101+O101+S101</f>
        <v>0</v>
      </c>
      <c r="X101" s="57">
        <f t="shared" ref="X101:X112" si="166">D101+H101+L101+P101+T101</f>
        <v>0</v>
      </c>
      <c r="Y101" s="84">
        <f t="shared" ref="Y101:Y112" si="167">E101+I101+M101+Q101+U101</f>
        <v>0</v>
      </c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</row>
    <row r="102" spans="1:77" s="61" customFormat="1" x14ac:dyDescent="0.25">
      <c r="A102" s="87"/>
      <c r="B102" s="195" t="s">
        <v>159</v>
      </c>
      <c r="C102" s="293">
        <f>10498.8*1.5</f>
        <v>15748.199999999999</v>
      </c>
      <c r="D102" s="56">
        <f>(19.6*1.03)*10*52*0</f>
        <v>0</v>
      </c>
      <c r="E102" s="56">
        <f t="shared" si="152"/>
        <v>15748.199999999999</v>
      </c>
      <c r="F102" s="58"/>
      <c r="G102" s="55">
        <f t="shared" si="153"/>
        <v>16535.61</v>
      </c>
      <c r="H102" s="57">
        <f t="shared" si="154"/>
        <v>0</v>
      </c>
      <c r="I102" s="57">
        <f t="shared" si="155"/>
        <v>16535.61</v>
      </c>
      <c r="J102" s="58"/>
      <c r="K102" s="55">
        <f t="shared" si="156"/>
        <v>17362.390500000001</v>
      </c>
      <c r="L102" s="57">
        <f t="shared" si="157"/>
        <v>0</v>
      </c>
      <c r="M102" s="57">
        <f t="shared" si="158"/>
        <v>17362.390500000001</v>
      </c>
      <c r="N102" s="58"/>
      <c r="O102" s="55">
        <f t="shared" si="159"/>
        <v>18230.510025000003</v>
      </c>
      <c r="P102" s="57">
        <f t="shared" si="160"/>
        <v>0</v>
      </c>
      <c r="Q102" s="57">
        <f t="shared" si="161"/>
        <v>18230.510025000003</v>
      </c>
      <c r="R102" s="58"/>
      <c r="S102" s="55">
        <f t="shared" si="162"/>
        <v>19142.035526250005</v>
      </c>
      <c r="T102" s="57">
        <f t="shared" si="163"/>
        <v>0</v>
      </c>
      <c r="U102" s="57">
        <f t="shared" si="164"/>
        <v>19142.035526250005</v>
      </c>
      <c r="V102" s="59"/>
      <c r="W102" s="124">
        <f t="shared" si="165"/>
        <v>87018.746051250011</v>
      </c>
      <c r="X102" s="57">
        <f t="shared" si="166"/>
        <v>0</v>
      </c>
      <c r="Y102" s="84">
        <f t="shared" si="167"/>
        <v>87018.746051250011</v>
      </c>
    </row>
    <row r="103" spans="1:77" s="61" customFormat="1" x14ac:dyDescent="0.25">
      <c r="A103" s="52"/>
      <c r="B103" s="54"/>
      <c r="C103" s="124">
        <v>0</v>
      </c>
      <c r="D103" s="56">
        <v>0</v>
      </c>
      <c r="E103" s="56">
        <f t="shared" si="152"/>
        <v>0</v>
      </c>
      <c r="F103" s="58"/>
      <c r="G103" s="55">
        <f t="shared" si="153"/>
        <v>0</v>
      </c>
      <c r="H103" s="57">
        <f t="shared" si="154"/>
        <v>0</v>
      </c>
      <c r="I103" s="57">
        <f t="shared" si="155"/>
        <v>0</v>
      </c>
      <c r="J103" s="58"/>
      <c r="K103" s="55">
        <f t="shared" si="156"/>
        <v>0</v>
      </c>
      <c r="L103" s="57">
        <f t="shared" si="157"/>
        <v>0</v>
      </c>
      <c r="M103" s="57">
        <f t="shared" si="158"/>
        <v>0</v>
      </c>
      <c r="N103" s="58"/>
      <c r="O103" s="55">
        <f t="shared" si="159"/>
        <v>0</v>
      </c>
      <c r="P103" s="57">
        <f t="shared" si="160"/>
        <v>0</v>
      </c>
      <c r="Q103" s="57">
        <f t="shared" si="161"/>
        <v>0</v>
      </c>
      <c r="R103" s="58"/>
      <c r="S103" s="55">
        <f t="shared" si="162"/>
        <v>0</v>
      </c>
      <c r="T103" s="57">
        <f t="shared" si="163"/>
        <v>0</v>
      </c>
      <c r="U103" s="57">
        <f t="shared" si="164"/>
        <v>0</v>
      </c>
      <c r="V103" s="59"/>
      <c r="W103" s="124">
        <f t="shared" si="165"/>
        <v>0</v>
      </c>
      <c r="X103" s="57">
        <f t="shared" si="166"/>
        <v>0</v>
      </c>
      <c r="Y103" s="84">
        <f t="shared" si="167"/>
        <v>0</v>
      </c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</row>
    <row r="104" spans="1:77" s="61" customFormat="1" x14ac:dyDescent="0.25">
      <c r="A104" s="52"/>
      <c r="B104" s="52" t="s">
        <v>168</v>
      </c>
      <c r="C104" s="124">
        <v>0</v>
      </c>
      <c r="D104" s="56">
        <v>0</v>
      </c>
      <c r="E104" s="56">
        <f t="shared" si="152"/>
        <v>0</v>
      </c>
      <c r="F104" s="58"/>
      <c r="G104" s="55">
        <f>24000</f>
        <v>24000</v>
      </c>
      <c r="H104" s="57">
        <f t="shared" si="154"/>
        <v>0</v>
      </c>
      <c r="I104" s="57">
        <f t="shared" si="155"/>
        <v>24000</v>
      </c>
      <c r="J104" s="58"/>
      <c r="K104" s="55">
        <f>G104</f>
        <v>24000</v>
      </c>
      <c r="L104" s="57">
        <f t="shared" si="157"/>
        <v>0</v>
      </c>
      <c r="M104" s="57">
        <f t="shared" si="158"/>
        <v>24000</v>
      </c>
      <c r="N104" s="58"/>
      <c r="O104" s="55">
        <f>K104*1.05*0</f>
        <v>0</v>
      </c>
      <c r="P104" s="57">
        <f t="shared" si="160"/>
        <v>0</v>
      </c>
      <c r="Q104" s="57">
        <f t="shared" si="161"/>
        <v>0</v>
      </c>
      <c r="R104" s="58"/>
      <c r="S104" s="55">
        <f t="shared" si="162"/>
        <v>0</v>
      </c>
      <c r="T104" s="57">
        <f t="shared" si="163"/>
        <v>0</v>
      </c>
      <c r="U104" s="57">
        <f t="shared" si="164"/>
        <v>0</v>
      </c>
      <c r="V104" s="59"/>
      <c r="W104" s="124">
        <f t="shared" si="165"/>
        <v>48000</v>
      </c>
      <c r="X104" s="57">
        <f t="shared" si="166"/>
        <v>0</v>
      </c>
      <c r="Y104" s="84">
        <f t="shared" si="167"/>
        <v>48000</v>
      </c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s="61" customFormat="1" x14ac:dyDescent="0.25">
      <c r="A105" s="87"/>
      <c r="B105" s="52"/>
      <c r="C105" s="124">
        <v>0</v>
      </c>
      <c r="D105" s="56">
        <v>0</v>
      </c>
      <c r="E105" s="56">
        <f t="shared" si="152"/>
        <v>0</v>
      </c>
      <c r="F105" s="58"/>
      <c r="G105" s="55">
        <f t="shared" si="153"/>
        <v>0</v>
      </c>
      <c r="H105" s="57">
        <f t="shared" si="154"/>
        <v>0</v>
      </c>
      <c r="I105" s="57">
        <f t="shared" si="155"/>
        <v>0</v>
      </c>
      <c r="J105" s="58"/>
      <c r="K105" s="55">
        <f t="shared" si="156"/>
        <v>0</v>
      </c>
      <c r="L105" s="57">
        <f t="shared" si="157"/>
        <v>0</v>
      </c>
      <c r="M105" s="57">
        <f t="shared" si="158"/>
        <v>0</v>
      </c>
      <c r="N105" s="58"/>
      <c r="O105" s="55">
        <f t="shared" si="159"/>
        <v>0</v>
      </c>
      <c r="P105" s="57">
        <f t="shared" si="160"/>
        <v>0</v>
      </c>
      <c r="Q105" s="57">
        <f t="shared" si="161"/>
        <v>0</v>
      </c>
      <c r="R105" s="58"/>
      <c r="S105" s="55">
        <f t="shared" si="162"/>
        <v>0</v>
      </c>
      <c r="T105" s="57">
        <f t="shared" si="163"/>
        <v>0</v>
      </c>
      <c r="U105" s="57">
        <f t="shared" si="164"/>
        <v>0</v>
      </c>
      <c r="V105" s="59"/>
      <c r="W105" s="124">
        <f t="shared" si="165"/>
        <v>0</v>
      </c>
      <c r="X105" s="57">
        <f t="shared" si="166"/>
        <v>0</v>
      </c>
      <c r="Y105" s="84">
        <f t="shared" si="167"/>
        <v>0</v>
      </c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s="61" customFormat="1" x14ac:dyDescent="0.25">
      <c r="A106" s="87"/>
      <c r="B106" s="52"/>
      <c r="C106" s="124">
        <v>0</v>
      </c>
      <c r="D106" s="56">
        <v>0</v>
      </c>
      <c r="E106" s="56">
        <f t="shared" si="152"/>
        <v>0</v>
      </c>
      <c r="F106" s="58"/>
      <c r="G106" s="55">
        <f t="shared" si="153"/>
        <v>0</v>
      </c>
      <c r="H106" s="57">
        <f t="shared" si="154"/>
        <v>0</v>
      </c>
      <c r="I106" s="57">
        <f t="shared" si="155"/>
        <v>0</v>
      </c>
      <c r="J106" s="58"/>
      <c r="K106" s="55">
        <f t="shared" si="156"/>
        <v>0</v>
      </c>
      <c r="L106" s="57">
        <f t="shared" si="157"/>
        <v>0</v>
      </c>
      <c r="M106" s="57">
        <f t="shared" si="158"/>
        <v>0</v>
      </c>
      <c r="N106" s="58"/>
      <c r="O106" s="55">
        <f t="shared" si="159"/>
        <v>0</v>
      </c>
      <c r="P106" s="57">
        <f t="shared" si="160"/>
        <v>0</v>
      </c>
      <c r="Q106" s="57">
        <f t="shared" si="161"/>
        <v>0</v>
      </c>
      <c r="R106" s="58"/>
      <c r="S106" s="55">
        <f t="shared" si="162"/>
        <v>0</v>
      </c>
      <c r="T106" s="57">
        <f t="shared" si="163"/>
        <v>0</v>
      </c>
      <c r="U106" s="57">
        <f t="shared" si="164"/>
        <v>0</v>
      </c>
      <c r="V106" s="59"/>
      <c r="W106" s="124">
        <f t="shared" si="165"/>
        <v>0</v>
      </c>
      <c r="X106" s="57">
        <f t="shared" si="166"/>
        <v>0</v>
      </c>
      <c r="Y106" s="84">
        <f t="shared" si="167"/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2"/>
      <c r="C107" s="124">
        <v>0</v>
      </c>
      <c r="D107" s="56">
        <v>0</v>
      </c>
      <c r="E107" s="56">
        <f t="shared" si="152"/>
        <v>0</v>
      </c>
      <c r="F107" s="58"/>
      <c r="G107" s="55">
        <f t="shared" si="153"/>
        <v>0</v>
      </c>
      <c r="H107" s="57">
        <f t="shared" si="154"/>
        <v>0</v>
      </c>
      <c r="I107" s="57">
        <f t="shared" si="155"/>
        <v>0</v>
      </c>
      <c r="J107" s="58"/>
      <c r="K107" s="55">
        <f t="shared" si="156"/>
        <v>0</v>
      </c>
      <c r="L107" s="57">
        <f t="shared" si="157"/>
        <v>0</v>
      </c>
      <c r="M107" s="57">
        <f t="shared" si="158"/>
        <v>0</v>
      </c>
      <c r="N107" s="58"/>
      <c r="O107" s="55">
        <f t="shared" si="159"/>
        <v>0</v>
      </c>
      <c r="P107" s="57">
        <f t="shared" si="160"/>
        <v>0</v>
      </c>
      <c r="Q107" s="57">
        <f t="shared" si="161"/>
        <v>0</v>
      </c>
      <c r="R107" s="58"/>
      <c r="S107" s="55">
        <f t="shared" si="162"/>
        <v>0</v>
      </c>
      <c r="T107" s="57">
        <f t="shared" si="163"/>
        <v>0</v>
      </c>
      <c r="U107" s="57">
        <f t="shared" si="164"/>
        <v>0</v>
      </c>
      <c r="V107" s="59"/>
      <c r="W107" s="124">
        <f t="shared" si="165"/>
        <v>0</v>
      </c>
      <c r="X107" s="57">
        <f t="shared" si="166"/>
        <v>0</v>
      </c>
      <c r="Y107" s="84">
        <f t="shared" si="167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52"/>
      <c r="B108" s="54"/>
      <c r="C108" s="124">
        <v>0</v>
      </c>
      <c r="D108" s="56">
        <v>0</v>
      </c>
      <c r="E108" s="56">
        <f t="shared" si="152"/>
        <v>0</v>
      </c>
      <c r="F108" s="58"/>
      <c r="G108" s="55">
        <f t="shared" si="153"/>
        <v>0</v>
      </c>
      <c r="H108" s="57">
        <f t="shared" si="154"/>
        <v>0</v>
      </c>
      <c r="I108" s="57">
        <f t="shared" si="155"/>
        <v>0</v>
      </c>
      <c r="J108" s="58"/>
      <c r="K108" s="55">
        <f t="shared" si="156"/>
        <v>0</v>
      </c>
      <c r="L108" s="57">
        <f t="shared" si="157"/>
        <v>0</v>
      </c>
      <c r="M108" s="57">
        <f t="shared" si="158"/>
        <v>0</v>
      </c>
      <c r="N108" s="58"/>
      <c r="O108" s="55">
        <f t="shared" si="159"/>
        <v>0</v>
      </c>
      <c r="P108" s="57">
        <f t="shared" si="160"/>
        <v>0</v>
      </c>
      <c r="Q108" s="57">
        <f t="shared" si="161"/>
        <v>0</v>
      </c>
      <c r="R108" s="58"/>
      <c r="S108" s="55">
        <f t="shared" si="162"/>
        <v>0</v>
      </c>
      <c r="T108" s="57">
        <f t="shared" si="163"/>
        <v>0</v>
      </c>
      <c r="U108" s="57">
        <f t="shared" si="164"/>
        <v>0</v>
      </c>
      <c r="V108" s="59"/>
      <c r="W108" s="124">
        <f t="shared" si="165"/>
        <v>0</v>
      </c>
      <c r="X108" s="57">
        <f t="shared" si="166"/>
        <v>0</v>
      </c>
      <c r="Y108" s="84">
        <f t="shared" si="167"/>
        <v>0</v>
      </c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152"/>
        <v>0</v>
      </c>
      <c r="F109" s="74"/>
      <c r="G109" s="55">
        <f t="shared" si="153"/>
        <v>0</v>
      </c>
      <c r="H109" s="57">
        <f t="shared" si="154"/>
        <v>0</v>
      </c>
      <c r="I109" s="57">
        <f t="shared" si="155"/>
        <v>0</v>
      </c>
      <c r="J109" s="74"/>
      <c r="K109" s="55">
        <f t="shared" si="156"/>
        <v>0</v>
      </c>
      <c r="L109" s="57">
        <f t="shared" si="157"/>
        <v>0</v>
      </c>
      <c r="M109" s="57">
        <f t="shared" si="158"/>
        <v>0</v>
      </c>
      <c r="N109" s="74"/>
      <c r="O109" s="55">
        <f t="shared" si="159"/>
        <v>0</v>
      </c>
      <c r="P109" s="57">
        <f t="shared" si="160"/>
        <v>0</v>
      </c>
      <c r="Q109" s="57">
        <f t="shared" si="161"/>
        <v>0</v>
      </c>
      <c r="R109" s="74"/>
      <c r="S109" s="55">
        <f t="shared" si="162"/>
        <v>0</v>
      </c>
      <c r="T109" s="57">
        <f t="shared" si="163"/>
        <v>0</v>
      </c>
      <c r="U109" s="57">
        <f t="shared" si="164"/>
        <v>0</v>
      </c>
      <c r="V109" s="59"/>
      <c r="W109" s="124">
        <f t="shared" si="165"/>
        <v>0</v>
      </c>
      <c r="X109" s="57">
        <f t="shared" si="166"/>
        <v>0</v>
      </c>
      <c r="Y109" s="84">
        <f t="shared" si="167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152"/>
        <v>0</v>
      </c>
      <c r="F110" s="74"/>
      <c r="G110" s="55">
        <f t="shared" si="153"/>
        <v>0</v>
      </c>
      <c r="H110" s="57">
        <f t="shared" si="154"/>
        <v>0</v>
      </c>
      <c r="I110" s="57">
        <f t="shared" si="155"/>
        <v>0</v>
      </c>
      <c r="J110" s="74"/>
      <c r="K110" s="55">
        <f t="shared" si="156"/>
        <v>0</v>
      </c>
      <c r="L110" s="57">
        <f t="shared" si="157"/>
        <v>0</v>
      </c>
      <c r="M110" s="57">
        <f t="shared" si="158"/>
        <v>0</v>
      </c>
      <c r="N110" s="74"/>
      <c r="O110" s="55">
        <f t="shared" si="159"/>
        <v>0</v>
      </c>
      <c r="P110" s="57">
        <f t="shared" si="160"/>
        <v>0</v>
      </c>
      <c r="Q110" s="57">
        <f t="shared" si="161"/>
        <v>0</v>
      </c>
      <c r="R110" s="74"/>
      <c r="S110" s="55">
        <f t="shared" si="162"/>
        <v>0</v>
      </c>
      <c r="T110" s="57">
        <f t="shared" si="163"/>
        <v>0</v>
      </c>
      <c r="U110" s="57">
        <f t="shared" si="164"/>
        <v>0</v>
      </c>
      <c r="V110" s="59"/>
      <c r="W110" s="124">
        <f t="shared" si="165"/>
        <v>0</v>
      </c>
      <c r="X110" s="57">
        <f t="shared" si="166"/>
        <v>0</v>
      </c>
      <c r="Y110" s="84">
        <f t="shared" si="167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152"/>
        <v>0</v>
      </c>
      <c r="F111" s="74"/>
      <c r="G111" s="55">
        <f t="shared" si="153"/>
        <v>0</v>
      </c>
      <c r="H111" s="57">
        <f t="shared" si="154"/>
        <v>0</v>
      </c>
      <c r="I111" s="57">
        <f t="shared" si="155"/>
        <v>0</v>
      </c>
      <c r="J111" s="74"/>
      <c r="K111" s="55">
        <f t="shared" si="156"/>
        <v>0</v>
      </c>
      <c r="L111" s="57">
        <f t="shared" si="157"/>
        <v>0</v>
      </c>
      <c r="M111" s="57">
        <f t="shared" si="158"/>
        <v>0</v>
      </c>
      <c r="N111" s="74"/>
      <c r="O111" s="55">
        <f t="shared" si="159"/>
        <v>0</v>
      </c>
      <c r="P111" s="57">
        <f t="shared" si="160"/>
        <v>0</v>
      </c>
      <c r="Q111" s="57">
        <f t="shared" si="161"/>
        <v>0</v>
      </c>
      <c r="R111" s="74"/>
      <c r="S111" s="55">
        <f t="shared" si="162"/>
        <v>0</v>
      </c>
      <c r="T111" s="57">
        <f t="shared" si="163"/>
        <v>0</v>
      </c>
      <c r="U111" s="57">
        <f t="shared" si="164"/>
        <v>0</v>
      </c>
      <c r="V111" s="59"/>
      <c r="W111" s="124">
        <f t="shared" si="165"/>
        <v>0</v>
      </c>
      <c r="X111" s="57">
        <f t="shared" si="166"/>
        <v>0</v>
      </c>
      <c r="Y111" s="84">
        <f t="shared" si="167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15748.199999999999</v>
      </c>
      <c r="D112" s="125">
        <f>SUM(D101:D111)</f>
        <v>0</v>
      </c>
      <c r="E112" s="125">
        <f>SUM(E101:E111)</f>
        <v>15748.199999999999</v>
      </c>
      <c r="F112" s="81"/>
      <c r="G112" s="79">
        <f>SUM(G101:G111)</f>
        <v>40535.61</v>
      </c>
      <c r="H112" s="80">
        <f>SUM(H101:H111)</f>
        <v>0</v>
      </c>
      <c r="I112" s="80">
        <f>SUM(I101:I111)</f>
        <v>40535.61</v>
      </c>
      <c r="J112" s="81"/>
      <c r="K112" s="79">
        <f>SUM(K101:K111)</f>
        <v>41362.390500000001</v>
      </c>
      <c r="L112" s="80">
        <f>SUM(L101:L111)</f>
        <v>0</v>
      </c>
      <c r="M112" s="80">
        <f>SUM(M101:M111)</f>
        <v>41362.390500000001</v>
      </c>
      <c r="N112" s="81"/>
      <c r="O112" s="79">
        <f>SUM(O101:O111)</f>
        <v>18230.510025000003</v>
      </c>
      <c r="P112" s="80">
        <f>SUM(P101:P111)</f>
        <v>0</v>
      </c>
      <c r="Q112" s="80">
        <f>SUM(Q101:Q111)</f>
        <v>18230.510025000003</v>
      </c>
      <c r="R112" s="81"/>
      <c r="S112" s="79">
        <f>SUM(S101:S111)</f>
        <v>19142.035526250005</v>
      </c>
      <c r="T112" s="80">
        <f>SUM(T101:T111)</f>
        <v>0</v>
      </c>
      <c r="U112" s="80">
        <f>SUM(U101:U111)</f>
        <v>19142.035526250005</v>
      </c>
      <c r="V112" s="82"/>
      <c r="W112" s="228">
        <f t="shared" si="165"/>
        <v>135018.74605125</v>
      </c>
      <c r="X112" s="80">
        <f t="shared" si="166"/>
        <v>0</v>
      </c>
      <c r="Y112" s="80">
        <f t="shared" si="167"/>
        <v>135018.74605125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>C112+C99</f>
        <v>42052.2</v>
      </c>
      <c r="D113" s="101">
        <f t="shared" ref="D113:Y113" si="168">D112+D99</f>
        <v>5000</v>
      </c>
      <c r="E113" s="101">
        <f t="shared" si="168"/>
        <v>47052.2</v>
      </c>
      <c r="F113" s="101">
        <f t="shared" si="168"/>
        <v>0</v>
      </c>
      <c r="G113" s="101">
        <f t="shared" si="168"/>
        <v>67628.73</v>
      </c>
      <c r="H113" s="101">
        <f t="shared" si="168"/>
        <v>5150</v>
      </c>
      <c r="I113" s="101">
        <f t="shared" si="168"/>
        <v>72778.73</v>
      </c>
      <c r="J113" s="101">
        <f t="shared" si="168"/>
        <v>0</v>
      </c>
      <c r="K113" s="101">
        <f t="shared" si="168"/>
        <v>69268.304100000008</v>
      </c>
      <c r="L113" s="101">
        <f t="shared" si="168"/>
        <v>0</v>
      </c>
      <c r="M113" s="101">
        <f t="shared" si="168"/>
        <v>69268.304100000008</v>
      </c>
      <c r="N113" s="101">
        <f t="shared" si="168"/>
        <v>0</v>
      </c>
      <c r="O113" s="101">
        <f t="shared" si="168"/>
        <v>46973.601032999999</v>
      </c>
      <c r="P113" s="101">
        <f t="shared" si="168"/>
        <v>0</v>
      </c>
      <c r="Q113" s="101">
        <f t="shared" si="168"/>
        <v>46973.601032999999</v>
      </c>
      <c r="R113" s="101">
        <f t="shared" si="168"/>
        <v>0</v>
      </c>
      <c r="S113" s="101">
        <f t="shared" si="168"/>
        <v>48747.419264490003</v>
      </c>
      <c r="T113" s="101">
        <f t="shared" si="168"/>
        <v>0</v>
      </c>
      <c r="U113" s="101">
        <f t="shared" si="168"/>
        <v>48747.419264490003</v>
      </c>
      <c r="V113" s="101">
        <f t="shared" si="168"/>
        <v>0</v>
      </c>
      <c r="W113" s="101">
        <f t="shared" si="168"/>
        <v>274670.25439749</v>
      </c>
      <c r="X113" s="101">
        <f t="shared" si="168"/>
        <v>10150</v>
      </c>
      <c r="Y113" s="101">
        <f t="shared" si="168"/>
        <v>284820.25439749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v>0</v>
      </c>
      <c r="D115" s="56">
        <v>0</v>
      </c>
      <c r="E115" s="56">
        <f t="shared" ref="E115" si="169">SUM(C115:D115)</f>
        <v>0</v>
      </c>
      <c r="F115" s="58"/>
      <c r="G115" s="55">
        <v>0</v>
      </c>
      <c r="H115" s="57">
        <v>0</v>
      </c>
      <c r="I115" s="57">
        <f t="shared" ref="I115" si="170">SUM(G115:H115)</f>
        <v>0</v>
      </c>
      <c r="J115" s="58"/>
      <c r="K115" s="55">
        <v>0</v>
      </c>
      <c r="L115" s="57">
        <v>0</v>
      </c>
      <c r="M115" s="57">
        <f t="shared" ref="M115" si="171">SUM(K115:L115)</f>
        <v>0</v>
      </c>
      <c r="N115" s="58"/>
      <c r="O115" s="55">
        <v>0</v>
      </c>
      <c r="P115" s="57">
        <v>0</v>
      </c>
      <c r="Q115" s="57">
        <f t="shared" ref="Q115" si="172">SUM(O115:P115)</f>
        <v>0</v>
      </c>
      <c r="R115" s="58"/>
      <c r="S115" s="55">
        <v>0</v>
      </c>
      <c r="T115" s="57">
        <f t="shared" ref="T115" si="173">P115*1.05</f>
        <v>0</v>
      </c>
      <c r="U115" s="57">
        <f t="shared" ref="U115" si="174">SUM(S115:T115)</f>
        <v>0</v>
      </c>
      <c r="V115" s="59"/>
      <c r="W115" s="124">
        <f t="shared" ref="W115:Y121" si="175">C115+G115+K115+O115+S115</f>
        <v>0</v>
      </c>
      <c r="X115" s="57">
        <f t="shared" si="175"/>
        <v>0</v>
      </c>
      <c r="Y115" s="84">
        <f t="shared" si="175"/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customFormat="1" ht="12.75" customHeight="1" x14ac:dyDescent="0.25">
      <c r="A116" s="300">
        <v>0.27610000000000001</v>
      </c>
      <c r="B116" s="292" t="s">
        <v>163</v>
      </c>
      <c r="C116" s="293">
        <f t="shared" ref="C116:C118" si="176">C92*A116</f>
        <v>1815.6336000000001</v>
      </c>
      <c r="D116" s="294"/>
      <c r="E116" s="294">
        <f>SUM(C116:D116)</f>
        <v>1815.6336000000001</v>
      </c>
      <c r="F116" s="295"/>
      <c r="G116" s="293">
        <f t="shared" ref="G116:G118" si="177">G92*A116</f>
        <v>1870.1026079999999</v>
      </c>
      <c r="H116" s="294"/>
      <c r="I116" s="294">
        <f t="shared" ref="I116:I118" si="178">G116</f>
        <v>1870.1026079999999</v>
      </c>
      <c r="J116" s="295"/>
      <c r="K116" s="293">
        <f t="shared" ref="K116:K118" si="179">K92*A116</f>
        <v>1926.20568624</v>
      </c>
      <c r="L116" s="294"/>
      <c r="M116" s="294">
        <f t="shared" ref="M116:M122" si="180">K116</f>
        <v>1926.20568624</v>
      </c>
      <c r="N116" s="295"/>
      <c r="O116" s="293">
        <f t="shared" ref="O116:O118" si="181">O92*A116</f>
        <v>1983.9918568272001</v>
      </c>
      <c r="P116" s="294"/>
      <c r="Q116" s="294">
        <f t="shared" ref="Q116:Q118" si="182">O116</f>
        <v>1983.9918568272001</v>
      </c>
      <c r="R116" s="295"/>
      <c r="S116" s="293">
        <f t="shared" ref="S116:S118" si="183">S92*A116</f>
        <v>2043.5116125320162</v>
      </c>
      <c r="T116" s="294"/>
      <c r="U116" s="294">
        <f t="shared" ref="U116:U118" si="184">S116</f>
        <v>2043.5116125320162</v>
      </c>
      <c r="V116" s="296"/>
      <c r="W116" s="293">
        <f>C116+G116+K116+O116+S116</f>
        <v>9639.4453635992177</v>
      </c>
      <c r="X116" s="294">
        <f t="shared" si="175"/>
        <v>0</v>
      </c>
      <c r="Y116" s="294">
        <f t="shared" si="175"/>
        <v>9639.4453635992177</v>
      </c>
      <c r="Z116" s="292"/>
      <c r="AA116" s="292"/>
      <c r="AB116" s="292"/>
      <c r="AC116" s="292"/>
      <c r="AD116" s="29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</row>
    <row r="117" spans="1:77" customFormat="1" ht="12.75" customHeight="1" x14ac:dyDescent="0.25">
      <c r="A117" s="300">
        <v>0.27610000000000001</v>
      </c>
      <c r="B117" s="292" t="s">
        <v>200</v>
      </c>
      <c r="C117" s="293">
        <f t="shared" si="176"/>
        <v>3631.2672000000002</v>
      </c>
      <c r="D117" s="294"/>
      <c r="E117" s="294">
        <f>SUM(C117)</f>
        <v>3631.2672000000002</v>
      </c>
      <c r="F117" s="295"/>
      <c r="G117" s="293">
        <f t="shared" si="177"/>
        <v>3740.2052159999998</v>
      </c>
      <c r="H117" s="294"/>
      <c r="I117" s="294">
        <f t="shared" si="178"/>
        <v>3740.2052159999998</v>
      </c>
      <c r="J117" s="295"/>
      <c r="K117" s="293">
        <f t="shared" si="179"/>
        <v>3852.41137248</v>
      </c>
      <c r="L117" s="294"/>
      <c r="M117" s="294">
        <f t="shared" si="180"/>
        <v>3852.41137248</v>
      </c>
      <c r="N117" s="295"/>
      <c r="O117" s="293">
        <f t="shared" si="181"/>
        <v>3967.9837136544002</v>
      </c>
      <c r="P117" s="294"/>
      <c r="Q117" s="294">
        <f t="shared" si="182"/>
        <v>3967.9837136544002</v>
      </c>
      <c r="R117" s="295"/>
      <c r="S117" s="293">
        <f t="shared" si="183"/>
        <v>4087.0232250640324</v>
      </c>
      <c r="T117" s="294"/>
      <c r="U117" s="294">
        <f t="shared" si="184"/>
        <v>4087.0232250640324</v>
      </c>
      <c r="V117" s="296"/>
      <c r="W117" s="293">
        <f>C117+G117+K117+O117+S117</f>
        <v>19278.890727198435</v>
      </c>
      <c r="X117" s="294">
        <f t="shared" si="175"/>
        <v>0</v>
      </c>
      <c r="Y117" s="294">
        <f t="shared" si="175"/>
        <v>19278.890727198435</v>
      </c>
      <c r="Z117" s="292"/>
      <c r="AA117" s="292"/>
      <c r="AB117" s="292"/>
      <c r="AC117" s="292"/>
      <c r="AD117" s="29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</row>
    <row r="118" spans="1:77" customFormat="1" ht="12.75" customHeight="1" x14ac:dyDescent="0.25">
      <c r="A118" s="300">
        <v>0.27610000000000001</v>
      </c>
      <c r="B118" s="292" t="s">
        <v>201</v>
      </c>
      <c r="C118" s="293">
        <f t="shared" si="176"/>
        <v>1815.6336000000001</v>
      </c>
      <c r="D118" s="294"/>
      <c r="E118" s="294">
        <f>C118</f>
        <v>1815.6336000000001</v>
      </c>
      <c r="F118" s="295"/>
      <c r="G118" s="293">
        <f t="shared" si="177"/>
        <v>1870.1026079999999</v>
      </c>
      <c r="H118" s="294"/>
      <c r="I118" s="294">
        <f t="shared" si="178"/>
        <v>1870.1026079999999</v>
      </c>
      <c r="J118" s="295"/>
      <c r="K118" s="293">
        <f t="shared" si="179"/>
        <v>1926.20568624</v>
      </c>
      <c r="L118" s="294"/>
      <c r="M118" s="294">
        <f t="shared" si="180"/>
        <v>1926.20568624</v>
      </c>
      <c r="N118" s="295"/>
      <c r="O118" s="293">
        <f t="shared" si="181"/>
        <v>1983.9918568272001</v>
      </c>
      <c r="P118" s="294"/>
      <c r="Q118" s="294">
        <f t="shared" si="182"/>
        <v>1983.9918568272001</v>
      </c>
      <c r="R118" s="295"/>
      <c r="S118" s="293">
        <f t="shared" si="183"/>
        <v>2043.5116125320162</v>
      </c>
      <c r="T118" s="294"/>
      <c r="U118" s="294">
        <f t="shared" si="184"/>
        <v>2043.5116125320162</v>
      </c>
      <c r="V118" s="296"/>
      <c r="W118" s="293">
        <f>C118+G118+K118+O118+S118</f>
        <v>9639.4453635992177</v>
      </c>
      <c r="X118" s="294">
        <f t="shared" si="175"/>
        <v>0</v>
      </c>
      <c r="Y118" s="294">
        <f t="shared" si="175"/>
        <v>9639.4453635992177</v>
      </c>
      <c r="Z118" s="292"/>
      <c r="AA118" s="292"/>
      <c r="AB118" s="292"/>
      <c r="AC118" s="292"/>
      <c r="AD118" s="29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</row>
    <row r="119" spans="1:77" customFormat="1" ht="12.75" customHeight="1" x14ac:dyDescent="0.25">
      <c r="A119" s="300">
        <v>0.4</v>
      </c>
      <c r="B119" s="292" t="s">
        <v>230</v>
      </c>
      <c r="C119" s="293"/>
      <c r="D119" s="302">
        <f>D95*A119</f>
        <v>2000</v>
      </c>
      <c r="E119" s="294">
        <f>D119</f>
        <v>2000</v>
      </c>
      <c r="F119" s="295"/>
      <c r="G119" s="293"/>
      <c r="H119" s="294">
        <f>H95*A119</f>
        <v>2060</v>
      </c>
      <c r="I119" s="294">
        <f>H119</f>
        <v>2060</v>
      </c>
      <c r="J119" s="295"/>
      <c r="K119" s="293"/>
      <c r="L119" s="294"/>
      <c r="M119" s="294">
        <f t="shared" si="180"/>
        <v>0</v>
      </c>
      <c r="N119" s="295"/>
      <c r="O119" s="293"/>
      <c r="P119" s="294"/>
      <c r="Q119" s="294"/>
      <c r="R119" s="295"/>
      <c r="S119" s="293"/>
      <c r="T119" s="294"/>
      <c r="U119" s="294"/>
      <c r="V119" s="296"/>
      <c r="W119" s="293">
        <f t="shared" si="175"/>
        <v>0</v>
      </c>
      <c r="X119" s="294">
        <f t="shared" si="175"/>
        <v>4060</v>
      </c>
      <c r="Y119" s="294">
        <f t="shared" si="175"/>
        <v>4060</v>
      </c>
      <c r="Z119" s="292"/>
      <c r="AA119" s="292"/>
      <c r="AB119" s="292"/>
      <c r="AC119" s="292"/>
      <c r="AD119" s="292"/>
      <c r="AE119" s="292"/>
      <c r="AF119" s="292"/>
      <c r="AG119" s="292"/>
      <c r="AH119" s="292"/>
      <c r="AI119" s="292"/>
      <c r="AJ119" s="292"/>
      <c r="AK119" s="292"/>
      <c r="AL119" s="292"/>
      <c r="AM119" s="292"/>
      <c r="AN119" s="292"/>
      <c r="AO119" s="292"/>
      <c r="AP119" s="292"/>
      <c r="AQ119" s="292"/>
      <c r="AR119" s="292"/>
      <c r="AS119" s="292"/>
      <c r="AT119" s="292"/>
    </row>
    <row r="120" spans="1:77" customFormat="1" ht="12.75" customHeight="1" x14ac:dyDescent="0.25">
      <c r="A120" s="300">
        <v>0.09</v>
      </c>
      <c r="B120" s="309" t="s">
        <v>159</v>
      </c>
      <c r="C120" s="293">
        <f>C102*A120</f>
        <v>1417.3379999999997</v>
      </c>
      <c r="D120" s="294"/>
      <c r="E120" s="294">
        <f>C120</f>
        <v>1417.3379999999997</v>
      </c>
      <c r="F120" s="295"/>
      <c r="G120" s="293">
        <f>G102*A120</f>
        <v>1488.2049</v>
      </c>
      <c r="H120" s="294"/>
      <c r="I120" s="294">
        <f t="shared" ref="I120:I122" si="185">G120</f>
        <v>1488.2049</v>
      </c>
      <c r="J120" s="295"/>
      <c r="K120" s="293">
        <f>I120</f>
        <v>1488.2049</v>
      </c>
      <c r="L120" s="294"/>
      <c r="M120" s="294">
        <f t="shared" si="180"/>
        <v>1488.2049</v>
      </c>
      <c r="N120" s="295"/>
      <c r="O120" s="293">
        <f>O102*A120</f>
        <v>1640.7459022500002</v>
      </c>
      <c r="P120" s="294"/>
      <c r="Q120" s="294">
        <f>O120</f>
        <v>1640.7459022500002</v>
      </c>
      <c r="R120" s="295"/>
      <c r="S120" s="293">
        <f>S102*A120</f>
        <v>1722.7831973625005</v>
      </c>
      <c r="T120" s="294"/>
      <c r="U120" s="294">
        <f>S120</f>
        <v>1722.7831973625005</v>
      </c>
      <c r="V120" s="296"/>
      <c r="W120" s="293">
        <f>C120+G120+K120+O120+S120</f>
        <v>7757.2768996125005</v>
      </c>
      <c r="X120" s="294">
        <f t="shared" si="175"/>
        <v>0</v>
      </c>
      <c r="Y120" s="294">
        <f t="shared" si="175"/>
        <v>7757.2768996125005</v>
      </c>
      <c r="Z120" s="292"/>
      <c r="AA120" s="292"/>
      <c r="AB120" s="292"/>
      <c r="AC120" s="292"/>
      <c r="AD120" s="292"/>
      <c r="AE120" s="292"/>
      <c r="AF120" s="292"/>
      <c r="AG120" s="292"/>
      <c r="AH120" s="292"/>
      <c r="AI120" s="292"/>
      <c r="AJ120" s="292"/>
      <c r="AK120" s="292"/>
      <c r="AL120" s="292"/>
      <c r="AM120" s="292"/>
      <c r="AN120" s="292"/>
      <c r="AO120" s="292"/>
      <c r="AP120" s="292"/>
      <c r="AQ120" s="292"/>
      <c r="AR120" s="292"/>
      <c r="AS120" s="292"/>
      <c r="AT120" s="292"/>
    </row>
    <row r="121" spans="1:77" customFormat="1" ht="12.75" customHeight="1" x14ac:dyDescent="0.25">
      <c r="A121" s="300">
        <v>0.04</v>
      </c>
      <c r="B121" s="292" t="s">
        <v>168</v>
      </c>
      <c r="C121" s="293"/>
      <c r="D121" s="294"/>
      <c r="E121" s="294"/>
      <c r="F121" s="295"/>
      <c r="G121" s="293">
        <f>G104*A121</f>
        <v>960</v>
      </c>
      <c r="H121" s="294"/>
      <c r="I121" s="294">
        <f t="shared" si="185"/>
        <v>960</v>
      </c>
      <c r="J121" s="295"/>
      <c r="K121" s="293">
        <f>K104*A121</f>
        <v>960</v>
      </c>
      <c r="L121" s="294"/>
      <c r="M121" s="294">
        <f t="shared" si="180"/>
        <v>960</v>
      </c>
      <c r="N121" s="295"/>
      <c r="O121" s="293"/>
      <c r="P121" s="294"/>
      <c r="Q121" s="294"/>
      <c r="R121" s="295"/>
      <c r="S121" s="293"/>
      <c r="T121" s="294"/>
      <c r="U121" s="294"/>
      <c r="V121" s="296"/>
      <c r="W121" s="293">
        <f>C121+G121+K121+O121+S121</f>
        <v>1920</v>
      </c>
      <c r="X121" s="294">
        <f t="shared" si="175"/>
        <v>0</v>
      </c>
      <c r="Y121" s="294">
        <f t="shared" si="175"/>
        <v>1920</v>
      </c>
      <c r="Z121" s="292"/>
      <c r="AA121" s="292"/>
      <c r="AB121" s="292"/>
      <c r="AC121" s="292"/>
      <c r="AD121" s="292"/>
      <c r="AE121" s="292"/>
      <c r="AF121" s="292"/>
      <c r="AG121" s="292"/>
      <c r="AH121" s="29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2"/>
      <c r="AT121" s="292"/>
    </row>
    <row r="122" spans="1:77" customFormat="1" ht="12.75" customHeight="1" x14ac:dyDescent="0.25">
      <c r="A122" s="310"/>
      <c r="B122" s="292" t="s">
        <v>261</v>
      </c>
      <c r="C122" s="293"/>
      <c r="D122" s="294"/>
      <c r="E122" s="294"/>
      <c r="F122" s="295"/>
      <c r="G122" s="293">
        <f>4129*1</f>
        <v>4129</v>
      </c>
      <c r="H122" s="294"/>
      <c r="I122" s="294">
        <f t="shared" si="185"/>
        <v>4129</v>
      </c>
      <c r="J122" s="295"/>
      <c r="K122" s="293">
        <f>I122*1.05</f>
        <v>4335.45</v>
      </c>
      <c r="L122" s="294"/>
      <c r="M122" s="294">
        <f t="shared" si="180"/>
        <v>4335.45</v>
      </c>
      <c r="N122" s="295"/>
      <c r="O122" s="293"/>
      <c r="P122" s="294"/>
      <c r="Q122" s="294"/>
      <c r="R122" s="295"/>
      <c r="S122" s="293"/>
      <c r="T122" s="294"/>
      <c r="U122" s="294"/>
      <c r="V122" s="296"/>
      <c r="W122" s="293">
        <f>C122+G122+K122+O122+S122</f>
        <v>8464.4500000000007</v>
      </c>
      <c r="X122" s="294"/>
      <c r="Y122" s="294"/>
      <c r="Z122" s="292"/>
      <c r="AA122" s="292"/>
      <c r="AB122" s="292"/>
      <c r="AC122" s="292"/>
      <c r="AD122" s="292"/>
      <c r="AE122" s="292"/>
      <c r="AF122" s="292"/>
      <c r="AG122" s="292"/>
      <c r="AH122" s="292"/>
      <c r="AI122" s="292"/>
      <c r="AJ122" s="292"/>
      <c r="AK122" s="292"/>
      <c r="AL122" s="292"/>
      <c r="AM122" s="292"/>
      <c r="AN122" s="292"/>
      <c r="AO122" s="292"/>
      <c r="AP122" s="292"/>
      <c r="AQ122" s="292"/>
      <c r="AR122" s="292"/>
      <c r="AS122" s="292"/>
      <c r="AT122" s="292"/>
    </row>
    <row r="123" spans="1:77" s="61" customFormat="1" x14ac:dyDescent="0.25">
      <c r="A123" s="51"/>
      <c r="B123" s="52"/>
      <c r="C123" s="124"/>
      <c r="D123" s="56"/>
      <c r="E123" s="56"/>
      <c r="F123" s="58"/>
      <c r="G123" s="55"/>
      <c r="H123" s="57"/>
      <c r="I123" s="57"/>
      <c r="J123" s="58"/>
      <c r="K123" s="55"/>
      <c r="L123" s="57"/>
      <c r="M123" s="57"/>
      <c r="N123" s="58"/>
      <c r="O123" s="55"/>
      <c r="P123" s="57"/>
      <c r="Q123" s="57"/>
      <c r="R123" s="58"/>
      <c r="S123" s="55"/>
      <c r="T123" s="57"/>
      <c r="U123" s="57"/>
      <c r="V123" s="59"/>
      <c r="W123" s="124"/>
      <c r="X123" s="57"/>
      <c r="Y123" s="8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8679.8724000000002</v>
      </c>
      <c r="D124" s="125">
        <f>SUM(D115:D123)</f>
        <v>2000</v>
      </c>
      <c r="E124" s="125">
        <f>SUM(E115:E123)</f>
        <v>10679.8724</v>
      </c>
      <c r="F124" s="81"/>
      <c r="G124" s="228">
        <f>SUM(G115:G123)</f>
        <v>14057.615331999999</v>
      </c>
      <c r="H124" s="125">
        <f>SUM(H115:H123)</f>
        <v>2060</v>
      </c>
      <c r="I124" s="80">
        <f>SUM(I115:I123)</f>
        <v>16117.615332000001</v>
      </c>
      <c r="J124" s="81"/>
      <c r="K124" s="228">
        <f>SUM(K115:K123)</f>
        <v>14488.477644959999</v>
      </c>
      <c r="L124" s="125">
        <f>SUM(L115:L123)</f>
        <v>0</v>
      </c>
      <c r="M124" s="80">
        <f>SUM(M115:M123)</f>
        <v>14488.477644959999</v>
      </c>
      <c r="N124" s="81"/>
      <c r="O124" s="228">
        <f>SUM(O115:O123)</f>
        <v>9576.713329558801</v>
      </c>
      <c r="P124" s="125">
        <f>SUM(P115:P123)</f>
        <v>0</v>
      </c>
      <c r="Q124" s="80">
        <f>SUM(Q115:Q123)</f>
        <v>9576.713329558801</v>
      </c>
      <c r="R124" s="81"/>
      <c r="S124" s="79">
        <f>SUM(S115:S123)</f>
        <v>9896.8296474905655</v>
      </c>
      <c r="T124" s="80">
        <f>SUM(T115:T123)</f>
        <v>0</v>
      </c>
      <c r="U124" s="80">
        <f>SUM(U115:U123)</f>
        <v>9896.8296474905655</v>
      </c>
      <c r="V124" s="82"/>
      <c r="W124" s="228">
        <f>C124+G124+K124+O124+S124</f>
        <v>56699.508354009362</v>
      </c>
      <c r="X124" s="80">
        <f>D124+H124+L124+P124+T124</f>
        <v>4060</v>
      </c>
      <c r="Y124" s="84">
        <f>E124+I124+M124+Q124+U124</f>
        <v>60759.508354009362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186">C124+C113</f>
        <v>50732.072399999997</v>
      </c>
      <c r="D125" s="101">
        <f t="shared" si="186"/>
        <v>7000</v>
      </c>
      <c r="E125" s="101">
        <f t="shared" si="186"/>
        <v>57732.072399999997</v>
      </c>
      <c r="F125" s="101">
        <f t="shared" si="186"/>
        <v>0</v>
      </c>
      <c r="G125" s="101">
        <f t="shared" si="186"/>
        <v>81686.345331999997</v>
      </c>
      <c r="H125" s="101">
        <f t="shared" si="186"/>
        <v>7210</v>
      </c>
      <c r="I125" s="101">
        <f t="shared" si="186"/>
        <v>88896.345331999997</v>
      </c>
      <c r="J125" s="101">
        <f t="shared" si="186"/>
        <v>0</v>
      </c>
      <c r="K125" s="101">
        <f t="shared" si="186"/>
        <v>83756.781744960012</v>
      </c>
      <c r="L125" s="101">
        <f t="shared" si="186"/>
        <v>0</v>
      </c>
      <c r="M125" s="101">
        <f t="shared" si="186"/>
        <v>83756.781744960012</v>
      </c>
      <c r="N125" s="101">
        <f t="shared" si="186"/>
        <v>0</v>
      </c>
      <c r="O125" s="101">
        <f t="shared" si="186"/>
        <v>56550.314362558798</v>
      </c>
      <c r="P125" s="101">
        <f t="shared" si="186"/>
        <v>0</v>
      </c>
      <c r="Q125" s="101">
        <f t="shared" si="186"/>
        <v>56550.314362558798</v>
      </c>
      <c r="R125" s="101">
        <f t="shared" si="186"/>
        <v>0</v>
      </c>
      <c r="S125" s="101">
        <f t="shared" si="186"/>
        <v>58644.248911980569</v>
      </c>
      <c r="T125" s="101">
        <f t="shared" si="186"/>
        <v>0</v>
      </c>
      <c r="U125" s="101">
        <f t="shared" si="186"/>
        <v>58644.248911980569</v>
      </c>
      <c r="V125" s="101">
        <f t="shared" si="186"/>
        <v>0</v>
      </c>
      <c r="W125" s="101">
        <f t="shared" si="186"/>
        <v>331369.76275149937</v>
      </c>
      <c r="X125" s="101">
        <f t="shared" si="186"/>
        <v>14210</v>
      </c>
      <c r="Y125" s="101">
        <f t="shared" si="186"/>
        <v>345579.76275149937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x14ac:dyDescent="0.25">
      <c r="A127" s="52"/>
      <c r="B127" s="52"/>
      <c r="C127" s="124">
        <v>0</v>
      </c>
      <c r="D127" s="56">
        <v>0</v>
      </c>
      <c r="E127" s="56">
        <f t="shared" ref="E127:E140" si="187">SUM(C127:D127)</f>
        <v>0</v>
      </c>
      <c r="F127" s="58"/>
      <c r="G127" s="55">
        <v>0</v>
      </c>
      <c r="H127" s="57">
        <v>0</v>
      </c>
      <c r="I127" s="57">
        <f t="shared" ref="I127:I140" si="188">SUM(G127:H127)</f>
        <v>0</v>
      </c>
      <c r="J127" s="58"/>
      <c r="K127" s="55">
        <v>0</v>
      </c>
      <c r="L127" s="57">
        <v>0</v>
      </c>
      <c r="M127" s="57">
        <f t="shared" ref="M127:M140" si="189">SUM(K127:L127)</f>
        <v>0</v>
      </c>
      <c r="N127" s="58"/>
      <c r="O127" s="55">
        <v>0</v>
      </c>
      <c r="P127" s="57">
        <v>0</v>
      </c>
      <c r="Q127" s="57">
        <f t="shared" ref="Q127:Q140" si="190">SUM(O127:P127)</f>
        <v>0</v>
      </c>
      <c r="R127" s="58"/>
      <c r="S127" s="55">
        <v>0</v>
      </c>
      <c r="T127" s="57">
        <v>0</v>
      </c>
      <c r="U127" s="57">
        <f t="shared" ref="U127:U140" si="191">SUM(S127:T127)</f>
        <v>0</v>
      </c>
      <c r="V127" s="59"/>
      <c r="W127" s="124">
        <f t="shared" ref="W127:W141" si="192">C127+G127+K127+O127+S127</f>
        <v>0</v>
      </c>
      <c r="X127" s="57">
        <f t="shared" ref="X127:X141" si="193">D127+H127+L127+P127+T127</f>
        <v>0</v>
      </c>
      <c r="Y127" s="84">
        <f t="shared" ref="Y127:Y141" si="194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x14ac:dyDescent="0.25">
      <c r="A128" s="52"/>
      <c r="B128" s="52"/>
      <c r="C128" s="124">
        <v>0</v>
      </c>
      <c r="D128" s="56">
        <v>0</v>
      </c>
      <c r="E128" s="56">
        <f t="shared" si="187"/>
        <v>0</v>
      </c>
      <c r="F128" s="58"/>
      <c r="G128" s="55">
        <v>0</v>
      </c>
      <c r="H128" s="57">
        <v>0</v>
      </c>
      <c r="I128" s="57">
        <f t="shared" si="188"/>
        <v>0</v>
      </c>
      <c r="J128" s="58"/>
      <c r="K128" s="55">
        <v>0</v>
      </c>
      <c r="L128" s="57">
        <v>0</v>
      </c>
      <c r="M128" s="57">
        <f t="shared" si="189"/>
        <v>0</v>
      </c>
      <c r="N128" s="58"/>
      <c r="O128" s="55">
        <v>0</v>
      </c>
      <c r="P128" s="57">
        <v>0</v>
      </c>
      <c r="Q128" s="57">
        <f t="shared" si="190"/>
        <v>0</v>
      </c>
      <c r="R128" s="58"/>
      <c r="S128" s="55">
        <v>0</v>
      </c>
      <c r="T128" s="57">
        <v>0</v>
      </c>
      <c r="U128" s="57">
        <f t="shared" si="191"/>
        <v>0</v>
      </c>
      <c r="V128" s="59"/>
      <c r="W128" s="124">
        <f t="shared" si="192"/>
        <v>0</v>
      </c>
      <c r="X128" s="57">
        <f t="shared" si="193"/>
        <v>0</v>
      </c>
      <c r="Y128" s="84">
        <f t="shared" si="194"/>
        <v>0</v>
      </c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</row>
    <row r="129" spans="1:77" s="61" customFormat="1" x14ac:dyDescent="0.25">
      <c r="A129" s="52"/>
      <c r="B129" s="52"/>
      <c r="C129" s="124">
        <v>0</v>
      </c>
      <c r="D129" s="56">
        <v>0</v>
      </c>
      <c r="E129" s="56">
        <f t="shared" si="187"/>
        <v>0</v>
      </c>
      <c r="F129" s="58"/>
      <c r="G129" s="55">
        <v>0</v>
      </c>
      <c r="H129" s="57">
        <v>0</v>
      </c>
      <c r="I129" s="57">
        <f t="shared" si="188"/>
        <v>0</v>
      </c>
      <c r="J129" s="58"/>
      <c r="K129" s="55">
        <v>0</v>
      </c>
      <c r="L129" s="57">
        <v>0</v>
      </c>
      <c r="M129" s="57">
        <f t="shared" si="189"/>
        <v>0</v>
      </c>
      <c r="N129" s="58"/>
      <c r="O129" s="55">
        <v>0</v>
      </c>
      <c r="P129" s="57">
        <v>0</v>
      </c>
      <c r="Q129" s="57">
        <f t="shared" si="190"/>
        <v>0</v>
      </c>
      <c r="R129" s="58"/>
      <c r="S129" s="55">
        <v>0</v>
      </c>
      <c r="T129" s="57">
        <v>0</v>
      </c>
      <c r="U129" s="57">
        <f t="shared" si="191"/>
        <v>0</v>
      </c>
      <c r="V129" s="59"/>
      <c r="W129" s="124">
        <f t="shared" si="192"/>
        <v>0</v>
      </c>
      <c r="X129" s="57">
        <f t="shared" si="193"/>
        <v>0</v>
      </c>
      <c r="Y129" s="84">
        <f t="shared" si="194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187"/>
        <v>0</v>
      </c>
      <c r="F130" s="58"/>
      <c r="G130" s="55">
        <v>0</v>
      </c>
      <c r="H130" s="57">
        <v>0</v>
      </c>
      <c r="I130" s="57">
        <f t="shared" si="188"/>
        <v>0</v>
      </c>
      <c r="J130" s="58"/>
      <c r="K130" s="55">
        <v>0</v>
      </c>
      <c r="L130" s="57">
        <v>0</v>
      </c>
      <c r="M130" s="57">
        <f t="shared" si="189"/>
        <v>0</v>
      </c>
      <c r="N130" s="58"/>
      <c r="O130" s="55">
        <v>0</v>
      </c>
      <c r="P130" s="57">
        <v>0</v>
      </c>
      <c r="Q130" s="57">
        <f t="shared" si="190"/>
        <v>0</v>
      </c>
      <c r="R130" s="58"/>
      <c r="S130" s="55">
        <v>0</v>
      </c>
      <c r="T130" s="57">
        <v>0</v>
      </c>
      <c r="U130" s="57">
        <f t="shared" si="191"/>
        <v>0</v>
      </c>
      <c r="V130" s="59"/>
      <c r="W130" s="124">
        <f t="shared" si="192"/>
        <v>0</v>
      </c>
      <c r="X130" s="57">
        <f t="shared" si="193"/>
        <v>0</v>
      </c>
      <c r="Y130" s="84">
        <f t="shared" si="194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187"/>
        <v>0</v>
      </c>
      <c r="F131" s="58"/>
      <c r="G131" s="55">
        <v>0</v>
      </c>
      <c r="H131" s="57">
        <v>0</v>
      </c>
      <c r="I131" s="57">
        <f t="shared" si="188"/>
        <v>0</v>
      </c>
      <c r="J131" s="58"/>
      <c r="K131" s="55">
        <v>0</v>
      </c>
      <c r="L131" s="57">
        <v>0</v>
      </c>
      <c r="M131" s="57">
        <f t="shared" si="189"/>
        <v>0</v>
      </c>
      <c r="N131" s="58"/>
      <c r="O131" s="55">
        <v>0</v>
      </c>
      <c r="P131" s="57">
        <v>0</v>
      </c>
      <c r="Q131" s="57">
        <f t="shared" si="190"/>
        <v>0</v>
      </c>
      <c r="R131" s="58"/>
      <c r="S131" s="55">
        <v>0</v>
      </c>
      <c r="T131" s="57">
        <v>0</v>
      </c>
      <c r="U131" s="57">
        <f t="shared" si="191"/>
        <v>0</v>
      </c>
      <c r="V131" s="59"/>
      <c r="W131" s="124">
        <f t="shared" si="192"/>
        <v>0</v>
      </c>
      <c r="X131" s="57">
        <f t="shared" si="193"/>
        <v>0</v>
      </c>
      <c r="Y131" s="84">
        <f t="shared" si="194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187"/>
        <v>0</v>
      </c>
      <c r="F132" s="58"/>
      <c r="G132" s="55">
        <v>0</v>
      </c>
      <c r="H132" s="57">
        <v>0</v>
      </c>
      <c r="I132" s="57">
        <f t="shared" si="188"/>
        <v>0</v>
      </c>
      <c r="J132" s="58"/>
      <c r="K132" s="55">
        <v>0</v>
      </c>
      <c r="L132" s="57">
        <v>0</v>
      </c>
      <c r="M132" s="57">
        <f t="shared" si="189"/>
        <v>0</v>
      </c>
      <c r="N132" s="58"/>
      <c r="O132" s="55">
        <v>0</v>
      </c>
      <c r="P132" s="57">
        <v>0</v>
      </c>
      <c r="Q132" s="57">
        <f t="shared" si="190"/>
        <v>0</v>
      </c>
      <c r="R132" s="58"/>
      <c r="S132" s="55">
        <v>0</v>
      </c>
      <c r="T132" s="57">
        <v>0</v>
      </c>
      <c r="U132" s="57">
        <f t="shared" si="191"/>
        <v>0</v>
      </c>
      <c r="V132" s="59"/>
      <c r="W132" s="124">
        <f t="shared" si="192"/>
        <v>0</v>
      </c>
      <c r="X132" s="57">
        <f t="shared" si="193"/>
        <v>0</v>
      </c>
      <c r="Y132" s="84">
        <f t="shared" si="194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187"/>
        <v>0</v>
      </c>
      <c r="F133" s="58"/>
      <c r="G133" s="55">
        <v>0</v>
      </c>
      <c r="H133" s="57">
        <v>0</v>
      </c>
      <c r="I133" s="57">
        <f t="shared" si="188"/>
        <v>0</v>
      </c>
      <c r="J133" s="58"/>
      <c r="K133" s="55">
        <v>0</v>
      </c>
      <c r="L133" s="57">
        <v>0</v>
      </c>
      <c r="M133" s="57">
        <f t="shared" si="189"/>
        <v>0</v>
      </c>
      <c r="N133" s="58"/>
      <c r="O133" s="55">
        <v>0</v>
      </c>
      <c r="P133" s="57">
        <v>0</v>
      </c>
      <c r="Q133" s="57">
        <f t="shared" si="190"/>
        <v>0</v>
      </c>
      <c r="R133" s="58"/>
      <c r="S133" s="55">
        <v>0</v>
      </c>
      <c r="T133" s="57">
        <v>0</v>
      </c>
      <c r="U133" s="57">
        <f t="shared" si="191"/>
        <v>0</v>
      </c>
      <c r="V133" s="59"/>
      <c r="W133" s="124">
        <f t="shared" si="192"/>
        <v>0</v>
      </c>
      <c r="X133" s="57">
        <f t="shared" si="193"/>
        <v>0</v>
      </c>
      <c r="Y133" s="84">
        <f t="shared" si="194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187"/>
        <v>0</v>
      </c>
      <c r="F134" s="58"/>
      <c r="G134" s="55">
        <v>0</v>
      </c>
      <c r="H134" s="57">
        <v>0</v>
      </c>
      <c r="I134" s="57">
        <f t="shared" si="188"/>
        <v>0</v>
      </c>
      <c r="J134" s="58"/>
      <c r="K134" s="55">
        <v>0</v>
      </c>
      <c r="L134" s="57">
        <v>0</v>
      </c>
      <c r="M134" s="57">
        <f t="shared" si="189"/>
        <v>0</v>
      </c>
      <c r="N134" s="58"/>
      <c r="O134" s="55">
        <v>0</v>
      </c>
      <c r="P134" s="57">
        <v>0</v>
      </c>
      <c r="Q134" s="57">
        <f t="shared" si="190"/>
        <v>0</v>
      </c>
      <c r="R134" s="58"/>
      <c r="S134" s="55">
        <v>0</v>
      </c>
      <c r="T134" s="57">
        <v>0</v>
      </c>
      <c r="U134" s="57">
        <f t="shared" si="191"/>
        <v>0</v>
      </c>
      <c r="V134" s="59"/>
      <c r="W134" s="124">
        <f t="shared" si="192"/>
        <v>0</v>
      </c>
      <c r="X134" s="57">
        <f t="shared" si="193"/>
        <v>0</v>
      </c>
      <c r="Y134" s="84">
        <f t="shared" si="194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187"/>
        <v>0</v>
      </c>
      <c r="F135" s="58"/>
      <c r="G135" s="55">
        <v>0</v>
      </c>
      <c r="H135" s="57">
        <v>0</v>
      </c>
      <c r="I135" s="57">
        <f t="shared" si="188"/>
        <v>0</v>
      </c>
      <c r="J135" s="58"/>
      <c r="K135" s="55">
        <v>0</v>
      </c>
      <c r="L135" s="57">
        <v>0</v>
      </c>
      <c r="M135" s="57">
        <f t="shared" si="189"/>
        <v>0</v>
      </c>
      <c r="N135" s="58"/>
      <c r="O135" s="55">
        <v>0</v>
      </c>
      <c r="P135" s="57">
        <v>0</v>
      </c>
      <c r="Q135" s="57">
        <f t="shared" si="190"/>
        <v>0</v>
      </c>
      <c r="R135" s="58"/>
      <c r="S135" s="55">
        <v>0</v>
      </c>
      <c r="T135" s="57">
        <v>0</v>
      </c>
      <c r="U135" s="57">
        <f t="shared" si="191"/>
        <v>0</v>
      </c>
      <c r="V135" s="59"/>
      <c r="W135" s="124">
        <f t="shared" si="192"/>
        <v>0</v>
      </c>
      <c r="X135" s="57">
        <f t="shared" si="193"/>
        <v>0</v>
      </c>
      <c r="Y135" s="84">
        <f t="shared" si="194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187"/>
        <v>0</v>
      </c>
      <c r="F136" s="58"/>
      <c r="G136" s="55">
        <v>0</v>
      </c>
      <c r="H136" s="57">
        <v>0</v>
      </c>
      <c r="I136" s="57">
        <f t="shared" si="188"/>
        <v>0</v>
      </c>
      <c r="J136" s="58"/>
      <c r="K136" s="55">
        <v>0</v>
      </c>
      <c r="L136" s="57">
        <v>0</v>
      </c>
      <c r="M136" s="57">
        <f t="shared" si="189"/>
        <v>0</v>
      </c>
      <c r="N136" s="58"/>
      <c r="O136" s="55">
        <v>0</v>
      </c>
      <c r="P136" s="57">
        <v>0</v>
      </c>
      <c r="Q136" s="57">
        <f t="shared" si="190"/>
        <v>0</v>
      </c>
      <c r="R136" s="58"/>
      <c r="S136" s="55">
        <v>0</v>
      </c>
      <c r="T136" s="57">
        <v>0</v>
      </c>
      <c r="U136" s="57">
        <f t="shared" si="191"/>
        <v>0</v>
      </c>
      <c r="V136" s="59"/>
      <c r="W136" s="124">
        <f t="shared" si="192"/>
        <v>0</v>
      </c>
      <c r="X136" s="57">
        <f t="shared" si="193"/>
        <v>0</v>
      </c>
      <c r="Y136" s="84">
        <f t="shared" si="194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187"/>
        <v>0</v>
      </c>
      <c r="F137" s="58"/>
      <c r="G137" s="55">
        <v>0</v>
      </c>
      <c r="H137" s="57">
        <v>0</v>
      </c>
      <c r="I137" s="57">
        <f t="shared" si="188"/>
        <v>0</v>
      </c>
      <c r="J137" s="58"/>
      <c r="K137" s="55">
        <v>0</v>
      </c>
      <c r="L137" s="57">
        <v>0</v>
      </c>
      <c r="M137" s="57">
        <f t="shared" si="189"/>
        <v>0</v>
      </c>
      <c r="N137" s="58"/>
      <c r="O137" s="55">
        <v>0</v>
      </c>
      <c r="P137" s="57">
        <v>0</v>
      </c>
      <c r="Q137" s="57">
        <f t="shared" si="190"/>
        <v>0</v>
      </c>
      <c r="R137" s="58"/>
      <c r="S137" s="55">
        <v>0</v>
      </c>
      <c r="T137" s="57">
        <v>0</v>
      </c>
      <c r="U137" s="57">
        <f t="shared" si="191"/>
        <v>0</v>
      </c>
      <c r="V137" s="59"/>
      <c r="W137" s="124">
        <f t="shared" si="192"/>
        <v>0</v>
      </c>
      <c r="X137" s="57">
        <f t="shared" si="193"/>
        <v>0</v>
      </c>
      <c r="Y137" s="84">
        <f t="shared" si="194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187"/>
        <v>0</v>
      </c>
      <c r="F138" s="58"/>
      <c r="G138" s="55">
        <v>0</v>
      </c>
      <c r="H138" s="57">
        <v>0</v>
      </c>
      <c r="I138" s="57">
        <f t="shared" si="188"/>
        <v>0</v>
      </c>
      <c r="J138" s="58"/>
      <c r="K138" s="55">
        <v>0</v>
      </c>
      <c r="L138" s="57">
        <v>0</v>
      </c>
      <c r="M138" s="57">
        <f t="shared" si="189"/>
        <v>0</v>
      </c>
      <c r="N138" s="58"/>
      <c r="O138" s="55">
        <v>0</v>
      </c>
      <c r="P138" s="57">
        <v>0</v>
      </c>
      <c r="Q138" s="57">
        <f t="shared" si="190"/>
        <v>0</v>
      </c>
      <c r="R138" s="58"/>
      <c r="S138" s="55">
        <v>0</v>
      </c>
      <c r="T138" s="57">
        <v>0</v>
      </c>
      <c r="U138" s="57">
        <f t="shared" si="191"/>
        <v>0</v>
      </c>
      <c r="V138" s="59"/>
      <c r="W138" s="124">
        <f t="shared" si="192"/>
        <v>0</v>
      </c>
      <c r="X138" s="57">
        <f t="shared" si="193"/>
        <v>0</v>
      </c>
      <c r="Y138" s="84">
        <f t="shared" si="194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187"/>
        <v>0</v>
      </c>
      <c r="F139" s="58"/>
      <c r="G139" s="55">
        <v>0</v>
      </c>
      <c r="H139" s="57">
        <v>0</v>
      </c>
      <c r="I139" s="57">
        <f t="shared" si="188"/>
        <v>0</v>
      </c>
      <c r="J139" s="58"/>
      <c r="K139" s="55">
        <v>0</v>
      </c>
      <c r="L139" s="57">
        <v>0</v>
      </c>
      <c r="M139" s="57">
        <f t="shared" si="189"/>
        <v>0</v>
      </c>
      <c r="N139" s="58"/>
      <c r="O139" s="55">
        <v>0</v>
      </c>
      <c r="P139" s="57">
        <v>0</v>
      </c>
      <c r="Q139" s="57">
        <f t="shared" si="190"/>
        <v>0</v>
      </c>
      <c r="R139" s="58"/>
      <c r="S139" s="55">
        <v>0</v>
      </c>
      <c r="T139" s="57">
        <v>0</v>
      </c>
      <c r="U139" s="57">
        <f t="shared" si="191"/>
        <v>0</v>
      </c>
      <c r="V139" s="59"/>
      <c r="W139" s="124">
        <f t="shared" si="192"/>
        <v>0</v>
      </c>
      <c r="X139" s="57">
        <f t="shared" si="193"/>
        <v>0</v>
      </c>
      <c r="Y139" s="84">
        <f t="shared" si="194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187"/>
        <v>0</v>
      </c>
      <c r="F140" s="58"/>
      <c r="G140" s="55">
        <v>0</v>
      </c>
      <c r="H140" s="57">
        <v>0</v>
      </c>
      <c r="I140" s="57">
        <f t="shared" si="188"/>
        <v>0</v>
      </c>
      <c r="J140" s="58"/>
      <c r="K140" s="55">
        <v>0</v>
      </c>
      <c r="L140" s="57">
        <v>0</v>
      </c>
      <c r="M140" s="57">
        <f t="shared" si="189"/>
        <v>0</v>
      </c>
      <c r="N140" s="58"/>
      <c r="O140" s="55">
        <v>0</v>
      </c>
      <c r="P140" s="57">
        <v>0</v>
      </c>
      <c r="Q140" s="57">
        <f t="shared" si="190"/>
        <v>0</v>
      </c>
      <c r="R140" s="58"/>
      <c r="S140" s="55">
        <v>0</v>
      </c>
      <c r="T140" s="57">
        <v>0</v>
      </c>
      <c r="U140" s="57">
        <f t="shared" si="191"/>
        <v>0</v>
      </c>
      <c r="V140" s="59"/>
      <c r="W140" s="124">
        <f t="shared" si="192"/>
        <v>0</v>
      </c>
      <c r="X140" s="57">
        <f t="shared" si="193"/>
        <v>0</v>
      </c>
      <c r="Y140" s="84">
        <f t="shared" si="194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192"/>
        <v>0</v>
      </c>
      <c r="X141" s="80">
        <f t="shared" si="193"/>
        <v>0</v>
      </c>
      <c r="Y141" s="80">
        <f t="shared" si="194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s="61" customFormat="1" x14ac:dyDescent="0.25">
      <c r="A143" s="52"/>
      <c r="B143" s="52" t="s">
        <v>169</v>
      </c>
      <c r="C143" s="124">
        <v>0</v>
      </c>
      <c r="D143" s="56">
        <v>0</v>
      </c>
      <c r="E143" s="56">
        <f t="shared" ref="E143:E148" si="195">SUM(C143:D143)</f>
        <v>0</v>
      </c>
      <c r="F143" s="58"/>
      <c r="G143" s="55">
        <v>1000</v>
      </c>
      <c r="H143" s="57">
        <v>0</v>
      </c>
      <c r="I143" s="57">
        <f t="shared" ref="I143:I148" si="196">SUM(G143:H143)</f>
        <v>1000</v>
      </c>
      <c r="J143" s="58"/>
      <c r="K143" s="55">
        <f>G143</f>
        <v>1000</v>
      </c>
      <c r="L143" s="57">
        <v>0</v>
      </c>
      <c r="M143" s="57">
        <f t="shared" ref="M143:M148" si="197">SUM(K143:L143)</f>
        <v>1000</v>
      </c>
      <c r="N143" s="58"/>
      <c r="O143" s="55">
        <v>0</v>
      </c>
      <c r="P143" s="57">
        <v>0</v>
      </c>
      <c r="Q143" s="57">
        <f t="shared" ref="Q143:Q148" si="198">SUM(O143:P143)</f>
        <v>0</v>
      </c>
      <c r="R143" s="58"/>
      <c r="S143" s="55">
        <v>0</v>
      </c>
      <c r="T143" s="57">
        <v>0</v>
      </c>
      <c r="U143" s="57">
        <f t="shared" ref="U143:U148" si="199">SUM(S143:T143)</f>
        <v>0</v>
      </c>
      <c r="V143" s="59"/>
      <c r="W143" s="124">
        <f t="shared" ref="W143:Y149" si="200">C143+G143+K143+O143+S143</f>
        <v>2000</v>
      </c>
      <c r="X143" s="57">
        <f t="shared" si="200"/>
        <v>0</v>
      </c>
      <c r="Y143" s="84">
        <f t="shared" si="200"/>
        <v>2000</v>
      </c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</row>
    <row r="144" spans="1:77" x14ac:dyDescent="0.25">
      <c r="B144" s="7" t="s">
        <v>57</v>
      </c>
      <c r="C144" s="124">
        <v>0</v>
      </c>
      <c r="D144" s="253">
        <v>0</v>
      </c>
      <c r="E144" s="253">
        <f t="shared" si="195"/>
        <v>0</v>
      </c>
      <c r="F144" s="15"/>
      <c r="G144" s="55">
        <v>0</v>
      </c>
      <c r="H144" s="253">
        <v>0</v>
      </c>
      <c r="I144" s="253">
        <f t="shared" si="196"/>
        <v>0</v>
      </c>
      <c r="J144" s="15"/>
      <c r="K144" s="55">
        <v>0</v>
      </c>
      <c r="L144" s="253">
        <v>0</v>
      </c>
      <c r="M144" s="253">
        <f t="shared" si="197"/>
        <v>0</v>
      </c>
      <c r="N144" s="15"/>
      <c r="O144" s="55">
        <v>0</v>
      </c>
      <c r="P144" s="253">
        <v>0</v>
      </c>
      <c r="Q144" s="253">
        <f t="shared" si="198"/>
        <v>0</v>
      </c>
      <c r="R144" s="15"/>
      <c r="S144" s="55">
        <v>0</v>
      </c>
      <c r="T144" s="253">
        <v>0</v>
      </c>
      <c r="U144" s="253">
        <f t="shared" si="199"/>
        <v>0</v>
      </c>
      <c r="V144" s="16"/>
      <c r="W144" s="254">
        <f t="shared" si="200"/>
        <v>0</v>
      </c>
      <c r="X144" s="253">
        <f t="shared" si="200"/>
        <v>0</v>
      </c>
      <c r="Y144" s="255">
        <f t="shared" si="200"/>
        <v>0</v>
      </c>
    </row>
    <row r="145" spans="1:77" s="61" customFormat="1" x14ac:dyDescent="0.25">
      <c r="A145" s="52"/>
      <c r="B145" s="52"/>
      <c r="C145" s="124">
        <v>0</v>
      </c>
      <c r="D145" s="56">
        <v>0</v>
      </c>
      <c r="E145" s="56">
        <f t="shared" si="195"/>
        <v>0</v>
      </c>
      <c r="F145" s="58"/>
      <c r="G145" s="55">
        <v>0</v>
      </c>
      <c r="H145" s="57">
        <v>0</v>
      </c>
      <c r="I145" s="57">
        <f t="shared" si="196"/>
        <v>0</v>
      </c>
      <c r="J145" s="58"/>
      <c r="K145" s="55">
        <v>0</v>
      </c>
      <c r="L145" s="57">
        <v>0</v>
      </c>
      <c r="M145" s="57">
        <f t="shared" si="197"/>
        <v>0</v>
      </c>
      <c r="N145" s="58"/>
      <c r="O145" s="55">
        <v>0</v>
      </c>
      <c r="P145" s="57">
        <v>0</v>
      </c>
      <c r="Q145" s="57">
        <f t="shared" si="198"/>
        <v>0</v>
      </c>
      <c r="R145" s="58"/>
      <c r="S145" s="55">
        <v>0</v>
      </c>
      <c r="T145" s="57">
        <v>0</v>
      </c>
      <c r="U145" s="57">
        <f t="shared" si="199"/>
        <v>0</v>
      </c>
      <c r="V145" s="59"/>
      <c r="W145" s="124">
        <f t="shared" si="200"/>
        <v>0</v>
      </c>
      <c r="X145" s="57">
        <f t="shared" si="200"/>
        <v>0</v>
      </c>
      <c r="Y145" s="84">
        <f t="shared" si="200"/>
        <v>0</v>
      </c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195"/>
        <v>0</v>
      </c>
      <c r="F146" s="58"/>
      <c r="G146" s="55">
        <v>0</v>
      </c>
      <c r="H146" s="57">
        <v>0</v>
      </c>
      <c r="I146" s="57">
        <f t="shared" si="196"/>
        <v>0</v>
      </c>
      <c r="J146" s="58"/>
      <c r="K146" s="55">
        <v>0</v>
      </c>
      <c r="L146" s="57">
        <v>0</v>
      </c>
      <c r="M146" s="57">
        <f t="shared" si="197"/>
        <v>0</v>
      </c>
      <c r="N146" s="58"/>
      <c r="O146" s="55">
        <v>0</v>
      </c>
      <c r="P146" s="57">
        <v>0</v>
      </c>
      <c r="Q146" s="57">
        <f t="shared" si="198"/>
        <v>0</v>
      </c>
      <c r="R146" s="58"/>
      <c r="S146" s="55">
        <v>0</v>
      </c>
      <c r="T146" s="57">
        <v>0</v>
      </c>
      <c r="U146" s="57">
        <f t="shared" si="199"/>
        <v>0</v>
      </c>
      <c r="V146" s="59"/>
      <c r="W146" s="124">
        <f t="shared" si="200"/>
        <v>0</v>
      </c>
      <c r="X146" s="57">
        <f t="shared" si="200"/>
        <v>0</v>
      </c>
      <c r="Y146" s="84">
        <f t="shared" si="200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195"/>
        <v>0</v>
      </c>
      <c r="F147" s="58"/>
      <c r="G147" s="55">
        <v>0</v>
      </c>
      <c r="H147" s="57">
        <v>0</v>
      </c>
      <c r="I147" s="57">
        <f t="shared" si="196"/>
        <v>0</v>
      </c>
      <c r="J147" s="58"/>
      <c r="K147" s="55">
        <v>0</v>
      </c>
      <c r="L147" s="57">
        <v>0</v>
      </c>
      <c r="M147" s="57">
        <f t="shared" si="197"/>
        <v>0</v>
      </c>
      <c r="N147" s="58"/>
      <c r="O147" s="55">
        <v>0</v>
      </c>
      <c r="P147" s="57">
        <v>0</v>
      </c>
      <c r="Q147" s="57">
        <f t="shared" si="198"/>
        <v>0</v>
      </c>
      <c r="R147" s="58"/>
      <c r="S147" s="55">
        <v>0</v>
      </c>
      <c r="T147" s="57">
        <v>0</v>
      </c>
      <c r="U147" s="57">
        <f t="shared" si="199"/>
        <v>0</v>
      </c>
      <c r="V147" s="59"/>
      <c r="W147" s="124">
        <f t="shared" si="200"/>
        <v>0</v>
      </c>
      <c r="X147" s="57">
        <f t="shared" si="200"/>
        <v>0</v>
      </c>
      <c r="Y147" s="84">
        <f t="shared" si="200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195"/>
        <v>0</v>
      </c>
      <c r="F148" s="58"/>
      <c r="G148" s="55">
        <v>0</v>
      </c>
      <c r="H148" s="57">
        <v>0</v>
      </c>
      <c r="I148" s="57">
        <f t="shared" si="196"/>
        <v>0</v>
      </c>
      <c r="J148" s="58"/>
      <c r="K148" s="55">
        <v>0</v>
      </c>
      <c r="L148" s="57">
        <v>0</v>
      </c>
      <c r="M148" s="57">
        <f t="shared" si="197"/>
        <v>0</v>
      </c>
      <c r="N148" s="58"/>
      <c r="O148" s="55">
        <v>0</v>
      </c>
      <c r="P148" s="57">
        <v>0</v>
      </c>
      <c r="Q148" s="57">
        <f t="shared" si="198"/>
        <v>0</v>
      </c>
      <c r="R148" s="58"/>
      <c r="S148" s="55">
        <v>0</v>
      </c>
      <c r="T148" s="57">
        <v>0</v>
      </c>
      <c r="U148" s="57">
        <f t="shared" si="199"/>
        <v>0</v>
      </c>
      <c r="V148" s="59"/>
      <c r="W148" s="124">
        <f t="shared" si="200"/>
        <v>0</v>
      </c>
      <c r="X148" s="57">
        <f t="shared" si="200"/>
        <v>0</v>
      </c>
      <c r="Y148" s="84">
        <f t="shared" si="200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0</v>
      </c>
      <c r="D149" s="125">
        <f>SUM(D143:D148)</f>
        <v>0</v>
      </c>
      <c r="E149" s="125">
        <f>SUM(E143:E148)</f>
        <v>0</v>
      </c>
      <c r="F149" s="81"/>
      <c r="G149" s="79">
        <f>SUM(G143:G148)</f>
        <v>1000</v>
      </c>
      <c r="H149" s="80">
        <f>SUM(H143:H148)</f>
        <v>0</v>
      </c>
      <c r="I149" s="80">
        <f>SUM(I143:I148)</f>
        <v>1000</v>
      </c>
      <c r="J149" s="81"/>
      <c r="K149" s="79">
        <f>SUM(K143:K148)</f>
        <v>1000</v>
      </c>
      <c r="L149" s="80">
        <f>SUM(L143:L148)</f>
        <v>0</v>
      </c>
      <c r="M149" s="80">
        <f>SUM(M143:M148)</f>
        <v>1000</v>
      </c>
      <c r="N149" s="81"/>
      <c r="O149" s="79">
        <f>SUM(O143:O148)</f>
        <v>0</v>
      </c>
      <c r="P149" s="80">
        <f>SUM(P143:P148)</f>
        <v>0</v>
      </c>
      <c r="Q149" s="80">
        <f>SUM(Q143:Q148)</f>
        <v>0</v>
      </c>
      <c r="R149" s="81"/>
      <c r="S149" s="79">
        <f>SUM(S143:S148)</f>
        <v>0</v>
      </c>
      <c r="T149" s="80">
        <f>SUM(T143:T148)</f>
        <v>0</v>
      </c>
      <c r="U149" s="80">
        <f>SUM(U143:U148)</f>
        <v>0</v>
      </c>
      <c r="V149" s="82"/>
      <c r="W149" s="228">
        <f t="shared" si="200"/>
        <v>2000</v>
      </c>
      <c r="X149" s="80">
        <f t="shared" si="200"/>
        <v>0</v>
      </c>
      <c r="Y149" s="80">
        <f t="shared" si="200"/>
        <v>2000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 t="s">
        <v>57</v>
      </c>
      <c r="B151" s="190" t="s">
        <v>57</v>
      </c>
      <c r="C151" s="124">
        <f>2*7000*0</f>
        <v>0</v>
      </c>
      <c r="D151" s="56">
        <v>0</v>
      </c>
      <c r="E151" s="56">
        <f>SUM(C151:D151)</f>
        <v>0</v>
      </c>
      <c r="F151" s="58"/>
      <c r="G151" s="55">
        <f>C151</f>
        <v>0</v>
      </c>
      <c r="H151" s="56">
        <v>0</v>
      </c>
      <c r="I151" s="56">
        <f>SUM(G151:H151)</f>
        <v>0</v>
      </c>
      <c r="J151" s="58"/>
      <c r="K151" s="55">
        <f>G151</f>
        <v>0</v>
      </c>
      <c r="L151" s="56">
        <v>0</v>
      </c>
      <c r="M151" s="56">
        <f>SUM(K151:L151)</f>
        <v>0</v>
      </c>
      <c r="N151" s="58"/>
      <c r="O151" s="55">
        <f>K151</f>
        <v>0</v>
      </c>
      <c r="P151" s="56">
        <v>0</v>
      </c>
      <c r="Q151" s="56">
        <f>SUM(O151:P151)</f>
        <v>0</v>
      </c>
      <c r="R151" s="58"/>
      <c r="S151" s="55">
        <f>O151</f>
        <v>0</v>
      </c>
      <c r="T151" s="56">
        <v>0</v>
      </c>
      <c r="U151" s="56">
        <f>SUM(S151:T151)</f>
        <v>0</v>
      </c>
      <c r="V151" s="59"/>
      <c r="W151" s="124">
        <f t="shared" ref="W151:Y155" si="201">C151+G151+K151+O151+S151</f>
        <v>0</v>
      </c>
      <c r="X151" s="57">
        <f t="shared" si="201"/>
        <v>0</v>
      </c>
      <c r="Y151" s="84">
        <f t="shared" si="201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61" customFormat="1" x14ac:dyDescent="0.25">
      <c r="A152" s="52"/>
      <c r="B152" s="54" t="s">
        <v>222</v>
      </c>
      <c r="C152" s="124">
        <f>(((4819*1.05)*0.5)+(367.75*1.05))*0</f>
        <v>0</v>
      </c>
      <c r="D152" s="56">
        <v>0</v>
      </c>
      <c r="E152" s="56">
        <f>SUM(C152:D152)</f>
        <v>0</v>
      </c>
      <c r="F152" s="58"/>
      <c r="G152" s="293">
        <f>11075</f>
        <v>11075</v>
      </c>
      <c r="H152" s="294">
        <v>0</v>
      </c>
      <c r="I152" s="294">
        <f t="shared" ref="I152" si="202">SUM(G152:H152)</f>
        <v>11075</v>
      </c>
      <c r="J152" s="295"/>
      <c r="K152" s="293">
        <f>I152*1.1</f>
        <v>12182.500000000002</v>
      </c>
      <c r="L152" s="57">
        <v>0</v>
      </c>
      <c r="M152" s="57">
        <f>SUM(K152:L152)</f>
        <v>12182.500000000002</v>
      </c>
      <c r="N152" s="58"/>
      <c r="O152" s="55">
        <f>K152*1.05*0</f>
        <v>0</v>
      </c>
      <c r="P152" s="57">
        <v>0</v>
      </c>
      <c r="Q152" s="57">
        <f>SUM(O152:P152)</f>
        <v>0</v>
      </c>
      <c r="R152" s="58"/>
      <c r="S152" s="55">
        <f>((O152*1.05))</f>
        <v>0</v>
      </c>
      <c r="T152" s="57">
        <v>0</v>
      </c>
      <c r="U152" s="57">
        <f>SUM(S152:T152)</f>
        <v>0</v>
      </c>
      <c r="V152" s="59"/>
      <c r="W152" s="124">
        <f t="shared" si="201"/>
        <v>23257.5</v>
      </c>
      <c r="X152" s="57">
        <f t="shared" si="201"/>
        <v>0</v>
      </c>
      <c r="Y152" s="84">
        <f t="shared" si="201"/>
        <v>23257.5</v>
      </c>
    </row>
    <row r="153" spans="1:77" s="77" customFormat="1" x14ac:dyDescent="0.25">
      <c r="A153" s="54"/>
      <c r="B153" s="61" t="s">
        <v>176</v>
      </c>
      <c r="C153" s="124">
        <v>0</v>
      </c>
      <c r="D153" s="56">
        <v>0</v>
      </c>
      <c r="E153" s="56">
        <f>SUM(C153:D153)</f>
        <v>0</v>
      </c>
      <c r="F153" s="58"/>
      <c r="G153" s="55">
        <f>5000*5</f>
        <v>25000</v>
      </c>
      <c r="H153" s="56">
        <v>0</v>
      </c>
      <c r="I153" s="56">
        <f>SUM(G153:H153)</f>
        <v>25000</v>
      </c>
      <c r="J153" s="58"/>
      <c r="K153" s="55">
        <f>G153</f>
        <v>25000</v>
      </c>
      <c r="L153" s="56">
        <v>0</v>
      </c>
      <c r="M153" s="56">
        <f>SUM(K153:L153)</f>
        <v>25000</v>
      </c>
      <c r="N153" s="58"/>
      <c r="O153" s="55">
        <f>K153</f>
        <v>25000</v>
      </c>
      <c r="P153" s="56">
        <v>0</v>
      </c>
      <c r="Q153" s="56">
        <f>SUM(O153:P153)</f>
        <v>25000</v>
      </c>
      <c r="R153" s="58"/>
      <c r="S153" s="55">
        <f>O153</f>
        <v>25000</v>
      </c>
      <c r="T153" s="56">
        <v>0</v>
      </c>
      <c r="U153" s="56">
        <f>SUM(S153:T153)</f>
        <v>25000</v>
      </c>
      <c r="V153" s="59"/>
      <c r="W153" s="124">
        <f t="shared" si="201"/>
        <v>100000</v>
      </c>
      <c r="X153" s="57">
        <f t="shared" si="201"/>
        <v>0</v>
      </c>
      <c r="Y153" s="84">
        <f t="shared" si="201"/>
        <v>100000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s="61" customFormat="1" x14ac:dyDescent="0.25">
      <c r="A154" s="54"/>
      <c r="B154" s="54"/>
      <c r="C154" s="124">
        <v>0</v>
      </c>
      <c r="D154" s="56">
        <v>0</v>
      </c>
      <c r="E154" s="56">
        <f>SUM(C154:D154)</f>
        <v>0</v>
      </c>
      <c r="F154" s="58"/>
      <c r="G154" s="55">
        <v>0</v>
      </c>
      <c r="H154" s="56">
        <v>0</v>
      </c>
      <c r="I154" s="56">
        <f>SUM(G154:H154)</f>
        <v>0</v>
      </c>
      <c r="J154" s="58"/>
      <c r="K154" s="55">
        <v>0</v>
      </c>
      <c r="L154" s="56">
        <v>0</v>
      </c>
      <c r="M154" s="56">
        <f>SUM(K154:L154)</f>
        <v>0</v>
      </c>
      <c r="N154" s="58"/>
      <c r="O154" s="55">
        <v>0</v>
      </c>
      <c r="P154" s="56">
        <v>0</v>
      </c>
      <c r="Q154" s="56">
        <f>SUM(O154:P154)</f>
        <v>0</v>
      </c>
      <c r="R154" s="58"/>
      <c r="S154" s="55">
        <v>0</v>
      </c>
      <c r="T154" s="56">
        <v>0</v>
      </c>
      <c r="U154" s="56">
        <f>SUM(S154:T154)</f>
        <v>0</v>
      </c>
      <c r="V154" s="59"/>
      <c r="W154" s="124">
        <f t="shared" si="201"/>
        <v>0</v>
      </c>
      <c r="X154" s="57">
        <f t="shared" si="201"/>
        <v>0</v>
      </c>
      <c r="Y154" s="84">
        <f t="shared" si="201"/>
        <v>0</v>
      </c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36075</v>
      </c>
      <c r="H155" s="80">
        <f>SUM(H151:H154)</f>
        <v>0</v>
      </c>
      <c r="I155" s="80">
        <f>SUM(I151:I154)</f>
        <v>36075</v>
      </c>
      <c r="J155" s="81"/>
      <c r="K155" s="79">
        <f>SUM(K151:K154)</f>
        <v>37182.5</v>
      </c>
      <c r="L155" s="80">
        <f>SUM(L151:L154)</f>
        <v>0</v>
      </c>
      <c r="M155" s="80">
        <f>SUM(M151:M154)</f>
        <v>37182.5</v>
      </c>
      <c r="N155" s="81"/>
      <c r="O155" s="79">
        <f>SUM(O151:O154)</f>
        <v>25000</v>
      </c>
      <c r="P155" s="80">
        <f>SUM(P151:P154)</f>
        <v>0</v>
      </c>
      <c r="Q155" s="80">
        <f>SUM(Q151:Q154)</f>
        <v>25000</v>
      </c>
      <c r="R155" s="81"/>
      <c r="S155" s="79">
        <f>SUM(S151:S154)</f>
        <v>25000</v>
      </c>
      <c r="T155" s="80">
        <f>SUM(T151:T154)</f>
        <v>0</v>
      </c>
      <c r="U155" s="80">
        <f>SUM(U151:U154)</f>
        <v>25000</v>
      </c>
      <c r="V155" s="82"/>
      <c r="W155" s="228">
        <f t="shared" si="201"/>
        <v>123257.5</v>
      </c>
      <c r="X155" s="80">
        <f t="shared" si="201"/>
        <v>0</v>
      </c>
      <c r="Y155" s="80">
        <f t="shared" si="201"/>
        <v>123257.5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4" t="s">
        <v>57</v>
      </c>
      <c r="B157"/>
      <c r="C157" s="124">
        <v>0</v>
      </c>
      <c r="D157" s="56">
        <v>0</v>
      </c>
      <c r="E157" s="56">
        <f t="shared" ref="E157:E158" si="203">SUM(C157:D157)</f>
        <v>0</v>
      </c>
      <c r="F157" s="58"/>
      <c r="G157" s="55">
        <f>C157</f>
        <v>0</v>
      </c>
      <c r="H157" s="57">
        <v>0</v>
      </c>
      <c r="I157" s="57">
        <f t="shared" ref="I157:I158" si="204">SUM(G157:H157)</f>
        <v>0</v>
      </c>
      <c r="J157" s="58"/>
      <c r="K157" s="55">
        <f t="shared" ref="K157:K163" si="205">G157</f>
        <v>0</v>
      </c>
      <c r="L157" s="57">
        <v>0</v>
      </c>
      <c r="M157" s="57">
        <f t="shared" ref="M157:M158" si="206">SUM(K157:L157)</f>
        <v>0</v>
      </c>
      <c r="N157" s="58"/>
      <c r="O157" s="55">
        <f>K157</f>
        <v>0</v>
      </c>
      <c r="P157" s="57">
        <v>0</v>
      </c>
      <c r="Q157" s="57">
        <f t="shared" ref="Q157:Q158" si="207">SUM(O157:P157)</f>
        <v>0</v>
      </c>
      <c r="R157" s="58"/>
      <c r="S157" s="55">
        <f>O157*0</f>
        <v>0</v>
      </c>
      <c r="T157" s="57">
        <v>0</v>
      </c>
      <c r="U157" s="57">
        <f t="shared" ref="U157:U158" si="208">SUM(S157:T157)</f>
        <v>0</v>
      </c>
      <c r="V157" s="59"/>
      <c r="W157" s="124">
        <f t="shared" ref="W157:W160" si="209">C157+G157+K157+O157+S157</f>
        <v>0</v>
      </c>
      <c r="X157" s="57">
        <f t="shared" ref="X157:X160" si="210">D157+H157+L157+P157+T157</f>
        <v>0</v>
      </c>
      <c r="Y157" s="84">
        <f t="shared" ref="Y157:Y160" si="211">E157+I157+M157+Q157+U157</f>
        <v>0</v>
      </c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</row>
    <row r="158" spans="1:77" s="61" customFormat="1" x14ac:dyDescent="0.25">
      <c r="A158" s="203" t="s">
        <v>57</v>
      </c>
      <c r="B158" s="61" t="s">
        <v>175</v>
      </c>
      <c r="C158" s="124">
        <v>0</v>
      </c>
      <c r="D158" s="56">
        <v>0</v>
      </c>
      <c r="E158" s="56">
        <f t="shared" si="203"/>
        <v>0</v>
      </c>
      <c r="F158" s="58"/>
      <c r="G158" s="55">
        <f>500*5</f>
        <v>2500</v>
      </c>
      <c r="H158" s="57">
        <v>0</v>
      </c>
      <c r="I158" s="57">
        <f t="shared" si="204"/>
        <v>2500</v>
      </c>
      <c r="J158" s="58"/>
      <c r="K158" s="55">
        <f t="shared" si="205"/>
        <v>2500</v>
      </c>
      <c r="L158" s="57">
        <v>0</v>
      </c>
      <c r="M158" s="57">
        <f t="shared" si="206"/>
        <v>2500</v>
      </c>
      <c r="N158" s="58"/>
      <c r="O158" s="55">
        <f>G158</f>
        <v>2500</v>
      </c>
      <c r="P158" s="57">
        <v>0</v>
      </c>
      <c r="Q158" s="57">
        <f t="shared" si="207"/>
        <v>2500</v>
      </c>
      <c r="R158" s="58"/>
      <c r="S158" s="55">
        <f>O158</f>
        <v>2500</v>
      </c>
      <c r="T158" s="57">
        <v>0</v>
      </c>
      <c r="U158" s="57">
        <f t="shared" si="208"/>
        <v>2500</v>
      </c>
      <c r="V158" s="59"/>
      <c r="W158" s="124">
        <f t="shared" si="209"/>
        <v>10000</v>
      </c>
      <c r="X158" s="57">
        <f t="shared" si="210"/>
        <v>0</v>
      </c>
      <c r="Y158" s="84">
        <f t="shared" si="211"/>
        <v>10000</v>
      </c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</row>
    <row r="159" spans="1:77" s="61" customFormat="1" x14ac:dyDescent="0.25">
      <c r="B159" s="160" t="s">
        <v>233</v>
      </c>
      <c r="C159" s="55">
        <f>20000*0</f>
        <v>0</v>
      </c>
      <c r="D159" s="57">
        <v>0</v>
      </c>
      <c r="E159" s="57">
        <f t="shared" ref="E159:E160" si="212">SUM(C159:D159)</f>
        <v>0</v>
      </c>
      <c r="F159" s="58"/>
      <c r="G159" s="55">
        <f>30000+5000+5000</f>
        <v>40000</v>
      </c>
      <c r="H159" s="57">
        <v>0</v>
      </c>
      <c r="I159" s="57">
        <f t="shared" ref="I159:I160" si="213">SUM(G159:H159)</f>
        <v>40000</v>
      </c>
      <c r="J159" s="58"/>
      <c r="K159" s="55">
        <v>0</v>
      </c>
      <c r="L159" s="56">
        <v>0</v>
      </c>
      <c r="M159" s="56">
        <f t="shared" ref="M159:M160" si="214">SUM(K159:L159)</f>
        <v>0</v>
      </c>
      <c r="N159" s="58"/>
      <c r="O159" s="55">
        <f>20000*0</f>
        <v>0</v>
      </c>
      <c r="P159" s="57">
        <v>0</v>
      </c>
      <c r="Q159" s="57">
        <f t="shared" ref="Q159:Q160" si="215">SUM(O159:P159)</f>
        <v>0</v>
      </c>
      <c r="R159" s="58"/>
      <c r="S159" s="55">
        <f>30000+5000+5000</f>
        <v>40000</v>
      </c>
      <c r="T159" s="57">
        <v>0</v>
      </c>
      <c r="U159" s="57">
        <f t="shared" ref="U159:U160" si="216">SUM(S159:T159)</f>
        <v>40000</v>
      </c>
      <c r="V159" s="59"/>
      <c r="W159" s="124">
        <f t="shared" si="209"/>
        <v>80000</v>
      </c>
      <c r="X159" s="56">
        <f t="shared" si="210"/>
        <v>0</v>
      </c>
      <c r="Y159" s="202">
        <f t="shared" si="211"/>
        <v>80000</v>
      </c>
    </row>
    <row r="160" spans="1:77" s="61" customFormat="1" x14ac:dyDescent="0.25">
      <c r="A160" s="203" t="s">
        <v>57</v>
      </c>
      <c r="B160" s="54" t="s">
        <v>231</v>
      </c>
      <c r="C160" s="124">
        <f>1000</f>
        <v>1000</v>
      </c>
      <c r="D160" s="56">
        <f>1000*0</f>
        <v>0</v>
      </c>
      <c r="E160" s="56">
        <f t="shared" si="212"/>
        <v>1000</v>
      </c>
      <c r="F160" s="58"/>
      <c r="G160" s="55">
        <f>C160</f>
        <v>1000</v>
      </c>
      <c r="H160" s="57">
        <f>D160</f>
        <v>0</v>
      </c>
      <c r="I160" s="57">
        <f t="shared" si="213"/>
        <v>1000</v>
      </c>
      <c r="J160" s="58"/>
      <c r="K160" s="55">
        <f>G160</f>
        <v>1000</v>
      </c>
      <c r="L160" s="57">
        <f>H160</f>
        <v>0</v>
      </c>
      <c r="M160" s="57">
        <f t="shared" si="214"/>
        <v>1000</v>
      </c>
      <c r="N160" s="58"/>
      <c r="O160" s="55">
        <f>K160</f>
        <v>1000</v>
      </c>
      <c r="P160" s="57">
        <f>L160</f>
        <v>0</v>
      </c>
      <c r="Q160" s="57">
        <f t="shared" si="215"/>
        <v>1000</v>
      </c>
      <c r="R160" s="58"/>
      <c r="S160" s="55">
        <f>O160</f>
        <v>1000</v>
      </c>
      <c r="T160" s="57">
        <f>P160</f>
        <v>0</v>
      </c>
      <c r="U160" s="57">
        <f t="shared" si="216"/>
        <v>1000</v>
      </c>
      <c r="V160" s="59"/>
      <c r="W160" s="124">
        <f t="shared" si="209"/>
        <v>5000</v>
      </c>
      <c r="X160" s="56">
        <f t="shared" si="210"/>
        <v>0</v>
      </c>
      <c r="Y160" s="85">
        <f t="shared" si="211"/>
        <v>5000</v>
      </c>
    </row>
    <row r="161" spans="1:77" s="61" customFormat="1" x14ac:dyDescent="0.25">
      <c r="A161" s="54" t="s">
        <v>57</v>
      </c>
      <c r="B161"/>
      <c r="C161" s="124">
        <v>0</v>
      </c>
      <c r="D161" s="56">
        <v>0</v>
      </c>
      <c r="E161" s="56">
        <f t="shared" ref="E161:E172" si="217">SUM(C161:D161)</f>
        <v>0</v>
      </c>
      <c r="F161" s="58"/>
      <c r="G161" s="55">
        <f>C161</f>
        <v>0</v>
      </c>
      <c r="H161" s="57">
        <v>0</v>
      </c>
      <c r="I161" s="57">
        <f t="shared" ref="I161:I172" si="218">SUM(G161:H161)</f>
        <v>0</v>
      </c>
      <c r="J161" s="58"/>
      <c r="K161" s="55">
        <f t="shared" si="205"/>
        <v>0</v>
      </c>
      <c r="L161" s="57">
        <v>0</v>
      </c>
      <c r="M161" s="57">
        <f t="shared" ref="M161:M172" si="219">SUM(K161:L161)</f>
        <v>0</v>
      </c>
      <c r="N161" s="58"/>
      <c r="O161" s="55">
        <f>K161</f>
        <v>0</v>
      </c>
      <c r="P161" s="57">
        <v>0</v>
      </c>
      <c r="Q161" s="57">
        <f t="shared" ref="Q161:Q172" si="220">SUM(O161:P161)</f>
        <v>0</v>
      </c>
      <c r="R161" s="58"/>
      <c r="S161" s="55">
        <f>O161*0</f>
        <v>0</v>
      </c>
      <c r="T161" s="57">
        <v>0</v>
      </c>
      <c r="U161" s="57">
        <f t="shared" ref="U161:U172" si="221">SUM(S161:T161)</f>
        <v>0</v>
      </c>
      <c r="V161" s="59"/>
      <c r="W161" s="124">
        <f t="shared" ref="W161:W173" si="222">C161+G161+K161+O161+S161</f>
        <v>0</v>
      </c>
      <c r="X161" s="57">
        <f t="shared" ref="X161:X173" si="223">D161+H161+L161+P161+T161</f>
        <v>0</v>
      </c>
      <c r="Y161" s="84">
        <f t="shared" ref="Y161:Y173" si="224">E161+I161+M161+Q161+U161</f>
        <v>0</v>
      </c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1" customFormat="1" x14ac:dyDescent="0.25">
      <c r="A162" s="235"/>
      <c r="B162" s="160" t="s">
        <v>189</v>
      </c>
      <c r="C162" s="55">
        <v>0</v>
      </c>
      <c r="D162" s="57">
        <v>0</v>
      </c>
      <c r="E162" s="57">
        <f t="shared" si="217"/>
        <v>0</v>
      </c>
      <c r="F162" s="58"/>
      <c r="G162" s="55">
        <v>10000</v>
      </c>
      <c r="H162" s="57">
        <v>0</v>
      </c>
      <c r="I162" s="57">
        <f t="shared" ref="I162" si="225">SUM(G162:H162)</f>
        <v>10000</v>
      </c>
      <c r="J162" s="58"/>
      <c r="K162" s="55">
        <v>10000</v>
      </c>
      <c r="L162" s="56">
        <v>0</v>
      </c>
      <c r="M162" s="56">
        <f t="shared" ref="M162" si="226">SUM(K162:L162)</f>
        <v>10000</v>
      </c>
      <c r="N162" s="58"/>
      <c r="O162" s="55">
        <f>G162</f>
        <v>10000</v>
      </c>
      <c r="P162" s="57">
        <v>0</v>
      </c>
      <c r="Q162" s="57">
        <f t="shared" ref="Q162" si="227">SUM(O162:P162)</f>
        <v>10000</v>
      </c>
      <c r="R162" s="58"/>
      <c r="S162" s="55">
        <f>O162*0</f>
        <v>0</v>
      </c>
      <c r="T162" s="57">
        <v>0</v>
      </c>
      <c r="U162" s="57">
        <f t="shared" si="221"/>
        <v>0</v>
      </c>
      <c r="V162" s="59"/>
      <c r="W162" s="124">
        <f t="shared" si="222"/>
        <v>30000</v>
      </c>
      <c r="X162" s="196">
        <f t="shared" si="223"/>
        <v>0</v>
      </c>
      <c r="Y162" s="236">
        <f t="shared" si="224"/>
        <v>30000</v>
      </c>
    </row>
    <row r="163" spans="1:77" s="61" customFormat="1" x14ac:dyDescent="0.25">
      <c r="A163" s="87"/>
      <c r="B163" s="52"/>
      <c r="C163" s="124">
        <v>0</v>
      </c>
      <c r="D163" s="56">
        <v>0</v>
      </c>
      <c r="E163" s="56">
        <f t="shared" si="217"/>
        <v>0</v>
      </c>
      <c r="F163" s="58"/>
      <c r="G163" s="55">
        <v>0</v>
      </c>
      <c r="H163" s="57">
        <v>0</v>
      </c>
      <c r="I163" s="57">
        <f t="shared" si="218"/>
        <v>0</v>
      </c>
      <c r="J163" s="58"/>
      <c r="K163" s="55">
        <f t="shared" si="205"/>
        <v>0</v>
      </c>
      <c r="L163" s="57">
        <v>0</v>
      </c>
      <c r="M163" s="57">
        <f t="shared" si="219"/>
        <v>0</v>
      </c>
      <c r="N163" s="58"/>
      <c r="O163" s="55">
        <v>0</v>
      </c>
      <c r="P163" s="57">
        <v>0</v>
      </c>
      <c r="Q163" s="57">
        <f t="shared" si="220"/>
        <v>0</v>
      </c>
      <c r="R163" s="58"/>
      <c r="S163" s="55">
        <v>0</v>
      </c>
      <c r="T163" s="57">
        <v>0</v>
      </c>
      <c r="U163" s="57">
        <f t="shared" si="221"/>
        <v>0</v>
      </c>
      <c r="V163" s="59"/>
      <c r="W163" s="124">
        <f t="shared" si="222"/>
        <v>0</v>
      </c>
      <c r="X163" s="57">
        <f t="shared" si="223"/>
        <v>0</v>
      </c>
      <c r="Y163" s="84">
        <f t="shared" si="224"/>
        <v>0</v>
      </c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s="61" customFormat="1" x14ac:dyDescent="0.25">
      <c r="A164" s="52"/>
      <c r="B164" s="54" t="s">
        <v>223</v>
      </c>
      <c r="C164" s="124">
        <v>0</v>
      </c>
      <c r="D164" s="56">
        <v>0</v>
      </c>
      <c r="E164" s="56">
        <f t="shared" si="217"/>
        <v>0</v>
      </c>
      <c r="F164" s="58"/>
      <c r="G164" s="55">
        <v>10000</v>
      </c>
      <c r="H164" s="57">
        <v>0</v>
      </c>
      <c r="I164" s="57">
        <f t="shared" si="218"/>
        <v>10000</v>
      </c>
      <c r="J164" s="58"/>
      <c r="K164" s="55">
        <f>G164</f>
        <v>10000</v>
      </c>
      <c r="L164" s="57">
        <v>0</v>
      </c>
      <c r="M164" s="57">
        <f t="shared" si="219"/>
        <v>10000</v>
      </c>
      <c r="N164" s="58"/>
      <c r="O164" s="55">
        <f>K164</f>
        <v>10000</v>
      </c>
      <c r="P164" s="57">
        <v>0</v>
      </c>
      <c r="Q164" s="57">
        <f t="shared" si="220"/>
        <v>10000</v>
      </c>
      <c r="R164" s="58"/>
      <c r="S164" s="55">
        <f>O164</f>
        <v>10000</v>
      </c>
      <c r="T164" s="57">
        <v>0</v>
      </c>
      <c r="U164" s="57">
        <f t="shared" si="221"/>
        <v>10000</v>
      </c>
      <c r="V164" s="59"/>
      <c r="W164" s="124">
        <f t="shared" si="222"/>
        <v>40000</v>
      </c>
      <c r="X164" s="57">
        <f t="shared" si="223"/>
        <v>0</v>
      </c>
      <c r="Y164" s="84">
        <f t="shared" si="224"/>
        <v>40000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/>
      <c r="C165" s="124">
        <v>0</v>
      </c>
      <c r="D165" s="56">
        <v>0</v>
      </c>
      <c r="E165" s="56">
        <f t="shared" si="217"/>
        <v>0</v>
      </c>
      <c r="F165" s="58"/>
      <c r="G165" s="55">
        <v>0</v>
      </c>
      <c r="H165" s="57">
        <v>0</v>
      </c>
      <c r="I165" s="57">
        <f t="shared" si="218"/>
        <v>0</v>
      </c>
      <c r="J165" s="58"/>
      <c r="K165" s="55">
        <v>0</v>
      </c>
      <c r="L165" s="57">
        <v>0</v>
      </c>
      <c r="M165" s="57">
        <f t="shared" si="219"/>
        <v>0</v>
      </c>
      <c r="N165" s="58"/>
      <c r="O165" s="55">
        <v>0</v>
      </c>
      <c r="P165" s="57">
        <v>0</v>
      </c>
      <c r="Q165" s="57">
        <f t="shared" si="220"/>
        <v>0</v>
      </c>
      <c r="R165" s="58"/>
      <c r="S165" s="55">
        <v>0</v>
      </c>
      <c r="T165" s="57">
        <v>0</v>
      </c>
      <c r="U165" s="57">
        <f t="shared" si="221"/>
        <v>0</v>
      </c>
      <c r="V165" s="59"/>
      <c r="W165" s="124">
        <f t="shared" si="222"/>
        <v>0</v>
      </c>
      <c r="X165" s="57">
        <f t="shared" si="223"/>
        <v>0</v>
      </c>
      <c r="Y165" s="84">
        <f t="shared" si="224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2"/>
      <c r="C166" s="124">
        <v>0</v>
      </c>
      <c r="D166" s="56">
        <v>0</v>
      </c>
      <c r="E166" s="56">
        <f t="shared" si="217"/>
        <v>0</v>
      </c>
      <c r="F166" s="58"/>
      <c r="G166" s="55">
        <v>0</v>
      </c>
      <c r="H166" s="57">
        <v>0</v>
      </c>
      <c r="I166" s="57">
        <f t="shared" si="218"/>
        <v>0</v>
      </c>
      <c r="J166" s="58"/>
      <c r="K166" s="55">
        <v>0</v>
      </c>
      <c r="L166" s="57">
        <v>0</v>
      </c>
      <c r="M166" s="57">
        <f t="shared" si="219"/>
        <v>0</v>
      </c>
      <c r="N166" s="58"/>
      <c r="O166" s="55">
        <v>0</v>
      </c>
      <c r="P166" s="57">
        <v>0</v>
      </c>
      <c r="Q166" s="57">
        <f t="shared" si="220"/>
        <v>0</v>
      </c>
      <c r="R166" s="58"/>
      <c r="S166" s="55">
        <v>0</v>
      </c>
      <c r="T166" s="57">
        <v>0</v>
      </c>
      <c r="U166" s="57">
        <f t="shared" si="221"/>
        <v>0</v>
      </c>
      <c r="V166" s="59"/>
      <c r="W166" s="124">
        <f t="shared" si="222"/>
        <v>0</v>
      </c>
      <c r="X166" s="57">
        <f t="shared" si="223"/>
        <v>0</v>
      </c>
      <c r="Y166" s="84">
        <f t="shared" si="224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217"/>
        <v>0</v>
      </c>
      <c r="F167" s="58"/>
      <c r="G167" s="55">
        <v>0</v>
      </c>
      <c r="H167" s="57">
        <v>0</v>
      </c>
      <c r="I167" s="57">
        <f t="shared" si="218"/>
        <v>0</v>
      </c>
      <c r="J167" s="58"/>
      <c r="K167" s="55">
        <v>0</v>
      </c>
      <c r="L167" s="57">
        <v>0</v>
      </c>
      <c r="M167" s="57">
        <f t="shared" si="219"/>
        <v>0</v>
      </c>
      <c r="N167" s="58"/>
      <c r="O167" s="55">
        <v>0</v>
      </c>
      <c r="P167" s="57">
        <v>0</v>
      </c>
      <c r="Q167" s="57">
        <f t="shared" si="220"/>
        <v>0</v>
      </c>
      <c r="R167" s="58"/>
      <c r="S167" s="55">
        <v>0</v>
      </c>
      <c r="T167" s="57">
        <v>0</v>
      </c>
      <c r="U167" s="57">
        <f t="shared" si="221"/>
        <v>0</v>
      </c>
      <c r="V167" s="59"/>
      <c r="W167" s="124">
        <f t="shared" si="222"/>
        <v>0</v>
      </c>
      <c r="X167" s="57">
        <f t="shared" si="223"/>
        <v>0</v>
      </c>
      <c r="Y167" s="84">
        <f t="shared" si="224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217"/>
        <v>0</v>
      </c>
      <c r="F168" s="58"/>
      <c r="G168" s="55">
        <v>0</v>
      </c>
      <c r="H168" s="57">
        <v>0</v>
      </c>
      <c r="I168" s="57">
        <f t="shared" si="218"/>
        <v>0</v>
      </c>
      <c r="J168" s="58"/>
      <c r="K168" s="55">
        <v>0</v>
      </c>
      <c r="L168" s="57">
        <v>0</v>
      </c>
      <c r="M168" s="57">
        <f t="shared" si="219"/>
        <v>0</v>
      </c>
      <c r="N168" s="58"/>
      <c r="O168" s="55">
        <v>0</v>
      </c>
      <c r="P168" s="57">
        <v>0</v>
      </c>
      <c r="Q168" s="57">
        <f t="shared" si="220"/>
        <v>0</v>
      </c>
      <c r="R168" s="58"/>
      <c r="S168" s="55">
        <v>0</v>
      </c>
      <c r="T168" s="57">
        <v>0</v>
      </c>
      <c r="U168" s="57">
        <f t="shared" si="221"/>
        <v>0</v>
      </c>
      <c r="V168" s="59"/>
      <c r="W168" s="124">
        <f t="shared" si="222"/>
        <v>0</v>
      </c>
      <c r="X168" s="57">
        <f t="shared" si="223"/>
        <v>0</v>
      </c>
      <c r="Y168" s="84">
        <f t="shared" si="224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217"/>
        <v>0</v>
      </c>
      <c r="F169" s="58"/>
      <c r="G169" s="55">
        <v>0</v>
      </c>
      <c r="H169" s="57">
        <v>0</v>
      </c>
      <c r="I169" s="57">
        <f t="shared" si="218"/>
        <v>0</v>
      </c>
      <c r="J169" s="58"/>
      <c r="K169" s="55">
        <v>0</v>
      </c>
      <c r="L169" s="57">
        <v>0</v>
      </c>
      <c r="M169" s="57">
        <f t="shared" si="219"/>
        <v>0</v>
      </c>
      <c r="N169" s="58"/>
      <c r="O169" s="55">
        <v>0</v>
      </c>
      <c r="P169" s="57">
        <v>0</v>
      </c>
      <c r="Q169" s="57">
        <f t="shared" si="220"/>
        <v>0</v>
      </c>
      <c r="R169" s="58"/>
      <c r="S169" s="55">
        <v>0</v>
      </c>
      <c r="T169" s="57">
        <v>0</v>
      </c>
      <c r="U169" s="57">
        <f t="shared" si="221"/>
        <v>0</v>
      </c>
      <c r="V169" s="59"/>
      <c r="W169" s="124">
        <f t="shared" si="222"/>
        <v>0</v>
      </c>
      <c r="X169" s="57">
        <f t="shared" si="223"/>
        <v>0</v>
      </c>
      <c r="Y169" s="84">
        <f t="shared" si="224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217"/>
        <v>0</v>
      </c>
      <c r="F170" s="58"/>
      <c r="G170" s="55">
        <v>0</v>
      </c>
      <c r="H170" s="57">
        <v>0</v>
      </c>
      <c r="I170" s="57">
        <f t="shared" si="218"/>
        <v>0</v>
      </c>
      <c r="J170" s="58"/>
      <c r="K170" s="55">
        <v>0</v>
      </c>
      <c r="L170" s="57">
        <v>0</v>
      </c>
      <c r="M170" s="57">
        <f t="shared" si="219"/>
        <v>0</v>
      </c>
      <c r="N170" s="58"/>
      <c r="O170" s="55">
        <v>0</v>
      </c>
      <c r="P170" s="57">
        <v>0</v>
      </c>
      <c r="Q170" s="57">
        <f t="shared" si="220"/>
        <v>0</v>
      </c>
      <c r="R170" s="58"/>
      <c r="S170" s="55">
        <v>0</v>
      </c>
      <c r="T170" s="57">
        <v>0</v>
      </c>
      <c r="U170" s="57">
        <f t="shared" si="221"/>
        <v>0</v>
      </c>
      <c r="V170" s="59"/>
      <c r="W170" s="124">
        <f t="shared" si="222"/>
        <v>0</v>
      </c>
      <c r="X170" s="57">
        <f t="shared" si="223"/>
        <v>0</v>
      </c>
      <c r="Y170" s="84">
        <f t="shared" si="224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217"/>
        <v>0</v>
      </c>
      <c r="F171" s="58"/>
      <c r="G171" s="55">
        <v>0</v>
      </c>
      <c r="H171" s="57">
        <v>0</v>
      </c>
      <c r="I171" s="57">
        <f t="shared" si="218"/>
        <v>0</v>
      </c>
      <c r="J171" s="58"/>
      <c r="K171" s="55">
        <v>0</v>
      </c>
      <c r="L171" s="57">
        <v>0</v>
      </c>
      <c r="M171" s="57">
        <f t="shared" si="219"/>
        <v>0</v>
      </c>
      <c r="N171" s="58"/>
      <c r="O171" s="55">
        <v>0</v>
      </c>
      <c r="P171" s="57">
        <v>0</v>
      </c>
      <c r="Q171" s="57">
        <f t="shared" si="220"/>
        <v>0</v>
      </c>
      <c r="R171" s="58"/>
      <c r="S171" s="55">
        <v>0</v>
      </c>
      <c r="T171" s="57">
        <v>0</v>
      </c>
      <c r="U171" s="57">
        <f t="shared" si="221"/>
        <v>0</v>
      </c>
      <c r="V171" s="59"/>
      <c r="W171" s="124">
        <f t="shared" si="222"/>
        <v>0</v>
      </c>
      <c r="X171" s="57">
        <f t="shared" si="223"/>
        <v>0</v>
      </c>
      <c r="Y171" s="84">
        <f t="shared" si="224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217"/>
        <v>0</v>
      </c>
      <c r="F172" s="58"/>
      <c r="G172" s="55">
        <v>0</v>
      </c>
      <c r="H172" s="57">
        <v>0</v>
      </c>
      <c r="I172" s="57">
        <f t="shared" si="218"/>
        <v>0</v>
      </c>
      <c r="J172" s="58"/>
      <c r="K172" s="55">
        <v>0</v>
      </c>
      <c r="L172" s="57">
        <v>0</v>
      </c>
      <c r="M172" s="57">
        <f t="shared" si="219"/>
        <v>0</v>
      </c>
      <c r="N172" s="58"/>
      <c r="O172" s="55">
        <v>0</v>
      </c>
      <c r="P172" s="57">
        <v>0</v>
      </c>
      <c r="Q172" s="57">
        <f t="shared" si="220"/>
        <v>0</v>
      </c>
      <c r="R172" s="58"/>
      <c r="S172" s="55">
        <v>0</v>
      </c>
      <c r="T172" s="57">
        <v>0</v>
      </c>
      <c r="U172" s="57">
        <f t="shared" si="221"/>
        <v>0</v>
      </c>
      <c r="V172" s="59"/>
      <c r="W172" s="124">
        <f t="shared" si="222"/>
        <v>0</v>
      </c>
      <c r="X172" s="57">
        <f t="shared" si="223"/>
        <v>0</v>
      </c>
      <c r="Y172" s="84">
        <f t="shared" si="224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1000</v>
      </c>
      <c r="D173" s="153">
        <f>SUM(D157:D172)</f>
        <v>0</v>
      </c>
      <c r="E173" s="153">
        <f>SUM(E157:E172)</f>
        <v>1000</v>
      </c>
      <c r="F173" s="154"/>
      <c r="G173" s="152">
        <f>SUM(G157:G172)</f>
        <v>63500</v>
      </c>
      <c r="H173" s="155">
        <f>SUM(H157:H172)</f>
        <v>0</v>
      </c>
      <c r="I173" s="155">
        <f>SUM(I157:I172)</f>
        <v>63500</v>
      </c>
      <c r="J173" s="154"/>
      <c r="K173" s="152">
        <f>SUM(K157:K172)</f>
        <v>23500</v>
      </c>
      <c r="L173" s="155">
        <f>SUM(L157:L172)</f>
        <v>0</v>
      </c>
      <c r="M173" s="155">
        <f>SUM(M157:M172)</f>
        <v>23500</v>
      </c>
      <c r="N173" s="154"/>
      <c r="O173" s="152">
        <f>SUM(O157:O172)</f>
        <v>23500</v>
      </c>
      <c r="P173" s="155">
        <f>SUM(P157:P172)</f>
        <v>0</v>
      </c>
      <c r="Q173" s="155">
        <f>SUM(Q157:Q172)</f>
        <v>23500</v>
      </c>
      <c r="R173" s="154"/>
      <c r="S173" s="152">
        <f>SUM(S157:S172)</f>
        <v>53500</v>
      </c>
      <c r="T173" s="155">
        <f>SUM(T157:T172)</f>
        <v>0</v>
      </c>
      <c r="U173" s="155">
        <f>SUM(U157:U172)</f>
        <v>53500</v>
      </c>
      <c r="V173" s="82"/>
      <c r="W173" s="228">
        <f t="shared" si="222"/>
        <v>165000</v>
      </c>
      <c r="X173" s="80">
        <f t="shared" si="223"/>
        <v>0</v>
      </c>
      <c r="Y173" s="80">
        <f t="shared" si="224"/>
        <v>165000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>(C173+ C155+C149+C141+C125)</f>
        <v>51732.072399999997</v>
      </c>
      <c r="D174" s="104">
        <f t="shared" ref="D174:Y174" si="228">(D173+ D155+D149+D141+D125)</f>
        <v>7000</v>
      </c>
      <c r="E174" s="104">
        <f t="shared" si="228"/>
        <v>58732.072399999997</v>
      </c>
      <c r="F174" s="104">
        <f t="shared" si="228"/>
        <v>0</v>
      </c>
      <c r="G174" s="104">
        <f t="shared" si="228"/>
        <v>182261.345332</v>
      </c>
      <c r="H174" s="104">
        <f t="shared" si="228"/>
        <v>7210</v>
      </c>
      <c r="I174" s="104">
        <f t="shared" si="228"/>
        <v>189471.345332</v>
      </c>
      <c r="J174" s="104">
        <f t="shared" si="228"/>
        <v>0</v>
      </c>
      <c r="K174" s="104">
        <f t="shared" si="228"/>
        <v>145439.28174496</v>
      </c>
      <c r="L174" s="104">
        <f t="shared" si="228"/>
        <v>0</v>
      </c>
      <c r="M174" s="104">
        <f t="shared" si="228"/>
        <v>145439.28174496</v>
      </c>
      <c r="N174" s="104">
        <f t="shared" si="228"/>
        <v>0</v>
      </c>
      <c r="O174" s="104">
        <f t="shared" si="228"/>
        <v>105050.3143625588</v>
      </c>
      <c r="P174" s="104">
        <f t="shared" si="228"/>
        <v>0</v>
      </c>
      <c r="Q174" s="104">
        <f t="shared" si="228"/>
        <v>105050.3143625588</v>
      </c>
      <c r="R174" s="104">
        <f t="shared" si="228"/>
        <v>0</v>
      </c>
      <c r="S174" s="104">
        <f t="shared" si="228"/>
        <v>137144.24891198057</v>
      </c>
      <c r="T174" s="104">
        <f t="shared" si="228"/>
        <v>0</v>
      </c>
      <c r="U174" s="104">
        <f t="shared" si="228"/>
        <v>137144.24891198057</v>
      </c>
      <c r="V174" s="104">
        <f t="shared" si="228"/>
        <v>0</v>
      </c>
      <c r="W174" s="104">
        <f t="shared" si="228"/>
        <v>621627.26275149942</v>
      </c>
      <c r="X174" s="104">
        <f t="shared" si="228"/>
        <v>14210</v>
      </c>
      <c r="Y174" s="104">
        <f t="shared" si="228"/>
        <v>635837.26275149942</v>
      </c>
      <c r="Z174" s="105">
        <f>(SUM(C174+G174+K174)/3)</f>
        <v>126477.56649231999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(C125+C149+C173)*0.405</f>
        <v>20951.489322000001</v>
      </c>
      <c r="D175" s="104">
        <v>0</v>
      </c>
      <c r="E175" s="104">
        <f>C175</f>
        <v>20951.489322000001</v>
      </c>
      <c r="F175" s="104">
        <f>(F125+F149+F173)*0.39</f>
        <v>0</v>
      </c>
      <c r="G175" s="104">
        <f>(G125+G149+G173)*0.405</f>
        <v>59205.469859460005</v>
      </c>
      <c r="H175" s="104">
        <v>0</v>
      </c>
      <c r="I175" s="104">
        <f>G175</f>
        <v>59205.469859460005</v>
      </c>
      <c r="J175" s="104">
        <f>(J125+J149+J173)*0.39</f>
        <v>0</v>
      </c>
      <c r="K175" s="104">
        <f>(K125+K149+K173)*0.405</f>
        <v>43843.99660670881</v>
      </c>
      <c r="L175" s="104">
        <v>0</v>
      </c>
      <c r="M175" s="104">
        <f>K175</f>
        <v>43843.99660670881</v>
      </c>
      <c r="N175" s="104">
        <f>(N125+N149+N173)*0.39</f>
        <v>0</v>
      </c>
      <c r="O175" s="104">
        <f>(O125+O149+O173)*0.405</f>
        <v>32420.377316836315</v>
      </c>
      <c r="P175" s="104">
        <v>0</v>
      </c>
      <c r="Q175" s="104">
        <f>O175</f>
        <v>32420.377316836315</v>
      </c>
      <c r="R175" s="104">
        <f>(R125+R149+R173)*0.39</f>
        <v>0</v>
      </c>
      <c r="S175" s="104">
        <f>(S125+S149+S173)*0.405</f>
        <v>45418.42080935213</v>
      </c>
      <c r="T175" s="104">
        <v>0</v>
      </c>
      <c r="U175" s="104">
        <f>S175</f>
        <v>45418.42080935213</v>
      </c>
      <c r="V175" s="104">
        <f>(V125+V149+V173)*0.39</f>
        <v>0</v>
      </c>
      <c r="W175" s="104">
        <f>(W125+W149+W173)*0.405</f>
        <v>201839.75391435725</v>
      </c>
      <c r="X175" s="104">
        <v>0</v>
      </c>
      <c r="Y175" s="104">
        <f>W175</f>
        <v>201839.75391435725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</f>
        <v>72683.561721999999</v>
      </c>
      <c r="D176" s="104">
        <f t="shared" ref="D176:Y176" si="229">D174+D175</f>
        <v>7000</v>
      </c>
      <c r="E176" s="104">
        <f t="shared" si="229"/>
        <v>79683.561721999999</v>
      </c>
      <c r="F176" s="104">
        <f t="shared" si="229"/>
        <v>0</v>
      </c>
      <c r="G176" s="104">
        <f t="shared" si="229"/>
        <v>241466.81519146002</v>
      </c>
      <c r="H176" s="104">
        <f t="shared" si="229"/>
        <v>7210</v>
      </c>
      <c r="I176" s="104">
        <f t="shared" si="229"/>
        <v>248676.81519146002</v>
      </c>
      <c r="J176" s="104">
        <f t="shared" si="229"/>
        <v>0</v>
      </c>
      <c r="K176" s="104">
        <f t="shared" si="229"/>
        <v>189283.27835166879</v>
      </c>
      <c r="L176" s="104">
        <f t="shared" si="229"/>
        <v>0</v>
      </c>
      <c r="M176" s="104">
        <f t="shared" si="229"/>
        <v>189283.27835166879</v>
      </c>
      <c r="N176" s="104">
        <f t="shared" si="229"/>
        <v>0</v>
      </c>
      <c r="O176" s="104">
        <f t="shared" si="229"/>
        <v>137470.69167939512</v>
      </c>
      <c r="P176" s="104">
        <f t="shared" si="229"/>
        <v>0</v>
      </c>
      <c r="Q176" s="104">
        <f t="shared" si="229"/>
        <v>137470.69167939512</v>
      </c>
      <c r="R176" s="104">
        <f t="shared" si="229"/>
        <v>0</v>
      </c>
      <c r="S176" s="104">
        <f t="shared" si="229"/>
        <v>182562.6697213327</v>
      </c>
      <c r="T176" s="104">
        <f t="shared" si="229"/>
        <v>0</v>
      </c>
      <c r="U176" s="104">
        <f t="shared" si="229"/>
        <v>182562.6697213327</v>
      </c>
      <c r="V176" s="104">
        <f t="shared" si="229"/>
        <v>0</v>
      </c>
      <c r="W176" s="104">
        <f t="shared" si="229"/>
        <v>823467.0166658567</v>
      </c>
      <c r="X176" s="104">
        <f t="shared" si="229"/>
        <v>14210</v>
      </c>
      <c r="Y176" s="104">
        <f t="shared" si="229"/>
        <v>837677.0166658567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158" customFormat="1" x14ac:dyDescent="0.25">
      <c r="A177" s="91"/>
      <c r="B177" s="91"/>
      <c r="C177" s="156"/>
      <c r="D177" s="156"/>
      <c r="E177" s="105"/>
      <c r="F177" s="91"/>
      <c r="G177" s="156"/>
      <c r="H177" s="156"/>
      <c r="I177" s="105"/>
      <c r="J177" s="91"/>
      <c r="K177" s="156"/>
      <c r="L177" s="156"/>
      <c r="M177" s="105"/>
      <c r="N177" s="91"/>
      <c r="O177" s="156"/>
      <c r="P177" s="156"/>
      <c r="Q177" s="105"/>
      <c r="R177" s="91"/>
      <c r="S177" s="156"/>
      <c r="T177" s="156"/>
      <c r="U177" s="105"/>
      <c r="V177" s="157"/>
      <c r="W177" s="105"/>
      <c r="X177" s="105"/>
      <c r="Y177" s="156"/>
      <c r="Z177" s="105"/>
      <c r="AA177" s="105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77" customFormat="1" x14ac:dyDescent="0.25">
      <c r="A179" s="74" t="s">
        <v>5</v>
      </c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5"/>
      <c r="W179" s="74"/>
      <c r="X179" s="74"/>
      <c r="Y179" s="7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</row>
    <row r="180" spans="1:77" s="61" customFormat="1" x14ac:dyDescent="0.25">
      <c r="A180" s="53"/>
      <c r="B180" s="52" t="s">
        <v>227</v>
      </c>
      <c r="C180" s="124">
        <f>5000</f>
        <v>5000</v>
      </c>
      <c r="D180" s="56">
        <v>0</v>
      </c>
      <c r="E180" s="56">
        <f t="shared" ref="E180" si="230">SUM(C180:D180)</f>
        <v>5000</v>
      </c>
      <c r="F180" s="58"/>
      <c r="G180" s="55">
        <f>C180*1.03</f>
        <v>5150</v>
      </c>
      <c r="H180" s="57">
        <f t="shared" ref="H180" si="231">D180*1.05</f>
        <v>0</v>
      </c>
      <c r="I180" s="57">
        <f t="shared" ref="I180" si="232">SUM(G180:H180)</f>
        <v>5150</v>
      </c>
      <c r="J180" s="58"/>
      <c r="K180" s="55">
        <f>G180*1.03</f>
        <v>5304.5</v>
      </c>
      <c r="L180" s="57">
        <f t="shared" ref="L180" si="233">H180*1.05</f>
        <v>0</v>
      </c>
      <c r="M180" s="57">
        <f t="shared" ref="M180" si="234">SUM(K180:L180)</f>
        <v>5304.5</v>
      </c>
      <c r="N180" s="58"/>
      <c r="O180" s="55">
        <f>K180*1.03</f>
        <v>5463.6350000000002</v>
      </c>
      <c r="P180" s="57">
        <f t="shared" ref="P180" si="235">L180*1.05</f>
        <v>0</v>
      </c>
      <c r="Q180" s="57">
        <f t="shared" ref="Q180" si="236">SUM(O180:P180)</f>
        <v>5463.6350000000002</v>
      </c>
      <c r="R180" s="58"/>
      <c r="S180" s="55">
        <f>O180*1.03</f>
        <v>5627.5440500000004</v>
      </c>
      <c r="T180" s="57">
        <f t="shared" ref="T180" si="237">P180*1.05</f>
        <v>0</v>
      </c>
      <c r="U180" s="57">
        <f t="shared" ref="U180" si="238">SUM(S180:T180)</f>
        <v>5627.5440500000004</v>
      </c>
      <c r="V180" s="59"/>
      <c r="W180" s="124">
        <f t="shared" ref="W180" si="239">C180+G180+K180+O180+S180</f>
        <v>26545.679050000002</v>
      </c>
      <c r="X180" s="57">
        <f t="shared" ref="X180" si="240">D180+H180+L180+P180+T180</f>
        <v>0</v>
      </c>
      <c r="Y180" s="60">
        <f t="shared" ref="Y180" si="241">E180+I180+M180+Q180+U180</f>
        <v>26545.679050000002</v>
      </c>
    </row>
    <row r="181" spans="1:77" s="61" customFormat="1" x14ac:dyDescent="0.25">
      <c r="A181" s="53"/>
      <c r="B181" s="52" t="s">
        <v>202</v>
      </c>
      <c r="C181" s="124">
        <f>((168500/2080)*160)-77</f>
        <v>12884.538461538461</v>
      </c>
      <c r="D181" s="56">
        <v>0</v>
      </c>
      <c r="E181" s="56">
        <f t="shared" ref="E181" si="242">SUM(C181:D181)</f>
        <v>12884.538461538461</v>
      </c>
      <c r="F181" s="58"/>
      <c r="G181" s="55">
        <f>C181*1.03</f>
        <v>13271.074615384616</v>
      </c>
      <c r="H181" s="57">
        <f t="shared" ref="G181:H185" si="243">D181*1.05</f>
        <v>0</v>
      </c>
      <c r="I181" s="57">
        <f t="shared" ref="I181" si="244">SUM(G181:H181)</f>
        <v>13271.074615384616</v>
      </c>
      <c r="J181" s="58"/>
      <c r="K181" s="55">
        <f>G181*1.03</f>
        <v>13669.206853846155</v>
      </c>
      <c r="L181" s="57">
        <f t="shared" ref="K181:L185" si="245">H181*1.05</f>
        <v>0</v>
      </c>
      <c r="M181" s="57">
        <f t="shared" ref="M181" si="246">SUM(K181:L181)</f>
        <v>13669.206853846155</v>
      </c>
      <c r="N181" s="58"/>
      <c r="O181" s="55">
        <f>K181*1.03</f>
        <v>14079.283059461541</v>
      </c>
      <c r="P181" s="57">
        <f t="shared" ref="O181:P185" si="247">L181*1.05</f>
        <v>0</v>
      </c>
      <c r="Q181" s="57">
        <f t="shared" ref="Q181" si="248">SUM(O181:P181)</f>
        <v>14079.283059461541</v>
      </c>
      <c r="R181" s="58"/>
      <c r="S181" s="55">
        <f>(O181*1.03)</f>
        <v>14501.661551245388</v>
      </c>
      <c r="T181" s="57">
        <f t="shared" ref="S181:T185" si="249">P181*1.05</f>
        <v>0</v>
      </c>
      <c r="U181" s="57">
        <f t="shared" ref="U181" si="250">SUM(S181:T181)</f>
        <v>14501.661551245388</v>
      </c>
      <c r="V181" s="59"/>
      <c r="W181" s="124">
        <f t="shared" ref="W181:Y186" si="251">C181+G181+K181+O181+S181</f>
        <v>68405.764541476165</v>
      </c>
      <c r="X181" s="57">
        <f t="shared" si="251"/>
        <v>0</v>
      </c>
      <c r="Y181" s="60">
        <f t="shared" si="251"/>
        <v>68405.764541476165</v>
      </c>
    </row>
    <row r="182" spans="1:77" s="61" customFormat="1" x14ac:dyDescent="0.25">
      <c r="A182" s="53"/>
      <c r="B182" s="52" t="s">
        <v>177</v>
      </c>
      <c r="C182" s="124">
        <f>5000</f>
        <v>5000</v>
      </c>
      <c r="D182" s="56">
        <v>0</v>
      </c>
      <c r="E182" s="56">
        <f t="shared" ref="E182:E183" si="252">SUM(C182:D182)</f>
        <v>5000</v>
      </c>
      <c r="F182" s="58"/>
      <c r="G182" s="55">
        <f>C182*1.03</f>
        <v>5150</v>
      </c>
      <c r="H182" s="57">
        <f t="shared" ref="H182" si="253">D182*1.05</f>
        <v>0</v>
      </c>
      <c r="I182" s="57">
        <f t="shared" ref="I182" si="254">SUM(G182:H182)</f>
        <v>5150</v>
      </c>
      <c r="J182" s="58"/>
      <c r="K182" s="55">
        <f>G182*1.03</f>
        <v>5304.5</v>
      </c>
      <c r="L182" s="57">
        <f t="shared" ref="L182" si="255">H182*1.05</f>
        <v>0</v>
      </c>
      <c r="M182" s="57">
        <f t="shared" ref="M182" si="256">SUM(K182:L182)</f>
        <v>5304.5</v>
      </c>
      <c r="N182" s="58"/>
      <c r="O182" s="55">
        <f>K182*1.03</f>
        <v>5463.6350000000002</v>
      </c>
      <c r="P182" s="57">
        <f t="shared" ref="P182" si="257">L182*1.05</f>
        <v>0</v>
      </c>
      <c r="Q182" s="57">
        <f t="shared" ref="Q182" si="258">SUM(O182:P182)</f>
        <v>5463.6350000000002</v>
      </c>
      <c r="R182" s="58"/>
      <c r="S182" s="55">
        <f>O182*1.03</f>
        <v>5627.5440500000004</v>
      </c>
      <c r="T182" s="57">
        <f t="shared" ref="T182" si="259">P182*1.05</f>
        <v>0</v>
      </c>
      <c r="U182" s="57">
        <f t="shared" ref="U182" si="260">SUM(S182:T182)</f>
        <v>5627.5440500000004</v>
      </c>
      <c r="V182" s="59"/>
      <c r="W182" s="124">
        <f t="shared" ref="W182" si="261">C182+G182+K182+O182+S182</f>
        <v>26545.679050000002</v>
      </c>
      <c r="X182" s="57">
        <f t="shared" ref="X182" si="262">D182+H182+L182+P182+T182</f>
        <v>0</v>
      </c>
      <c r="Y182" s="60">
        <f t="shared" ref="Y182" si="263">E182+I182+M182+Q182+U182</f>
        <v>26545.679050000002</v>
      </c>
    </row>
    <row r="183" spans="1:77" s="61" customFormat="1" x14ac:dyDescent="0.25">
      <c r="A183" s="52"/>
      <c r="B183" s="52" t="s">
        <v>230</v>
      </c>
      <c r="C183" s="124">
        <f>5000*0</f>
        <v>0</v>
      </c>
      <c r="D183" s="56">
        <v>5000</v>
      </c>
      <c r="E183" s="56">
        <f t="shared" si="252"/>
        <v>5000</v>
      </c>
      <c r="F183" s="58"/>
      <c r="G183" s="55">
        <f>C183*1.03</f>
        <v>0</v>
      </c>
      <c r="H183" s="57">
        <f>D183*1.03</f>
        <v>5150</v>
      </c>
      <c r="I183" s="57">
        <f t="shared" ref="I183:I185" si="264">SUM(G183:H183)</f>
        <v>5150</v>
      </c>
      <c r="J183" s="58"/>
      <c r="K183" s="55">
        <f>C183*1.03*1.03*0</f>
        <v>0</v>
      </c>
      <c r="L183" s="57"/>
      <c r="M183" s="57">
        <f t="shared" ref="M183:M185" si="265">SUM(K183:L183)</f>
        <v>0</v>
      </c>
      <c r="N183" s="58"/>
      <c r="O183" s="55">
        <f>K183*1.03*0</f>
        <v>0</v>
      </c>
      <c r="P183" s="57"/>
      <c r="Q183" s="57">
        <f t="shared" ref="Q183:Q185" si="266">SUM(O183:P183)</f>
        <v>0</v>
      </c>
      <c r="R183" s="58"/>
      <c r="S183" s="55">
        <f>K183*1.03*1.03</f>
        <v>0</v>
      </c>
      <c r="T183" s="57"/>
      <c r="U183" s="57">
        <f t="shared" ref="U183:U185" si="267">SUM(S183:T183)</f>
        <v>0</v>
      </c>
      <c r="V183" s="59"/>
      <c r="W183" s="124">
        <f t="shared" ref="W183" si="268">C183+G183+K183+O183+S183</f>
        <v>0</v>
      </c>
      <c r="X183" s="57">
        <f t="shared" ref="X183" si="269">D183+H183+L183+P183+T183</f>
        <v>10150</v>
      </c>
      <c r="Y183" s="84">
        <f t="shared" ref="Y183" si="270">E183+I183+M183+Q183+U183</f>
        <v>10150</v>
      </c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</row>
    <row r="184" spans="1:77" s="61" customFormat="1" x14ac:dyDescent="0.25">
      <c r="A184" s="52"/>
      <c r="B184" s="52"/>
      <c r="C184" s="124">
        <v>0</v>
      </c>
      <c r="D184" s="56">
        <v>0</v>
      </c>
      <c r="E184" s="56">
        <f t="shared" ref="E184:E185" si="271">SUM(C184:D184)</f>
        <v>0</v>
      </c>
      <c r="F184" s="58"/>
      <c r="G184" s="55">
        <f t="shared" si="243"/>
        <v>0</v>
      </c>
      <c r="H184" s="57">
        <f t="shared" si="243"/>
        <v>0</v>
      </c>
      <c r="I184" s="57">
        <f t="shared" si="264"/>
        <v>0</v>
      </c>
      <c r="J184" s="58"/>
      <c r="K184" s="55">
        <f t="shared" si="245"/>
        <v>0</v>
      </c>
      <c r="L184" s="57">
        <f t="shared" si="245"/>
        <v>0</v>
      </c>
      <c r="M184" s="57">
        <f t="shared" si="265"/>
        <v>0</v>
      </c>
      <c r="N184" s="58"/>
      <c r="O184" s="55">
        <f t="shared" si="247"/>
        <v>0</v>
      </c>
      <c r="P184" s="57">
        <f t="shared" si="247"/>
        <v>0</v>
      </c>
      <c r="Q184" s="57">
        <f t="shared" si="266"/>
        <v>0</v>
      </c>
      <c r="R184" s="58"/>
      <c r="S184" s="55">
        <f t="shared" si="249"/>
        <v>0</v>
      </c>
      <c r="T184" s="57">
        <f t="shared" si="249"/>
        <v>0</v>
      </c>
      <c r="U184" s="57">
        <f t="shared" si="267"/>
        <v>0</v>
      </c>
      <c r="V184" s="59"/>
      <c r="W184" s="124">
        <f t="shared" si="251"/>
        <v>0</v>
      </c>
      <c r="X184" s="57">
        <f t="shared" si="251"/>
        <v>0</v>
      </c>
      <c r="Y184" s="84">
        <f t="shared" si="251"/>
        <v>0</v>
      </c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</row>
    <row r="185" spans="1:77" s="61" customFormat="1" x14ac:dyDescent="0.25">
      <c r="A185" s="52"/>
      <c r="B185" s="52" t="s">
        <v>57</v>
      </c>
      <c r="C185" s="124">
        <f>5000*0</f>
        <v>0</v>
      </c>
      <c r="D185" s="56">
        <v>0</v>
      </c>
      <c r="E185" s="56">
        <f t="shared" si="271"/>
        <v>0</v>
      </c>
      <c r="F185" s="58"/>
      <c r="G185" s="55">
        <f>C185*1.03</f>
        <v>0</v>
      </c>
      <c r="H185" s="57">
        <f t="shared" si="243"/>
        <v>0</v>
      </c>
      <c r="I185" s="57">
        <f t="shared" si="264"/>
        <v>0</v>
      </c>
      <c r="J185" s="58"/>
      <c r="K185" s="55">
        <f>G185*1.03</f>
        <v>0</v>
      </c>
      <c r="L185" s="57">
        <f t="shared" si="245"/>
        <v>0</v>
      </c>
      <c r="M185" s="57">
        <f t="shared" si="265"/>
        <v>0</v>
      </c>
      <c r="N185" s="58"/>
      <c r="O185" s="55">
        <f>K185*1.03</f>
        <v>0</v>
      </c>
      <c r="P185" s="57">
        <f t="shared" si="247"/>
        <v>0</v>
      </c>
      <c r="Q185" s="57">
        <f t="shared" si="266"/>
        <v>0</v>
      </c>
      <c r="R185" s="58"/>
      <c r="S185" s="55">
        <f>O185*1.03</f>
        <v>0</v>
      </c>
      <c r="T185" s="57">
        <f t="shared" si="249"/>
        <v>0</v>
      </c>
      <c r="U185" s="57">
        <f t="shared" si="267"/>
        <v>0</v>
      </c>
      <c r="V185" s="59"/>
      <c r="W185" s="124">
        <f t="shared" si="251"/>
        <v>0</v>
      </c>
      <c r="X185" s="57">
        <f t="shared" si="251"/>
        <v>0</v>
      </c>
      <c r="Y185" s="84">
        <f t="shared" si="251"/>
        <v>0</v>
      </c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</row>
    <row r="186" spans="1:77" s="83" customFormat="1" x14ac:dyDescent="0.25">
      <c r="A186" s="78"/>
      <c r="B186" s="78" t="s">
        <v>9</v>
      </c>
      <c r="C186" s="228">
        <f>SUM(C180:C185)</f>
        <v>22884.538461538461</v>
      </c>
      <c r="D186" s="125">
        <f>SUM(D180:D185)</f>
        <v>5000</v>
      </c>
      <c r="E186" s="125">
        <f>SUM(E180:E185)</f>
        <v>27884.538461538461</v>
      </c>
      <c r="F186" s="81"/>
      <c r="G186" s="79">
        <f>SUM(G180:G185)</f>
        <v>23571.074615384616</v>
      </c>
      <c r="H186" s="80">
        <f>SUM(H180:H185)</f>
        <v>5150</v>
      </c>
      <c r="I186" s="80">
        <f>SUM(I180:I185)</f>
        <v>28721.074615384616</v>
      </c>
      <c r="J186" s="81"/>
      <c r="K186" s="79">
        <f>SUM(K180:K185)</f>
        <v>24278.206853846154</v>
      </c>
      <c r="L186" s="80">
        <f>SUM(L180:L185)</f>
        <v>0</v>
      </c>
      <c r="M186" s="80">
        <f>SUM(M180:M185)</f>
        <v>24278.206853846154</v>
      </c>
      <c r="N186" s="81"/>
      <c r="O186" s="79">
        <f>SUM(O180:O185)</f>
        <v>25006.553059461541</v>
      </c>
      <c r="P186" s="80">
        <f>SUM(P180:P185)</f>
        <v>0</v>
      </c>
      <c r="Q186" s="80">
        <f>SUM(Q180:Q185)</f>
        <v>25006.553059461541</v>
      </c>
      <c r="R186" s="81"/>
      <c r="S186" s="79">
        <f>SUM(S180:S185)</f>
        <v>25756.749651245391</v>
      </c>
      <c r="T186" s="80">
        <f>SUM(T180:T185)</f>
        <v>0</v>
      </c>
      <c r="U186" s="80">
        <f>SUM(U180:U185)</f>
        <v>25756.749651245391</v>
      </c>
      <c r="V186" s="82"/>
      <c r="W186" s="228">
        <f t="shared" si="251"/>
        <v>121497.12264147618</v>
      </c>
      <c r="X186" s="80">
        <f t="shared" si="251"/>
        <v>10150</v>
      </c>
      <c r="Y186" s="80">
        <f t="shared" si="251"/>
        <v>131647.12264147616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A188" s="52"/>
      <c r="B188" s="52"/>
      <c r="C188" s="124">
        <v>0</v>
      </c>
      <c r="D188" s="56">
        <v>0</v>
      </c>
      <c r="E188" s="56">
        <f t="shared" ref="E188:E194" si="272">SUM(C188:D188)</f>
        <v>0</v>
      </c>
      <c r="F188" s="58"/>
      <c r="G188" s="55">
        <f t="shared" ref="G188:H194" si="273">C188*1.05</f>
        <v>0</v>
      </c>
      <c r="H188" s="57">
        <f t="shared" si="273"/>
        <v>0</v>
      </c>
      <c r="I188" s="57">
        <f t="shared" ref="I188:I194" si="274">SUM(G188:H188)</f>
        <v>0</v>
      </c>
      <c r="J188" s="58"/>
      <c r="K188" s="55">
        <f t="shared" ref="K188:L194" si="275">G188*1.05</f>
        <v>0</v>
      </c>
      <c r="L188" s="57">
        <f t="shared" si="275"/>
        <v>0</v>
      </c>
      <c r="M188" s="57">
        <f t="shared" ref="M188:M194" si="276">SUM(K188:L188)</f>
        <v>0</v>
      </c>
      <c r="N188" s="58"/>
      <c r="O188" s="55">
        <f t="shared" ref="O188:P194" si="277">K188*1.05</f>
        <v>0</v>
      </c>
      <c r="P188" s="57">
        <f t="shared" si="277"/>
        <v>0</v>
      </c>
      <c r="Q188" s="57">
        <f t="shared" ref="Q188:Q194" si="278">SUM(O188:P188)</f>
        <v>0</v>
      </c>
      <c r="R188" s="58"/>
      <c r="S188" s="55">
        <f t="shared" ref="S188:T194" si="279">O188*1.05</f>
        <v>0</v>
      </c>
      <c r="T188" s="57">
        <f t="shared" si="279"/>
        <v>0</v>
      </c>
      <c r="U188" s="57">
        <f t="shared" ref="U188:U194" si="280">SUM(S188:T188)</f>
        <v>0</v>
      </c>
      <c r="V188" s="59"/>
      <c r="W188" s="124">
        <f t="shared" ref="W188:Y195" si="281">C188+G188+K188+O188+S188</f>
        <v>0</v>
      </c>
      <c r="X188" s="57">
        <f t="shared" si="281"/>
        <v>0</v>
      </c>
      <c r="Y188" s="84">
        <f t="shared" si="281"/>
        <v>0</v>
      </c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</row>
    <row r="189" spans="1:77" s="61" customFormat="1" x14ac:dyDescent="0.25">
      <c r="A189" s="52"/>
      <c r="B189" s="268" t="s">
        <v>208</v>
      </c>
      <c r="C189" s="124">
        <v>0</v>
      </c>
      <c r="D189" s="56">
        <v>0</v>
      </c>
      <c r="E189" s="56">
        <f t="shared" si="272"/>
        <v>0</v>
      </c>
      <c r="F189" s="58"/>
      <c r="G189" s="55">
        <f t="shared" si="273"/>
        <v>0</v>
      </c>
      <c r="H189" s="57">
        <f t="shared" si="273"/>
        <v>0</v>
      </c>
      <c r="I189" s="57">
        <f t="shared" si="274"/>
        <v>0</v>
      </c>
      <c r="J189" s="58"/>
      <c r="K189" s="55">
        <f>(50923/2)*0</f>
        <v>0</v>
      </c>
      <c r="L189" s="57">
        <f t="shared" si="275"/>
        <v>0</v>
      </c>
      <c r="M189" s="57">
        <f t="shared" si="276"/>
        <v>0</v>
      </c>
      <c r="N189" s="58"/>
      <c r="O189" s="55">
        <f>K189*1.05</f>
        <v>0</v>
      </c>
      <c r="P189" s="57">
        <f t="shared" si="277"/>
        <v>0</v>
      </c>
      <c r="Q189" s="57">
        <f t="shared" si="278"/>
        <v>0</v>
      </c>
      <c r="R189" s="58"/>
      <c r="S189" s="55">
        <f>O189*1.03*0</f>
        <v>0</v>
      </c>
      <c r="T189" s="57">
        <f t="shared" si="279"/>
        <v>0</v>
      </c>
      <c r="U189" s="57">
        <f t="shared" si="280"/>
        <v>0</v>
      </c>
      <c r="V189" s="59"/>
      <c r="W189" s="124">
        <f t="shared" si="281"/>
        <v>0</v>
      </c>
      <c r="X189" s="57">
        <f t="shared" si="281"/>
        <v>0</v>
      </c>
      <c r="Y189" s="84">
        <f t="shared" si="281"/>
        <v>0</v>
      </c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</row>
    <row r="190" spans="1:77" s="61" customFormat="1" x14ac:dyDescent="0.25">
      <c r="A190" s="52"/>
      <c r="B190" s="52"/>
      <c r="C190" s="124">
        <v>0</v>
      </c>
      <c r="D190" s="56">
        <v>0</v>
      </c>
      <c r="E190" s="56">
        <f t="shared" si="272"/>
        <v>0</v>
      </c>
      <c r="F190" s="58"/>
      <c r="G190" s="55">
        <f t="shared" si="273"/>
        <v>0</v>
      </c>
      <c r="H190" s="57">
        <f t="shared" si="273"/>
        <v>0</v>
      </c>
      <c r="I190" s="57">
        <f t="shared" si="274"/>
        <v>0</v>
      </c>
      <c r="J190" s="58"/>
      <c r="K190" s="55">
        <f t="shared" si="275"/>
        <v>0</v>
      </c>
      <c r="L190" s="57">
        <f t="shared" si="275"/>
        <v>0</v>
      </c>
      <c r="M190" s="57">
        <f t="shared" si="276"/>
        <v>0</v>
      </c>
      <c r="N190" s="58"/>
      <c r="O190" s="55">
        <f t="shared" si="277"/>
        <v>0</v>
      </c>
      <c r="P190" s="57">
        <f t="shared" si="277"/>
        <v>0</v>
      </c>
      <c r="Q190" s="57">
        <f t="shared" si="278"/>
        <v>0</v>
      </c>
      <c r="R190" s="58"/>
      <c r="S190" s="55">
        <f t="shared" si="279"/>
        <v>0</v>
      </c>
      <c r="T190" s="57">
        <f t="shared" si="279"/>
        <v>0</v>
      </c>
      <c r="U190" s="57">
        <f t="shared" si="280"/>
        <v>0</v>
      </c>
      <c r="V190" s="59"/>
      <c r="W190" s="124">
        <f t="shared" si="281"/>
        <v>0</v>
      </c>
      <c r="X190" s="57">
        <f t="shared" si="281"/>
        <v>0</v>
      </c>
      <c r="Y190" s="84">
        <f t="shared" si="281"/>
        <v>0</v>
      </c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s="61" customFormat="1" x14ac:dyDescent="0.25">
      <c r="A191" s="87"/>
      <c r="B191" s="52"/>
      <c r="C191" s="124">
        <v>0</v>
      </c>
      <c r="D191" s="56">
        <v>0</v>
      </c>
      <c r="E191" s="56">
        <f t="shared" si="272"/>
        <v>0</v>
      </c>
      <c r="F191" s="58"/>
      <c r="G191" s="55">
        <f t="shared" si="273"/>
        <v>0</v>
      </c>
      <c r="H191" s="57">
        <f t="shared" si="273"/>
        <v>0</v>
      </c>
      <c r="I191" s="57">
        <f t="shared" si="274"/>
        <v>0</v>
      </c>
      <c r="J191" s="58"/>
      <c r="K191" s="55">
        <f t="shared" si="275"/>
        <v>0</v>
      </c>
      <c r="L191" s="57">
        <f t="shared" si="275"/>
        <v>0</v>
      </c>
      <c r="M191" s="57">
        <f t="shared" si="276"/>
        <v>0</v>
      </c>
      <c r="N191" s="58"/>
      <c r="O191" s="55">
        <f t="shared" si="277"/>
        <v>0</v>
      </c>
      <c r="P191" s="57">
        <f t="shared" si="277"/>
        <v>0</v>
      </c>
      <c r="Q191" s="57">
        <f t="shared" si="278"/>
        <v>0</v>
      </c>
      <c r="R191" s="58"/>
      <c r="S191" s="55">
        <f t="shared" si="279"/>
        <v>0</v>
      </c>
      <c r="T191" s="57">
        <f t="shared" si="279"/>
        <v>0</v>
      </c>
      <c r="U191" s="57">
        <f t="shared" si="280"/>
        <v>0</v>
      </c>
      <c r="V191" s="59"/>
      <c r="W191" s="124">
        <f t="shared" si="281"/>
        <v>0</v>
      </c>
      <c r="X191" s="57">
        <f t="shared" si="281"/>
        <v>0</v>
      </c>
      <c r="Y191" s="84">
        <f t="shared" si="281"/>
        <v>0</v>
      </c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</row>
    <row r="192" spans="1:77" s="61" customFormat="1" x14ac:dyDescent="0.25">
      <c r="A192" s="52"/>
      <c r="B192" s="52"/>
      <c r="C192" s="124">
        <v>0</v>
      </c>
      <c r="D192" s="56">
        <v>0</v>
      </c>
      <c r="E192" s="56">
        <f t="shared" si="272"/>
        <v>0</v>
      </c>
      <c r="F192" s="58"/>
      <c r="G192" s="55">
        <f t="shared" si="273"/>
        <v>0</v>
      </c>
      <c r="H192" s="57">
        <f t="shared" si="273"/>
        <v>0</v>
      </c>
      <c r="I192" s="57">
        <f t="shared" si="274"/>
        <v>0</v>
      </c>
      <c r="J192" s="58"/>
      <c r="K192" s="55">
        <f t="shared" si="275"/>
        <v>0</v>
      </c>
      <c r="L192" s="57">
        <f t="shared" si="275"/>
        <v>0</v>
      </c>
      <c r="M192" s="57">
        <f t="shared" si="276"/>
        <v>0</v>
      </c>
      <c r="N192" s="58"/>
      <c r="O192" s="55">
        <f t="shared" si="277"/>
        <v>0</v>
      </c>
      <c r="P192" s="57">
        <f t="shared" si="277"/>
        <v>0</v>
      </c>
      <c r="Q192" s="57">
        <f t="shared" si="278"/>
        <v>0</v>
      </c>
      <c r="R192" s="58"/>
      <c r="S192" s="55">
        <f t="shared" si="279"/>
        <v>0</v>
      </c>
      <c r="T192" s="57">
        <f t="shared" si="279"/>
        <v>0</v>
      </c>
      <c r="U192" s="57">
        <f t="shared" si="280"/>
        <v>0</v>
      </c>
      <c r="V192" s="59"/>
      <c r="W192" s="124">
        <f t="shared" si="281"/>
        <v>0</v>
      </c>
      <c r="X192" s="57">
        <f t="shared" si="281"/>
        <v>0</v>
      </c>
      <c r="Y192" s="84">
        <f t="shared" si="281"/>
        <v>0</v>
      </c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si="272"/>
        <v>0</v>
      </c>
      <c r="F193" s="58"/>
      <c r="G193" s="55">
        <f t="shared" si="273"/>
        <v>0</v>
      </c>
      <c r="H193" s="57">
        <f t="shared" si="273"/>
        <v>0</v>
      </c>
      <c r="I193" s="57">
        <f t="shared" si="274"/>
        <v>0</v>
      </c>
      <c r="J193" s="58"/>
      <c r="K193" s="55">
        <f t="shared" si="275"/>
        <v>0</v>
      </c>
      <c r="L193" s="57">
        <f t="shared" si="275"/>
        <v>0</v>
      </c>
      <c r="M193" s="57">
        <f t="shared" si="276"/>
        <v>0</v>
      </c>
      <c r="N193" s="58"/>
      <c r="O193" s="55">
        <f t="shared" si="277"/>
        <v>0</v>
      </c>
      <c r="P193" s="57">
        <f t="shared" si="277"/>
        <v>0</v>
      </c>
      <c r="Q193" s="57">
        <f t="shared" si="278"/>
        <v>0</v>
      </c>
      <c r="R193" s="58"/>
      <c r="S193" s="55">
        <f t="shared" si="279"/>
        <v>0</v>
      </c>
      <c r="T193" s="57">
        <f t="shared" si="279"/>
        <v>0</v>
      </c>
      <c r="U193" s="57">
        <f t="shared" si="280"/>
        <v>0</v>
      </c>
      <c r="V193" s="59"/>
      <c r="W193" s="124">
        <f t="shared" si="281"/>
        <v>0</v>
      </c>
      <c r="X193" s="57">
        <f t="shared" si="281"/>
        <v>0</v>
      </c>
      <c r="Y193" s="84">
        <f t="shared" si="281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272"/>
        <v>0</v>
      </c>
      <c r="F194" s="74"/>
      <c r="G194" s="55">
        <f t="shared" si="273"/>
        <v>0</v>
      </c>
      <c r="H194" s="57">
        <f t="shared" si="273"/>
        <v>0</v>
      </c>
      <c r="I194" s="57">
        <f t="shared" si="274"/>
        <v>0</v>
      </c>
      <c r="J194" s="74"/>
      <c r="K194" s="55">
        <f t="shared" si="275"/>
        <v>0</v>
      </c>
      <c r="L194" s="57">
        <f t="shared" si="275"/>
        <v>0</v>
      </c>
      <c r="M194" s="57">
        <f t="shared" si="276"/>
        <v>0</v>
      </c>
      <c r="N194" s="74"/>
      <c r="O194" s="55">
        <f t="shared" si="277"/>
        <v>0</v>
      </c>
      <c r="P194" s="57">
        <f t="shared" si="277"/>
        <v>0</v>
      </c>
      <c r="Q194" s="57">
        <f t="shared" si="278"/>
        <v>0</v>
      </c>
      <c r="R194" s="74"/>
      <c r="S194" s="55">
        <f t="shared" si="279"/>
        <v>0</v>
      </c>
      <c r="T194" s="57">
        <f t="shared" si="279"/>
        <v>0</v>
      </c>
      <c r="U194" s="57">
        <f t="shared" si="280"/>
        <v>0</v>
      </c>
      <c r="V194" s="59"/>
      <c r="W194" s="124">
        <f t="shared" si="281"/>
        <v>0</v>
      </c>
      <c r="X194" s="57">
        <f t="shared" si="281"/>
        <v>0</v>
      </c>
      <c r="Y194" s="84">
        <f t="shared" si="281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0</v>
      </c>
      <c r="D195" s="125">
        <f>SUM(D188:D194)</f>
        <v>0</v>
      </c>
      <c r="E195" s="125">
        <f>SUM(E188:E194)</f>
        <v>0</v>
      </c>
      <c r="F195" s="81"/>
      <c r="G195" s="79">
        <f>SUM(G188:G194)</f>
        <v>0</v>
      </c>
      <c r="H195" s="80">
        <f>SUM(H188:H194)</f>
        <v>0</v>
      </c>
      <c r="I195" s="80">
        <f>SUM(I188:I194)</f>
        <v>0</v>
      </c>
      <c r="J195" s="81"/>
      <c r="K195" s="79">
        <f>SUM(K188:K194)</f>
        <v>0</v>
      </c>
      <c r="L195" s="80">
        <f>SUM(L188:L194)</f>
        <v>0</v>
      </c>
      <c r="M195" s="80">
        <f>SUM(M188:M194)</f>
        <v>0</v>
      </c>
      <c r="N195" s="81"/>
      <c r="O195" s="79">
        <f>SUM(O188:O194)</f>
        <v>0</v>
      </c>
      <c r="P195" s="80">
        <f>SUM(P188:P194)</f>
        <v>0</v>
      </c>
      <c r="Q195" s="80">
        <f>SUM(Q188:Q194)</f>
        <v>0</v>
      </c>
      <c r="R195" s="81"/>
      <c r="S195" s="79">
        <f>SUM(S188:S194)</f>
        <v>0</v>
      </c>
      <c r="T195" s="80">
        <f>SUM(T188:T194)</f>
        <v>0</v>
      </c>
      <c r="U195" s="80">
        <f>SUM(U188:U194)</f>
        <v>0</v>
      </c>
      <c r="V195" s="82"/>
      <c r="W195" s="228">
        <f t="shared" si="281"/>
        <v>0</v>
      </c>
      <c r="X195" s="80">
        <f t="shared" si="281"/>
        <v>0</v>
      </c>
      <c r="Y195" s="80">
        <f t="shared" si="281"/>
        <v>0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>C195+C186</f>
        <v>22884.538461538461</v>
      </c>
      <c r="D196" s="107">
        <f t="shared" ref="D196:X196" si="282">D195+D186</f>
        <v>5000</v>
      </c>
      <c r="E196" s="107">
        <f t="shared" si="282"/>
        <v>27884.538461538461</v>
      </c>
      <c r="F196" s="107">
        <f t="shared" si="282"/>
        <v>0</v>
      </c>
      <c r="G196" s="107">
        <f t="shared" si="282"/>
        <v>23571.074615384616</v>
      </c>
      <c r="H196" s="107">
        <f t="shared" si="282"/>
        <v>5150</v>
      </c>
      <c r="I196" s="107">
        <f t="shared" si="282"/>
        <v>28721.074615384616</v>
      </c>
      <c r="J196" s="107">
        <f t="shared" si="282"/>
        <v>0</v>
      </c>
      <c r="K196" s="107">
        <f t="shared" si="282"/>
        <v>24278.206853846154</v>
      </c>
      <c r="L196" s="107">
        <f t="shared" si="282"/>
        <v>0</v>
      </c>
      <c r="M196" s="107">
        <f t="shared" si="282"/>
        <v>24278.206853846154</v>
      </c>
      <c r="N196" s="107">
        <f t="shared" si="282"/>
        <v>0</v>
      </c>
      <c r="O196" s="107">
        <f t="shared" si="282"/>
        <v>25006.553059461541</v>
      </c>
      <c r="P196" s="107">
        <f t="shared" si="282"/>
        <v>0</v>
      </c>
      <c r="Q196" s="107">
        <f t="shared" si="282"/>
        <v>25006.553059461541</v>
      </c>
      <c r="R196" s="107">
        <f t="shared" si="282"/>
        <v>0</v>
      </c>
      <c r="S196" s="107">
        <f t="shared" si="282"/>
        <v>25756.749651245391</v>
      </c>
      <c r="T196" s="107">
        <f t="shared" si="282"/>
        <v>0</v>
      </c>
      <c r="U196" s="107">
        <f t="shared" si="282"/>
        <v>25756.749651245391</v>
      </c>
      <c r="V196" s="107">
        <f t="shared" si="282"/>
        <v>0</v>
      </c>
      <c r="W196" s="107">
        <f t="shared" si="282"/>
        <v>121497.12264147618</v>
      </c>
      <c r="X196" s="107">
        <f t="shared" si="282"/>
        <v>10150</v>
      </c>
      <c r="Y196" s="108">
        <f>E196+I196+M196+Q196+U196</f>
        <v>131647.12264147616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77" customFormat="1" x14ac:dyDescent="0.25">
      <c r="A197" s="74" t="s">
        <v>6</v>
      </c>
      <c r="B197" s="74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129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s="61" customFormat="1" x14ac:dyDescent="0.25">
      <c r="A198" s="50">
        <v>3.6999999999999998E-2</v>
      </c>
      <c r="B198" s="52" t="s">
        <v>107</v>
      </c>
      <c r="C198" s="124">
        <f>C180*0.35*0</f>
        <v>0</v>
      </c>
      <c r="D198" s="56">
        <v>0</v>
      </c>
      <c r="E198" s="56">
        <f t="shared" ref="E198:E203" si="283">SUM(C198:D198)</f>
        <v>0</v>
      </c>
      <c r="F198" s="58"/>
      <c r="G198" s="55">
        <f>G180*0.35*0</f>
        <v>0</v>
      </c>
      <c r="H198" s="57">
        <v>0</v>
      </c>
      <c r="I198" s="57">
        <f t="shared" ref="I198:I203" si="284">SUM(G198:H198)</f>
        <v>0</v>
      </c>
      <c r="J198" s="58"/>
      <c r="K198" s="124">
        <f>K195*(A198*1.03*1.03*1.03)</f>
        <v>0</v>
      </c>
      <c r="L198" s="57">
        <v>0</v>
      </c>
      <c r="M198" s="57">
        <f t="shared" ref="M198:M203" si="285">SUM(K198:L198)</f>
        <v>0</v>
      </c>
      <c r="N198" s="58"/>
      <c r="O198" s="55">
        <f>O195*(A198*1.03*1.03*1.03*1.03)</f>
        <v>0</v>
      </c>
      <c r="P198" s="57">
        <v>0</v>
      </c>
      <c r="Q198" s="57">
        <f t="shared" ref="Q198:Q203" si="286">SUM(O198:P198)</f>
        <v>0</v>
      </c>
      <c r="R198" s="58"/>
      <c r="S198" s="55">
        <f>S180*0.35*0</f>
        <v>0</v>
      </c>
      <c r="T198" s="57">
        <v>0</v>
      </c>
      <c r="U198" s="57">
        <f t="shared" ref="U198:U203" si="287">SUM(S198:T198)</f>
        <v>0</v>
      </c>
      <c r="V198" s="59"/>
      <c r="W198" s="124">
        <f t="shared" ref="W198:Y204" si="288">C198+G198+K198+O198+S198</f>
        <v>0</v>
      </c>
      <c r="X198" s="57">
        <f t="shared" si="288"/>
        <v>0</v>
      </c>
      <c r="Y198" s="84">
        <f t="shared" si="288"/>
        <v>0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C186*(A199*1.03)</f>
        <v>2474.9628346153845</v>
      </c>
      <c r="D199" s="56">
        <f>D186*A199*1.03</f>
        <v>540.75</v>
      </c>
      <c r="E199" s="56">
        <f t="shared" si="283"/>
        <v>3015.7128346153845</v>
      </c>
      <c r="F199" s="58"/>
      <c r="G199" s="124">
        <f>G186*(A199*1.03*1.03)</f>
        <v>2625.6880712434613</v>
      </c>
      <c r="H199" s="56">
        <f>H186*A199*1.03*1.03</f>
        <v>573.68167499999993</v>
      </c>
      <c r="I199" s="57">
        <f t="shared" si="284"/>
        <v>3199.3697462434611</v>
      </c>
      <c r="J199" s="58"/>
      <c r="K199" s="124">
        <f>K186*(A199*1.03*1.03*1.03)</f>
        <v>2785.5924747821882</v>
      </c>
      <c r="L199" s="57">
        <f>H199*1.05*0</f>
        <v>0</v>
      </c>
      <c r="M199" s="57">
        <f t="shared" si="285"/>
        <v>2785.5924747821882</v>
      </c>
      <c r="N199" s="58"/>
      <c r="O199" s="124">
        <f>O186*(A199*1.03*1.03*1.03*1.03)</f>
        <v>2955.2350564964236</v>
      </c>
      <c r="P199" s="57">
        <f>L199*1.05</f>
        <v>0</v>
      </c>
      <c r="Q199" s="57">
        <f t="shared" si="286"/>
        <v>2955.2350564964236</v>
      </c>
      <c r="R199" s="58"/>
      <c r="S199" s="124">
        <f>S186*(A199*1.03*1.03*1.03*1.03*1.03)</f>
        <v>3135.2088714370566</v>
      </c>
      <c r="T199" s="57">
        <f>P199*1.05</f>
        <v>0</v>
      </c>
      <c r="U199" s="57">
        <f t="shared" si="287"/>
        <v>3135.2088714370566</v>
      </c>
      <c r="V199" s="59"/>
      <c r="W199" s="124">
        <f t="shared" si="288"/>
        <v>13976.687308574514</v>
      </c>
      <c r="X199" s="57">
        <f t="shared" si="288"/>
        <v>1114.4316749999998</v>
      </c>
      <c r="Y199" s="84">
        <f t="shared" si="288"/>
        <v>15091.118983574514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61" customFormat="1" x14ac:dyDescent="0.25">
      <c r="A200" s="3">
        <v>0.36099999999999999</v>
      </c>
      <c r="B200" s="52" t="s">
        <v>52</v>
      </c>
      <c r="C200" s="124">
        <v>0</v>
      </c>
      <c r="D200" s="56">
        <v>0</v>
      </c>
      <c r="E200" s="56">
        <f t="shared" si="283"/>
        <v>0</v>
      </c>
      <c r="F200" s="58"/>
      <c r="G200" s="55">
        <f>C200*1.05</f>
        <v>0</v>
      </c>
      <c r="H200" s="57">
        <f>D200*1.05</f>
        <v>0</v>
      </c>
      <c r="I200" s="57">
        <f t="shared" si="284"/>
        <v>0</v>
      </c>
      <c r="J200" s="58"/>
      <c r="K200" s="55">
        <f>G200*1.05</f>
        <v>0</v>
      </c>
      <c r="L200" s="57">
        <f>H200*1.05</f>
        <v>0</v>
      </c>
      <c r="M200" s="57">
        <f t="shared" si="285"/>
        <v>0</v>
      </c>
      <c r="N200" s="58"/>
      <c r="O200" s="55">
        <f>K200*1.05</f>
        <v>0</v>
      </c>
      <c r="P200" s="57">
        <f>L200*1.05</f>
        <v>0</v>
      </c>
      <c r="Q200" s="57">
        <f t="shared" si="286"/>
        <v>0</v>
      </c>
      <c r="R200" s="58"/>
      <c r="S200" s="55">
        <f>O200*1.05</f>
        <v>0</v>
      </c>
      <c r="T200" s="57">
        <f>P200*1.05</f>
        <v>0</v>
      </c>
      <c r="U200" s="57">
        <f t="shared" si="287"/>
        <v>0</v>
      </c>
      <c r="V200" s="59"/>
      <c r="W200" s="124">
        <f t="shared" si="288"/>
        <v>0</v>
      </c>
      <c r="X200" s="57">
        <f t="shared" si="288"/>
        <v>0</v>
      </c>
      <c r="Y200" s="84">
        <f t="shared" si="288"/>
        <v>0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61" customFormat="1" x14ac:dyDescent="0.25">
      <c r="A201" s="50">
        <v>0.34899999999999998</v>
      </c>
      <c r="B201" s="52" t="s">
        <v>109</v>
      </c>
      <c r="C201" s="124">
        <f>C189*0.43</f>
        <v>0</v>
      </c>
      <c r="D201" s="56">
        <v>0</v>
      </c>
      <c r="E201" s="56">
        <f t="shared" si="283"/>
        <v>0</v>
      </c>
      <c r="F201" s="58"/>
      <c r="G201" s="55">
        <f>C201*1.1</f>
        <v>0</v>
      </c>
      <c r="H201" s="57">
        <f>D201*1.1</f>
        <v>0</v>
      </c>
      <c r="I201" s="57">
        <f t="shared" si="284"/>
        <v>0</v>
      </c>
      <c r="J201" s="58"/>
      <c r="K201" s="55">
        <f>G201*1.1</f>
        <v>0</v>
      </c>
      <c r="L201" s="57">
        <f>H201*1.1</f>
        <v>0</v>
      </c>
      <c r="M201" s="57">
        <f t="shared" si="285"/>
        <v>0</v>
      </c>
      <c r="N201" s="58"/>
      <c r="O201" s="55">
        <f>K201*1.1</f>
        <v>0</v>
      </c>
      <c r="P201" s="57">
        <f>L201*1.1</f>
        <v>0</v>
      </c>
      <c r="Q201" s="57">
        <f t="shared" si="286"/>
        <v>0</v>
      </c>
      <c r="R201" s="58"/>
      <c r="S201" s="55">
        <f>O201*1.1</f>
        <v>0</v>
      </c>
      <c r="T201" s="57">
        <f>P201*1.1</f>
        <v>0</v>
      </c>
      <c r="U201" s="57">
        <f t="shared" si="287"/>
        <v>0</v>
      </c>
      <c r="V201" s="59"/>
      <c r="W201" s="124">
        <f t="shared" si="288"/>
        <v>0</v>
      </c>
      <c r="X201" s="57">
        <f t="shared" si="288"/>
        <v>0</v>
      </c>
      <c r="Y201" s="84">
        <f t="shared" si="288"/>
        <v>0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f>C190*0.089</f>
        <v>0</v>
      </c>
      <c r="D202" s="56">
        <v>0</v>
      </c>
      <c r="E202" s="56">
        <f t="shared" si="283"/>
        <v>0</v>
      </c>
      <c r="F202" s="58"/>
      <c r="G202" s="55">
        <f>C202*1.05</f>
        <v>0</v>
      </c>
      <c r="H202" s="57">
        <f>D202*1.05</f>
        <v>0</v>
      </c>
      <c r="I202" s="57">
        <f t="shared" si="284"/>
        <v>0</v>
      </c>
      <c r="J202" s="58"/>
      <c r="K202" s="55">
        <f>K190*0.089</f>
        <v>0</v>
      </c>
      <c r="L202" s="57">
        <v>0</v>
      </c>
      <c r="M202" s="57">
        <f t="shared" si="285"/>
        <v>0</v>
      </c>
      <c r="N202" s="58"/>
      <c r="O202" s="55">
        <f>O190*0.089</f>
        <v>0</v>
      </c>
      <c r="P202" s="57">
        <v>0</v>
      </c>
      <c r="Q202" s="57">
        <f t="shared" si="286"/>
        <v>0</v>
      </c>
      <c r="R202" s="58"/>
      <c r="S202" s="55">
        <f>S190*0.089</f>
        <v>0</v>
      </c>
      <c r="T202" s="57">
        <v>0</v>
      </c>
      <c r="U202" s="57">
        <f t="shared" si="287"/>
        <v>0</v>
      </c>
      <c r="V202" s="59"/>
      <c r="W202" s="124">
        <f t="shared" si="288"/>
        <v>0</v>
      </c>
      <c r="X202" s="57">
        <f t="shared" si="288"/>
        <v>0</v>
      </c>
      <c r="Y202" s="84">
        <f t="shared" si="288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f>C191*0.089</f>
        <v>0</v>
      </c>
      <c r="D203" s="56">
        <v>0</v>
      </c>
      <c r="E203" s="56">
        <f t="shared" si="283"/>
        <v>0</v>
      </c>
      <c r="F203" s="58"/>
      <c r="G203" s="55">
        <f>C203*1.05</f>
        <v>0</v>
      </c>
      <c r="H203" s="57">
        <f>D203*1.05</f>
        <v>0</v>
      </c>
      <c r="I203" s="57">
        <f t="shared" si="284"/>
        <v>0</v>
      </c>
      <c r="J203" s="58"/>
      <c r="K203" s="55">
        <f>K191*0.089</f>
        <v>0</v>
      </c>
      <c r="L203" s="57">
        <v>0</v>
      </c>
      <c r="M203" s="57">
        <f t="shared" si="285"/>
        <v>0</v>
      </c>
      <c r="N203" s="58"/>
      <c r="O203" s="55">
        <f>O191*0.089</f>
        <v>0</v>
      </c>
      <c r="P203" s="57">
        <v>0</v>
      </c>
      <c r="Q203" s="57">
        <f t="shared" si="286"/>
        <v>0</v>
      </c>
      <c r="R203" s="58"/>
      <c r="S203" s="55">
        <f>S191*0.089</f>
        <v>0</v>
      </c>
      <c r="T203" s="57">
        <v>0</v>
      </c>
      <c r="U203" s="57">
        <f t="shared" si="287"/>
        <v>0</v>
      </c>
      <c r="V203" s="59"/>
      <c r="W203" s="124">
        <f t="shared" si="288"/>
        <v>0</v>
      </c>
      <c r="X203" s="57">
        <f t="shared" si="288"/>
        <v>0</v>
      </c>
      <c r="Y203" s="84">
        <f t="shared" si="288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2474.9628346153845</v>
      </c>
      <c r="D204" s="125">
        <f>SUM(D198:D203)</f>
        <v>540.75</v>
      </c>
      <c r="E204" s="125">
        <f>SUM(E198:E203)</f>
        <v>3015.7128346153845</v>
      </c>
      <c r="F204" s="81"/>
      <c r="G204" s="79">
        <f>SUM(G198:G203)</f>
        <v>2625.6880712434613</v>
      </c>
      <c r="H204" s="80">
        <f>SUM(H198:H203)</f>
        <v>573.68167499999993</v>
      </c>
      <c r="I204" s="80">
        <f>SUM(I198:I203)</f>
        <v>3199.3697462434611</v>
      </c>
      <c r="J204" s="81"/>
      <c r="K204" s="79">
        <f>SUM(K198:K203)</f>
        <v>2785.5924747821882</v>
      </c>
      <c r="L204" s="80">
        <f>SUM(L198:L203)</f>
        <v>0</v>
      </c>
      <c r="M204" s="80">
        <f>SUM(M198:M203)</f>
        <v>2785.5924747821882</v>
      </c>
      <c r="N204" s="81"/>
      <c r="O204" s="79">
        <f>SUM(O198:O203)</f>
        <v>2955.2350564964236</v>
      </c>
      <c r="P204" s="80">
        <f>SUM(P198:P203)</f>
        <v>0</v>
      </c>
      <c r="Q204" s="80">
        <f>SUM(Q198:Q203)</f>
        <v>2955.2350564964236</v>
      </c>
      <c r="R204" s="81"/>
      <c r="S204" s="79">
        <f>SUM(S198:S203)</f>
        <v>3135.2088714370566</v>
      </c>
      <c r="T204" s="80">
        <f>SUM(T198:T203)</f>
        <v>0</v>
      </c>
      <c r="U204" s="80">
        <f>SUM(U198:U203)</f>
        <v>3135.2088714370566</v>
      </c>
      <c r="V204" s="82"/>
      <c r="W204" s="228">
        <f t="shared" si="288"/>
        <v>13976.687308574514</v>
      </c>
      <c r="X204" s="80">
        <f t="shared" si="288"/>
        <v>1114.4316749999998</v>
      </c>
      <c r="Y204" s="80">
        <f t="shared" si="288"/>
        <v>15091.118983574514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289">C204+C196</f>
        <v>25359.501296153845</v>
      </c>
      <c r="D205" s="107">
        <f t="shared" si="289"/>
        <v>5540.75</v>
      </c>
      <c r="E205" s="107">
        <f t="shared" si="289"/>
        <v>30900.251296153845</v>
      </c>
      <c r="F205" s="107">
        <f t="shared" si="289"/>
        <v>0</v>
      </c>
      <c r="G205" s="107">
        <f t="shared" si="289"/>
        <v>26196.762686628077</v>
      </c>
      <c r="H205" s="107">
        <f t="shared" si="289"/>
        <v>5723.6816749999998</v>
      </c>
      <c r="I205" s="107">
        <f t="shared" si="289"/>
        <v>31920.444361628077</v>
      </c>
      <c r="J205" s="107">
        <f t="shared" si="289"/>
        <v>0</v>
      </c>
      <c r="K205" s="107">
        <f t="shared" si="289"/>
        <v>27063.799328628342</v>
      </c>
      <c r="L205" s="107">
        <f t="shared" si="289"/>
        <v>0</v>
      </c>
      <c r="M205" s="107">
        <f t="shared" si="289"/>
        <v>27063.799328628342</v>
      </c>
      <c r="N205" s="107">
        <f t="shared" si="289"/>
        <v>0</v>
      </c>
      <c r="O205" s="107">
        <f t="shared" si="289"/>
        <v>27961.788115957963</v>
      </c>
      <c r="P205" s="107">
        <f t="shared" si="289"/>
        <v>0</v>
      </c>
      <c r="Q205" s="107">
        <f t="shared" si="289"/>
        <v>27961.788115957963</v>
      </c>
      <c r="R205" s="107">
        <f t="shared" si="289"/>
        <v>0</v>
      </c>
      <c r="S205" s="107">
        <f t="shared" si="289"/>
        <v>28891.958522682449</v>
      </c>
      <c r="T205" s="107">
        <f t="shared" si="289"/>
        <v>0</v>
      </c>
      <c r="U205" s="107">
        <f t="shared" si="289"/>
        <v>28891.958522682449</v>
      </c>
      <c r="V205" s="107">
        <f t="shared" si="289"/>
        <v>0</v>
      </c>
      <c r="W205" s="107">
        <f t="shared" si="289"/>
        <v>135473.80995005069</v>
      </c>
      <c r="X205" s="107">
        <f t="shared" si="289"/>
        <v>11264.431675</v>
      </c>
      <c r="Y205" s="107">
        <f t="shared" si="289"/>
        <v>146738.24162505066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52"/>
      <c r="C207" s="124">
        <v>0</v>
      </c>
      <c r="D207" s="56">
        <v>0</v>
      </c>
      <c r="E207" s="56">
        <f t="shared" ref="E207:E216" si="290">SUM(C207:D207)</f>
        <v>0</v>
      </c>
      <c r="F207" s="58"/>
      <c r="G207" s="55">
        <v>0</v>
      </c>
      <c r="H207" s="57">
        <v>0</v>
      </c>
      <c r="I207" s="57">
        <f t="shared" ref="I207:I216" si="291">SUM(G207:H207)</f>
        <v>0</v>
      </c>
      <c r="J207" s="58"/>
      <c r="K207" s="55">
        <v>0</v>
      </c>
      <c r="L207" s="57">
        <v>0</v>
      </c>
      <c r="M207" s="57">
        <f t="shared" ref="M207:M216" si="292">SUM(K207:L207)</f>
        <v>0</v>
      </c>
      <c r="N207" s="58"/>
      <c r="O207" s="55">
        <v>0</v>
      </c>
      <c r="P207" s="57">
        <v>0</v>
      </c>
      <c r="Q207" s="57">
        <f t="shared" ref="Q207:Q216" si="293">SUM(O207:P207)</f>
        <v>0</v>
      </c>
      <c r="R207" s="58"/>
      <c r="S207" s="55">
        <v>0</v>
      </c>
      <c r="T207" s="57">
        <v>0</v>
      </c>
      <c r="U207" s="57">
        <f t="shared" ref="U207:U216" si="294">SUM(S207:T207)</f>
        <v>0</v>
      </c>
      <c r="V207" s="59"/>
      <c r="W207" s="124">
        <f t="shared" ref="W207:W217" si="295">C207+G207+K207+O207+S207</f>
        <v>0</v>
      </c>
      <c r="X207" s="57">
        <f t="shared" ref="X207:X217" si="296">D207+H207+L207+P207+T207</f>
        <v>0</v>
      </c>
      <c r="Y207" s="84">
        <f t="shared" ref="Y207:Y217" si="297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A208" s="52"/>
      <c r="B208" s="52"/>
      <c r="C208" s="124">
        <v>0</v>
      </c>
      <c r="D208" s="56">
        <v>0</v>
      </c>
      <c r="E208" s="56">
        <f t="shared" si="290"/>
        <v>0</v>
      </c>
      <c r="F208" s="58"/>
      <c r="G208" s="55">
        <v>0</v>
      </c>
      <c r="H208" s="57">
        <v>0</v>
      </c>
      <c r="I208" s="57">
        <f t="shared" si="291"/>
        <v>0</v>
      </c>
      <c r="J208" s="58"/>
      <c r="K208" s="55">
        <v>0</v>
      </c>
      <c r="L208" s="57">
        <v>0</v>
      </c>
      <c r="M208" s="57">
        <f t="shared" si="292"/>
        <v>0</v>
      </c>
      <c r="N208" s="58"/>
      <c r="O208" s="55">
        <v>0</v>
      </c>
      <c r="P208" s="57">
        <v>0</v>
      </c>
      <c r="Q208" s="57">
        <f t="shared" si="293"/>
        <v>0</v>
      </c>
      <c r="R208" s="58"/>
      <c r="S208" s="55">
        <v>0</v>
      </c>
      <c r="T208" s="57">
        <v>0</v>
      </c>
      <c r="U208" s="57">
        <f t="shared" si="294"/>
        <v>0</v>
      </c>
      <c r="V208" s="59"/>
      <c r="W208" s="124">
        <f t="shared" si="295"/>
        <v>0</v>
      </c>
      <c r="X208" s="57">
        <f t="shared" si="296"/>
        <v>0</v>
      </c>
      <c r="Y208" s="84">
        <f t="shared" si="297"/>
        <v>0</v>
      </c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s="61" customFormat="1" x14ac:dyDescent="0.25">
      <c r="A209" s="52"/>
      <c r="B209" s="52"/>
      <c r="C209" s="124">
        <v>0</v>
      </c>
      <c r="D209" s="56">
        <v>0</v>
      </c>
      <c r="E209" s="56">
        <f t="shared" si="290"/>
        <v>0</v>
      </c>
      <c r="F209" s="58"/>
      <c r="G209" s="55">
        <v>0</v>
      </c>
      <c r="H209" s="57">
        <v>0</v>
      </c>
      <c r="I209" s="57">
        <f t="shared" si="291"/>
        <v>0</v>
      </c>
      <c r="J209" s="58"/>
      <c r="K209" s="55">
        <v>0</v>
      </c>
      <c r="L209" s="57">
        <v>0</v>
      </c>
      <c r="M209" s="57">
        <f t="shared" si="292"/>
        <v>0</v>
      </c>
      <c r="N209" s="58"/>
      <c r="O209" s="55">
        <v>0</v>
      </c>
      <c r="P209" s="57">
        <v>0</v>
      </c>
      <c r="Q209" s="57">
        <f t="shared" si="293"/>
        <v>0</v>
      </c>
      <c r="R209" s="58"/>
      <c r="S209" s="55">
        <v>0</v>
      </c>
      <c r="T209" s="57">
        <v>0</v>
      </c>
      <c r="U209" s="57">
        <f t="shared" si="294"/>
        <v>0</v>
      </c>
      <c r="V209" s="59"/>
      <c r="W209" s="124">
        <f t="shared" si="295"/>
        <v>0</v>
      </c>
      <c r="X209" s="57">
        <f t="shared" si="296"/>
        <v>0</v>
      </c>
      <c r="Y209" s="84">
        <f t="shared" si="297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52"/>
      <c r="B210" s="52"/>
      <c r="C210" s="124">
        <v>0</v>
      </c>
      <c r="D210" s="56">
        <v>0</v>
      </c>
      <c r="E210" s="56">
        <f t="shared" si="290"/>
        <v>0</v>
      </c>
      <c r="F210" s="58"/>
      <c r="G210" s="55">
        <v>0</v>
      </c>
      <c r="H210" s="57">
        <v>0</v>
      </c>
      <c r="I210" s="57">
        <f t="shared" si="291"/>
        <v>0</v>
      </c>
      <c r="J210" s="58"/>
      <c r="K210" s="55">
        <v>0</v>
      </c>
      <c r="L210" s="57">
        <v>0</v>
      </c>
      <c r="M210" s="57">
        <f t="shared" si="292"/>
        <v>0</v>
      </c>
      <c r="N210" s="58"/>
      <c r="O210" s="55">
        <v>0</v>
      </c>
      <c r="P210" s="57">
        <v>0</v>
      </c>
      <c r="Q210" s="57">
        <f t="shared" si="293"/>
        <v>0</v>
      </c>
      <c r="R210" s="58"/>
      <c r="S210" s="55">
        <v>0</v>
      </c>
      <c r="T210" s="57">
        <v>0</v>
      </c>
      <c r="U210" s="57">
        <f t="shared" si="294"/>
        <v>0</v>
      </c>
      <c r="V210" s="59"/>
      <c r="W210" s="124">
        <f t="shared" si="295"/>
        <v>0</v>
      </c>
      <c r="X210" s="57">
        <f t="shared" si="296"/>
        <v>0</v>
      </c>
      <c r="Y210" s="84">
        <f t="shared" si="297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52"/>
      <c r="B211" s="52"/>
      <c r="C211" s="124">
        <v>0</v>
      </c>
      <c r="D211" s="56">
        <v>0</v>
      </c>
      <c r="E211" s="56">
        <f t="shared" si="290"/>
        <v>0</v>
      </c>
      <c r="F211" s="58"/>
      <c r="G211" s="55">
        <v>0</v>
      </c>
      <c r="H211" s="57">
        <v>0</v>
      </c>
      <c r="I211" s="57">
        <f t="shared" si="291"/>
        <v>0</v>
      </c>
      <c r="J211" s="58"/>
      <c r="K211" s="55">
        <v>0</v>
      </c>
      <c r="L211" s="57">
        <v>0</v>
      </c>
      <c r="M211" s="57">
        <f t="shared" si="292"/>
        <v>0</v>
      </c>
      <c r="N211" s="58"/>
      <c r="O211" s="55">
        <v>0</v>
      </c>
      <c r="P211" s="57">
        <v>0</v>
      </c>
      <c r="Q211" s="57">
        <f t="shared" si="293"/>
        <v>0</v>
      </c>
      <c r="R211" s="58"/>
      <c r="S211" s="55">
        <v>0</v>
      </c>
      <c r="T211" s="57">
        <v>0</v>
      </c>
      <c r="U211" s="57">
        <f t="shared" si="294"/>
        <v>0</v>
      </c>
      <c r="V211" s="59"/>
      <c r="W211" s="124">
        <f t="shared" si="295"/>
        <v>0</v>
      </c>
      <c r="X211" s="57">
        <f t="shared" si="296"/>
        <v>0</v>
      </c>
      <c r="Y211" s="84">
        <f t="shared" si="297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52"/>
      <c r="B212" s="52"/>
      <c r="C212" s="124">
        <v>0</v>
      </c>
      <c r="D212" s="56">
        <v>0</v>
      </c>
      <c r="E212" s="56">
        <f t="shared" si="290"/>
        <v>0</v>
      </c>
      <c r="F212" s="58"/>
      <c r="G212" s="55">
        <v>0</v>
      </c>
      <c r="H212" s="57">
        <v>0</v>
      </c>
      <c r="I212" s="57">
        <f t="shared" si="291"/>
        <v>0</v>
      </c>
      <c r="J212" s="58"/>
      <c r="K212" s="55">
        <v>0</v>
      </c>
      <c r="L212" s="57">
        <v>0</v>
      </c>
      <c r="M212" s="57">
        <f t="shared" si="292"/>
        <v>0</v>
      </c>
      <c r="N212" s="58"/>
      <c r="O212" s="55">
        <v>0</v>
      </c>
      <c r="P212" s="57">
        <v>0</v>
      </c>
      <c r="Q212" s="57">
        <f t="shared" si="293"/>
        <v>0</v>
      </c>
      <c r="R212" s="58"/>
      <c r="S212" s="55">
        <v>0</v>
      </c>
      <c r="T212" s="57">
        <v>0</v>
      </c>
      <c r="U212" s="57">
        <f t="shared" si="294"/>
        <v>0</v>
      </c>
      <c r="V212" s="59"/>
      <c r="W212" s="124">
        <f t="shared" si="295"/>
        <v>0</v>
      </c>
      <c r="X212" s="57">
        <f t="shared" si="296"/>
        <v>0</v>
      </c>
      <c r="Y212" s="84">
        <f t="shared" si="297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290"/>
        <v>0</v>
      </c>
      <c r="F213" s="58"/>
      <c r="G213" s="55">
        <v>0</v>
      </c>
      <c r="H213" s="57">
        <v>0</v>
      </c>
      <c r="I213" s="57">
        <f t="shared" si="291"/>
        <v>0</v>
      </c>
      <c r="J213" s="58"/>
      <c r="K213" s="55">
        <v>0</v>
      </c>
      <c r="L213" s="57">
        <v>0</v>
      </c>
      <c r="M213" s="57">
        <f t="shared" si="292"/>
        <v>0</v>
      </c>
      <c r="N213" s="58"/>
      <c r="O213" s="55">
        <v>0</v>
      </c>
      <c r="P213" s="57">
        <v>0</v>
      </c>
      <c r="Q213" s="57">
        <f t="shared" si="293"/>
        <v>0</v>
      </c>
      <c r="R213" s="58"/>
      <c r="S213" s="55">
        <v>0</v>
      </c>
      <c r="T213" s="57">
        <v>0</v>
      </c>
      <c r="U213" s="57">
        <f t="shared" si="294"/>
        <v>0</v>
      </c>
      <c r="V213" s="59"/>
      <c r="W213" s="124">
        <f t="shared" si="295"/>
        <v>0</v>
      </c>
      <c r="X213" s="57">
        <f t="shared" si="296"/>
        <v>0</v>
      </c>
      <c r="Y213" s="84">
        <f t="shared" si="297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290"/>
        <v>0</v>
      </c>
      <c r="F214" s="58"/>
      <c r="G214" s="55">
        <v>0</v>
      </c>
      <c r="H214" s="57">
        <v>0</v>
      </c>
      <c r="I214" s="57">
        <f t="shared" si="291"/>
        <v>0</v>
      </c>
      <c r="J214" s="58"/>
      <c r="K214" s="55">
        <v>0</v>
      </c>
      <c r="L214" s="57">
        <v>0</v>
      </c>
      <c r="M214" s="57">
        <f t="shared" si="292"/>
        <v>0</v>
      </c>
      <c r="N214" s="58"/>
      <c r="O214" s="55">
        <v>0</v>
      </c>
      <c r="P214" s="57">
        <v>0</v>
      </c>
      <c r="Q214" s="57">
        <f t="shared" si="293"/>
        <v>0</v>
      </c>
      <c r="R214" s="58"/>
      <c r="S214" s="55">
        <v>0</v>
      </c>
      <c r="T214" s="57">
        <v>0</v>
      </c>
      <c r="U214" s="57">
        <f t="shared" si="294"/>
        <v>0</v>
      </c>
      <c r="V214" s="59"/>
      <c r="W214" s="124">
        <f t="shared" si="295"/>
        <v>0</v>
      </c>
      <c r="X214" s="57">
        <f t="shared" si="296"/>
        <v>0</v>
      </c>
      <c r="Y214" s="84">
        <f t="shared" si="297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290"/>
        <v>0</v>
      </c>
      <c r="F215" s="58"/>
      <c r="G215" s="55">
        <v>0</v>
      </c>
      <c r="H215" s="57">
        <v>0</v>
      </c>
      <c r="I215" s="57">
        <f t="shared" si="291"/>
        <v>0</v>
      </c>
      <c r="J215" s="58"/>
      <c r="K215" s="55">
        <v>0</v>
      </c>
      <c r="L215" s="57">
        <v>0</v>
      </c>
      <c r="M215" s="57">
        <f t="shared" si="292"/>
        <v>0</v>
      </c>
      <c r="N215" s="58"/>
      <c r="O215" s="55">
        <v>0</v>
      </c>
      <c r="P215" s="57">
        <v>0</v>
      </c>
      <c r="Q215" s="57">
        <f t="shared" si="293"/>
        <v>0</v>
      </c>
      <c r="R215" s="58"/>
      <c r="S215" s="55">
        <v>0</v>
      </c>
      <c r="T215" s="57">
        <v>0</v>
      </c>
      <c r="U215" s="57">
        <f t="shared" si="294"/>
        <v>0</v>
      </c>
      <c r="V215" s="59"/>
      <c r="W215" s="124">
        <f t="shared" si="295"/>
        <v>0</v>
      </c>
      <c r="X215" s="57">
        <f t="shared" si="296"/>
        <v>0</v>
      </c>
      <c r="Y215" s="84">
        <f t="shared" si="297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290"/>
        <v>0</v>
      </c>
      <c r="F216" s="58"/>
      <c r="G216" s="55">
        <v>0</v>
      </c>
      <c r="H216" s="57">
        <v>0</v>
      </c>
      <c r="I216" s="57">
        <f t="shared" si="291"/>
        <v>0</v>
      </c>
      <c r="J216" s="58"/>
      <c r="K216" s="55">
        <v>0</v>
      </c>
      <c r="L216" s="57">
        <v>0</v>
      </c>
      <c r="M216" s="57">
        <f t="shared" si="292"/>
        <v>0</v>
      </c>
      <c r="N216" s="58"/>
      <c r="O216" s="55">
        <v>0</v>
      </c>
      <c r="P216" s="57">
        <v>0</v>
      </c>
      <c r="Q216" s="57">
        <f t="shared" si="293"/>
        <v>0</v>
      </c>
      <c r="R216" s="58"/>
      <c r="S216" s="55">
        <v>0</v>
      </c>
      <c r="T216" s="57">
        <v>0</v>
      </c>
      <c r="U216" s="57">
        <f t="shared" si="294"/>
        <v>0</v>
      </c>
      <c r="V216" s="59"/>
      <c r="W216" s="124">
        <f t="shared" si="295"/>
        <v>0</v>
      </c>
      <c r="X216" s="57">
        <f t="shared" si="296"/>
        <v>0</v>
      </c>
      <c r="Y216" s="84">
        <f t="shared" si="297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0</v>
      </c>
      <c r="H217" s="125">
        <f>SUM(H207:H216)</f>
        <v>0</v>
      </c>
      <c r="I217" s="125">
        <f>SUM(I207:I216)</f>
        <v>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295"/>
        <v>0</v>
      </c>
      <c r="X217" s="80">
        <f t="shared" si="296"/>
        <v>0</v>
      </c>
      <c r="Y217" s="80">
        <f t="shared" si="297"/>
        <v>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2"/>
      <c r="B219" s="52"/>
      <c r="C219" s="124">
        <v>0</v>
      </c>
      <c r="D219" s="56">
        <v>0</v>
      </c>
      <c r="E219" s="56">
        <f t="shared" ref="E219:E224" si="298">SUM(C219:D219)</f>
        <v>0</v>
      </c>
      <c r="F219" s="58"/>
      <c r="G219" s="55">
        <v>0</v>
      </c>
      <c r="H219" s="57">
        <v>0</v>
      </c>
      <c r="I219" s="57">
        <f t="shared" ref="I219:I224" si="299">SUM(G219:H219)</f>
        <v>0</v>
      </c>
      <c r="J219" s="58"/>
      <c r="K219" s="55">
        <v>0</v>
      </c>
      <c r="L219" s="57">
        <v>0</v>
      </c>
      <c r="M219" s="57">
        <f t="shared" ref="M219:M224" si="300">SUM(K219:L219)</f>
        <v>0</v>
      </c>
      <c r="N219" s="58"/>
      <c r="O219" s="55">
        <v>0</v>
      </c>
      <c r="P219" s="57">
        <v>0</v>
      </c>
      <c r="Q219" s="57">
        <f t="shared" ref="Q219:Q224" si="301">SUM(O219:P219)</f>
        <v>0</v>
      </c>
      <c r="R219" s="58"/>
      <c r="S219" s="55">
        <v>0</v>
      </c>
      <c r="T219" s="57">
        <v>0</v>
      </c>
      <c r="U219" s="57">
        <f t="shared" ref="U219:U224" si="302">SUM(S219:T219)</f>
        <v>0</v>
      </c>
      <c r="V219" s="59"/>
      <c r="W219" s="124">
        <f t="shared" ref="W219:Y225" si="303">C219+G219+K219+O219+S219</f>
        <v>0</v>
      </c>
      <c r="X219" s="57">
        <f t="shared" si="303"/>
        <v>0</v>
      </c>
      <c r="Y219" s="84">
        <f t="shared" si="303"/>
        <v>0</v>
      </c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</row>
    <row r="220" spans="1:77" x14ac:dyDescent="0.25">
      <c r="B220" s="7" t="s">
        <v>57</v>
      </c>
      <c r="C220" s="252">
        <f>1500*5*0</f>
        <v>0</v>
      </c>
      <c r="D220" s="253">
        <v>0</v>
      </c>
      <c r="E220" s="253">
        <f t="shared" si="298"/>
        <v>0</v>
      </c>
      <c r="F220" s="15"/>
      <c r="G220" s="55">
        <v>0</v>
      </c>
      <c r="H220" s="253">
        <v>0</v>
      </c>
      <c r="I220" s="253">
        <f t="shared" si="299"/>
        <v>0</v>
      </c>
      <c r="J220" s="15"/>
      <c r="K220" s="55">
        <v>0</v>
      </c>
      <c r="L220" s="253">
        <v>0</v>
      </c>
      <c r="M220" s="253">
        <f t="shared" si="300"/>
        <v>0</v>
      </c>
      <c r="N220" s="15"/>
      <c r="O220" s="55">
        <v>0</v>
      </c>
      <c r="P220" s="253">
        <v>0</v>
      </c>
      <c r="Q220" s="253">
        <f t="shared" si="301"/>
        <v>0</v>
      </c>
      <c r="R220" s="15"/>
      <c r="S220" s="55">
        <v>0</v>
      </c>
      <c r="T220" s="253">
        <v>0</v>
      </c>
      <c r="U220" s="253">
        <f t="shared" si="302"/>
        <v>0</v>
      </c>
      <c r="V220" s="16"/>
      <c r="W220" s="254">
        <f t="shared" si="303"/>
        <v>0</v>
      </c>
      <c r="X220" s="253">
        <f t="shared" si="303"/>
        <v>0</v>
      </c>
      <c r="Y220" s="255">
        <f t="shared" si="303"/>
        <v>0</v>
      </c>
    </row>
    <row r="221" spans="1:77" s="61" customFormat="1" x14ac:dyDescent="0.25">
      <c r="A221" s="52"/>
      <c r="B221" s="52"/>
      <c r="C221" s="124">
        <v>0</v>
      </c>
      <c r="D221" s="56">
        <v>0</v>
      </c>
      <c r="E221" s="56">
        <f t="shared" si="298"/>
        <v>0</v>
      </c>
      <c r="F221" s="58"/>
      <c r="G221" s="55">
        <v>0</v>
      </c>
      <c r="H221" s="57">
        <v>0</v>
      </c>
      <c r="I221" s="57">
        <f t="shared" si="299"/>
        <v>0</v>
      </c>
      <c r="J221" s="58"/>
      <c r="K221" s="55">
        <v>0</v>
      </c>
      <c r="L221" s="57">
        <v>0</v>
      </c>
      <c r="M221" s="57">
        <f t="shared" si="300"/>
        <v>0</v>
      </c>
      <c r="N221" s="58"/>
      <c r="O221" s="55">
        <v>0</v>
      </c>
      <c r="P221" s="57">
        <v>0</v>
      </c>
      <c r="Q221" s="57">
        <f t="shared" si="301"/>
        <v>0</v>
      </c>
      <c r="R221" s="58"/>
      <c r="S221" s="55">
        <v>0</v>
      </c>
      <c r="T221" s="57">
        <v>0</v>
      </c>
      <c r="U221" s="57">
        <f t="shared" si="302"/>
        <v>0</v>
      </c>
      <c r="V221" s="59"/>
      <c r="W221" s="124">
        <f t="shared" si="303"/>
        <v>0</v>
      </c>
      <c r="X221" s="57">
        <f t="shared" si="303"/>
        <v>0</v>
      </c>
      <c r="Y221" s="84">
        <f t="shared" si="303"/>
        <v>0</v>
      </c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</row>
    <row r="222" spans="1:77" s="61" customFormat="1" x14ac:dyDescent="0.25">
      <c r="A222" s="52"/>
      <c r="B222" s="268" t="s">
        <v>164</v>
      </c>
      <c r="C222" s="124">
        <f>5000*0</f>
        <v>0</v>
      </c>
      <c r="D222" s="56">
        <v>0</v>
      </c>
      <c r="E222" s="56">
        <f t="shared" si="298"/>
        <v>0</v>
      </c>
      <c r="F222" s="58"/>
      <c r="G222" s="55">
        <v>0</v>
      </c>
      <c r="H222" s="57">
        <v>0</v>
      </c>
      <c r="I222" s="57">
        <f t="shared" si="299"/>
        <v>0</v>
      </c>
      <c r="J222" s="58"/>
      <c r="K222" s="55">
        <f>C222</f>
        <v>0</v>
      </c>
      <c r="L222" s="57">
        <v>0</v>
      </c>
      <c r="M222" s="57">
        <f t="shared" si="300"/>
        <v>0</v>
      </c>
      <c r="N222" s="58"/>
      <c r="O222" s="55">
        <v>0</v>
      </c>
      <c r="P222" s="57">
        <v>0</v>
      </c>
      <c r="Q222" s="57">
        <f t="shared" si="301"/>
        <v>0</v>
      </c>
      <c r="R222" s="58"/>
      <c r="S222" s="55">
        <f>K222</f>
        <v>0</v>
      </c>
      <c r="T222" s="57">
        <v>0</v>
      </c>
      <c r="U222" s="57">
        <f t="shared" si="302"/>
        <v>0</v>
      </c>
      <c r="V222" s="59"/>
      <c r="W222" s="124">
        <f t="shared" si="303"/>
        <v>0</v>
      </c>
      <c r="X222" s="57">
        <f t="shared" si="303"/>
        <v>0</v>
      </c>
      <c r="Y222" s="84">
        <f t="shared" si="303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298"/>
        <v>0</v>
      </c>
      <c r="F223" s="58"/>
      <c r="G223" s="55">
        <v>0</v>
      </c>
      <c r="H223" s="57">
        <v>0</v>
      </c>
      <c r="I223" s="57">
        <f t="shared" si="299"/>
        <v>0</v>
      </c>
      <c r="J223" s="58"/>
      <c r="K223" s="55">
        <v>0</v>
      </c>
      <c r="L223" s="57">
        <v>0</v>
      </c>
      <c r="M223" s="57">
        <f t="shared" si="300"/>
        <v>0</v>
      </c>
      <c r="N223" s="58"/>
      <c r="O223" s="55">
        <v>0</v>
      </c>
      <c r="P223" s="57">
        <v>0</v>
      </c>
      <c r="Q223" s="57">
        <f t="shared" si="301"/>
        <v>0</v>
      </c>
      <c r="R223" s="58"/>
      <c r="S223" s="55">
        <v>0</v>
      </c>
      <c r="T223" s="57">
        <v>0</v>
      </c>
      <c r="U223" s="57">
        <f t="shared" si="302"/>
        <v>0</v>
      </c>
      <c r="V223" s="59"/>
      <c r="W223" s="124">
        <f t="shared" si="303"/>
        <v>0</v>
      </c>
      <c r="X223" s="57">
        <f t="shared" si="303"/>
        <v>0</v>
      </c>
      <c r="Y223" s="84">
        <f t="shared" si="303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298"/>
        <v>0</v>
      </c>
      <c r="F224" s="58"/>
      <c r="G224" s="55">
        <v>0</v>
      </c>
      <c r="H224" s="57">
        <v>0</v>
      </c>
      <c r="I224" s="57">
        <f t="shared" si="299"/>
        <v>0</v>
      </c>
      <c r="J224" s="58"/>
      <c r="K224" s="55">
        <v>0</v>
      </c>
      <c r="L224" s="57">
        <v>0</v>
      </c>
      <c r="M224" s="57">
        <f t="shared" si="300"/>
        <v>0</v>
      </c>
      <c r="N224" s="58"/>
      <c r="O224" s="55">
        <v>0</v>
      </c>
      <c r="P224" s="57">
        <v>0</v>
      </c>
      <c r="Q224" s="57">
        <f t="shared" si="301"/>
        <v>0</v>
      </c>
      <c r="R224" s="58"/>
      <c r="S224" s="55">
        <v>0</v>
      </c>
      <c r="T224" s="57">
        <v>0</v>
      </c>
      <c r="U224" s="57">
        <f t="shared" si="302"/>
        <v>0</v>
      </c>
      <c r="V224" s="59"/>
      <c r="W224" s="124">
        <f t="shared" si="303"/>
        <v>0</v>
      </c>
      <c r="X224" s="57">
        <f t="shared" si="303"/>
        <v>0</v>
      </c>
      <c r="Y224" s="84">
        <f t="shared" si="303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0</v>
      </c>
      <c r="D225" s="125">
        <f>SUM(D219:D224)</f>
        <v>0</v>
      </c>
      <c r="E225" s="125">
        <f>SUM(E219:E224)</f>
        <v>0</v>
      </c>
      <c r="F225" s="81"/>
      <c r="G225" s="79">
        <f>SUM(G219:G224)</f>
        <v>0</v>
      </c>
      <c r="H225" s="80">
        <f>SUM(H219:H224)</f>
        <v>0</v>
      </c>
      <c r="I225" s="80">
        <f>SUM(I219:I224)</f>
        <v>0</v>
      </c>
      <c r="J225" s="81"/>
      <c r="K225" s="79">
        <f>SUM(K219:K224)</f>
        <v>0</v>
      </c>
      <c r="L225" s="80">
        <f>SUM(L219:L224)</f>
        <v>0</v>
      </c>
      <c r="M225" s="80">
        <f>SUM(M219:M224)</f>
        <v>0</v>
      </c>
      <c r="N225" s="81"/>
      <c r="O225" s="79">
        <f>SUM(O219:O224)</f>
        <v>0</v>
      </c>
      <c r="P225" s="80">
        <f>SUM(P219:P224)</f>
        <v>0</v>
      </c>
      <c r="Q225" s="80">
        <f>SUM(Q219:Q224)</f>
        <v>0</v>
      </c>
      <c r="R225" s="81"/>
      <c r="S225" s="79">
        <f>SUM(S219:S224)</f>
        <v>0</v>
      </c>
      <c r="T225" s="80">
        <f>SUM(T219:T224)</f>
        <v>0</v>
      </c>
      <c r="U225" s="80">
        <f>SUM(U219:U224)</f>
        <v>0</v>
      </c>
      <c r="V225" s="82"/>
      <c r="W225" s="228">
        <f t="shared" si="303"/>
        <v>0</v>
      </c>
      <c r="X225" s="80">
        <f t="shared" si="303"/>
        <v>0</v>
      </c>
      <c r="Y225" s="80">
        <f t="shared" si="303"/>
        <v>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 t="s">
        <v>57</v>
      </c>
      <c r="B227" s="268" t="s">
        <v>181</v>
      </c>
      <c r="C227" s="124">
        <f>2*7000*0</f>
        <v>0</v>
      </c>
      <c r="D227" s="56">
        <v>0</v>
      </c>
      <c r="E227" s="56">
        <f>SUM(C227:D227)</f>
        <v>0</v>
      </c>
      <c r="F227" s="58"/>
      <c r="G227" s="55">
        <f>C227</f>
        <v>0</v>
      </c>
      <c r="H227" s="56">
        <v>0</v>
      </c>
      <c r="I227" s="56">
        <f>SUM(G227:H227)</f>
        <v>0</v>
      </c>
      <c r="J227" s="58"/>
      <c r="K227" s="55">
        <f>(51727/4)*0</f>
        <v>0</v>
      </c>
      <c r="L227" s="56">
        <v>0</v>
      </c>
      <c r="M227" s="56">
        <f>SUM(K227:L227)</f>
        <v>0</v>
      </c>
      <c r="N227" s="58"/>
      <c r="O227" s="55">
        <f>K227*1.05</f>
        <v>0</v>
      </c>
      <c r="P227" s="56">
        <v>0</v>
      </c>
      <c r="Q227" s="56">
        <f>SUM(O227:P227)</f>
        <v>0</v>
      </c>
      <c r="R227" s="58"/>
      <c r="S227" s="55">
        <f>O227*0</f>
        <v>0</v>
      </c>
      <c r="T227" s="56">
        <v>0</v>
      </c>
      <c r="U227" s="56">
        <f>SUM(S227:T227)</f>
        <v>0</v>
      </c>
      <c r="V227" s="59"/>
      <c r="W227" s="124">
        <f t="shared" ref="W227:Y231" si="304">C227+G227+K227+O227+S227</f>
        <v>0</v>
      </c>
      <c r="X227" s="57">
        <f t="shared" si="304"/>
        <v>0</v>
      </c>
      <c r="Y227" s="84">
        <f t="shared" si="304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/>
      <c r="B228" s="61" t="s">
        <v>176</v>
      </c>
      <c r="C228" s="124">
        <v>0</v>
      </c>
      <c r="D228" s="56">
        <v>0</v>
      </c>
      <c r="E228" s="56">
        <f>SUM(C228:D228)</f>
        <v>0</v>
      </c>
      <c r="F228" s="58"/>
      <c r="G228" s="55">
        <f>5000*5</f>
        <v>25000</v>
      </c>
      <c r="H228" s="56">
        <v>0</v>
      </c>
      <c r="I228" s="56">
        <f>SUM(G228:H228)</f>
        <v>25000</v>
      </c>
      <c r="J228" s="58"/>
      <c r="K228" s="55">
        <f>G228</f>
        <v>25000</v>
      </c>
      <c r="L228" s="56">
        <v>0</v>
      </c>
      <c r="M228" s="56">
        <f>SUM(K228:L228)</f>
        <v>25000</v>
      </c>
      <c r="N228" s="58"/>
      <c r="O228" s="55">
        <f>K228</f>
        <v>25000</v>
      </c>
      <c r="P228" s="56">
        <v>0</v>
      </c>
      <c r="Q228" s="56">
        <f>SUM(O228:P228)</f>
        <v>25000</v>
      </c>
      <c r="R228" s="58"/>
      <c r="S228" s="55">
        <f>O228</f>
        <v>25000</v>
      </c>
      <c r="T228" s="56">
        <v>0</v>
      </c>
      <c r="U228" s="56">
        <f>SUM(S228:T228)</f>
        <v>25000</v>
      </c>
      <c r="V228" s="59"/>
      <c r="W228" s="124">
        <f t="shared" si="304"/>
        <v>100000</v>
      </c>
      <c r="X228" s="57">
        <f t="shared" si="304"/>
        <v>0</v>
      </c>
      <c r="Y228" s="84">
        <f t="shared" si="304"/>
        <v>100000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54"/>
      <c r="C229" s="124">
        <v>0</v>
      </c>
      <c r="D229" s="56">
        <v>0</v>
      </c>
      <c r="E229" s="56">
        <f>SUM(C229:D229)</f>
        <v>0</v>
      </c>
      <c r="F229" s="58"/>
      <c r="G229" s="55">
        <v>0</v>
      </c>
      <c r="H229" s="56">
        <v>0</v>
      </c>
      <c r="I229" s="56">
        <f>SUM(G229:H229)</f>
        <v>0</v>
      </c>
      <c r="J229" s="58"/>
      <c r="K229" s="55">
        <v>0</v>
      </c>
      <c r="L229" s="56">
        <v>0</v>
      </c>
      <c r="M229" s="56">
        <f>SUM(K229:L229)</f>
        <v>0</v>
      </c>
      <c r="N229" s="58"/>
      <c r="O229" s="55">
        <v>0</v>
      </c>
      <c r="P229" s="56">
        <v>0</v>
      </c>
      <c r="Q229" s="56">
        <f>SUM(O229:P229)</f>
        <v>0</v>
      </c>
      <c r="R229" s="58"/>
      <c r="S229" s="55">
        <v>0</v>
      </c>
      <c r="T229" s="56">
        <v>0</v>
      </c>
      <c r="U229" s="56">
        <f>SUM(S229:T229)</f>
        <v>0</v>
      </c>
      <c r="V229" s="59"/>
      <c r="W229" s="124">
        <f t="shared" si="304"/>
        <v>0</v>
      </c>
      <c r="X229" s="57">
        <f t="shared" si="304"/>
        <v>0</v>
      </c>
      <c r="Y229" s="84">
        <f t="shared" si="304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61" customFormat="1" x14ac:dyDescent="0.25">
      <c r="A230" s="54"/>
      <c r="B230" s="54"/>
      <c r="C230" s="124">
        <v>0</v>
      </c>
      <c r="D230" s="56">
        <v>0</v>
      </c>
      <c r="E230" s="56">
        <f>SUM(C230:D230)</f>
        <v>0</v>
      </c>
      <c r="F230" s="58"/>
      <c r="G230" s="55">
        <v>0</v>
      </c>
      <c r="H230" s="56">
        <v>0</v>
      </c>
      <c r="I230" s="56">
        <f>SUM(G230:H230)</f>
        <v>0</v>
      </c>
      <c r="J230" s="58"/>
      <c r="K230" s="55">
        <v>0</v>
      </c>
      <c r="L230" s="56">
        <v>0</v>
      </c>
      <c r="M230" s="56">
        <f>SUM(K230:L230)</f>
        <v>0</v>
      </c>
      <c r="N230" s="58"/>
      <c r="O230" s="55">
        <v>0</v>
      </c>
      <c r="P230" s="56">
        <v>0</v>
      </c>
      <c r="Q230" s="56">
        <f>SUM(O230:P230)</f>
        <v>0</v>
      </c>
      <c r="R230" s="58"/>
      <c r="S230" s="55">
        <v>0</v>
      </c>
      <c r="T230" s="56">
        <v>0</v>
      </c>
      <c r="U230" s="56">
        <f>SUM(S230:T230)</f>
        <v>0</v>
      </c>
      <c r="V230" s="59"/>
      <c r="W230" s="124">
        <f t="shared" si="304"/>
        <v>0</v>
      </c>
      <c r="X230" s="57">
        <f t="shared" si="304"/>
        <v>0</v>
      </c>
      <c r="Y230" s="84">
        <f t="shared" si="304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25000</v>
      </c>
      <c r="H231" s="80">
        <f>SUM(H227:H230)</f>
        <v>0</v>
      </c>
      <c r="I231" s="80">
        <f>SUM(I227:I230)</f>
        <v>25000</v>
      </c>
      <c r="J231" s="81"/>
      <c r="K231" s="79">
        <f>SUM(K227:K230)</f>
        <v>25000</v>
      </c>
      <c r="L231" s="80">
        <f>SUM(L227:L230)</f>
        <v>0</v>
      </c>
      <c r="M231" s="80">
        <f>SUM(M227:M230)</f>
        <v>25000</v>
      </c>
      <c r="N231" s="81"/>
      <c r="O231" s="79">
        <f>SUM(O227:O230)</f>
        <v>25000</v>
      </c>
      <c r="P231" s="80">
        <f>SUM(P227:P230)</f>
        <v>0</v>
      </c>
      <c r="Q231" s="80">
        <f>SUM(Q227:Q230)</f>
        <v>25000</v>
      </c>
      <c r="R231" s="81"/>
      <c r="S231" s="79">
        <f>SUM(S227:S230)</f>
        <v>25000</v>
      </c>
      <c r="T231" s="125">
        <f>SUM(T227:T230)</f>
        <v>0</v>
      </c>
      <c r="U231" s="125">
        <f>SUM(U227:U230)</f>
        <v>25000</v>
      </c>
      <c r="V231" s="82"/>
      <c r="W231" s="228">
        <f t="shared" si="304"/>
        <v>100000</v>
      </c>
      <c r="X231" s="80">
        <f t="shared" si="304"/>
        <v>0</v>
      </c>
      <c r="Y231" s="80">
        <f t="shared" si="304"/>
        <v>100000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4" t="s">
        <v>57</v>
      </c>
      <c r="B233"/>
      <c r="C233" s="124">
        <v>0</v>
      </c>
      <c r="D233" s="56">
        <v>0</v>
      </c>
      <c r="E233" s="56">
        <f t="shared" ref="E233:E235" si="305">SUM(C233:D233)</f>
        <v>0</v>
      </c>
      <c r="F233" s="58"/>
      <c r="G233" s="55">
        <f>C233</f>
        <v>0</v>
      </c>
      <c r="H233" s="57">
        <v>0</v>
      </c>
      <c r="I233" s="57">
        <f t="shared" ref="I233:I235" si="306">SUM(G233:H233)</f>
        <v>0</v>
      </c>
      <c r="J233" s="58"/>
      <c r="K233" s="55">
        <f>G233</f>
        <v>0</v>
      </c>
      <c r="L233" s="57">
        <v>0</v>
      </c>
      <c r="M233" s="57">
        <f t="shared" ref="M233:M235" si="307">SUM(K233:L233)</f>
        <v>0</v>
      </c>
      <c r="N233" s="58"/>
      <c r="O233" s="55">
        <f>K233</f>
        <v>0</v>
      </c>
      <c r="P233" s="57">
        <v>0</v>
      </c>
      <c r="Q233" s="57">
        <f t="shared" ref="Q233:Q235" si="308">SUM(O233:P233)</f>
        <v>0</v>
      </c>
      <c r="R233" s="58"/>
      <c r="S233" s="55">
        <f>O233*0</f>
        <v>0</v>
      </c>
      <c r="T233" s="57">
        <v>0</v>
      </c>
      <c r="U233" s="57">
        <f t="shared" ref="U233:U235" si="309">SUM(S233:T233)</f>
        <v>0</v>
      </c>
      <c r="V233" s="59"/>
      <c r="W233" s="124">
        <f t="shared" ref="W233:W235" si="310">C233+G233+K233+O233+S233</f>
        <v>0</v>
      </c>
      <c r="X233" s="57">
        <f t="shared" ref="X233:X235" si="311">D233+H233+L233+P233+T233</f>
        <v>0</v>
      </c>
      <c r="Y233" s="84">
        <f t="shared" ref="Y233:Y235" si="312">E233+I233+M233+Q233+U233</f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</row>
    <row r="234" spans="1:77" s="61" customFormat="1" x14ac:dyDescent="0.25">
      <c r="A234" s="52"/>
      <c r="B234" s="268" t="s">
        <v>165</v>
      </c>
      <c r="C234" s="124">
        <f>10000*0</f>
        <v>0</v>
      </c>
      <c r="D234" s="56">
        <v>0</v>
      </c>
      <c r="E234" s="56">
        <f t="shared" si="305"/>
        <v>0</v>
      </c>
      <c r="F234" s="58"/>
      <c r="G234" s="55">
        <v>0</v>
      </c>
      <c r="H234" s="57">
        <v>0</v>
      </c>
      <c r="I234" s="57">
        <f t="shared" si="306"/>
        <v>0</v>
      </c>
      <c r="J234" s="58"/>
      <c r="K234" s="55">
        <f>(10000+3400)*0</f>
        <v>0</v>
      </c>
      <c r="L234" s="57">
        <v>0</v>
      </c>
      <c r="M234" s="57">
        <f t="shared" si="307"/>
        <v>0</v>
      </c>
      <c r="N234" s="58"/>
      <c r="O234" s="55">
        <f>K234*0</f>
        <v>0</v>
      </c>
      <c r="P234" s="57">
        <v>0</v>
      </c>
      <c r="Q234" s="57">
        <f t="shared" si="308"/>
        <v>0</v>
      </c>
      <c r="R234" s="58"/>
      <c r="S234" s="55">
        <f>10000*0</f>
        <v>0</v>
      </c>
      <c r="T234" s="57">
        <v>0</v>
      </c>
      <c r="U234" s="57">
        <f t="shared" si="309"/>
        <v>0</v>
      </c>
      <c r="V234" s="59"/>
      <c r="W234" s="124">
        <f t="shared" si="310"/>
        <v>0</v>
      </c>
      <c r="X234" s="57">
        <f t="shared" si="311"/>
        <v>0</v>
      </c>
      <c r="Y234" s="84">
        <f t="shared" si="312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</row>
    <row r="235" spans="1:77" s="61" customFormat="1" x14ac:dyDescent="0.25">
      <c r="A235" s="87"/>
      <c r="B235" s="52"/>
      <c r="C235" s="124">
        <v>0</v>
      </c>
      <c r="D235" s="56">
        <v>0</v>
      </c>
      <c r="E235" s="56">
        <f t="shared" si="305"/>
        <v>0</v>
      </c>
      <c r="F235" s="58"/>
      <c r="G235" s="55">
        <v>0</v>
      </c>
      <c r="H235" s="57">
        <v>0</v>
      </c>
      <c r="I235" s="57">
        <f t="shared" si="306"/>
        <v>0</v>
      </c>
      <c r="J235" s="58"/>
      <c r="K235" s="55">
        <f>G235</f>
        <v>0</v>
      </c>
      <c r="L235" s="57">
        <v>0</v>
      </c>
      <c r="M235" s="57">
        <f t="shared" si="307"/>
        <v>0</v>
      </c>
      <c r="N235" s="58"/>
      <c r="O235" s="55">
        <v>0</v>
      </c>
      <c r="P235" s="57">
        <v>0</v>
      </c>
      <c r="Q235" s="57">
        <f t="shared" si="308"/>
        <v>0</v>
      </c>
      <c r="R235" s="58"/>
      <c r="S235" s="55">
        <v>0</v>
      </c>
      <c r="T235" s="57">
        <v>0</v>
      </c>
      <c r="U235" s="57">
        <f t="shared" si="309"/>
        <v>0</v>
      </c>
      <c r="V235" s="59"/>
      <c r="W235" s="124">
        <f t="shared" si="310"/>
        <v>0</v>
      </c>
      <c r="X235" s="57">
        <f t="shared" si="311"/>
        <v>0</v>
      </c>
      <c r="Y235" s="84">
        <f t="shared" si="312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</row>
    <row r="236" spans="1:77" s="61" customFormat="1" x14ac:dyDescent="0.25">
      <c r="A236" s="203" t="s">
        <v>57</v>
      </c>
      <c r="B236" s="61" t="s">
        <v>175</v>
      </c>
      <c r="C236" s="124">
        <v>0</v>
      </c>
      <c r="D236" s="56">
        <v>0</v>
      </c>
      <c r="E236" s="56">
        <f t="shared" ref="E236:E244" si="313">SUM(C236:D236)</f>
        <v>0</v>
      </c>
      <c r="F236" s="58"/>
      <c r="G236" s="55">
        <f>500*5</f>
        <v>2500</v>
      </c>
      <c r="H236" s="57">
        <v>0</v>
      </c>
      <c r="I236" s="57">
        <f t="shared" ref="I236:I244" si="314">SUM(G236:H236)</f>
        <v>2500</v>
      </c>
      <c r="J236" s="58"/>
      <c r="K236" s="55">
        <f>G236</f>
        <v>2500</v>
      </c>
      <c r="L236" s="57">
        <v>0</v>
      </c>
      <c r="M236" s="57">
        <f t="shared" ref="M236:M244" si="315">SUM(K236:L236)</f>
        <v>2500</v>
      </c>
      <c r="N236" s="58"/>
      <c r="O236" s="55">
        <f>G236</f>
        <v>2500</v>
      </c>
      <c r="P236" s="57">
        <v>0</v>
      </c>
      <c r="Q236" s="57">
        <f t="shared" ref="Q236:Q244" si="316">SUM(O236:P236)</f>
        <v>2500</v>
      </c>
      <c r="R236" s="58"/>
      <c r="S236" s="55">
        <f>O236</f>
        <v>2500</v>
      </c>
      <c r="T236" s="57">
        <v>0</v>
      </c>
      <c r="U236" s="57">
        <f t="shared" ref="U236:U244" si="317">SUM(S236:T236)</f>
        <v>2500</v>
      </c>
      <c r="V236" s="59"/>
      <c r="W236" s="124">
        <f t="shared" ref="W236:W245" si="318">C236+G236+K236+O236+S236</f>
        <v>10000</v>
      </c>
      <c r="X236" s="57">
        <f t="shared" ref="X236:X245" si="319">D236+H236+L236+P236+T236</f>
        <v>0</v>
      </c>
      <c r="Y236" s="84">
        <f t="shared" ref="Y236:Y245" si="320">E236+I236+M236+Q236+U236</f>
        <v>10000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</row>
    <row r="237" spans="1:77" s="61" customFormat="1" x14ac:dyDescent="0.25">
      <c r="B237" s="160" t="s">
        <v>234</v>
      </c>
      <c r="C237" s="55">
        <v>0</v>
      </c>
      <c r="D237" s="57">
        <v>0</v>
      </c>
      <c r="E237" s="57">
        <f t="shared" si="313"/>
        <v>0</v>
      </c>
      <c r="F237" s="58"/>
      <c r="G237" s="55">
        <f>20000*0</f>
        <v>0</v>
      </c>
      <c r="H237" s="57">
        <v>0</v>
      </c>
      <c r="I237" s="57">
        <f t="shared" ref="I237:I238" si="321">SUM(G237:H237)</f>
        <v>0</v>
      </c>
      <c r="J237" s="58"/>
      <c r="K237" s="55">
        <v>0</v>
      </c>
      <c r="L237" s="56">
        <v>0</v>
      </c>
      <c r="M237" s="56">
        <f t="shared" ref="M237:M238" si="322">SUM(K237:L237)</f>
        <v>0</v>
      </c>
      <c r="N237" s="58"/>
      <c r="O237" s="55">
        <f>30000+5000+5000</f>
        <v>40000</v>
      </c>
      <c r="P237" s="57">
        <v>0</v>
      </c>
      <c r="Q237" s="57">
        <f t="shared" ref="Q237:Q238" si="323">SUM(O237:P237)</f>
        <v>40000</v>
      </c>
      <c r="R237" s="58"/>
      <c r="S237" s="55">
        <v>0</v>
      </c>
      <c r="T237" s="57">
        <v>0</v>
      </c>
      <c r="U237" s="57">
        <f t="shared" si="317"/>
        <v>0</v>
      </c>
      <c r="V237" s="59"/>
      <c r="W237" s="124">
        <f t="shared" si="318"/>
        <v>40000</v>
      </c>
      <c r="X237" s="56">
        <f t="shared" si="319"/>
        <v>0</v>
      </c>
      <c r="Y237" s="202">
        <f t="shared" si="320"/>
        <v>40000</v>
      </c>
    </row>
    <row r="238" spans="1:77" s="61" customFormat="1" x14ac:dyDescent="0.25">
      <c r="A238" s="203" t="s">
        <v>57</v>
      </c>
      <c r="B238" s="54" t="s">
        <v>231</v>
      </c>
      <c r="C238" s="124">
        <f>1000</f>
        <v>1000</v>
      </c>
      <c r="D238" s="56">
        <f>1000*0</f>
        <v>0</v>
      </c>
      <c r="E238" s="56">
        <f t="shared" si="313"/>
        <v>1000</v>
      </c>
      <c r="F238" s="58"/>
      <c r="G238" s="55">
        <f>C238</f>
        <v>1000</v>
      </c>
      <c r="H238" s="57">
        <f>D238</f>
        <v>0</v>
      </c>
      <c r="I238" s="57">
        <f t="shared" si="321"/>
        <v>1000</v>
      </c>
      <c r="J238" s="58"/>
      <c r="K238" s="55">
        <f>G238</f>
        <v>1000</v>
      </c>
      <c r="L238" s="57">
        <f>H238</f>
        <v>0</v>
      </c>
      <c r="M238" s="57">
        <f t="shared" si="322"/>
        <v>1000</v>
      </c>
      <c r="N238" s="58"/>
      <c r="O238" s="55">
        <f>K238</f>
        <v>1000</v>
      </c>
      <c r="P238" s="57">
        <f>L238</f>
        <v>0</v>
      </c>
      <c r="Q238" s="57">
        <f t="shared" si="323"/>
        <v>1000</v>
      </c>
      <c r="R238" s="58"/>
      <c r="S238" s="55">
        <f>O238</f>
        <v>1000</v>
      </c>
      <c r="T238" s="57">
        <f>P238</f>
        <v>0</v>
      </c>
      <c r="U238" s="57">
        <f t="shared" si="317"/>
        <v>1000</v>
      </c>
      <c r="V238" s="59"/>
      <c r="W238" s="124">
        <f t="shared" si="318"/>
        <v>5000</v>
      </c>
      <c r="X238" s="56">
        <f t="shared" si="319"/>
        <v>0</v>
      </c>
      <c r="Y238" s="85">
        <f t="shared" si="320"/>
        <v>5000</v>
      </c>
    </row>
    <row r="239" spans="1:77" s="61" customFormat="1" x14ac:dyDescent="0.25">
      <c r="A239" s="52"/>
      <c r="B239" s="52"/>
      <c r="C239" s="124">
        <v>0</v>
      </c>
      <c r="D239" s="56">
        <v>0</v>
      </c>
      <c r="E239" s="56">
        <f t="shared" si="313"/>
        <v>0</v>
      </c>
      <c r="F239" s="58"/>
      <c r="G239" s="55">
        <v>0</v>
      </c>
      <c r="H239" s="57">
        <v>0</v>
      </c>
      <c r="I239" s="57">
        <f t="shared" si="314"/>
        <v>0</v>
      </c>
      <c r="J239" s="58"/>
      <c r="K239" s="55">
        <v>0</v>
      </c>
      <c r="L239" s="57">
        <v>0</v>
      </c>
      <c r="M239" s="57">
        <f t="shared" si="315"/>
        <v>0</v>
      </c>
      <c r="N239" s="58"/>
      <c r="O239" s="55">
        <v>0</v>
      </c>
      <c r="P239" s="57">
        <v>0</v>
      </c>
      <c r="Q239" s="57">
        <f t="shared" si="316"/>
        <v>0</v>
      </c>
      <c r="R239" s="58"/>
      <c r="S239" s="55">
        <v>0</v>
      </c>
      <c r="T239" s="57">
        <v>0</v>
      </c>
      <c r="U239" s="57">
        <f t="shared" si="317"/>
        <v>0</v>
      </c>
      <c r="V239" s="59"/>
      <c r="W239" s="124">
        <f t="shared" si="318"/>
        <v>0</v>
      </c>
      <c r="X239" s="57">
        <f t="shared" si="319"/>
        <v>0</v>
      </c>
      <c r="Y239" s="84">
        <f t="shared" si="320"/>
        <v>0</v>
      </c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</row>
    <row r="240" spans="1:77" s="61" customFormat="1" x14ac:dyDescent="0.25">
      <c r="A240" s="235"/>
      <c r="B240" s="160" t="s">
        <v>189</v>
      </c>
      <c r="C240" s="55">
        <v>0</v>
      </c>
      <c r="D240" s="57">
        <v>0</v>
      </c>
      <c r="E240" s="57">
        <f t="shared" si="313"/>
        <v>0</v>
      </c>
      <c r="F240" s="58"/>
      <c r="G240" s="55">
        <v>10000</v>
      </c>
      <c r="H240" s="57">
        <v>0</v>
      </c>
      <c r="I240" s="57">
        <f t="shared" ref="I240" si="324">SUM(G240:H240)</f>
        <v>10000</v>
      </c>
      <c r="J240" s="58"/>
      <c r="K240" s="55">
        <v>10000</v>
      </c>
      <c r="L240" s="56">
        <v>0</v>
      </c>
      <c r="M240" s="56">
        <f t="shared" ref="M240" si="325">SUM(K240:L240)</f>
        <v>10000</v>
      </c>
      <c r="N240" s="58"/>
      <c r="O240" s="55">
        <f>G240</f>
        <v>10000</v>
      </c>
      <c r="P240" s="57">
        <v>0</v>
      </c>
      <c r="Q240" s="57">
        <f t="shared" ref="Q240" si="326">SUM(O240:P240)</f>
        <v>10000</v>
      </c>
      <c r="R240" s="58"/>
      <c r="S240" s="55">
        <f>O240*0</f>
        <v>0</v>
      </c>
      <c r="T240" s="57">
        <v>0</v>
      </c>
      <c r="U240" s="57">
        <f t="shared" si="317"/>
        <v>0</v>
      </c>
      <c r="V240" s="59"/>
      <c r="W240" s="124">
        <f t="shared" si="318"/>
        <v>30000</v>
      </c>
      <c r="X240" s="196">
        <f t="shared" si="319"/>
        <v>0</v>
      </c>
      <c r="Y240" s="236">
        <f t="shared" si="320"/>
        <v>30000</v>
      </c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313"/>
        <v>0</v>
      </c>
      <c r="F241" s="58"/>
      <c r="G241" s="55">
        <v>0</v>
      </c>
      <c r="H241" s="57">
        <v>0</v>
      </c>
      <c r="I241" s="57">
        <f t="shared" si="314"/>
        <v>0</v>
      </c>
      <c r="J241" s="58"/>
      <c r="K241" s="55">
        <v>0</v>
      </c>
      <c r="L241" s="57">
        <v>0</v>
      </c>
      <c r="M241" s="57">
        <f t="shared" si="315"/>
        <v>0</v>
      </c>
      <c r="N241" s="58"/>
      <c r="O241" s="55">
        <v>0</v>
      </c>
      <c r="P241" s="57">
        <v>0</v>
      </c>
      <c r="Q241" s="57">
        <f t="shared" si="316"/>
        <v>0</v>
      </c>
      <c r="R241" s="58"/>
      <c r="S241" s="55">
        <v>0</v>
      </c>
      <c r="T241" s="57">
        <v>0</v>
      </c>
      <c r="U241" s="57">
        <f t="shared" si="317"/>
        <v>0</v>
      </c>
      <c r="V241" s="59"/>
      <c r="W241" s="124">
        <f t="shared" si="318"/>
        <v>0</v>
      </c>
      <c r="X241" s="57">
        <f t="shared" si="319"/>
        <v>0</v>
      </c>
      <c r="Y241" s="84">
        <f t="shared" si="320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313"/>
        <v>0</v>
      </c>
      <c r="F242" s="58"/>
      <c r="G242" s="55">
        <v>0</v>
      </c>
      <c r="H242" s="57">
        <v>0</v>
      </c>
      <c r="I242" s="57">
        <f t="shared" si="314"/>
        <v>0</v>
      </c>
      <c r="J242" s="58"/>
      <c r="K242" s="55">
        <v>0</v>
      </c>
      <c r="L242" s="57">
        <v>0</v>
      </c>
      <c r="M242" s="57">
        <f t="shared" si="315"/>
        <v>0</v>
      </c>
      <c r="N242" s="58"/>
      <c r="O242" s="55">
        <v>0</v>
      </c>
      <c r="P242" s="57">
        <v>0</v>
      </c>
      <c r="Q242" s="57">
        <f t="shared" si="316"/>
        <v>0</v>
      </c>
      <c r="R242" s="58"/>
      <c r="S242" s="55">
        <v>0</v>
      </c>
      <c r="T242" s="57">
        <v>0</v>
      </c>
      <c r="U242" s="57">
        <f t="shared" si="317"/>
        <v>0</v>
      </c>
      <c r="V242" s="59"/>
      <c r="W242" s="124">
        <f t="shared" si="318"/>
        <v>0</v>
      </c>
      <c r="X242" s="57">
        <f t="shared" si="319"/>
        <v>0</v>
      </c>
      <c r="Y242" s="84">
        <f t="shared" si="320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313"/>
        <v>0</v>
      </c>
      <c r="F243" s="58"/>
      <c r="G243" s="55">
        <v>0</v>
      </c>
      <c r="H243" s="57">
        <v>0</v>
      </c>
      <c r="I243" s="57">
        <f t="shared" si="314"/>
        <v>0</v>
      </c>
      <c r="J243" s="58"/>
      <c r="K243" s="55">
        <v>0</v>
      </c>
      <c r="L243" s="57">
        <v>0</v>
      </c>
      <c r="M243" s="57">
        <f t="shared" si="315"/>
        <v>0</v>
      </c>
      <c r="N243" s="58"/>
      <c r="O243" s="55">
        <v>0</v>
      </c>
      <c r="P243" s="57">
        <v>0</v>
      </c>
      <c r="Q243" s="57">
        <f t="shared" si="316"/>
        <v>0</v>
      </c>
      <c r="R243" s="58"/>
      <c r="S243" s="55">
        <v>0</v>
      </c>
      <c r="T243" s="57">
        <v>0</v>
      </c>
      <c r="U243" s="57">
        <f t="shared" si="317"/>
        <v>0</v>
      </c>
      <c r="V243" s="59"/>
      <c r="W243" s="124">
        <f t="shared" si="318"/>
        <v>0</v>
      </c>
      <c r="X243" s="57">
        <f t="shared" si="319"/>
        <v>0</v>
      </c>
      <c r="Y243" s="84">
        <f t="shared" si="320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313"/>
        <v>0</v>
      </c>
      <c r="F244" s="58"/>
      <c r="G244" s="55">
        <v>0</v>
      </c>
      <c r="H244" s="57">
        <v>0</v>
      </c>
      <c r="I244" s="57">
        <f t="shared" si="314"/>
        <v>0</v>
      </c>
      <c r="J244" s="58"/>
      <c r="K244" s="55">
        <v>0</v>
      </c>
      <c r="L244" s="57">
        <v>0</v>
      </c>
      <c r="M244" s="57">
        <f t="shared" si="315"/>
        <v>0</v>
      </c>
      <c r="N244" s="58"/>
      <c r="O244" s="55">
        <v>0</v>
      </c>
      <c r="P244" s="57">
        <v>0</v>
      </c>
      <c r="Q244" s="57">
        <f t="shared" si="316"/>
        <v>0</v>
      </c>
      <c r="R244" s="58"/>
      <c r="S244" s="55">
        <v>0</v>
      </c>
      <c r="T244" s="57">
        <v>0</v>
      </c>
      <c r="U244" s="57">
        <f t="shared" si="317"/>
        <v>0</v>
      </c>
      <c r="V244" s="59"/>
      <c r="W244" s="124">
        <f t="shared" si="318"/>
        <v>0</v>
      </c>
      <c r="X244" s="57">
        <f t="shared" si="319"/>
        <v>0</v>
      </c>
      <c r="Y244" s="84">
        <f t="shared" si="320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1000</v>
      </c>
      <c r="D245" s="153">
        <f>SUM(D233:D244)</f>
        <v>0</v>
      </c>
      <c r="E245" s="153">
        <f>SUM(E233:E244)</f>
        <v>1000</v>
      </c>
      <c r="F245" s="154"/>
      <c r="G245" s="152">
        <f>SUM(G233:G244)</f>
        <v>13500</v>
      </c>
      <c r="H245" s="155">
        <f>SUM(H233:H244)</f>
        <v>0</v>
      </c>
      <c r="I245" s="155">
        <f>SUM(I233:I244)</f>
        <v>13500</v>
      </c>
      <c r="J245" s="154"/>
      <c r="K245" s="152">
        <f>SUM(K233:K244)</f>
        <v>13500</v>
      </c>
      <c r="L245" s="155">
        <f>SUM(L233:L244)</f>
        <v>0</v>
      </c>
      <c r="M245" s="155">
        <f>SUM(M233:M244)</f>
        <v>13500</v>
      </c>
      <c r="N245" s="154"/>
      <c r="O245" s="152">
        <f>SUM(O233:O244)</f>
        <v>53500</v>
      </c>
      <c r="P245" s="155">
        <f>SUM(P233:P244)</f>
        <v>0</v>
      </c>
      <c r="Q245" s="155">
        <f>SUM(Q233:Q244)</f>
        <v>53500</v>
      </c>
      <c r="R245" s="154"/>
      <c r="S245" s="152">
        <f>SUM(S233:S244)</f>
        <v>3500</v>
      </c>
      <c r="T245" s="155">
        <f>SUM(T233:T244)</f>
        <v>0</v>
      </c>
      <c r="U245" s="155">
        <f>SUM(U233:U244)</f>
        <v>3500</v>
      </c>
      <c r="V245" s="82"/>
      <c r="W245" s="228">
        <f t="shared" si="318"/>
        <v>85000</v>
      </c>
      <c r="X245" s="80">
        <f t="shared" si="319"/>
        <v>0</v>
      </c>
      <c r="Y245" s="80">
        <f t="shared" si="320"/>
        <v>85000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>SUM(C205+C217+C225+C231+C245)</f>
        <v>26359.501296153845</v>
      </c>
      <c r="D246" s="111">
        <f t="shared" ref="D246:Y246" si="327">SUM(D205+D217+D225+D231+D245)</f>
        <v>5540.75</v>
      </c>
      <c r="E246" s="111">
        <f t="shared" si="327"/>
        <v>31900.251296153845</v>
      </c>
      <c r="F246" s="111">
        <f t="shared" si="327"/>
        <v>0</v>
      </c>
      <c r="G246" s="111">
        <f t="shared" si="327"/>
        <v>64696.762686628077</v>
      </c>
      <c r="H246" s="111">
        <f t="shared" si="327"/>
        <v>5723.6816749999998</v>
      </c>
      <c r="I246" s="111">
        <f t="shared" si="327"/>
        <v>70420.444361628077</v>
      </c>
      <c r="J246" s="111">
        <f t="shared" si="327"/>
        <v>0</v>
      </c>
      <c r="K246" s="111">
        <f t="shared" si="327"/>
        <v>65563.799328628345</v>
      </c>
      <c r="L246" s="111">
        <f t="shared" si="327"/>
        <v>0</v>
      </c>
      <c r="M246" s="111">
        <f t="shared" si="327"/>
        <v>65563.799328628345</v>
      </c>
      <c r="N246" s="111">
        <f t="shared" si="327"/>
        <v>0</v>
      </c>
      <c r="O246" s="111">
        <f t="shared" si="327"/>
        <v>106461.78811595796</v>
      </c>
      <c r="P246" s="111">
        <f t="shared" si="327"/>
        <v>0</v>
      </c>
      <c r="Q246" s="111">
        <f t="shared" si="327"/>
        <v>106461.78811595796</v>
      </c>
      <c r="R246" s="111">
        <f t="shared" si="327"/>
        <v>0</v>
      </c>
      <c r="S246" s="111">
        <f t="shared" si="327"/>
        <v>57391.958522682449</v>
      </c>
      <c r="T246" s="111">
        <f t="shared" si="327"/>
        <v>0</v>
      </c>
      <c r="U246" s="111">
        <f t="shared" si="327"/>
        <v>57391.958522682449</v>
      </c>
      <c r="V246" s="111">
        <f t="shared" si="327"/>
        <v>0</v>
      </c>
      <c r="W246" s="111">
        <f t="shared" si="327"/>
        <v>320473.80995005067</v>
      </c>
      <c r="X246" s="111">
        <f t="shared" si="327"/>
        <v>11264.431675</v>
      </c>
      <c r="Y246" s="111">
        <f t="shared" si="327"/>
        <v>331738.24162505066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(C205+C225+C245)*0.42</f>
        <v>11070.990544384615</v>
      </c>
      <c r="D247" s="111">
        <v>0</v>
      </c>
      <c r="E247" s="111">
        <f>C247</f>
        <v>11070.990544384615</v>
      </c>
      <c r="F247" s="111">
        <f>F196*0.47</f>
        <v>0</v>
      </c>
      <c r="G247" s="111">
        <f>(G205+G225+G245)*0.42</f>
        <v>16672.640328383794</v>
      </c>
      <c r="H247" s="111">
        <v>0</v>
      </c>
      <c r="I247" s="111">
        <f>G247</f>
        <v>16672.640328383794</v>
      </c>
      <c r="J247" s="111">
        <f>J196*0.47</f>
        <v>0</v>
      </c>
      <c r="K247" s="111">
        <f>(K205+K225+K245)*0.42</f>
        <v>17036.795718023903</v>
      </c>
      <c r="L247" s="111">
        <v>0</v>
      </c>
      <c r="M247" s="111">
        <f>K247</f>
        <v>17036.795718023903</v>
      </c>
      <c r="N247" s="111">
        <f>N196*0.47</f>
        <v>0</v>
      </c>
      <c r="O247" s="111">
        <f>(O205+O225+O245)*0.42</f>
        <v>34213.951008702337</v>
      </c>
      <c r="P247" s="111">
        <v>0</v>
      </c>
      <c r="Q247" s="111">
        <f>O247</f>
        <v>34213.951008702337</v>
      </c>
      <c r="R247" s="111">
        <f>R196*0.47</f>
        <v>0</v>
      </c>
      <c r="S247" s="111">
        <f>(S205+S225+S245)*0.42</f>
        <v>13604.622579526627</v>
      </c>
      <c r="T247" s="111">
        <v>0</v>
      </c>
      <c r="U247" s="111">
        <f>S247</f>
        <v>13604.622579526627</v>
      </c>
      <c r="V247" s="111">
        <f>V196*0.47</f>
        <v>0</v>
      </c>
      <c r="W247" s="111">
        <f>(W205+W225+W245)*0.42</f>
        <v>92599.000179021285</v>
      </c>
      <c r="X247" s="111">
        <v>0</v>
      </c>
      <c r="Y247" s="111">
        <f>W247</f>
        <v>92599.000179021285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37430.49184053846</v>
      </c>
      <c r="D248" s="111">
        <f t="shared" ref="D248:Y248" si="328">SUM(D246:D247)</f>
        <v>5540.75</v>
      </c>
      <c r="E248" s="111">
        <f t="shared" si="328"/>
        <v>42971.24184053846</v>
      </c>
      <c r="F248" s="111">
        <f t="shared" si="328"/>
        <v>0</v>
      </c>
      <c r="G248" s="111">
        <f t="shared" si="328"/>
        <v>81369.403015011863</v>
      </c>
      <c r="H248" s="111">
        <f t="shared" si="328"/>
        <v>5723.6816749999998</v>
      </c>
      <c r="I248" s="111">
        <f t="shared" si="328"/>
        <v>87093.084690011863</v>
      </c>
      <c r="J248" s="111">
        <f t="shared" si="328"/>
        <v>0</v>
      </c>
      <c r="K248" s="111">
        <f t="shared" si="328"/>
        <v>82600.595046652248</v>
      </c>
      <c r="L248" s="111">
        <f t="shared" si="328"/>
        <v>0</v>
      </c>
      <c r="M248" s="111">
        <f t="shared" si="328"/>
        <v>82600.595046652248</v>
      </c>
      <c r="N248" s="111">
        <f t="shared" si="328"/>
        <v>0</v>
      </c>
      <c r="O248" s="111">
        <f t="shared" si="328"/>
        <v>140675.73912466029</v>
      </c>
      <c r="P248" s="111">
        <f t="shared" si="328"/>
        <v>0</v>
      </c>
      <c r="Q248" s="111">
        <f t="shared" si="328"/>
        <v>140675.73912466029</v>
      </c>
      <c r="R248" s="111">
        <f t="shared" si="328"/>
        <v>0</v>
      </c>
      <c r="S248" s="111">
        <f t="shared" si="328"/>
        <v>70996.581102209078</v>
      </c>
      <c r="T248" s="111">
        <f t="shared" si="328"/>
        <v>0</v>
      </c>
      <c r="U248" s="111">
        <f t="shared" si="328"/>
        <v>70996.581102209078</v>
      </c>
      <c r="V248" s="111">
        <f t="shared" si="328"/>
        <v>0</v>
      </c>
      <c r="W248" s="111">
        <f t="shared" si="328"/>
        <v>413072.81012907194</v>
      </c>
      <c r="X248" s="111">
        <f t="shared" si="328"/>
        <v>11264.431675</v>
      </c>
      <c r="Y248" s="111">
        <f t="shared" si="328"/>
        <v>424337.24180407193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3" customFormat="1" x14ac:dyDescent="0.25">
      <c r="C249" s="14"/>
      <c r="D249" s="14"/>
      <c r="E249" s="14"/>
      <c r="F249" s="14"/>
      <c r="G249" s="14"/>
      <c r="H249" s="14"/>
      <c r="I249" s="14"/>
      <c r="J249" s="14"/>
      <c r="K249" s="14"/>
      <c r="M249" s="14"/>
      <c r="N249" s="14"/>
      <c r="O249" s="14"/>
      <c r="Q249" s="14"/>
      <c r="R249" s="14"/>
      <c r="S249" s="14"/>
      <c r="U249" s="14"/>
      <c r="V249" s="16"/>
      <c r="W249" s="14"/>
      <c r="X249" s="14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169" customFormat="1" x14ac:dyDescent="0.25">
      <c r="A252" s="170" t="s">
        <v>57</v>
      </c>
      <c r="B252" s="169" t="s">
        <v>57</v>
      </c>
      <c r="C252" s="172">
        <v>0</v>
      </c>
      <c r="D252" s="173">
        <v>0</v>
      </c>
      <c r="E252" s="173">
        <f t="shared" ref="E252:E255" si="329">SUM(C252:D252)</f>
        <v>0</v>
      </c>
      <c r="F252" s="175"/>
      <c r="G252" s="172">
        <f>C252*1.03</f>
        <v>0</v>
      </c>
      <c r="H252" s="173">
        <f>D252*1.03</f>
        <v>0</v>
      </c>
      <c r="I252" s="173">
        <f t="shared" ref="I252:I255" si="330">SUM(G252:H252)</f>
        <v>0</v>
      </c>
      <c r="J252" s="175"/>
      <c r="K252" s="172">
        <f>G252*1.03</f>
        <v>0</v>
      </c>
      <c r="L252" s="173">
        <f>H252*1.03</f>
        <v>0</v>
      </c>
      <c r="M252" s="173">
        <f t="shared" ref="M252:M255" si="331">SUM(K252:L252)</f>
        <v>0</v>
      </c>
      <c r="N252" s="175"/>
      <c r="O252" s="172">
        <f>K252*1.03</f>
        <v>0</v>
      </c>
      <c r="P252" s="173">
        <f>L252*1.03</f>
        <v>0</v>
      </c>
      <c r="Q252" s="173">
        <f t="shared" ref="Q252:Q255" si="332">SUM(O252:P252)</f>
        <v>0</v>
      </c>
      <c r="R252" s="175"/>
      <c r="S252" s="172">
        <f>O252*1.03</f>
        <v>0</v>
      </c>
      <c r="T252" s="173">
        <f>P252*1.03</f>
        <v>0</v>
      </c>
      <c r="U252" s="173">
        <f t="shared" ref="U252:U255" si="333">SUM(S252:T252)</f>
        <v>0</v>
      </c>
      <c r="V252" s="176"/>
      <c r="W252" s="227">
        <f>C252+G252+K252+O252+S252</f>
        <v>0</v>
      </c>
      <c r="X252" s="173">
        <f t="shared" ref="X252:Y256" si="334">D252+H252+L252+P252+T252</f>
        <v>0</v>
      </c>
      <c r="Y252" s="177">
        <f t="shared" si="334"/>
        <v>0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si="329"/>
        <v>0</v>
      </c>
      <c r="F253" s="175"/>
      <c r="G253" s="172">
        <f t="shared" ref="G253:H255" si="335">C253*1.03</f>
        <v>0</v>
      </c>
      <c r="H253" s="173">
        <f t="shared" si="335"/>
        <v>0</v>
      </c>
      <c r="I253" s="173">
        <f t="shared" si="330"/>
        <v>0</v>
      </c>
      <c r="J253" s="175"/>
      <c r="K253" s="172">
        <f t="shared" ref="K253:L255" si="336">G253*1.03</f>
        <v>0</v>
      </c>
      <c r="L253" s="173">
        <f t="shared" si="336"/>
        <v>0</v>
      </c>
      <c r="M253" s="173">
        <f t="shared" si="331"/>
        <v>0</v>
      </c>
      <c r="N253" s="175"/>
      <c r="O253" s="172">
        <f t="shared" ref="O253:P255" si="337">K253*1.03</f>
        <v>0</v>
      </c>
      <c r="P253" s="173">
        <f t="shared" si="337"/>
        <v>0</v>
      </c>
      <c r="Q253" s="173">
        <f t="shared" si="332"/>
        <v>0</v>
      </c>
      <c r="R253" s="175"/>
      <c r="S253" s="172">
        <f t="shared" ref="S253:T255" si="338">O253*1.03</f>
        <v>0</v>
      </c>
      <c r="T253" s="173">
        <f t="shared" si="338"/>
        <v>0</v>
      </c>
      <c r="U253" s="173">
        <f t="shared" si="333"/>
        <v>0</v>
      </c>
      <c r="V253" s="176"/>
      <c r="W253" s="227">
        <f t="shared" ref="W253:W256" si="339">C253+G253+K253+O253+S253</f>
        <v>0</v>
      </c>
      <c r="X253" s="173">
        <f t="shared" si="334"/>
        <v>0</v>
      </c>
      <c r="Y253" s="177">
        <f t="shared" si="334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329"/>
        <v>0</v>
      </c>
      <c r="F254" s="175"/>
      <c r="G254" s="172">
        <f t="shared" si="335"/>
        <v>0</v>
      </c>
      <c r="H254" s="173">
        <f t="shared" si="335"/>
        <v>0</v>
      </c>
      <c r="I254" s="173">
        <f t="shared" si="330"/>
        <v>0</v>
      </c>
      <c r="J254" s="175"/>
      <c r="K254" s="172">
        <f t="shared" si="336"/>
        <v>0</v>
      </c>
      <c r="L254" s="173">
        <f t="shared" si="336"/>
        <v>0</v>
      </c>
      <c r="M254" s="173">
        <f t="shared" si="331"/>
        <v>0</v>
      </c>
      <c r="N254" s="175"/>
      <c r="O254" s="172">
        <f t="shared" si="337"/>
        <v>0</v>
      </c>
      <c r="P254" s="173">
        <f t="shared" si="337"/>
        <v>0</v>
      </c>
      <c r="Q254" s="173">
        <f t="shared" si="332"/>
        <v>0</v>
      </c>
      <c r="R254" s="175"/>
      <c r="S254" s="172">
        <f t="shared" si="338"/>
        <v>0</v>
      </c>
      <c r="T254" s="173">
        <f t="shared" si="338"/>
        <v>0</v>
      </c>
      <c r="U254" s="173">
        <f t="shared" si="333"/>
        <v>0</v>
      </c>
      <c r="V254" s="176"/>
      <c r="W254" s="227">
        <f t="shared" si="339"/>
        <v>0</v>
      </c>
      <c r="X254" s="173">
        <f t="shared" si="334"/>
        <v>0</v>
      </c>
      <c r="Y254" s="177">
        <f t="shared" si="334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329"/>
        <v>0</v>
      </c>
      <c r="F255" s="175"/>
      <c r="G255" s="172">
        <f t="shared" si="335"/>
        <v>0</v>
      </c>
      <c r="H255" s="173">
        <f t="shared" si="335"/>
        <v>0</v>
      </c>
      <c r="I255" s="173">
        <f t="shared" si="330"/>
        <v>0</v>
      </c>
      <c r="J255" s="175"/>
      <c r="K255" s="172">
        <f t="shared" si="336"/>
        <v>0</v>
      </c>
      <c r="L255" s="173">
        <f t="shared" si="336"/>
        <v>0</v>
      </c>
      <c r="M255" s="173">
        <f t="shared" si="331"/>
        <v>0</v>
      </c>
      <c r="N255" s="175"/>
      <c r="O255" s="172">
        <f t="shared" si="337"/>
        <v>0</v>
      </c>
      <c r="P255" s="173">
        <f t="shared" si="337"/>
        <v>0</v>
      </c>
      <c r="Q255" s="173">
        <f t="shared" si="332"/>
        <v>0</v>
      </c>
      <c r="R255" s="175"/>
      <c r="S255" s="172">
        <f t="shared" si="338"/>
        <v>0</v>
      </c>
      <c r="T255" s="173">
        <f t="shared" si="338"/>
        <v>0</v>
      </c>
      <c r="U255" s="173">
        <f t="shared" si="333"/>
        <v>0</v>
      </c>
      <c r="V255" s="176"/>
      <c r="W255" s="227">
        <f t="shared" si="339"/>
        <v>0</v>
      </c>
      <c r="X255" s="173">
        <f t="shared" si="334"/>
        <v>0</v>
      </c>
      <c r="Y255" s="177">
        <f t="shared" si="334"/>
        <v>0</v>
      </c>
    </row>
    <row r="256" spans="1:77" s="83" customFormat="1" x14ac:dyDescent="0.25">
      <c r="A256" s="78"/>
      <c r="B256" s="78" t="s">
        <v>9</v>
      </c>
      <c r="C256" s="228">
        <f>SUM(C252:C255)</f>
        <v>0</v>
      </c>
      <c r="D256" s="125">
        <f>SUM(D252:D255)</f>
        <v>0</v>
      </c>
      <c r="E256" s="125">
        <f>SUM(E252:E255)</f>
        <v>0</v>
      </c>
      <c r="F256" s="81"/>
      <c r="G256" s="79">
        <f>SUM(G252:G255)</f>
        <v>0</v>
      </c>
      <c r="H256" s="80">
        <f>SUM(H252:H255)</f>
        <v>0</v>
      </c>
      <c r="I256" s="80">
        <f>SUM(I252:I255)</f>
        <v>0</v>
      </c>
      <c r="J256" s="81"/>
      <c r="K256" s="79">
        <f>SUM(K252:K255)</f>
        <v>0</v>
      </c>
      <c r="L256" s="80">
        <f>SUM(L252:L255)</f>
        <v>0</v>
      </c>
      <c r="M256" s="80">
        <f>SUM(M252:M255)</f>
        <v>0</v>
      </c>
      <c r="N256" s="81"/>
      <c r="O256" s="79">
        <f>SUM(O252:O255)</f>
        <v>0</v>
      </c>
      <c r="P256" s="80">
        <f>SUM(P252:P255)</f>
        <v>0</v>
      </c>
      <c r="Q256" s="80">
        <f>SUM(Q252:Q255)</f>
        <v>0</v>
      </c>
      <c r="R256" s="81"/>
      <c r="S256" s="79">
        <f>SUM(S252:S255)</f>
        <v>0</v>
      </c>
      <c r="T256" s="80">
        <f>SUM(T252:T255)</f>
        <v>0</v>
      </c>
      <c r="U256" s="80">
        <f>SUM(U252:U255)</f>
        <v>0</v>
      </c>
      <c r="V256" s="82"/>
      <c r="W256" s="228">
        <f t="shared" si="339"/>
        <v>0</v>
      </c>
      <c r="X256" s="80">
        <f t="shared" si="334"/>
        <v>0</v>
      </c>
      <c r="Y256" s="80">
        <f t="shared" si="334"/>
        <v>0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:L261" si="340">G258*1.03</f>
        <v>0</v>
      </c>
      <c r="L258" s="57">
        <f t="shared" si="340"/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Y262" si="341">C258+G258+K258+O258+S258</f>
        <v>0</v>
      </c>
      <c r="X258" s="57">
        <f t="shared" si="341"/>
        <v>0</v>
      </c>
      <c r="Y258" s="57">
        <f t="shared" ref="Y258:Y261" si="342">SUM(W258:X258)</f>
        <v>0</v>
      </c>
      <c r="AA258" s="202" t="s">
        <v>57</v>
      </c>
    </row>
    <row r="259" spans="1:77" s="61" customFormat="1" x14ac:dyDescent="0.25">
      <c r="A259" s="203"/>
      <c r="B259" s="61" t="s">
        <v>207</v>
      </c>
      <c r="C259" s="124">
        <v>0</v>
      </c>
      <c r="D259" s="56">
        <v>0</v>
      </c>
      <c r="E259" s="56">
        <f t="shared" ref="E259:E261" si="343">SUM(C259:D259)</f>
        <v>0</v>
      </c>
      <c r="F259" s="58"/>
      <c r="G259" s="55">
        <f t="shared" ref="G259:H261" si="344">C259*1.03</f>
        <v>0</v>
      </c>
      <c r="H259" s="57">
        <f t="shared" si="344"/>
        <v>0</v>
      </c>
      <c r="I259" s="57">
        <f t="shared" ref="I259:I261" si="345">SUM(G259:H259)</f>
        <v>0</v>
      </c>
      <c r="J259" s="58"/>
      <c r="K259" s="55">
        <f t="shared" si="340"/>
        <v>0</v>
      </c>
      <c r="L259" s="57">
        <f t="shared" si="340"/>
        <v>0</v>
      </c>
      <c r="M259" s="57">
        <f t="shared" ref="M259:M261" si="346">SUM(K259:L259)</f>
        <v>0</v>
      </c>
      <c r="N259" s="58"/>
      <c r="O259" s="55">
        <f t="shared" ref="O259:P261" si="347">K259*1.03</f>
        <v>0</v>
      </c>
      <c r="P259" s="57">
        <f t="shared" si="347"/>
        <v>0</v>
      </c>
      <c r="Q259" s="57">
        <f t="shared" ref="Q259:Q261" si="348">SUM(O259:P259)</f>
        <v>0</v>
      </c>
      <c r="R259" s="58"/>
      <c r="S259" s="55">
        <f t="shared" ref="S259:T261" si="349">O259*1.03</f>
        <v>0</v>
      </c>
      <c r="T259" s="57">
        <f t="shared" si="349"/>
        <v>0</v>
      </c>
      <c r="U259" s="57">
        <f t="shared" ref="U259:U261" si="350">SUM(S259:T259)</f>
        <v>0</v>
      </c>
      <c r="V259" s="59"/>
      <c r="W259" s="124">
        <f t="shared" si="341"/>
        <v>0</v>
      </c>
      <c r="X259" s="57">
        <f t="shared" si="341"/>
        <v>0</v>
      </c>
      <c r="Y259" s="57">
        <f t="shared" si="342"/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si="343"/>
        <v>0</v>
      </c>
      <c r="F260" s="58"/>
      <c r="G260" s="55">
        <f t="shared" si="344"/>
        <v>0</v>
      </c>
      <c r="H260" s="57">
        <f t="shared" si="344"/>
        <v>0</v>
      </c>
      <c r="I260" s="57">
        <f t="shared" si="345"/>
        <v>0</v>
      </c>
      <c r="J260" s="58"/>
      <c r="K260" s="55">
        <f t="shared" si="340"/>
        <v>0</v>
      </c>
      <c r="L260" s="57">
        <f t="shared" si="340"/>
        <v>0</v>
      </c>
      <c r="M260" s="57">
        <f t="shared" si="346"/>
        <v>0</v>
      </c>
      <c r="N260" s="58"/>
      <c r="O260" s="55">
        <f t="shared" si="347"/>
        <v>0</v>
      </c>
      <c r="P260" s="57">
        <f t="shared" si="347"/>
        <v>0</v>
      </c>
      <c r="Q260" s="57">
        <f t="shared" si="348"/>
        <v>0</v>
      </c>
      <c r="R260" s="58"/>
      <c r="S260" s="55">
        <f t="shared" si="349"/>
        <v>0</v>
      </c>
      <c r="T260" s="57">
        <f t="shared" si="349"/>
        <v>0</v>
      </c>
      <c r="U260" s="57">
        <f t="shared" si="350"/>
        <v>0</v>
      </c>
      <c r="V260" s="59"/>
      <c r="W260" s="124">
        <f t="shared" si="341"/>
        <v>0</v>
      </c>
      <c r="X260" s="57">
        <f t="shared" si="341"/>
        <v>0</v>
      </c>
      <c r="Y260" s="57">
        <f t="shared" si="342"/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343"/>
        <v>0</v>
      </c>
      <c r="F261" s="58"/>
      <c r="G261" s="55">
        <f t="shared" si="344"/>
        <v>0</v>
      </c>
      <c r="H261" s="57">
        <f t="shared" si="344"/>
        <v>0</v>
      </c>
      <c r="I261" s="57">
        <f t="shared" si="345"/>
        <v>0</v>
      </c>
      <c r="J261" s="58"/>
      <c r="K261" s="55">
        <f t="shared" si="340"/>
        <v>0</v>
      </c>
      <c r="L261" s="57">
        <f t="shared" si="340"/>
        <v>0</v>
      </c>
      <c r="M261" s="57">
        <f t="shared" si="346"/>
        <v>0</v>
      </c>
      <c r="N261" s="58"/>
      <c r="O261" s="55">
        <f t="shared" si="347"/>
        <v>0</v>
      </c>
      <c r="P261" s="57">
        <f t="shared" si="347"/>
        <v>0</v>
      </c>
      <c r="Q261" s="57">
        <f t="shared" si="348"/>
        <v>0</v>
      </c>
      <c r="R261" s="58"/>
      <c r="S261" s="55">
        <f t="shared" si="349"/>
        <v>0</v>
      </c>
      <c r="T261" s="57">
        <f t="shared" si="349"/>
        <v>0</v>
      </c>
      <c r="U261" s="57">
        <f t="shared" si="350"/>
        <v>0</v>
      </c>
      <c r="V261" s="59"/>
      <c r="W261" s="124">
        <f t="shared" si="341"/>
        <v>0</v>
      </c>
      <c r="X261" s="57">
        <f t="shared" si="341"/>
        <v>0</v>
      </c>
      <c r="Y261" s="57">
        <f t="shared" si="342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341"/>
        <v>0</v>
      </c>
      <c r="X262" s="80">
        <f t="shared" si="341"/>
        <v>0</v>
      </c>
      <c r="Y262" s="80">
        <f t="shared" si="341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351">C262+C256</f>
        <v>0</v>
      </c>
      <c r="D263" s="242">
        <f t="shared" si="351"/>
        <v>0</v>
      </c>
      <c r="E263" s="242">
        <f t="shared" si="351"/>
        <v>0</v>
      </c>
      <c r="F263" s="242">
        <f t="shared" si="351"/>
        <v>0</v>
      </c>
      <c r="G263" s="242">
        <f t="shared" si="351"/>
        <v>0</v>
      </c>
      <c r="H263" s="242">
        <f t="shared" si="351"/>
        <v>0</v>
      </c>
      <c r="I263" s="242">
        <f t="shared" si="351"/>
        <v>0</v>
      </c>
      <c r="J263" s="242">
        <f t="shared" si="351"/>
        <v>0</v>
      </c>
      <c r="K263" s="242">
        <f t="shared" si="351"/>
        <v>0</v>
      </c>
      <c r="L263" s="242">
        <f t="shared" si="351"/>
        <v>0</v>
      </c>
      <c r="M263" s="242">
        <f t="shared" si="351"/>
        <v>0</v>
      </c>
      <c r="N263" s="242">
        <f t="shared" si="351"/>
        <v>0</v>
      </c>
      <c r="O263" s="242">
        <f t="shared" si="351"/>
        <v>0</v>
      </c>
      <c r="P263" s="242">
        <f t="shared" si="351"/>
        <v>0</v>
      </c>
      <c r="Q263" s="242">
        <f t="shared" si="351"/>
        <v>0</v>
      </c>
      <c r="R263" s="242">
        <f t="shared" si="351"/>
        <v>0</v>
      </c>
      <c r="S263" s="242">
        <f t="shared" si="351"/>
        <v>0</v>
      </c>
      <c r="T263" s="242">
        <f t="shared" si="351"/>
        <v>0</v>
      </c>
      <c r="U263" s="242">
        <f t="shared" si="351"/>
        <v>0</v>
      </c>
      <c r="V263" s="242">
        <f t="shared" si="351"/>
        <v>0</v>
      </c>
      <c r="W263" s="242">
        <f t="shared" si="351"/>
        <v>0</v>
      </c>
      <c r="X263" s="242">
        <f t="shared" si="351"/>
        <v>0</v>
      </c>
      <c r="Y263" s="243">
        <f>E263+I263+M263+Q263+U263</f>
        <v>0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56">
        <f t="shared" ref="E265:E267" si="352">SUM(C265:D265)</f>
        <v>0</v>
      </c>
      <c r="F265" s="58"/>
      <c r="G265" s="124">
        <f>G258*A265*1.03*1.03</f>
        <v>0</v>
      </c>
      <c r="H265" s="56">
        <f>H258*A265*1.03</f>
        <v>0</v>
      </c>
      <c r="I265" s="57">
        <f t="shared" ref="I265:I267" si="353">SUM(G265:H265)</f>
        <v>0</v>
      </c>
      <c r="J265" s="58"/>
      <c r="K265" s="124">
        <f>K258*A265*1.03*1.03*1.03</f>
        <v>0</v>
      </c>
      <c r="L265" s="56">
        <f>L258*A265*1.03*1.03</f>
        <v>0</v>
      </c>
      <c r="M265" s="57">
        <f t="shared" ref="M265:M267" si="354">SUM(K265:L265)</f>
        <v>0</v>
      </c>
      <c r="N265" s="58"/>
      <c r="O265" s="124">
        <f>O258*A265*1.03*1.03*1.03*1.03</f>
        <v>0</v>
      </c>
      <c r="P265" s="56">
        <f>P258*A265*1.03*1.03*1.03</f>
        <v>0</v>
      </c>
      <c r="Q265" s="57">
        <f t="shared" ref="Q265:Q267" si="355">SUM(O265:P265)</f>
        <v>0</v>
      </c>
      <c r="R265" s="58"/>
      <c r="S265" s="124">
        <f>S258*A265*1.03*1.03*1.03*1.03*1.03</f>
        <v>0</v>
      </c>
      <c r="T265" s="56">
        <f>T258*A265*1.03*1.03*1.03*1.03</f>
        <v>0</v>
      </c>
      <c r="U265" s="57">
        <f t="shared" ref="U265:U267" si="356">SUM(S265:T265)</f>
        <v>0</v>
      </c>
      <c r="V265" s="59"/>
      <c r="W265" s="124">
        <f t="shared" ref="W265:Y268" si="357">C265+G265+K265+O265+S265</f>
        <v>0</v>
      </c>
      <c r="X265" s="57">
        <f t="shared" si="357"/>
        <v>0</v>
      </c>
      <c r="Y265" s="84">
        <f t="shared" si="357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0</v>
      </c>
      <c r="D266" s="56">
        <f>D256*A266*1.03</f>
        <v>0</v>
      </c>
      <c r="E266" s="56">
        <f t="shared" si="352"/>
        <v>0</v>
      </c>
      <c r="F266" s="58"/>
      <c r="G266" s="124">
        <f>G256*A266*1.03*1.03</f>
        <v>0</v>
      </c>
      <c r="H266" s="56">
        <f>H256*A266*1.03*1.03</f>
        <v>0</v>
      </c>
      <c r="I266" s="57">
        <f t="shared" si="353"/>
        <v>0</v>
      </c>
      <c r="J266" s="58"/>
      <c r="K266" s="124">
        <f>K260*A266*1.03*1.03</f>
        <v>0</v>
      </c>
      <c r="L266" s="56">
        <f>L260*A266*1.03*1.03</f>
        <v>0</v>
      </c>
      <c r="M266" s="57">
        <f t="shared" si="354"/>
        <v>0</v>
      </c>
      <c r="N266" s="58"/>
      <c r="O266" s="124">
        <f>O260*A266*1.03*1.03*1.03</f>
        <v>0</v>
      </c>
      <c r="P266" s="56">
        <f>P260*A266*1.03*1.03*1.03</f>
        <v>0</v>
      </c>
      <c r="Q266" s="57">
        <f t="shared" si="355"/>
        <v>0</v>
      </c>
      <c r="R266" s="58"/>
      <c r="S266" s="124">
        <f>S260*A266*1.03*1.03*1.03*1.03</f>
        <v>0</v>
      </c>
      <c r="T266" s="56">
        <f>T260*A266*1.03*1.03*1.03*1.03</f>
        <v>0</v>
      </c>
      <c r="U266" s="57">
        <f t="shared" si="356"/>
        <v>0</v>
      </c>
      <c r="V266" s="59"/>
      <c r="W266" s="124">
        <f t="shared" si="357"/>
        <v>0</v>
      </c>
      <c r="X266" s="57">
        <f t="shared" si="357"/>
        <v>0</v>
      </c>
      <c r="Y266" s="84">
        <f t="shared" si="357"/>
        <v>0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56">
        <f t="shared" si="352"/>
        <v>0</v>
      </c>
      <c r="F267" s="58"/>
      <c r="G267" s="55">
        <f>C267*1.05</f>
        <v>0</v>
      </c>
      <c r="H267" s="57">
        <f>D267*1.05</f>
        <v>0</v>
      </c>
      <c r="I267" s="57">
        <f t="shared" si="353"/>
        <v>0</v>
      </c>
      <c r="J267" s="58"/>
      <c r="K267" s="55">
        <f>K256*A266*1.03*1.03*1.03</f>
        <v>0</v>
      </c>
      <c r="L267" s="56">
        <f>L256*A266*1.03*1.03*1.03</f>
        <v>0</v>
      </c>
      <c r="M267" s="57">
        <f t="shared" si="354"/>
        <v>0</v>
      </c>
      <c r="N267" s="58"/>
      <c r="O267" s="55">
        <f>O256*A266*1.03*1.03*1.03*1.03</f>
        <v>0</v>
      </c>
      <c r="P267" s="56">
        <f>P256*A266*1.03*1.03*1.03*1.03</f>
        <v>0</v>
      </c>
      <c r="Q267" s="57">
        <f t="shared" si="355"/>
        <v>0</v>
      </c>
      <c r="R267" s="58"/>
      <c r="S267" s="55">
        <f>S256*A266*1.03*1.03*1.03*1.03*1.03</f>
        <v>0</v>
      </c>
      <c r="T267" s="56">
        <f>T256*A266*1.03*1.03*1.03*1.03*1.03</f>
        <v>0</v>
      </c>
      <c r="U267" s="57">
        <f t="shared" si="356"/>
        <v>0</v>
      </c>
      <c r="V267" s="59"/>
      <c r="W267" s="124">
        <f t="shared" si="357"/>
        <v>0</v>
      </c>
      <c r="X267" s="57">
        <f t="shared" si="357"/>
        <v>0</v>
      </c>
      <c r="Y267" s="84">
        <f t="shared" si="357"/>
        <v>0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0</v>
      </c>
      <c r="D268" s="125">
        <f>SUM(D265:D267)</f>
        <v>0</v>
      </c>
      <c r="E268" s="125">
        <f>SUM(E265:E267)</f>
        <v>0</v>
      </c>
      <c r="F268" s="81"/>
      <c r="G268" s="79">
        <f>SUM(G265:G267)</f>
        <v>0</v>
      </c>
      <c r="H268" s="80">
        <f>SUM(H265:H267)</f>
        <v>0</v>
      </c>
      <c r="I268" s="80">
        <f>SUM(I265:I267)</f>
        <v>0</v>
      </c>
      <c r="J268" s="81"/>
      <c r="K268" s="79">
        <f>SUM(K265:K267)</f>
        <v>0</v>
      </c>
      <c r="L268" s="80">
        <f>SUM(L265:L267)</f>
        <v>0</v>
      </c>
      <c r="M268" s="80">
        <f>SUM(M265:M267)</f>
        <v>0</v>
      </c>
      <c r="N268" s="81"/>
      <c r="O268" s="79">
        <f>SUM(O265:O267)</f>
        <v>0</v>
      </c>
      <c r="P268" s="80">
        <f>SUM(P265:P267)</f>
        <v>0</v>
      </c>
      <c r="Q268" s="80">
        <f>SUM(Q265:Q267)</f>
        <v>0</v>
      </c>
      <c r="R268" s="81"/>
      <c r="S268" s="79">
        <f>SUM(S265:S267)</f>
        <v>0</v>
      </c>
      <c r="T268" s="80">
        <f>SUM(T265:T267)</f>
        <v>0</v>
      </c>
      <c r="U268" s="80">
        <f>SUM(U265:U267)</f>
        <v>0</v>
      </c>
      <c r="V268" s="82"/>
      <c r="W268" s="228">
        <f t="shared" si="357"/>
        <v>0</v>
      </c>
      <c r="X268" s="80">
        <f t="shared" si="357"/>
        <v>0</v>
      </c>
      <c r="Y268" s="80">
        <f t="shared" si="357"/>
        <v>0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358">C268+C263</f>
        <v>0</v>
      </c>
      <c r="D269" s="242">
        <f t="shared" si="358"/>
        <v>0</v>
      </c>
      <c r="E269" s="242">
        <f t="shared" si="358"/>
        <v>0</v>
      </c>
      <c r="F269" s="242">
        <f t="shared" si="358"/>
        <v>0</v>
      </c>
      <c r="G269" s="242">
        <f t="shared" si="358"/>
        <v>0</v>
      </c>
      <c r="H269" s="242">
        <f t="shared" si="358"/>
        <v>0</v>
      </c>
      <c r="I269" s="242">
        <f t="shared" si="358"/>
        <v>0</v>
      </c>
      <c r="J269" s="242">
        <f t="shared" si="358"/>
        <v>0</v>
      </c>
      <c r="K269" s="242">
        <f t="shared" si="358"/>
        <v>0</v>
      </c>
      <c r="L269" s="242">
        <f t="shared" si="358"/>
        <v>0</v>
      </c>
      <c r="M269" s="242">
        <f t="shared" si="358"/>
        <v>0</v>
      </c>
      <c r="N269" s="242">
        <f t="shared" si="358"/>
        <v>0</v>
      </c>
      <c r="O269" s="242">
        <f t="shared" si="358"/>
        <v>0</v>
      </c>
      <c r="P269" s="242">
        <f t="shared" si="358"/>
        <v>0</v>
      </c>
      <c r="Q269" s="242">
        <f t="shared" si="358"/>
        <v>0</v>
      </c>
      <c r="R269" s="242">
        <f t="shared" si="358"/>
        <v>0</v>
      </c>
      <c r="S269" s="242">
        <f t="shared" si="358"/>
        <v>0</v>
      </c>
      <c r="T269" s="242">
        <f t="shared" si="358"/>
        <v>0</v>
      </c>
      <c r="U269" s="242">
        <f t="shared" si="358"/>
        <v>0</v>
      </c>
      <c r="V269" s="242">
        <f t="shared" si="358"/>
        <v>0</v>
      </c>
      <c r="W269" s="242">
        <f t="shared" si="358"/>
        <v>0</v>
      </c>
      <c r="X269" s="242">
        <f t="shared" si="358"/>
        <v>0</v>
      </c>
      <c r="Y269" s="242">
        <f t="shared" si="358"/>
        <v>0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359">SUM(C271:D271)</f>
        <v>0</v>
      </c>
      <c r="F271" s="58"/>
      <c r="G271" s="55">
        <v>0</v>
      </c>
      <c r="H271" s="57">
        <v>0</v>
      </c>
      <c r="I271" s="57">
        <f t="shared" ref="I271:I273" si="360">SUM(G271:H271)</f>
        <v>0</v>
      </c>
      <c r="J271" s="58"/>
      <c r="K271" s="55">
        <v>0</v>
      </c>
      <c r="L271" s="57">
        <v>0</v>
      </c>
      <c r="M271" s="57">
        <f t="shared" ref="M271:M273" si="361">SUM(K271:L271)</f>
        <v>0</v>
      </c>
      <c r="N271" s="58"/>
      <c r="O271" s="55">
        <v>0</v>
      </c>
      <c r="P271" s="57">
        <v>0</v>
      </c>
      <c r="Q271" s="57">
        <f t="shared" ref="Q271:Q273" si="362">SUM(O271:P271)</f>
        <v>0</v>
      </c>
      <c r="R271" s="58"/>
      <c r="S271" s="55">
        <v>0</v>
      </c>
      <c r="T271" s="57">
        <v>0</v>
      </c>
      <c r="U271" s="57">
        <f t="shared" ref="U271:U273" si="363">SUM(S271:T271)</f>
        <v>0</v>
      </c>
      <c r="V271" s="59"/>
      <c r="W271" s="124">
        <f t="shared" ref="W271:Y274" si="364">C271+G271+K271+O271+S271</f>
        <v>0</v>
      </c>
      <c r="X271" s="57">
        <f t="shared" si="364"/>
        <v>0</v>
      </c>
      <c r="Y271" s="84">
        <f t="shared" si="364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359"/>
        <v>0</v>
      </c>
      <c r="F272" s="58"/>
      <c r="G272" s="55">
        <v>0</v>
      </c>
      <c r="H272" s="57">
        <v>0</v>
      </c>
      <c r="I272" s="57">
        <f t="shared" si="360"/>
        <v>0</v>
      </c>
      <c r="J272" s="58"/>
      <c r="K272" s="55">
        <v>0</v>
      </c>
      <c r="L272" s="57">
        <v>0</v>
      </c>
      <c r="M272" s="57">
        <f t="shared" si="361"/>
        <v>0</v>
      </c>
      <c r="N272" s="58"/>
      <c r="O272" s="55">
        <f>K272</f>
        <v>0</v>
      </c>
      <c r="P272" s="57">
        <v>0</v>
      </c>
      <c r="Q272" s="57">
        <f t="shared" si="362"/>
        <v>0</v>
      </c>
      <c r="R272" s="58"/>
      <c r="S272" s="55">
        <f>O272</f>
        <v>0</v>
      </c>
      <c r="T272" s="57">
        <v>0</v>
      </c>
      <c r="U272" s="57">
        <f t="shared" si="363"/>
        <v>0</v>
      </c>
      <c r="V272" s="59"/>
      <c r="W272" s="124">
        <f t="shared" si="364"/>
        <v>0</v>
      </c>
      <c r="X272" s="57">
        <f t="shared" si="364"/>
        <v>0</v>
      </c>
      <c r="Y272" s="84">
        <f t="shared" si="364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359"/>
        <v>0</v>
      </c>
      <c r="F273" s="58"/>
      <c r="G273" s="55">
        <v>0</v>
      </c>
      <c r="H273" s="57">
        <v>0</v>
      </c>
      <c r="I273" s="57">
        <f t="shared" si="360"/>
        <v>0</v>
      </c>
      <c r="J273" s="58"/>
      <c r="K273" s="55">
        <f>G273</f>
        <v>0</v>
      </c>
      <c r="L273" s="57">
        <v>0</v>
      </c>
      <c r="M273" s="57">
        <f t="shared" si="361"/>
        <v>0</v>
      </c>
      <c r="N273" s="58"/>
      <c r="O273" s="55">
        <v>0</v>
      </c>
      <c r="P273" s="57">
        <v>0</v>
      </c>
      <c r="Q273" s="57">
        <f t="shared" si="362"/>
        <v>0</v>
      </c>
      <c r="R273" s="58"/>
      <c r="S273" s="55">
        <f>O273</f>
        <v>0</v>
      </c>
      <c r="T273" s="57">
        <v>0</v>
      </c>
      <c r="U273" s="57">
        <f t="shared" si="363"/>
        <v>0</v>
      </c>
      <c r="V273" s="59"/>
      <c r="W273" s="124">
        <f t="shared" si="364"/>
        <v>0</v>
      </c>
      <c r="X273" s="57">
        <f t="shared" si="364"/>
        <v>0</v>
      </c>
      <c r="Y273" s="84">
        <f t="shared" si="364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364"/>
        <v>0</v>
      </c>
      <c r="X274" s="80">
        <f t="shared" si="364"/>
        <v>0</v>
      </c>
      <c r="Y274" s="80">
        <f t="shared" si="364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144</v>
      </c>
      <c r="C276" s="124">
        <f>12*800*0.5*0</f>
        <v>0</v>
      </c>
      <c r="D276" s="56">
        <f>12*800*0.5*0</f>
        <v>0</v>
      </c>
      <c r="E276" s="56">
        <f t="shared" ref="E276:E278" si="365">SUM(C276:D276)</f>
        <v>0</v>
      </c>
      <c r="F276" s="58"/>
      <c r="G276" s="55">
        <f>C276</f>
        <v>0</v>
      </c>
      <c r="H276" s="57">
        <f>D276</f>
        <v>0</v>
      </c>
      <c r="I276" s="57">
        <f t="shared" ref="I276:I278" si="366">SUM(G276:H276)</f>
        <v>0</v>
      </c>
      <c r="J276" s="58"/>
      <c r="K276" s="55">
        <f>G276</f>
        <v>0</v>
      </c>
      <c r="L276" s="57">
        <f>H276</f>
        <v>0</v>
      </c>
      <c r="M276" s="57">
        <f t="shared" ref="M276:M278" si="367">SUM(K276:L276)</f>
        <v>0</v>
      </c>
      <c r="N276" s="58"/>
      <c r="O276" s="55">
        <f>K276</f>
        <v>0</v>
      </c>
      <c r="P276" s="57">
        <f>L276</f>
        <v>0</v>
      </c>
      <c r="Q276" s="57">
        <f t="shared" ref="Q276:Q278" si="368">SUM(O276:P276)</f>
        <v>0</v>
      </c>
      <c r="R276" s="58"/>
      <c r="S276" s="55">
        <f>O276</f>
        <v>0</v>
      </c>
      <c r="T276" s="57">
        <f>P276</f>
        <v>0</v>
      </c>
      <c r="U276" s="57">
        <f t="shared" ref="U276:U278" si="369">SUM(S276:T276)</f>
        <v>0</v>
      </c>
      <c r="V276" s="59"/>
      <c r="W276" s="124">
        <f t="shared" ref="W276:Y279" si="370">C276+G276+K276+O276+S276</f>
        <v>0</v>
      </c>
      <c r="X276" s="57">
        <f t="shared" si="370"/>
        <v>0</v>
      </c>
      <c r="Y276" s="84">
        <f t="shared" si="370"/>
        <v>0</v>
      </c>
    </row>
    <row r="277" spans="1:77" s="61" customFormat="1" x14ac:dyDescent="0.25">
      <c r="A277" s="203"/>
      <c r="B277" s="52" t="s">
        <v>57</v>
      </c>
      <c r="C277" s="124">
        <f>2000*5*0.5*0</f>
        <v>0</v>
      </c>
      <c r="D277" s="56">
        <f>2000*5*0.5*0</f>
        <v>0</v>
      </c>
      <c r="E277" s="56">
        <f t="shared" si="365"/>
        <v>0</v>
      </c>
      <c r="F277" s="58"/>
      <c r="G277" s="55">
        <f>C277</f>
        <v>0</v>
      </c>
      <c r="H277" s="57">
        <f>D277</f>
        <v>0</v>
      </c>
      <c r="I277" s="57">
        <f t="shared" si="366"/>
        <v>0</v>
      </c>
      <c r="J277" s="58"/>
      <c r="K277" s="55">
        <f>G277</f>
        <v>0</v>
      </c>
      <c r="L277" s="57">
        <f>H277</f>
        <v>0</v>
      </c>
      <c r="M277" s="57">
        <f t="shared" si="367"/>
        <v>0</v>
      </c>
      <c r="N277" s="58"/>
      <c r="O277" s="55">
        <f>K277</f>
        <v>0</v>
      </c>
      <c r="P277" s="57">
        <f>L277</f>
        <v>0</v>
      </c>
      <c r="Q277" s="57">
        <f t="shared" si="368"/>
        <v>0</v>
      </c>
      <c r="R277" s="58"/>
      <c r="S277" s="55">
        <f>O277</f>
        <v>0</v>
      </c>
      <c r="T277" s="57">
        <f>P277</f>
        <v>0</v>
      </c>
      <c r="U277" s="57">
        <f t="shared" si="369"/>
        <v>0</v>
      </c>
      <c r="V277" s="59"/>
      <c r="W277" s="124">
        <f t="shared" si="370"/>
        <v>0</v>
      </c>
      <c r="X277" s="57">
        <f t="shared" si="370"/>
        <v>0</v>
      </c>
      <c r="Y277" s="84">
        <f t="shared" si="370"/>
        <v>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si="365"/>
        <v>0</v>
      </c>
      <c r="F278" s="58"/>
      <c r="G278" s="55">
        <v>0</v>
      </c>
      <c r="H278" s="57">
        <v>0</v>
      </c>
      <c r="I278" s="57">
        <f t="shared" si="366"/>
        <v>0</v>
      </c>
      <c r="J278" s="58"/>
      <c r="K278" s="55">
        <v>0</v>
      </c>
      <c r="L278" s="57">
        <v>0</v>
      </c>
      <c r="M278" s="57">
        <f t="shared" si="367"/>
        <v>0</v>
      </c>
      <c r="N278" s="58"/>
      <c r="O278" s="55">
        <v>0</v>
      </c>
      <c r="P278" s="57">
        <v>0</v>
      </c>
      <c r="Q278" s="57">
        <f t="shared" si="368"/>
        <v>0</v>
      </c>
      <c r="R278" s="58"/>
      <c r="S278" s="55">
        <v>0</v>
      </c>
      <c r="T278" s="57">
        <v>0</v>
      </c>
      <c r="U278" s="57">
        <f t="shared" si="369"/>
        <v>0</v>
      </c>
      <c r="V278" s="59"/>
      <c r="W278" s="124">
        <f t="shared" si="370"/>
        <v>0</v>
      </c>
      <c r="X278" s="57">
        <f t="shared" si="370"/>
        <v>0</v>
      </c>
      <c r="Y278" s="84">
        <f t="shared" si="370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0</v>
      </c>
      <c r="D279" s="125">
        <f>SUM(D276:D278)</f>
        <v>0</v>
      </c>
      <c r="E279" s="125">
        <f>SUM(E276:E278)</f>
        <v>0</v>
      </c>
      <c r="F279" s="81"/>
      <c r="G279" s="79">
        <f>SUM(G276:G278)</f>
        <v>0</v>
      </c>
      <c r="H279" s="80">
        <f>SUM(H276:H278)</f>
        <v>0</v>
      </c>
      <c r="I279" s="80">
        <f>SUM(I276:I278)</f>
        <v>0</v>
      </c>
      <c r="J279" s="81"/>
      <c r="K279" s="79">
        <f>SUM(K276:K278)</f>
        <v>0</v>
      </c>
      <c r="L279" s="80">
        <f>SUM(L276:L278)</f>
        <v>0</v>
      </c>
      <c r="M279" s="80">
        <f>SUM(M276:M278)</f>
        <v>0</v>
      </c>
      <c r="N279" s="81"/>
      <c r="O279" s="79">
        <f>SUM(O276:O278)</f>
        <v>0</v>
      </c>
      <c r="P279" s="80">
        <f>SUM(P276:P278)</f>
        <v>0</v>
      </c>
      <c r="Q279" s="80">
        <f>SUM(Q276:Q278)</f>
        <v>0</v>
      </c>
      <c r="R279" s="81"/>
      <c r="S279" s="79">
        <f>SUM(S276:S278)</f>
        <v>0</v>
      </c>
      <c r="T279" s="80">
        <f>SUM(T276:T278)</f>
        <v>0</v>
      </c>
      <c r="U279" s="80">
        <f>SUM(U276:U278)</f>
        <v>0</v>
      </c>
      <c r="V279" s="82"/>
      <c r="W279" s="228">
        <f t="shared" si="370"/>
        <v>0</v>
      </c>
      <c r="X279" s="80">
        <f t="shared" si="370"/>
        <v>0</v>
      </c>
      <c r="Y279" s="80">
        <f t="shared" si="370"/>
        <v>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Y283" si="371">C281+G281+K281+O281+S281</f>
        <v>0</v>
      </c>
      <c r="X281" s="57">
        <f t="shared" si="371"/>
        <v>0</v>
      </c>
      <c r="Y281" s="84">
        <f t="shared" si="371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371"/>
        <v>0</v>
      </c>
      <c r="X282" s="56">
        <f t="shared" si="371"/>
        <v>0</v>
      </c>
      <c r="Y282" s="85">
        <f t="shared" si="371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371"/>
        <v>0</v>
      </c>
      <c r="X283" s="80">
        <f t="shared" si="371"/>
        <v>0</v>
      </c>
      <c r="Y283" s="80">
        <f t="shared" si="371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169" customFormat="1" x14ac:dyDescent="0.25">
      <c r="B285" s="169" t="s">
        <v>116</v>
      </c>
      <c r="C285" s="172">
        <v>0</v>
      </c>
      <c r="D285" s="174">
        <v>0</v>
      </c>
      <c r="E285" s="173">
        <f t="shared" ref="E285" si="372">SUM(C285:D285)</f>
        <v>0</v>
      </c>
      <c r="F285" s="175"/>
      <c r="G285" s="172">
        <f>C285</f>
        <v>0</v>
      </c>
      <c r="H285" s="174">
        <v>0</v>
      </c>
      <c r="I285" s="173">
        <f t="shared" ref="I285" si="373">SUM(G285:H285)</f>
        <v>0</v>
      </c>
      <c r="J285" s="175"/>
      <c r="K285" s="172">
        <f>G285</f>
        <v>0</v>
      </c>
      <c r="L285" s="174">
        <v>0</v>
      </c>
      <c r="M285" s="173">
        <f t="shared" ref="M285" si="374">SUM(K285:L285)</f>
        <v>0</v>
      </c>
      <c r="N285" s="175"/>
      <c r="O285" s="172">
        <f>K285</f>
        <v>0</v>
      </c>
      <c r="P285" s="174">
        <v>0</v>
      </c>
      <c r="Q285" s="174">
        <f t="shared" ref="Q285" si="375">SUM(O285:P285)</f>
        <v>0</v>
      </c>
      <c r="R285" s="175"/>
      <c r="S285" s="172">
        <f>O285</f>
        <v>0</v>
      </c>
      <c r="T285" s="174">
        <v>0</v>
      </c>
      <c r="U285" s="173">
        <f t="shared" ref="U285" si="376">SUM(S285:T285)</f>
        <v>0</v>
      </c>
      <c r="V285" s="176"/>
      <c r="W285" s="227">
        <f t="shared" ref="W285:Y289" si="377">C285+G285+K285+O285+S285</f>
        <v>0</v>
      </c>
      <c r="X285" s="173">
        <f t="shared" si="377"/>
        <v>0</v>
      </c>
      <c r="Y285" s="186">
        <f t="shared" si="377"/>
        <v>0</v>
      </c>
    </row>
    <row r="286" spans="1:77" s="61" customFormat="1" x14ac:dyDescent="0.25">
      <c r="A286" s="235"/>
      <c r="B286" s="160" t="s">
        <v>189</v>
      </c>
      <c r="C286" s="55">
        <v>0</v>
      </c>
      <c r="D286" s="57">
        <v>0</v>
      </c>
      <c r="E286" s="57">
        <f t="shared" ref="E286" si="378">SUM(C286:D286)</f>
        <v>0</v>
      </c>
      <c r="F286" s="58"/>
      <c r="G286" s="55">
        <v>10000</v>
      </c>
      <c r="H286" s="57">
        <v>0</v>
      </c>
      <c r="I286" s="57">
        <f t="shared" ref="I286" si="379">SUM(G286:H286)</f>
        <v>10000</v>
      </c>
      <c r="J286" s="58"/>
      <c r="K286" s="55">
        <v>10000</v>
      </c>
      <c r="L286" s="56">
        <v>0</v>
      </c>
      <c r="M286" s="56">
        <f t="shared" ref="M286" si="380">SUM(K286:L286)</f>
        <v>10000</v>
      </c>
      <c r="N286" s="58"/>
      <c r="O286" s="55">
        <f>G286</f>
        <v>10000</v>
      </c>
      <c r="P286" s="57">
        <v>0</v>
      </c>
      <c r="Q286" s="57">
        <f t="shared" ref="Q286" si="381">SUM(O286:P286)</f>
        <v>10000</v>
      </c>
      <c r="R286" s="58"/>
      <c r="S286" s="55">
        <f>O286*0</f>
        <v>0</v>
      </c>
      <c r="T286" s="57">
        <v>0</v>
      </c>
      <c r="U286" s="57">
        <f t="shared" ref="U286" si="382">SUM(S286:T286)</f>
        <v>0</v>
      </c>
      <c r="V286" s="59"/>
      <c r="W286" s="124">
        <f t="shared" si="377"/>
        <v>30000</v>
      </c>
      <c r="X286" s="196">
        <f t="shared" si="377"/>
        <v>0</v>
      </c>
      <c r="Y286" s="236">
        <f t="shared" si="377"/>
        <v>30000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ref="E287:E288" si="383">SUM(C287:D287)</f>
        <v>0</v>
      </c>
      <c r="F287" s="58"/>
      <c r="G287" s="55">
        <v>0</v>
      </c>
      <c r="H287" s="57"/>
      <c r="I287" s="57">
        <f t="shared" ref="I287:I288" si="384">SUM(G287:H287)</f>
        <v>0</v>
      </c>
      <c r="J287" s="58"/>
      <c r="K287" s="55">
        <v>0</v>
      </c>
      <c r="L287" s="56">
        <v>0</v>
      </c>
      <c r="M287" s="57">
        <f t="shared" ref="M287:M288" si="385">SUM(K287:L287)</f>
        <v>0</v>
      </c>
      <c r="N287" s="58"/>
      <c r="O287" s="55">
        <v>0</v>
      </c>
      <c r="P287" s="56">
        <v>0</v>
      </c>
      <c r="Q287" s="56">
        <f t="shared" ref="Q287:Q288" si="386">SUM(O287:P287)</f>
        <v>0</v>
      </c>
      <c r="R287" s="58"/>
      <c r="S287" s="55">
        <v>0</v>
      </c>
      <c r="T287" s="56">
        <v>0</v>
      </c>
      <c r="U287" s="57">
        <f t="shared" ref="U287:U288" si="387">SUM(S287:T287)</f>
        <v>0</v>
      </c>
      <c r="V287" s="59"/>
      <c r="W287" s="124">
        <f t="shared" si="377"/>
        <v>0</v>
      </c>
      <c r="X287" s="57">
        <f t="shared" si="377"/>
        <v>0</v>
      </c>
      <c r="Y287" s="84">
        <f t="shared" si="377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383"/>
        <v>0</v>
      </c>
      <c r="F288" s="58"/>
      <c r="G288" s="55">
        <v>0</v>
      </c>
      <c r="H288" s="57">
        <v>0</v>
      </c>
      <c r="I288" s="57">
        <f t="shared" si="384"/>
        <v>0</v>
      </c>
      <c r="J288" s="58"/>
      <c r="K288" s="55">
        <v>0</v>
      </c>
      <c r="L288" s="57">
        <v>0</v>
      </c>
      <c r="M288" s="57">
        <f t="shared" si="385"/>
        <v>0</v>
      </c>
      <c r="N288" s="58"/>
      <c r="O288" s="55">
        <v>0</v>
      </c>
      <c r="P288" s="57">
        <v>0</v>
      </c>
      <c r="Q288" s="57">
        <f t="shared" si="386"/>
        <v>0</v>
      </c>
      <c r="R288" s="58"/>
      <c r="S288" s="55">
        <v>0</v>
      </c>
      <c r="T288" s="57">
        <v>0</v>
      </c>
      <c r="U288" s="57">
        <f t="shared" si="387"/>
        <v>0</v>
      </c>
      <c r="V288" s="59"/>
      <c r="W288" s="124">
        <f t="shared" si="377"/>
        <v>0</v>
      </c>
      <c r="X288" s="57">
        <f t="shared" si="377"/>
        <v>0</v>
      </c>
      <c r="Y288" s="84">
        <f t="shared" si="377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0</v>
      </c>
      <c r="D289" s="153">
        <f>SUM(D285:D288)</f>
        <v>0</v>
      </c>
      <c r="E289" s="153">
        <f>SUM(E285:E288)</f>
        <v>0</v>
      </c>
      <c r="F289" s="154"/>
      <c r="G289" s="152">
        <f>SUM(G285:G288)</f>
        <v>10000</v>
      </c>
      <c r="H289" s="155">
        <f>SUM(H285:H288)</f>
        <v>0</v>
      </c>
      <c r="I289" s="155">
        <f>SUM(I285:I288)</f>
        <v>10000</v>
      </c>
      <c r="J289" s="154"/>
      <c r="K289" s="152">
        <f>SUM(K285:K288)</f>
        <v>10000</v>
      </c>
      <c r="L289" s="155">
        <f>SUM(L285:L288)</f>
        <v>0</v>
      </c>
      <c r="M289" s="155">
        <f>SUM(M285:M288)</f>
        <v>10000</v>
      </c>
      <c r="N289" s="154"/>
      <c r="O289" s="152">
        <f>SUM(O285:O288)</f>
        <v>10000</v>
      </c>
      <c r="P289" s="155">
        <f>SUM(P285:P288)</f>
        <v>0</v>
      </c>
      <c r="Q289" s="155">
        <f>SUM(Q285:Q288)</f>
        <v>10000</v>
      </c>
      <c r="R289" s="154"/>
      <c r="S289" s="152">
        <f>SUM(S285:S288)</f>
        <v>0</v>
      </c>
      <c r="T289" s="155">
        <f>SUM(T285:T288)</f>
        <v>0</v>
      </c>
      <c r="U289" s="155">
        <f>SUM(U285:U288)</f>
        <v>0</v>
      </c>
      <c r="V289" s="82"/>
      <c r="W289" s="228">
        <f t="shared" si="377"/>
        <v>30000</v>
      </c>
      <c r="X289" s="80">
        <f t="shared" si="377"/>
        <v>0</v>
      </c>
      <c r="Y289" s="80">
        <f t="shared" si="377"/>
        <v>30000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388">SUM(C269+C274+C279+C283+C289)</f>
        <v>0</v>
      </c>
      <c r="D290" s="246">
        <f t="shared" si="388"/>
        <v>0</v>
      </c>
      <c r="E290" s="246">
        <f t="shared" si="388"/>
        <v>0</v>
      </c>
      <c r="F290" s="246">
        <f t="shared" si="388"/>
        <v>0</v>
      </c>
      <c r="G290" s="246">
        <f t="shared" si="388"/>
        <v>10000</v>
      </c>
      <c r="H290" s="246">
        <f t="shared" si="388"/>
        <v>0</v>
      </c>
      <c r="I290" s="246">
        <f t="shared" si="388"/>
        <v>10000</v>
      </c>
      <c r="J290" s="246">
        <f t="shared" si="388"/>
        <v>0</v>
      </c>
      <c r="K290" s="246">
        <f t="shared" si="388"/>
        <v>10000</v>
      </c>
      <c r="L290" s="246">
        <f t="shared" si="388"/>
        <v>0</v>
      </c>
      <c r="M290" s="246">
        <f t="shared" si="388"/>
        <v>10000</v>
      </c>
      <c r="N290" s="246">
        <f t="shared" si="388"/>
        <v>0</v>
      </c>
      <c r="O290" s="246">
        <f t="shared" si="388"/>
        <v>10000</v>
      </c>
      <c r="P290" s="246">
        <f t="shared" si="388"/>
        <v>0</v>
      </c>
      <c r="Q290" s="246">
        <f t="shared" si="388"/>
        <v>10000</v>
      </c>
      <c r="R290" s="246">
        <f t="shared" si="388"/>
        <v>0</v>
      </c>
      <c r="S290" s="246">
        <f t="shared" si="388"/>
        <v>0</v>
      </c>
      <c r="T290" s="246">
        <f t="shared" si="388"/>
        <v>0</v>
      </c>
      <c r="U290" s="246">
        <f t="shared" si="388"/>
        <v>0</v>
      </c>
      <c r="V290" s="246">
        <f t="shared" si="388"/>
        <v>0</v>
      </c>
      <c r="W290" s="246">
        <f t="shared" si="388"/>
        <v>30000</v>
      </c>
      <c r="X290" s="246">
        <f t="shared" si="388"/>
        <v>0</v>
      </c>
      <c r="Y290" s="246">
        <f t="shared" si="388"/>
        <v>30000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0</v>
      </c>
      <c r="D291" s="246">
        <v>0</v>
      </c>
      <c r="E291" s="246">
        <f>C291</f>
        <v>0</v>
      </c>
      <c r="F291" s="246">
        <f>F263*0.47</f>
        <v>0</v>
      </c>
      <c r="G291" s="246">
        <f>((G263)*0.56)</f>
        <v>0</v>
      </c>
      <c r="H291" s="246">
        <v>0</v>
      </c>
      <c r="I291" s="246">
        <f>G291</f>
        <v>0</v>
      </c>
      <c r="J291" s="246">
        <f>J263*0.47</f>
        <v>0</v>
      </c>
      <c r="K291" s="246">
        <f>((K263)*0.56)</f>
        <v>0</v>
      </c>
      <c r="L291" s="246">
        <v>0</v>
      </c>
      <c r="M291" s="246">
        <f>K291</f>
        <v>0</v>
      </c>
      <c r="N291" s="246">
        <f>N263*0.47</f>
        <v>0</v>
      </c>
      <c r="O291" s="246">
        <f>((O263)*0.56)</f>
        <v>0</v>
      </c>
      <c r="P291" s="246">
        <v>0</v>
      </c>
      <c r="Q291" s="246">
        <f>O291</f>
        <v>0</v>
      </c>
      <c r="R291" s="246">
        <f>R263*0.47</f>
        <v>0</v>
      </c>
      <c r="S291" s="246">
        <f>((S263)*0.56)</f>
        <v>0</v>
      </c>
      <c r="T291" s="246">
        <v>0</v>
      </c>
      <c r="U291" s="246">
        <f>S291</f>
        <v>0</v>
      </c>
      <c r="V291" s="246">
        <f>V263*0.47</f>
        <v>0</v>
      </c>
      <c r="W291" s="246">
        <f>((W263)*0.56)</f>
        <v>0</v>
      </c>
      <c r="X291" s="246">
        <v>0</v>
      </c>
      <c r="Y291" s="246">
        <f>W291</f>
        <v>0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0</v>
      </c>
      <c r="D292" s="246">
        <f t="shared" ref="D292:Y292" si="389">SUM(D290:D291)</f>
        <v>0</v>
      </c>
      <c r="E292" s="246">
        <f t="shared" si="389"/>
        <v>0</v>
      </c>
      <c r="F292" s="246">
        <f t="shared" si="389"/>
        <v>0</v>
      </c>
      <c r="G292" s="246">
        <f t="shared" si="389"/>
        <v>10000</v>
      </c>
      <c r="H292" s="246">
        <f t="shared" si="389"/>
        <v>0</v>
      </c>
      <c r="I292" s="246">
        <f t="shared" si="389"/>
        <v>10000</v>
      </c>
      <c r="J292" s="246">
        <f t="shared" si="389"/>
        <v>0</v>
      </c>
      <c r="K292" s="246">
        <f t="shared" si="389"/>
        <v>10000</v>
      </c>
      <c r="L292" s="246">
        <f t="shared" si="389"/>
        <v>0</v>
      </c>
      <c r="M292" s="246">
        <f t="shared" si="389"/>
        <v>10000</v>
      </c>
      <c r="N292" s="246">
        <f t="shared" si="389"/>
        <v>0</v>
      </c>
      <c r="O292" s="246">
        <f t="shared" si="389"/>
        <v>10000</v>
      </c>
      <c r="P292" s="246">
        <f t="shared" si="389"/>
        <v>0</v>
      </c>
      <c r="Q292" s="246">
        <f t="shared" si="389"/>
        <v>10000</v>
      </c>
      <c r="R292" s="246">
        <f t="shared" si="389"/>
        <v>0</v>
      </c>
      <c r="S292" s="246">
        <f t="shared" si="389"/>
        <v>0</v>
      </c>
      <c r="T292" s="246">
        <f t="shared" si="389"/>
        <v>0</v>
      </c>
      <c r="U292" s="246">
        <f t="shared" si="389"/>
        <v>0</v>
      </c>
      <c r="V292" s="246">
        <f t="shared" si="389"/>
        <v>0</v>
      </c>
      <c r="W292" s="246">
        <f t="shared" si="389"/>
        <v>30000</v>
      </c>
      <c r="X292" s="246">
        <f t="shared" si="389"/>
        <v>0</v>
      </c>
      <c r="Y292" s="246">
        <f t="shared" si="389"/>
        <v>30000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169" customFormat="1" x14ac:dyDescent="0.25">
      <c r="A296" s="170" t="s">
        <v>57</v>
      </c>
      <c r="B296" s="169" t="s">
        <v>57</v>
      </c>
      <c r="C296" s="172">
        <v>0</v>
      </c>
      <c r="D296" s="173">
        <v>0</v>
      </c>
      <c r="E296" s="173">
        <f t="shared" ref="E296:E299" si="390">SUM(C296:D296)</f>
        <v>0</v>
      </c>
      <c r="F296" s="175"/>
      <c r="G296" s="172">
        <f>C296*1.03</f>
        <v>0</v>
      </c>
      <c r="H296" s="173">
        <f>D296*1.03</f>
        <v>0</v>
      </c>
      <c r="I296" s="173">
        <f t="shared" ref="I296:I299" si="391">SUM(G296:H296)</f>
        <v>0</v>
      </c>
      <c r="J296" s="175"/>
      <c r="K296" s="172">
        <f>G296*1.03</f>
        <v>0</v>
      </c>
      <c r="L296" s="173">
        <f>H296*1.03</f>
        <v>0</v>
      </c>
      <c r="M296" s="173">
        <f t="shared" ref="M296:M299" si="392">SUM(K296:L296)</f>
        <v>0</v>
      </c>
      <c r="N296" s="175"/>
      <c r="O296" s="172">
        <f>K296*1.03</f>
        <v>0</v>
      </c>
      <c r="P296" s="173">
        <f>L296*1.03</f>
        <v>0</v>
      </c>
      <c r="Q296" s="173">
        <f t="shared" ref="Q296:Q299" si="393">SUM(O296:P296)</f>
        <v>0</v>
      </c>
      <c r="R296" s="175"/>
      <c r="S296" s="172">
        <f>O296*1.03</f>
        <v>0</v>
      </c>
      <c r="T296" s="173">
        <f>P296*1.03</f>
        <v>0</v>
      </c>
      <c r="U296" s="173">
        <f t="shared" ref="U296:U299" si="394">SUM(S296:T296)</f>
        <v>0</v>
      </c>
      <c r="V296" s="176"/>
      <c r="W296" s="227">
        <f>C296+G296+K296+O296+S296</f>
        <v>0</v>
      </c>
      <c r="X296" s="173">
        <f t="shared" ref="X296:Y300" si="395">D296+H296+L296+P296+T296</f>
        <v>0</v>
      </c>
      <c r="Y296" s="177">
        <f t="shared" si="395"/>
        <v>0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si="390"/>
        <v>0</v>
      </c>
      <c r="F297" s="175"/>
      <c r="G297" s="172">
        <f t="shared" ref="G297:H299" si="396">C297*1.03</f>
        <v>0</v>
      </c>
      <c r="H297" s="173">
        <f t="shared" si="396"/>
        <v>0</v>
      </c>
      <c r="I297" s="173">
        <f t="shared" si="391"/>
        <v>0</v>
      </c>
      <c r="J297" s="175"/>
      <c r="K297" s="172">
        <f t="shared" ref="K297:L299" si="397">G297*1.03</f>
        <v>0</v>
      </c>
      <c r="L297" s="173">
        <f t="shared" si="397"/>
        <v>0</v>
      </c>
      <c r="M297" s="173">
        <f t="shared" si="392"/>
        <v>0</v>
      </c>
      <c r="N297" s="175"/>
      <c r="O297" s="172">
        <f t="shared" ref="O297:P299" si="398">K297*1.03</f>
        <v>0</v>
      </c>
      <c r="P297" s="173">
        <f t="shared" si="398"/>
        <v>0</v>
      </c>
      <c r="Q297" s="173">
        <f t="shared" si="393"/>
        <v>0</v>
      </c>
      <c r="R297" s="175"/>
      <c r="S297" s="172">
        <f t="shared" ref="S297:T299" si="399">O297*1.03</f>
        <v>0</v>
      </c>
      <c r="T297" s="173">
        <f t="shared" si="399"/>
        <v>0</v>
      </c>
      <c r="U297" s="173">
        <f t="shared" si="394"/>
        <v>0</v>
      </c>
      <c r="V297" s="176"/>
      <c r="W297" s="227">
        <f t="shared" ref="W297:W300" si="400">C297+G297+K297+O297+S297</f>
        <v>0</v>
      </c>
      <c r="X297" s="173">
        <f t="shared" si="395"/>
        <v>0</v>
      </c>
      <c r="Y297" s="177">
        <f t="shared" si="395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390"/>
        <v>0</v>
      </c>
      <c r="F298" s="175"/>
      <c r="G298" s="172">
        <f t="shared" si="396"/>
        <v>0</v>
      </c>
      <c r="H298" s="173">
        <f t="shared" si="396"/>
        <v>0</v>
      </c>
      <c r="I298" s="173">
        <f t="shared" si="391"/>
        <v>0</v>
      </c>
      <c r="J298" s="175"/>
      <c r="K298" s="172">
        <f t="shared" si="397"/>
        <v>0</v>
      </c>
      <c r="L298" s="173">
        <f t="shared" si="397"/>
        <v>0</v>
      </c>
      <c r="M298" s="173">
        <f t="shared" si="392"/>
        <v>0</v>
      </c>
      <c r="N298" s="175"/>
      <c r="O298" s="172">
        <f t="shared" si="398"/>
        <v>0</v>
      </c>
      <c r="P298" s="173">
        <f t="shared" si="398"/>
        <v>0</v>
      </c>
      <c r="Q298" s="173">
        <f t="shared" si="393"/>
        <v>0</v>
      </c>
      <c r="R298" s="175"/>
      <c r="S298" s="172">
        <f t="shared" si="399"/>
        <v>0</v>
      </c>
      <c r="T298" s="173">
        <f t="shared" si="399"/>
        <v>0</v>
      </c>
      <c r="U298" s="173">
        <f t="shared" si="394"/>
        <v>0</v>
      </c>
      <c r="V298" s="176"/>
      <c r="W298" s="227">
        <f t="shared" si="400"/>
        <v>0</v>
      </c>
      <c r="X298" s="173">
        <f t="shared" si="395"/>
        <v>0</v>
      </c>
      <c r="Y298" s="177">
        <f t="shared" si="395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390"/>
        <v>0</v>
      </c>
      <c r="F299" s="175"/>
      <c r="G299" s="172">
        <f t="shared" si="396"/>
        <v>0</v>
      </c>
      <c r="H299" s="173">
        <f t="shared" si="396"/>
        <v>0</v>
      </c>
      <c r="I299" s="173">
        <f t="shared" si="391"/>
        <v>0</v>
      </c>
      <c r="J299" s="175"/>
      <c r="K299" s="172">
        <f t="shared" si="397"/>
        <v>0</v>
      </c>
      <c r="L299" s="173">
        <f t="shared" si="397"/>
        <v>0</v>
      </c>
      <c r="M299" s="173">
        <f t="shared" si="392"/>
        <v>0</v>
      </c>
      <c r="N299" s="175"/>
      <c r="O299" s="172">
        <f t="shared" si="398"/>
        <v>0</v>
      </c>
      <c r="P299" s="173">
        <f t="shared" si="398"/>
        <v>0</v>
      </c>
      <c r="Q299" s="173">
        <f t="shared" si="393"/>
        <v>0</v>
      </c>
      <c r="R299" s="175"/>
      <c r="S299" s="172">
        <f t="shared" si="399"/>
        <v>0</v>
      </c>
      <c r="T299" s="173">
        <f t="shared" si="399"/>
        <v>0</v>
      </c>
      <c r="U299" s="173">
        <f t="shared" si="394"/>
        <v>0</v>
      </c>
      <c r="V299" s="176"/>
      <c r="W299" s="227">
        <f t="shared" si="400"/>
        <v>0</v>
      </c>
      <c r="X299" s="173">
        <f t="shared" si="395"/>
        <v>0</v>
      </c>
      <c r="Y299" s="177">
        <f t="shared" si="395"/>
        <v>0</v>
      </c>
    </row>
    <row r="300" spans="1:77" s="83" customFormat="1" x14ac:dyDescent="0.25">
      <c r="A300" s="78"/>
      <c r="B300" s="78" t="s">
        <v>9</v>
      </c>
      <c r="C300" s="228">
        <f>SUM(C296:C299)</f>
        <v>0</v>
      </c>
      <c r="D300" s="125">
        <f>SUM(D296:D299)</f>
        <v>0</v>
      </c>
      <c r="E300" s="125">
        <f>SUM(E296:E299)</f>
        <v>0</v>
      </c>
      <c r="F300" s="81"/>
      <c r="G300" s="79">
        <f>SUM(G296:G299)</f>
        <v>0</v>
      </c>
      <c r="H300" s="80">
        <f>SUM(H296:H299)</f>
        <v>0</v>
      </c>
      <c r="I300" s="80">
        <f>SUM(I296:I299)</f>
        <v>0</v>
      </c>
      <c r="J300" s="81"/>
      <c r="K300" s="79">
        <f>SUM(K296:K299)</f>
        <v>0</v>
      </c>
      <c r="L300" s="80">
        <f>SUM(L296:L299)</f>
        <v>0</v>
      </c>
      <c r="M300" s="80">
        <f>SUM(M296:M299)</f>
        <v>0</v>
      </c>
      <c r="N300" s="81"/>
      <c r="O300" s="79">
        <f>SUM(O296:O299)</f>
        <v>0</v>
      </c>
      <c r="P300" s="80">
        <f>SUM(P296:P299)</f>
        <v>0</v>
      </c>
      <c r="Q300" s="80">
        <f>SUM(Q296:Q299)</f>
        <v>0</v>
      </c>
      <c r="R300" s="81"/>
      <c r="S300" s="79">
        <f>SUM(S296:S299)</f>
        <v>0</v>
      </c>
      <c r="T300" s="80">
        <f>SUM(T296:T299)</f>
        <v>0</v>
      </c>
      <c r="U300" s="80">
        <f>SUM(U296:U299)</f>
        <v>0</v>
      </c>
      <c r="V300" s="82"/>
      <c r="W300" s="228">
        <f t="shared" si="400"/>
        <v>0</v>
      </c>
      <c r="X300" s="80">
        <f t="shared" si="395"/>
        <v>0</v>
      </c>
      <c r="Y300" s="80">
        <f t="shared" si="395"/>
        <v>0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L305" si="401">G302*1.03</f>
        <v>0</v>
      </c>
      <c r="L302" s="57">
        <f t="shared" si="401"/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Y306" si="402">C302+G302+K302+O302+S302</f>
        <v>0</v>
      </c>
      <c r="X302" s="57">
        <f t="shared" si="402"/>
        <v>0</v>
      </c>
      <c r="Y302" s="57">
        <f t="shared" ref="Y302:Y305" si="403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404">SUM(C303:D303)</f>
        <v>0</v>
      </c>
      <c r="F303" s="58"/>
      <c r="G303" s="55">
        <f t="shared" ref="G303:H305" si="405">C303*1.03</f>
        <v>0</v>
      </c>
      <c r="H303" s="57">
        <f t="shared" si="405"/>
        <v>0</v>
      </c>
      <c r="I303" s="57">
        <f t="shared" ref="I303:I305" si="406">SUM(G303:H303)</f>
        <v>0</v>
      </c>
      <c r="J303" s="58"/>
      <c r="K303" s="55">
        <f t="shared" si="401"/>
        <v>0</v>
      </c>
      <c r="L303" s="57">
        <f t="shared" si="401"/>
        <v>0</v>
      </c>
      <c r="M303" s="57">
        <f t="shared" ref="M303:M305" si="407">SUM(K303:L303)</f>
        <v>0</v>
      </c>
      <c r="N303" s="58"/>
      <c r="O303" s="55">
        <f t="shared" ref="O303:P305" si="408">K303*1.03</f>
        <v>0</v>
      </c>
      <c r="P303" s="57">
        <f t="shared" si="408"/>
        <v>0</v>
      </c>
      <c r="Q303" s="57">
        <f t="shared" ref="Q303:Q305" si="409">SUM(O303:P303)</f>
        <v>0</v>
      </c>
      <c r="R303" s="58"/>
      <c r="S303" s="55">
        <f t="shared" ref="S303:T305" si="410">O303*1.03</f>
        <v>0</v>
      </c>
      <c r="T303" s="57">
        <f t="shared" si="410"/>
        <v>0</v>
      </c>
      <c r="U303" s="57">
        <f t="shared" ref="U303:U305" si="411">SUM(S303:T303)</f>
        <v>0</v>
      </c>
      <c r="V303" s="59"/>
      <c r="W303" s="124">
        <f t="shared" si="402"/>
        <v>0</v>
      </c>
      <c r="X303" s="57">
        <f t="shared" si="402"/>
        <v>0</v>
      </c>
      <c r="Y303" s="57">
        <f t="shared" si="403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404"/>
        <v>0</v>
      </c>
      <c r="F304" s="58"/>
      <c r="G304" s="55">
        <f t="shared" si="405"/>
        <v>0</v>
      </c>
      <c r="H304" s="57">
        <f t="shared" si="405"/>
        <v>0</v>
      </c>
      <c r="I304" s="57">
        <f t="shared" si="406"/>
        <v>0</v>
      </c>
      <c r="J304" s="58"/>
      <c r="K304" s="55">
        <f t="shared" si="401"/>
        <v>0</v>
      </c>
      <c r="L304" s="57">
        <f t="shared" si="401"/>
        <v>0</v>
      </c>
      <c r="M304" s="57">
        <f t="shared" si="407"/>
        <v>0</v>
      </c>
      <c r="N304" s="58"/>
      <c r="O304" s="55">
        <f t="shared" si="408"/>
        <v>0</v>
      </c>
      <c r="P304" s="57">
        <f t="shared" si="408"/>
        <v>0</v>
      </c>
      <c r="Q304" s="57">
        <f t="shared" si="409"/>
        <v>0</v>
      </c>
      <c r="R304" s="58"/>
      <c r="S304" s="55">
        <f t="shared" si="410"/>
        <v>0</v>
      </c>
      <c r="T304" s="57">
        <f t="shared" si="410"/>
        <v>0</v>
      </c>
      <c r="U304" s="57">
        <f t="shared" si="411"/>
        <v>0</v>
      </c>
      <c r="V304" s="59"/>
      <c r="W304" s="124">
        <f t="shared" si="402"/>
        <v>0</v>
      </c>
      <c r="X304" s="57">
        <f t="shared" si="402"/>
        <v>0</v>
      </c>
      <c r="Y304" s="57">
        <f t="shared" si="403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404"/>
        <v>0</v>
      </c>
      <c r="F305" s="58"/>
      <c r="G305" s="55">
        <f t="shared" si="405"/>
        <v>0</v>
      </c>
      <c r="H305" s="57">
        <f t="shared" si="405"/>
        <v>0</v>
      </c>
      <c r="I305" s="57">
        <f t="shared" si="406"/>
        <v>0</v>
      </c>
      <c r="J305" s="58"/>
      <c r="K305" s="55">
        <f t="shared" si="401"/>
        <v>0</v>
      </c>
      <c r="L305" s="57">
        <f t="shared" si="401"/>
        <v>0</v>
      </c>
      <c r="M305" s="57">
        <f t="shared" si="407"/>
        <v>0</v>
      </c>
      <c r="N305" s="58"/>
      <c r="O305" s="55">
        <f t="shared" si="408"/>
        <v>0</v>
      </c>
      <c r="P305" s="57">
        <f t="shared" si="408"/>
        <v>0</v>
      </c>
      <c r="Q305" s="57">
        <f t="shared" si="409"/>
        <v>0</v>
      </c>
      <c r="R305" s="58"/>
      <c r="S305" s="55">
        <f t="shared" si="410"/>
        <v>0</v>
      </c>
      <c r="T305" s="57">
        <f t="shared" si="410"/>
        <v>0</v>
      </c>
      <c r="U305" s="57">
        <f t="shared" si="411"/>
        <v>0</v>
      </c>
      <c r="V305" s="59"/>
      <c r="W305" s="124">
        <f t="shared" si="402"/>
        <v>0</v>
      </c>
      <c r="X305" s="57">
        <f t="shared" si="402"/>
        <v>0</v>
      </c>
      <c r="Y305" s="57">
        <f t="shared" si="403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402"/>
        <v>0</v>
      </c>
      <c r="X306" s="80">
        <f t="shared" si="402"/>
        <v>0</v>
      </c>
      <c r="Y306" s="80">
        <f t="shared" si="402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412">C306+C300</f>
        <v>0</v>
      </c>
      <c r="D307" s="248">
        <f t="shared" si="412"/>
        <v>0</v>
      </c>
      <c r="E307" s="248">
        <f t="shared" si="412"/>
        <v>0</v>
      </c>
      <c r="F307" s="248">
        <f t="shared" si="412"/>
        <v>0</v>
      </c>
      <c r="G307" s="248">
        <f t="shared" si="412"/>
        <v>0</v>
      </c>
      <c r="H307" s="248">
        <f t="shared" si="412"/>
        <v>0</v>
      </c>
      <c r="I307" s="248">
        <f t="shared" si="412"/>
        <v>0</v>
      </c>
      <c r="J307" s="248">
        <f t="shared" si="412"/>
        <v>0</v>
      </c>
      <c r="K307" s="248">
        <f t="shared" si="412"/>
        <v>0</v>
      </c>
      <c r="L307" s="248">
        <f t="shared" si="412"/>
        <v>0</v>
      </c>
      <c r="M307" s="248">
        <f t="shared" si="412"/>
        <v>0</v>
      </c>
      <c r="N307" s="248">
        <f t="shared" si="412"/>
        <v>0</v>
      </c>
      <c r="O307" s="248">
        <f t="shared" si="412"/>
        <v>0</v>
      </c>
      <c r="P307" s="248">
        <f t="shared" si="412"/>
        <v>0</v>
      </c>
      <c r="Q307" s="248">
        <f t="shared" si="412"/>
        <v>0</v>
      </c>
      <c r="R307" s="248">
        <f t="shared" si="412"/>
        <v>0</v>
      </c>
      <c r="S307" s="248">
        <f t="shared" si="412"/>
        <v>0</v>
      </c>
      <c r="T307" s="248">
        <f t="shared" si="412"/>
        <v>0</v>
      </c>
      <c r="U307" s="248">
        <f t="shared" si="412"/>
        <v>0</v>
      </c>
      <c r="V307" s="248">
        <f t="shared" si="412"/>
        <v>0</v>
      </c>
      <c r="W307" s="248">
        <f t="shared" si="412"/>
        <v>0</v>
      </c>
      <c r="X307" s="248">
        <f t="shared" si="412"/>
        <v>0</v>
      </c>
      <c r="Y307" s="249">
        <f>E307+I307+M307+Q307+U307</f>
        <v>0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413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414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415">SUM(K309:L309)</f>
        <v>0</v>
      </c>
      <c r="N309" s="58"/>
      <c r="O309" s="124">
        <f>O302*A309*1.03*1.03*1.03*1.03</f>
        <v>0</v>
      </c>
      <c r="P309" s="56">
        <f>P302*A309*1.03*1.03*1.03</f>
        <v>0</v>
      </c>
      <c r="Q309" s="57">
        <f t="shared" ref="Q309:Q311" si="416">SUM(O309:P309)</f>
        <v>0</v>
      </c>
      <c r="R309" s="58"/>
      <c r="S309" s="124">
        <f>S302*A309*1.03*1.03*1.03*1.03*1.03</f>
        <v>0</v>
      </c>
      <c r="T309" s="56">
        <f>T302*A309*1.03*1.03*1.03*1.03</f>
        <v>0</v>
      </c>
      <c r="U309" s="57">
        <f t="shared" ref="U309:U311" si="417">SUM(S309:T309)</f>
        <v>0</v>
      </c>
      <c r="V309" s="59"/>
      <c r="W309" s="124">
        <f t="shared" ref="W309:Y312" si="418">C309+G309+K309+O309+S309</f>
        <v>0</v>
      </c>
      <c r="X309" s="57">
        <f t="shared" si="418"/>
        <v>0</v>
      </c>
      <c r="Y309" s="84">
        <f t="shared" si="418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0.54779999999999995</v>
      </c>
      <c r="B310" s="52" t="s">
        <v>109</v>
      </c>
      <c r="C310" s="124">
        <f>C300*(A310*1.03)</f>
        <v>0</v>
      </c>
      <c r="D310" s="56">
        <f>D300*A310*1.03</f>
        <v>0</v>
      </c>
      <c r="E310" s="56">
        <f t="shared" si="413"/>
        <v>0</v>
      </c>
      <c r="F310" s="58"/>
      <c r="G310" s="124">
        <f>G300*A310*1.03*1.03</f>
        <v>0</v>
      </c>
      <c r="H310" s="56">
        <f>H300*A310*1.03*1.03</f>
        <v>0</v>
      </c>
      <c r="I310" s="57">
        <f t="shared" si="414"/>
        <v>0</v>
      </c>
      <c r="J310" s="58"/>
      <c r="K310" s="124">
        <f>K304*A310*1.03*1.03</f>
        <v>0</v>
      </c>
      <c r="L310" s="56">
        <f>L304*A310*1.03*1.03</f>
        <v>0</v>
      </c>
      <c r="M310" s="57">
        <f t="shared" si="415"/>
        <v>0</v>
      </c>
      <c r="N310" s="58"/>
      <c r="O310" s="124">
        <f>O304*A310*1.03*1.03*1.03</f>
        <v>0</v>
      </c>
      <c r="P310" s="56">
        <f>P304*A310*1.03*1.03*1.03</f>
        <v>0</v>
      </c>
      <c r="Q310" s="57">
        <f t="shared" si="416"/>
        <v>0</v>
      </c>
      <c r="R310" s="58"/>
      <c r="S310" s="124">
        <f>S304*A310*1.03*1.03*1.03*1.03</f>
        <v>0</v>
      </c>
      <c r="T310" s="56">
        <f>T304*A310*1.03*1.03*1.03*1.03</f>
        <v>0</v>
      </c>
      <c r="U310" s="57">
        <f t="shared" si="417"/>
        <v>0</v>
      </c>
      <c r="V310" s="59"/>
      <c r="W310" s="124">
        <f t="shared" si="418"/>
        <v>0</v>
      </c>
      <c r="X310" s="57">
        <f t="shared" si="418"/>
        <v>0</v>
      </c>
      <c r="Y310" s="84">
        <f t="shared" si="418"/>
        <v>0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413"/>
        <v>0</v>
      </c>
      <c r="F311" s="58"/>
      <c r="G311" s="55">
        <f>C311*1.05</f>
        <v>0</v>
      </c>
      <c r="H311" s="57">
        <f>D311*1.05</f>
        <v>0</v>
      </c>
      <c r="I311" s="57">
        <f t="shared" si="414"/>
        <v>0</v>
      </c>
      <c r="J311" s="58"/>
      <c r="K311" s="55">
        <f>K300*A310*1.03*1.03*1.03</f>
        <v>0</v>
      </c>
      <c r="L311" s="56">
        <f>L300*A310*1.03*1.03*1.03</f>
        <v>0</v>
      </c>
      <c r="M311" s="57">
        <f t="shared" si="415"/>
        <v>0</v>
      </c>
      <c r="N311" s="58"/>
      <c r="O311" s="55">
        <f>O300*A310*1.03*1.03*1.03*1.03</f>
        <v>0</v>
      </c>
      <c r="P311" s="56">
        <f>P300*A310*1.03*1.03*1.03*1.03</f>
        <v>0</v>
      </c>
      <c r="Q311" s="57">
        <f t="shared" si="416"/>
        <v>0</v>
      </c>
      <c r="R311" s="58"/>
      <c r="S311" s="55">
        <f>S300*A310*1.03*1.03*1.03*1.03*1.03</f>
        <v>0</v>
      </c>
      <c r="T311" s="56">
        <f>T300*A310*1.03*1.03*1.03*1.03*1.03</f>
        <v>0</v>
      </c>
      <c r="U311" s="57">
        <f t="shared" si="417"/>
        <v>0</v>
      </c>
      <c r="V311" s="59"/>
      <c r="W311" s="124">
        <f t="shared" si="418"/>
        <v>0</v>
      </c>
      <c r="X311" s="57">
        <f t="shared" si="418"/>
        <v>0</v>
      </c>
      <c r="Y311" s="84">
        <f t="shared" si="418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0</v>
      </c>
      <c r="D312" s="125">
        <f>SUM(D309:D311)</f>
        <v>0</v>
      </c>
      <c r="E312" s="125">
        <f>SUM(E309:E311)</f>
        <v>0</v>
      </c>
      <c r="F312" s="81"/>
      <c r="G312" s="79">
        <f>SUM(G309:G311)</f>
        <v>0</v>
      </c>
      <c r="H312" s="80">
        <f>SUM(H309:H311)</f>
        <v>0</v>
      </c>
      <c r="I312" s="80">
        <f>SUM(I309:I311)</f>
        <v>0</v>
      </c>
      <c r="J312" s="81"/>
      <c r="K312" s="79">
        <f>SUM(K309:K311)</f>
        <v>0</v>
      </c>
      <c r="L312" s="80">
        <f>SUM(L309:L311)</f>
        <v>0</v>
      </c>
      <c r="M312" s="80">
        <f>SUM(M309:M311)</f>
        <v>0</v>
      </c>
      <c r="N312" s="81"/>
      <c r="O312" s="79">
        <f>SUM(O309:O311)</f>
        <v>0</v>
      </c>
      <c r="P312" s="80">
        <f>SUM(P309:P311)</f>
        <v>0</v>
      </c>
      <c r="Q312" s="80">
        <f>SUM(Q309:Q311)</f>
        <v>0</v>
      </c>
      <c r="R312" s="81"/>
      <c r="S312" s="79">
        <f>SUM(S309:S311)</f>
        <v>0</v>
      </c>
      <c r="T312" s="80">
        <f>SUM(T309:T311)</f>
        <v>0</v>
      </c>
      <c r="U312" s="80">
        <f>SUM(U309:U311)</f>
        <v>0</v>
      </c>
      <c r="V312" s="82"/>
      <c r="W312" s="228">
        <f t="shared" si="418"/>
        <v>0</v>
      </c>
      <c r="X312" s="80">
        <f t="shared" si="418"/>
        <v>0</v>
      </c>
      <c r="Y312" s="80">
        <f t="shared" si="418"/>
        <v>0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419">C312+C307</f>
        <v>0</v>
      </c>
      <c r="D313" s="248">
        <f t="shared" si="419"/>
        <v>0</v>
      </c>
      <c r="E313" s="248">
        <f t="shared" si="419"/>
        <v>0</v>
      </c>
      <c r="F313" s="248">
        <f t="shared" si="419"/>
        <v>0</v>
      </c>
      <c r="G313" s="248">
        <f t="shared" si="419"/>
        <v>0</v>
      </c>
      <c r="H313" s="248">
        <f t="shared" si="419"/>
        <v>0</v>
      </c>
      <c r="I313" s="248">
        <f t="shared" si="419"/>
        <v>0</v>
      </c>
      <c r="J313" s="248">
        <f t="shared" si="419"/>
        <v>0</v>
      </c>
      <c r="K313" s="248">
        <f t="shared" si="419"/>
        <v>0</v>
      </c>
      <c r="L313" s="248">
        <f t="shared" si="419"/>
        <v>0</v>
      </c>
      <c r="M313" s="248">
        <f t="shared" si="419"/>
        <v>0</v>
      </c>
      <c r="N313" s="248">
        <f t="shared" si="419"/>
        <v>0</v>
      </c>
      <c r="O313" s="248">
        <f t="shared" si="419"/>
        <v>0</v>
      </c>
      <c r="P313" s="248">
        <f t="shared" si="419"/>
        <v>0</v>
      </c>
      <c r="Q313" s="248">
        <f t="shared" si="419"/>
        <v>0</v>
      </c>
      <c r="R313" s="248">
        <f t="shared" si="419"/>
        <v>0</v>
      </c>
      <c r="S313" s="248">
        <f t="shared" si="419"/>
        <v>0</v>
      </c>
      <c r="T313" s="248">
        <f t="shared" si="419"/>
        <v>0</v>
      </c>
      <c r="U313" s="248">
        <f t="shared" si="419"/>
        <v>0</v>
      </c>
      <c r="V313" s="248">
        <f t="shared" si="419"/>
        <v>0</v>
      </c>
      <c r="W313" s="248">
        <f t="shared" si="419"/>
        <v>0</v>
      </c>
      <c r="X313" s="248">
        <f t="shared" si="419"/>
        <v>0</v>
      </c>
      <c r="Y313" s="248">
        <f t="shared" si="419"/>
        <v>0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420">SUM(C315:D315)</f>
        <v>0</v>
      </c>
      <c r="F315" s="58"/>
      <c r="G315" s="55">
        <v>0</v>
      </c>
      <c r="H315" s="57">
        <v>0</v>
      </c>
      <c r="I315" s="57">
        <f t="shared" ref="I315:I317" si="421">SUM(G315:H315)</f>
        <v>0</v>
      </c>
      <c r="J315" s="58"/>
      <c r="K315" s="55">
        <v>0</v>
      </c>
      <c r="L315" s="57">
        <v>0</v>
      </c>
      <c r="M315" s="57">
        <f t="shared" ref="M315:M317" si="422">SUM(K315:L315)</f>
        <v>0</v>
      </c>
      <c r="N315" s="58"/>
      <c r="O315" s="55">
        <v>0</v>
      </c>
      <c r="P315" s="57">
        <v>0</v>
      </c>
      <c r="Q315" s="57">
        <f t="shared" ref="Q315:Q317" si="423">SUM(O315:P315)</f>
        <v>0</v>
      </c>
      <c r="R315" s="58"/>
      <c r="S315" s="55">
        <v>0</v>
      </c>
      <c r="T315" s="57">
        <v>0</v>
      </c>
      <c r="U315" s="57">
        <f t="shared" ref="U315:U317" si="424">SUM(S315:T315)</f>
        <v>0</v>
      </c>
      <c r="V315" s="59"/>
      <c r="W315" s="124">
        <f t="shared" ref="W315:Y318" si="425">C315+G315+K315+O315+S315</f>
        <v>0</v>
      </c>
      <c r="X315" s="57">
        <f t="shared" si="425"/>
        <v>0</v>
      </c>
      <c r="Y315" s="84">
        <f t="shared" si="425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420"/>
        <v>0</v>
      </c>
      <c r="F316" s="58"/>
      <c r="G316" s="55">
        <v>0</v>
      </c>
      <c r="H316" s="57">
        <v>0</v>
      </c>
      <c r="I316" s="57">
        <f t="shared" si="421"/>
        <v>0</v>
      </c>
      <c r="J316" s="58"/>
      <c r="K316" s="55">
        <v>0</v>
      </c>
      <c r="L316" s="57">
        <v>0</v>
      </c>
      <c r="M316" s="57">
        <f t="shared" si="422"/>
        <v>0</v>
      </c>
      <c r="N316" s="58"/>
      <c r="O316" s="55">
        <f>K316</f>
        <v>0</v>
      </c>
      <c r="P316" s="57">
        <v>0</v>
      </c>
      <c r="Q316" s="57">
        <f t="shared" si="423"/>
        <v>0</v>
      </c>
      <c r="R316" s="58"/>
      <c r="S316" s="55">
        <f>O316</f>
        <v>0</v>
      </c>
      <c r="T316" s="57">
        <v>0</v>
      </c>
      <c r="U316" s="57">
        <f t="shared" si="424"/>
        <v>0</v>
      </c>
      <c r="V316" s="59"/>
      <c r="W316" s="124">
        <f t="shared" si="425"/>
        <v>0</v>
      </c>
      <c r="X316" s="57">
        <f t="shared" si="425"/>
        <v>0</v>
      </c>
      <c r="Y316" s="84">
        <f t="shared" si="425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420"/>
        <v>0</v>
      </c>
      <c r="F317" s="58"/>
      <c r="G317" s="55">
        <v>0</v>
      </c>
      <c r="H317" s="57">
        <v>0</v>
      </c>
      <c r="I317" s="57">
        <f t="shared" si="421"/>
        <v>0</v>
      </c>
      <c r="J317" s="58"/>
      <c r="K317" s="55">
        <f>G317</f>
        <v>0</v>
      </c>
      <c r="L317" s="57">
        <v>0</v>
      </c>
      <c r="M317" s="57">
        <f t="shared" si="422"/>
        <v>0</v>
      </c>
      <c r="N317" s="58"/>
      <c r="O317" s="55">
        <v>0</v>
      </c>
      <c r="P317" s="57">
        <v>0</v>
      </c>
      <c r="Q317" s="57">
        <f t="shared" si="423"/>
        <v>0</v>
      </c>
      <c r="R317" s="58"/>
      <c r="S317" s="55">
        <f>O317</f>
        <v>0</v>
      </c>
      <c r="T317" s="57">
        <v>0</v>
      </c>
      <c r="U317" s="57">
        <f t="shared" si="424"/>
        <v>0</v>
      </c>
      <c r="V317" s="59"/>
      <c r="W317" s="124">
        <f t="shared" si="425"/>
        <v>0</v>
      </c>
      <c r="X317" s="57">
        <f t="shared" si="425"/>
        <v>0</v>
      </c>
      <c r="Y317" s="84">
        <f t="shared" si="425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425"/>
        <v>0</v>
      </c>
      <c r="X318" s="80">
        <f t="shared" si="425"/>
        <v>0</v>
      </c>
      <c r="Y318" s="80">
        <f t="shared" si="425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144</v>
      </c>
      <c r="C320" s="124">
        <f>12*800*0.5*0</f>
        <v>0</v>
      </c>
      <c r="D320" s="56">
        <f>12*800*0.5*0</f>
        <v>0</v>
      </c>
      <c r="E320" s="56">
        <f t="shared" ref="E320:E322" si="426">SUM(C320:D320)</f>
        <v>0</v>
      </c>
      <c r="F320" s="58"/>
      <c r="G320" s="55">
        <f>C320</f>
        <v>0</v>
      </c>
      <c r="H320" s="57">
        <f>D320</f>
        <v>0</v>
      </c>
      <c r="I320" s="57">
        <f t="shared" ref="I320:I322" si="427">SUM(G320:H320)</f>
        <v>0</v>
      </c>
      <c r="J320" s="58"/>
      <c r="K320" s="55">
        <f>G320</f>
        <v>0</v>
      </c>
      <c r="L320" s="57">
        <f>H320</f>
        <v>0</v>
      </c>
      <c r="M320" s="57">
        <f t="shared" ref="M320:M322" si="428">SUM(K320:L320)</f>
        <v>0</v>
      </c>
      <c r="N320" s="58"/>
      <c r="O320" s="55">
        <f>K320</f>
        <v>0</v>
      </c>
      <c r="P320" s="57">
        <f>L320</f>
        <v>0</v>
      </c>
      <c r="Q320" s="57">
        <f t="shared" ref="Q320:Q322" si="429">SUM(O320:P320)</f>
        <v>0</v>
      </c>
      <c r="R320" s="58"/>
      <c r="S320" s="55">
        <f>O320</f>
        <v>0</v>
      </c>
      <c r="T320" s="57">
        <f>P320</f>
        <v>0</v>
      </c>
      <c r="U320" s="57">
        <f t="shared" ref="U320:U322" si="430">SUM(S320:T320)</f>
        <v>0</v>
      </c>
      <c r="V320" s="59"/>
      <c r="W320" s="124">
        <f t="shared" ref="W320:Y323" si="431">C320+G320+K320+O320+S320</f>
        <v>0</v>
      </c>
      <c r="X320" s="57">
        <f t="shared" si="431"/>
        <v>0</v>
      </c>
      <c r="Y320" s="84">
        <f t="shared" si="431"/>
        <v>0</v>
      </c>
    </row>
    <row r="321" spans="1:77" s="61" customFormat="1" x14ac:dyDescent="0.25">
      <c r="A321" s="203"/>
      <c r="B321" s="52" t="s">
        <v>57</v>
      </c>
      <c r="C321" s="124">
        <f>2000*5*0.5*0</f>
        <v>0</v>
      </c>
      <c r="D321" s="56">
        <f>2000*5*0.5*0</f>
        <v>0</v>
      </c>
      <c r="E321" s="56">
        <f t="shared" si="426"/>
        <v>0</v>
      </c>
      <c r="F321" s="58"/>
      <c r="G321" s="55">
        <f>C321</f>
        <v>0</v>
      </c>
      <c r="H321" s="57">
        <f>D321</f>
        <v>0</v>
      </c>
      <c r="I321" s="57">
        <f t="shared" si="427"/>
        <v>0</v>
      </c>
      <c r="J321" s="58"/>
      <c r="K321" s="55">
        <f>G321</f>
        <v>0</v>
      </c>
      <c r="L321" s="57">
        <f>H321</f>
        <v>0</v>
      </c>
      <c r="M321" s="57">
        <f t="shared" si="428"/>
        <v>0</v>
      </c>
      <c r="N321" s="58"/>
      <c r="O321" s="55">
        <f>K321</f>
        <v>0</v>
      </c>
      <c r="P321" s="57">
        <f>L321</f>
        <v>0</v>
      </c>
      <c r="Q321" s="57">
        <f t="shared" si="429"/>
        <v>0</v>
      </c>
      <c r="R321" s="58"/>
      <c r="S321" s="55">
        <f>O321</f>
        <v>0</v>
      </c>
      <c r="T321" s="57">
        <f>P321</f>
        <v>0</v>
      </c>
      <c r="U321" s="57">
        <f t="shared" si="430"/>
        <v>0</v>
      </c>
      <c r="V321" s="59"/>
      <c r="W321" s="124">
        <f t="shared" si="431"/>
        <v>0</v>
      </c>
      <c r="X321" s="57">
        <f t="shared" si="431"/>
        <v>0</v>
      </c>
      <c r="Y321" s="84">
        <f t="shared" si="431"/>
        <v>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si="426"/>
        <v>0</v>
      </c>
      <c r="F322" s="58"/>
      <c r="G322" s="55">
        <v>0</v>
      </c>
      <c r="H322" s="57">
        <v>0</v>
      </c>
      <c r="I322" s="57">
        <f t="shared" si="427"/>
        <v>0</v>
      </c>
      <c r="J322" s="58"/>
      <c r="K322" s="55">
        <v>0</v>
      </c>
      <c r="L322" s="57">
        <v>0</v>
      </c>
      <c r="M322" s="57">
        <f t="shared" si="428"/>
        <v>0</v>
      </c>
      <c r="N322" s="58"/>
      <c r="O322" s="55">
        <v>0</v>
      </c>
      <c r="P322" s="57">
        <v>0</v>
      </c>
      <c r="Q322" s="57">
        <f t="shared" si="429"/>
        <v>0</v>
      </c>
      <c r="R322" s="58"/>
      <c r="S322" s="55">
        <v>0</v>
      </c>
      <c r="T322" s="57">
        <v>0</v>
      </c>
      <c r="U322" s="57">
        <f t="shared" si="430"/>
        <v>0</v>
      </c>
      <c r="V322" s="59"/>
      <c r="W322" s="124">
        <f t="shared" si="431"/>
        <v>0</v>
      </c>
      <c r="X322" s="57">
        <f t="shared" si="431"/>
        <v>0</v>
      </c>
      <c r="Y322" s="84">
        <f t="shared" si="431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0</v>
      </c>
      <c r="D323" s="125">
        <f>SUM(D320:D322)</f>
        <v>0</v>
      </c>
      <c r="E323" s="125">
        <f>SUM(E320:E322)</f>
        <v>0</v>
      </c>
      <c r="F323" s="81"/>
      <c r="G323" s="79">
        <f>SUM(G320:G322)</f>
        <v>0</v>
      </c>
      <c r="H323" s="80">
        <f>SUM(H320:H322)</f>
        <v>0</v>
      </c>
      <c r="I323" s="80">
        <f>SUM(I320:I322)</f>
        <v>0</v>
      </c>
      <c r="J323" s="81"/>
      <c r="K323" s="79">
        <f>SUM(K320:K322)</f>
        <v>0</v>
      </c>
      <c r="L323" s="80">
        <f>SUM(L320:L322)</f>
        <v>0</v>
      </c>
      <c r="M323" s="80">
        <f>SUM(M320:M322)</f>
        <v>0</v>
      </c>
      <c r="N323" s="81"/>
      <c r="O323" s="79">
        <f>SUM(O320:O322)</f>
        <v>0</v>
      </c>
      <c r="P323" s="80">
        <f>SUM(P320:P322)</f>
        <v>0</v>
      </c>
      <c r="Q323" s="80">
        <f>SUM(Q320:Q322)</f>
        <v>0</v>
      </c>
      <c r="R323" s="81"/>
      <c r="S323" s="79">
        <f>SUM(S320:S322)</f>
        <v>0</v>
      </c>
      <c r="T323" s="80">
        <f>SUM(T320:T322)</f>
        <v>0</v>
      </c>
      <c r="U323" s="80">
        <f>SUM(U320:U322)</f>
        <v>0</v>
      </c>
      <c r="V323" s="82"/>
      <c r="W323" s="228">
        <f t="shared" si="431"/>
        <v>0</v>
      </c>
      <c r="X323" s="80">
        <f t="shared" si="431"/>
        <v>0</v>
      </c>
      <c r="Y323" s="80">
        <f t="shared" si="431"/>
        <v>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Y327" si="432">C325+G325+K325+O325+S325</f>
        <v>0</v>
      </c>
      <c r="X325" s="57">
        <f t="shared" si="432"/>
        <v>0</v>
      </c>
      <c r="Y325" s="84">
        <f t="shared" si="432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432"/>
        <v>0</v>
      </c>
      <c r="X326" s="56">
        <f t="shared" si="432"/>
        <v>0</v>
      </c>
      <c r="Y326" s="85">
        <f t="shared" si="432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432"/>
        <v>0</v>
      </c>
      <c r="X327" s="80">
        <f t="shared" si="432"/>
        <v>0</v>
      </c>
      <c r="Y327" s="80">
        <f t="shared" si="432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169" customFormat="1" x14ac:dyDescent="0.25">
      <c r="B329" s="169" t="s">
        <v>116</v>
      </c>
      <c r="C329" s="172">
        <v>0</v>
      </c>
      <c r="D329" s="174">
        <v>0</v>
      </c>
      <c r="E329" s="173">
        <f t="shared" ref="E329" si="433">SUM(C329:D329)</f>
        <v>0</v>
      </c>
      <c r="F329" s="175"/>
      <c r="G329" s="172">
        <f>C329</f>
        <v>0</v>
      </c>
      <c r="H329" s="174">
        <v>0</v>
      </c>
      <c r="I329" s="173">
        <f t="shared" ref="I329" si="434">SUM(G329:H329)</f>
        <v>0</v>
      </c>
      <c r="J329" s="175"/>
      <c r="K329" s="172">
        <f>G329</f>
        <v>0</v>
      </c>
      <c r="L329" s="174">
        <v>0</v>
      </c>
      <c r="M329" s="173">
        <f t="shared" ref="M329" si="435">SUM(K329:L329)</f>
        <v>0</v>
      </c>
      <c r="N329" s="175"/>
      <c r="O329" s="172">
        <f>K329</f>
        <v>0</v>
      </c>
      <c r="P329" s="174">
        <v>0</v>
      </c>
      <c r="Q329" s="174">
        <f t="shared" ref="Q329" si="436">SUM(O329:P329)</f>
        <v>0</v>
      </c>
      <c r="R329" s="175"/>
      <c r="S329" s="172">
        <f>O329</f>
        <v>0</v>
      </c>
      <c r="T329" s="174">
        <v>0</v>
      </c>
      <c r="U329" s="173">
        <f t="shared" ref="U329" si="437">SUM(S329:T329)</f>
        <v>0</v>
      </c>
      <c r="V329" s="176"/>
      <c r="W329" s="227">
        <f t="shared" ref="W329:Y333" si="438">C329+G329+K329+O329+S329</f>
        <v>0</v>
      </c>
      <c r="X329" s="173">
        <f t="shared" si="438"/>
        <v>0</v>
      </c>
      <c r="Y329" s="186">
        <f t="shared" si="438"/>
        <v>0</v>
      </c>
    </row>
    <row r="330" spans="1:77" s="61" customFormat="1" x14ac:dyDescent="0.25">
      <c r="A330" s="235"/>
      <c r="B330" s="160" t="s">
        <v>189</v>
      </c>
      <c r="C330" s="55">
        <v>0</v>
      </c>
      <c r="D330" s="57">
        <v>0</v>
      </c>
      <c r="E330" s="57">
        <f t="shared" ref="E330" si="439">SUM(C330:D330)</f>
        <v>0</v>
      </c>
      <c r="F330" s="58"/>
      <c r="G330" s="55">
        <v>10000</v>
      </c>
      <c r="H330" s="57">
        <v>0</v>
      </c>
      <c r="I330" s="57">
        <f t="shared" ref="I330" si="440">SUM(G330:H330)</f>
        <v>10000</v>
      </c>
      <c r="J330" s="58"/>
      <c r="K330" s="55">
        <v>10000</v>
      </c>
      <c r="L330" s="56">
        <v>0</v>
      </c>
      <c r="M330" s="56">
        <f t="shared" ref="M330" si="441">SUM(K330:L330)</f>
        <v>10000</v>
      </c>
      <c r="N330" s="58"/>
      <c r="O330" s="55">
        <f>G330</f>
        <v>10000</v>
      </c>
      <c r="P330" s="57">
        <v>0</v>
      </c>
      <c r="Q330" s="57">
        <f t="shared" ref="Q330" si="442">SUM(O330:P330)</f>
        <v>10000</v>
      </c>
      <c r="R330" s="58"/>
      <c r="S330" s="55">
        <f>O330*0</f>
        <v>0</v>
      </c>
      <c r="T330" s="57">
        <v>0</v>
      </c>
      <c r="U330" s="57">
        <f t="shared" ref="U330" si="443">SUM(S330:T330)</f>
        <v>0</v>
      </c>
      <c r="V330" s="59"/>
      <c r="W330" s="124">
        <f t="shared" si="438"/>
        <v>30000</v>
      </c>
      <c r="X330" s="196">
        <f t="shared" si="438"/>
        <v>0</v>
      </c>
      <c r="Y330" s="236">
        <f t="shared" si="438"/>
        <v>30000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ref="E331:E332" si="444">SUM(C331:D331)</f>
        <v>0</v>
      </c>
      <c r="F331" s="58"/>
      <c r="G331" s="55">
        <v>0</v>
      </c>
      <c r="H331" s="57"/>
      <c r="I331" s="57">
        <f t="shared" ref="I331:I332" si="445">SUM(G331:H331)</f>
        <v>0</v>
      </c>
      <c r="J331" s="58"/>
      <c r="K331" s="55">
        <v>0</v>
      </c>
      <c r="L331" s="56">
        <v>0</v>
      </c>
      <c r="M331" s="57">
        <f t="shared" ref="M331:M332" si="446">SUM(K331:L331)</f>
        <v>0</v>
      </c>
      <c r="N331" s="58"/>
      <c r="O331" s="55">
        <v>0</v>
      </c>
      <c r="P331" s="56">
        <v>0</v>
      </c>
      <c r="Q331" s="56">
        <f t="shared" ref="Q331:Q332" si="447">SUM(O331:P331)</f>
        <v>0</v>
      </c>
      <c r="R331" s="58"/>
      <c r="S331" s="55">
        <v>0</v>
      </c>
      <c r="T331" s="56">
        <v>0</v>
      </c>
      <c r="U331" s="57">
        <f t="shared" ref="U331:U332" si="448">SUM(S331:T331)</f>
        <v>0</v>
      </c>
      <c r="V331" s="59"/>
      <c r="W331" s="124">
        <f t="shared" si="438"/>
        <v>0</v>
      </c>
      <c r="X331" s="57">
        <f t="shared" si="438"/>
        <v>0</v>
      </c>
      <c r="Y331" s="84">
        <f t="shared" si="438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444"/>
        <v>0</v>
      </c>
      <c r="F332" s="58"/>
      <c r="G332" s="55">
        <v>0</v>
      </c>
      <c r="H332" s="57">
        <v>0</v>
      </c>
      <c r="I332" s="57">
        <f t="shared" si="445"/>
        <v>0</v>
      </c>
      <c r="J332" s="58"/>
      <c r="K332" s="55">
        <v>0</v>
      </c>
      <c r="L332" s="57">
        <v>0</v>
      </c>
      <c r="M332" s="57">
        <f t="shared" si="446"/>
        <v>0</v>
      </c>
      <c r="N332" s="58"/>
      <c r="O332" s="55">
        <v>0</v>
      </c>
      <c r="P332" s="57">
        <v>0</v>
      </c>
      <c r="Q332" s="57">
        <f t="shared" si="447"/>
        <v>0</v>
      </c>
      <c r="R332" s="58"/>
      <c r="S332" s="55">
        <v>0</v>
      </c>
      <c r="T332" s="57">
        <v>0</v>
      </c>
      <c r="U332" s="57">
        <f t="shared" si="448"/>
        <v>0</v>
      </c>
      <c r="V332" s="59"/>
      <c r="W332" s="124">
        <f t="shared" si="438"/>
        <v>0</v>
      </c>
      <c r="X332" s="57">
        <f t="shared" si="438"/>
        <v>0</v>
      </c>
      <c r="Y332" s="84">
        <f t="shared" si="438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0</v>
      </c>
      <c r="D333" s="153">
        <f>SUM(D329:D332)</f>
        <v>0</v>
      </c>
      <c r="E333" s="153">
        <f>SUM(E329:E332)</f>
        <v>0</v>
      </c>
      <c r="F333" s="154"/>
      <c r="G333" s="152">
        <f>SUM(G329:G332)</f>
        <v>10000</v>
      </c>
      <c r="H333" s="155">
        <f>SUM(H329:H332)</f>
        <v>0</v>
      </c>
      <c r="I333" s="155">
        <f>SUM(I329:I332)</f>
        <v>10000</v>
      </c>
      <c r="J333" s="154"/>
      <c r="K333" s="152">
        <f>SUM(K329:K332)</f>
        <v>10000</v>
      </c>
      <c r="L333" s="155">
        <f>SUM(L329:L332)</f>
        <v>0</v>
      </c>
      <c r="M333" s="155">
        <f>SUM(M329:M332)</f>
        <v>10000</v>
      </c>
      <c r="N333" s="154"/>
      <c r="O333" s="152">
        <f>SUM(O329:O332)</f>
        <v>10000</v>
      </c>
      <c r="P333" s="155">
        <f>SUM(P329:P332)</f>
        <v>0</v>
      </c>
      <c r="Q333" s="155">
        <f>SUM(Q329:Q332)</f>
        <v>10000</v>
      </c>
      <c r="R333" s="154"/>
      <c r="S333" s="152">
        <f>SUM(S329:S332)</f>
        <v>0</v>
      </c>
      <c r="T333" s="155">
        <f>SUM(T329:T332)</f>
        <v>0</v>
      </c>
      <c r="U333" s="155">
        <f>SUM(U329:U332)</f>
        <v>0</v>
      </c>
      <c r="V333" s="82"/>
      <c r="W333" s="228">
        <f t="shared" si="438"/>
        <v>30000</v>
      </c>
      <c r="X333" s="80">
        <f t="shared" si="438"/>
        <v>0</v>
      </c>
      <c r="Y333" s="80">
        <f t="shared" si="438"/>
        <v>30000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449">SUM(C313+C318+C323+C327+C333)</f>
        <v>0</v>
      </c>
      <c r="D334" s="251">
        <f t="shared" si="449"/>
        <v>0</v>
      </c>
      <c r="E334" s="251">
        <f t="shared" si="449"/>
        <v>0</v>
      </c>
      <c r="F334" s="251">
        <f t="shared" si="449"/>
        <v>0</v>
      </c>
      <c r="G334" s="251">
        <f t="shared" si="449"/>
        <v>10000</v>
      </c>
      <c r="H334" s="251">
        <f t="shared" si="449"/>
        <v>0</v>
      </c>
      <c r="I334" s="251">
        <f t="shared" si="449"/>
        <v>10000</v>
      </c>
      <c r="J334" s="251">
        <f t="shared" si="449"/>
        <v>0</v>
      </c>
      <c r="K334" s="251">
        <f t="shared" si="449"/>
        <v>10000</v>
      </c>
      <c r="L334" s="251">
        <f t="shared" si="449"/>
        <v>0</v>
      </c>
      <c r="M334" s="251">
        <f t="shared" si="449"/>
        <v>10000</v>
      </c>
      <c r="N334" s="251">
        <f t="shared" si="449"/>
        <v>0</v>
      </c>
      <c r="O334" s="251">
        <f t="shared" si="449"/>
        <v>10000</v>
      </c>
      <c r="P334" s="251">
        <f t="shared" si="449"/>
        <v>0</v>
      </c>
      <c r="Q334" s="251">
        <f t="shared" si="449"/>
        <v>10000</v>
      </c>
      <c r="R334" s="251">
        <f t="shared" si="449"/>
        <v>0</v>
      </c>
      <c r="S334" s="251">
        <f t="shared" si="449"/>
        <v>0</v>
      </c>
      <c r="T334" s="251">
        <f t="shared" si="449"/>
        <v>0</v>
      </c>
      <c r="U334" s="251">
        <f t="shared" si="449"/>
        <v>0</v>
      </c>
      <c r="V334" s="251">
        <f t="shared" si="449"/>
        <v>0</v>
      </c>
      <c r="W334" s="251">
        <f t="shared" si="449"/>
        <v>30000</v>
      </c>
      <c r="X334" s="251">
        <f t="shared" si="449"/>
        <v>0</v>
      </c>
      <c r="Y334" s="251">
        <f t="shared" si="449"/>
        <v>30000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((C313+C323+C333)*0.2627)</f>
        <v>0</v>
      </c>
      <c r="D335" s="251">
        <v>0</v>
      </c>
      <c r="E335" s="251">
        <f>C335</f>
        <v>0</v>
      </c>
      <c r="F335" s="251">
        <f>F307*0.47</f>
        <v>0</v>
      </c>
      <c r="G335" s="251">
        <f>((G313+G323+G333)*0.2627)</f>
        <v>2627</v>
      </c>
      <c r="H335" s="251">
        <v>0</v>
      </c>
      <c r="I335" s="251">
        <f>G335</f>
        <v>2627</v>
      </c>
      <c r="J335" s="251">
        <f>J307*0.47</f>
        <v>0</v>
      </c>
      <c r="K335" s="251">
        <f>((K313+K323+K333)*0.2627)</f>
        <v>2627</v>
      </c>
      <c r="L335" s="251">
        <v>0</v>
      </c>
      <c r="M335" s="251">
        <f>K335</f>
        <v>2627</v>
      </c>
      <c r="N335" s="251">
        <f>N307*0.47</f>
        <v>0</v>
      </c>
      <c r="O335" s="251">
        <f>((O313+O323+O333)*0.2627)</f>
        <v>2627</v>
      </c>
      <c r="P335" s="251">
        <v>0</v>
      </c>
      <c r="Q335" s="251">
        <f>O335</f>
        <v>2627</v>
      </c>
      <c r="R335" s="251">
        <f>R307*0.47</f>
        <v>0</v>
      </c>
      <c r="S335" s="251">
        <f>((S313+S323+S333)*0.2627)</f>
        <v>0</v>
      </c>
      <c r="T335" s="251">
        <v>0</v>
      </c>
      <c r="U335" s="251">
        <f>S335</f>
        <v>0</v>
      </c>
      <c r="V335" s="251">
        <f>V307*0.47</f>
        <v>0</v>
      </c>
      <c r="W335" s="251">
        <f>((W313+W323+W333)*0.2627)</f>
        <v>7881</v>
      </c>
      <c r="X335" s="251">
        <v>0</v>
      </c>
      <c r="Y335" s="251">
        <f>W335</f>
        <v>7881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0</v>
      </c>
      <c r="D336" s="251">
        <f t="shared" ref="D336:Y336" si="450">SUM(D334:D335)</f>
        <v>0</v>
      </c>
      <c r="E336" s="251">
        <f t="shared" si="450"/>
        <v>0</v>
      </c>
      <c r="F336" s="251">
        <f t="shared" si="450"/>
        <v>0</v>
      </c>
      <c r="G336" s="251">
        <f t="shared" si="450"/>
        <v>12627</v>
      </c>
      <c r="H336" s="251">
        <f t="shared" si="450"/>
        <v>0</v>
      </c>
      <c r="I336" s="251">
        <f t="shared" si="450"/>
        <v>12627</v>
      </c>
      <c r="J336" s="251">
        <f t="shared" si="450"/>
        <v>0</v>
      </c>
      <c r="K336" s="251">
        <f t="shared" si="450"/>
        <v>12627</v>
      </c>
      <c r="L336" s="251">
        <f t="shared" si="450"/>
        <v>0</v>
      </c>
      <c r="M336" s="251">
        <f t="shared" si="450"/>
        <v>12627</v>
      </c>
      <c r="N336" s="251">
        <f t="shared" si="450"/>
        <v>0</v>
      </c>
      <c r="O336" s="251">
        <f t="shared" si="450"/>
        <v>12627</v>
      </c>
      <c r="P336" s="251">
        <f t="shared" si="450"/>
        <v>0</v>
      </c>
      <c r="Q336" s="251">
        <f t="shared" si="450"/>
        <v>12627</v>
      </c>
      <c r="R336" s="251">
        <f t="shared" si="450"/>
        <v>0</v>
      </c>
      <c r="S336" s="251">
        <f t="shared" si="450"/>
        <v>0</v>
      </c>
      <c r="T336" s="251">
        <f t="shared" si="450"/>
        <v>0</v>
      </c>
      <c r="U336" s="251">
        <f t="shared" si="450"/>
        <v>0</v>
      </c>
      <c r="V336" s="251">
        <f t="shared" si="450"/>
        <v>0</v>
      </c>
      <c r="W336" s="251">
        <f t="shared" si="450"/>
        <v>37881</v>
      </c>
      <c r="X336" s="251">
        <f t="shared" si="450"/>
        <v>0</v>
      </c>
      <c r="Y336" s="251">
        <f t="shared" si="450"/>
        <v>37881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207337.16491017037</v>
      </c>
      <c r="D339" s="121">
        <f t="shared" ref="D339:X339" si="451">D248+D176+D88+D292+D336</f>
        <v>19090.900000000001</v>
      </c>
      <c r="E339" s="121">
        <f t="shared" si="451"/>
        <v>226428.06491017036</v>
      </c>
      <c r="F339" s="121">
        <f t="shared" si="451"/>
        <v>0</v>
      </c>
      <c r="G339" s="121">
        <f t="shared" si="451"/>
        <v>561945.73674918478</v>
      </c>
      <c r="H339" s="121">
        <f t="shared" si="451"/>
        <v>19728.235809999998</v>
      </c>
      <c r="I339" s="121">
        <f t="shared" si="451"/>
        <v>581673.97255918488</v>
      </c>
      <c r="J339" s="121">
        <f t="shared" si="451"/>
        <v>0</v>
      </c>
      <c r="K339" s="121">
        <f t="shared" si="451"/>
        <v>605536.52727849584</v>
      </c>
      <c r="L339" s="121">
        <f t="shared" si="451"/>
        <v>0</v>
      </c>
      <c r="M339" s="121">
        <f t="shared" si="451"/>
        <v>605536.52727849584</v>
      </c>
      <c r="N339" s="121">
        <f t="shared" si="451"/>
        <v>0</v>
      </c>
      <c r="O339" s="121">
        <f t="shared" si="451"/>
        <v>526529.04286295967</v>
      </c>
      <c r="P339" s="121">
        <f t="shared" si="451"/>
        <v>0</v>
      </c>
      <c r="Q339" s="121">
        <f t="shared" si="451"/>
        <v>526529.04286295967</v>
      </c>
      <c r="R339" s="121">
        <f t="shared" si="451"/>
        <v>0</v>
      </c>
      <c r="S339" s="121">
        <f t="shared" si="451"/>
        <v>469240.07013547665</v>
      </c>
      <c r="T339" s="121">
        <f t="shared" si="451"/>
        <v>0</v>
      </c>
      <c r="U339" s="121">
        <f t="shared" si="451"/>
        <v>469240.07013547665</v>
      </c>
      <c r="V339" s="121">
        <f t="shared" si="451"/>
        <v>0</v>
      </c>
      <c r="W339" s="121">
        <f t="shared" si="451"/>
        <v>2370588.5419362877</v>
      </c>
      <c r="X339" s="121">
        <f t="shared" si="451"/>
        <v>38819.13581</v>
      </c>
      <c r="Y339" s="121">
        <f>Y248+Y176+Y88+Y292+Y336</f>
        <v>2409407.6777462875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4" customFormat="1" x14ac:dyDescent="0.25">
      <c r="V340" s="45"/>
      <c r="W340" s="47"/>
      <c r="X340" s="47"/>
      <c r="Y340" s="46"/>
    </row>
    <row r="341" spans="1:77" s="4" customFormat="1" x14ac:dyDescent="0.25">
      <c r="V341" s="45"/>
      <c r="W341" s="47"/>
      <c r="X341" s="47"/>
      <c r="Y341" s="46"/>
    </row>
    <row r="342" spans="1:77" s="4" customFormat="1" x14ac:dyDescent="0.25">
      <c r="V342" s="45"/>
      <c r="W342" s="47"/>
      <c r="X342" s="47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12"/>
      <c r="X348" s="12"/>
      <c r="Y348" s="46"/>
    </row>
    <row r="349" spans="1:77" s="4" customFormat="1" x14ac:dyDescent="0.25">
      <c r="V349" s="45"/>
      <c r="W349" s="12"/>
      <c r="X349" s="12"/>
      <c r="Y349" s="46"/>
    </row>
    <row r="350" spans="1:77" s="4" customFormat="1" x14ac:dyDescent="0.25">
      <c r="V350" s="45"/>
      <c r="W350" s="12"/>
      <c r="X350" s="12"/>
      <c r="Y350" s="46"/>
    </row>
    <row r="351" spans="1:77" s="4" customFormat="1" x14ac:dyDescent="0.25">
      <c r="V351" s="45"/>
      <c r="W351" s="12"/>
      <c r="X351" s="12"/>
      <c r="Y351" s="46"/>
    </row>
    <row r="352" spans="1:77" s="4" customFormat="1" x14ac:dyDescent="0.25">
      <c r="V352" s="45"/>
      <c r="W352" s="12"/>
      <c r="X352" s="12"/>
      <c r="Y352" s="46"/>
    </row>
    <row r="353" spans="22:25" s="4" customFormat="1" x14ac:dyDescent="0.25">
      <c r="V353" s="45"/>
      <c r="W353" s="12"/>
      <c r="X353" s="12"/>
      <c r="Y353" s="46"/>
    </row>
    <row r="354" spans="22:25" s="4" customFormat="1" x14ac:dyDescent="0.25">
      <c r="V354" s="45"/>
      <c r="W354" s="12"/>
      <c r="X354" s="12"/>
      <c r="Y354" s="46"/>
    </row>
    <row r="355" spans="22:25" s="4" customFormat="1" x14ac:dyDescent="0.25">
      <c r="V355" s="45"/>
      <c r="W355" s="12"/>
      <c r="X355" s="12"/>
      <c r="Y355" s="46"/>
    </row>
    <row r="356" spans="22:25" s="4" customFormat="1" x14ac:dyDescent="0.25">
      <c r="V356" s="45"/>
      <c r="W356" s="12"/>
      <c r="X356" s="12"/>
      <c r="Y356" s="46"/>
    </row>
    <row r="357" spans="22:25" s="4" customFormat="1" x14ac:dyDescent="0.25">
      <c r="V357" s="45"/>
      <c r="W357" s="12"/>
      <c r="X357" s="12"/>
      <c r="Y357" s="46"/>
    </row>
    <row r="358" spans="22:25" s="4" customFormat="1" x14ac:dyDescent="0.25">
      <c r="V358" s="45"/>
      <c r="W358" s="12"/>
      <c r="X358" s="12"/>
      <c r="Y358" s="46"/>
    </row>
    <row r="359" spans="22:25" s="4" customFormat="1" x14ac:dyDescent="0.25">
      <c r="V359" s="45"/>
      <c r="W359" s="12"/>
      <c r="X359" s="12"/>
      <c r="Y359" s="46"/>
    </row>
    <row r="360" spans="22:25" s="4" customFormat="1" x14ac:dyDescent="0.25">
      <c r="V360" s="45"/>
      <c r="W360" s="12"/>
      <c r="X360" s="12"/>
      <c r="Y360" s="46"/>
    </row>
    <row r="361" spans="22:25" s="4" customFormat="1" x14ac:dyDescent="0.25">
      <c r="V361" s="45"/>
      <c r="W361" s="12"/>
      <c r="X361" s="12"/>
      <c r="Y361" s="46"/>
    </row>
    <row r="362" spans="22:25" s="4" customFormat="1" x14ac:dyDescent="0.25">
      <c r="V362" s="45"/>
      <c r="W362" s="12"/>
      <c r="X362" s="12"/>
      <c r="Y362" s="46"/>
    </row>
    <row r="363" spans="22:25" s="4" customFormat="1" x14ac:dyDescent="0.25">
      <c r="V363" s="45"/>
      <c r="W363" s="12"/>
      <c r="X363" s="12"/>
      <c r="Y363" s="46"/>
    </row>
    <row r="364" spans="22:25" s="4" customFormat="1" x14ac:dyDescent="0.25">
      <c r="V364" s="45"/>
      <c r="W364" s="12"/>
      <c r="X364" s="12"/>
      <c r="Y364" s="46"/>
    </row>
    <row r="365" spans="22:25" s="4" customFormat="1" x14ac:dyDescent="0.25">
      <c r="V365" s="45"/>
      <c r="W365" s="12"/>
      <c r="X365" s="12"/>
      <c r="Y365" s="46"/>
    </row>
    <row r="366" spans="22:25" s="4" customFormat="1" x14ac:dyDescent="0.25">
      <c r="V366" s="45"/>
      <c r="W366" s="12"/>
      <c r="X366" s="12"/>
      <c r="Y366" s="46"/>
    </row>
    <row r="367" spans="22:25" s="4" customFormat="1" x14ac:dyDescent="0.25">
      <c r="V367" s="45"/>
      <c r="W367" s="12"/>
      <c r="X367" s="12"/>
      <c r="Y367" s="46"/>
    </row>
    <row r="368" spans="22:25" s="4" customFormat="1" x14ac:dyDescent="0.25">
      <c r="V368" s="45"/>
      <c r="W368" s="12"/>
      <c r="X368" s="12"/>
      <c r="Y368" s="46"/>
    </row>
    <row r="369" spans="22:25" s="4" customFormat="1" x14ac:dyDescent="0.25">
      <c r="V369" s="45"/>
      <c r="W369" s="12"/>
      <c r="X369" s="12"/>
      <c r="Y369" s="46"/>
    </row>
    <row r="370" spans="22:25" s="4" customFormat="1" x14ac:dyDescent="0.25">
      <c r="V370" s="45"/>
      <c r="W370" s="12"/>
      <c r="X370" s="12"/>
      <c r="Y370" s="46"/>
    </row>
    <row r="371" spans="22:25" s="4" customFormat="1" x14ac:dyDescent="0.25">
      <c r="V371" s="45"/>
      <c r="W371" s="12"/>
      <c r="X371" s="12"/>
      <c r="Y371" s="46"/>
    </row>
    <row r="372" spans="22:25" s="4" customFormat="1" x14ac:dyDescent="0.25">
      <c r="V372" s="45"/>
      <c r="W372" s="12"/>
      <c r="X372" s="12"/>
      <c r="Y372" s="46"/>
    </row>
    <row r="373" spans="22:25" s="4" customFormat="1" x14ac:dyDescent="0.25">
      <c r="V373" s="45"/>
      <c r="W373" s="12"/>
      <c r="X373" s="12"/>
      <c r="Y373" s="46"/>
    </row>
    <row r="374" spans="22:25" s="4" customFormat="1" x14ac:dyDescent="0.25">
      <c r="V374" s="45"/>
      <c r="W374" s="12"/>
      <c r="X374" s="12"/>
      <c r="Y374" s="46"/>
    </row>
    <row r="375" spans="22:25" s="4" customFormat="1" x14ac:dyDescent="0.25">
      <c r="V375" s="45"/>
      <c r="W375" s="12"/>
      <c r="X375" s="12"/>
      <c r="Y375" s="46"/>
    </row>
    <row r="376" spans="22:25" s="4" customFormat="1" x14ac:dyDescent="0.25">
      <c r="V376" s="45"/>
      <c r="W376" s="12"/>
      <c r="X376" s="12"/>
      <c r="Y376" s="46"/>
    </row>
    <row r="377" spans="22:25" s="4" customFormat="1" x14ac:dyDescent="0.25">
      <c r="V377" s="45"/>
      <c r="W377" s="12"/>
      <c r="X377" s="12"/>
      <c r="Y377" s="46"/>
    </row>
    <row r="378" spans="22:25" s="4" customFormat="1" x14ac:dyDescent="0.25">
      <c r="V378" s="45"/>
      <c r="W378" s="12"/>
      <c r="X378" s="12"/>
      <c r="Y378" s="46"/>
    </row>
    <row r="379" spans="22:25" s="4" customFormat="1" x14ac:dyDescent="0.25">
      <c r="V379" s="45"/>
      <c r="W379" s="12"/>
      <c r="X379" s="12"/>
      <c r="Y379" s="46"/>
    </row>
    <row r="380" spans="22:25" s="4" customFormat="1" x14ac:dyDescent="0.25">
      <c r="V380" s="45"/>
      <c r="W380" s="12"/>
      <c r="X380" s="12"/>
      <c r="Y380" s="46"/>
    </row>
    <row r="381" spans="22:25" s="4" customFormat="1" x14ac:dyDescent="0.25">
      <c r="V381" s="45"/>
      <c r="W381" s="12"/>
      <c r="X381" s="12"/>
      <c r="Y381" s="46"/>
    </row>
    <row r="382" spans="22:25" s="4" customFormat="1" x14ac:dyDescent="0.25">
      <c r="V382" s="45"/>
      <c r="W382" s="12"/>
      <c r="X382" s="12"/>
      <c r="Y382" s="46"/>
    </row>
    <row r="383" spans="22:25" s="4" customFormat="1" x14ac:dyDescent="0.25">
      <c r="V383" s="45"/>
      <c r="W383" s="12"/>
      <c r="X383" s="12"/>
      <c r="Y383" s="46"/>
    </row>
    <row r="384" spans="22:25" s="4" customFormat="1" x14ac:dyDescent="0.25">
      <c r="V384" s="45"/>
      <c r="W384" s="12"/>
      <c r="X384" s="12"/>
      <c r="Y384" s="46"/>
    </row>
    <row r="385" spans="22:25" s="4" customFormat="1" x14ac:dyDescent="0.25">
      <c r="V385" s="45"/>
      <c r="W385" s="12"/>
      <c r="X385" s="12"/>
      <c r="Y385" s="46"/>
    </row>
    <row r="386" spans="22:25" s="4" customFormat="1" x14ac:dyDescent="0.25">
      <c r="V386" s="45"/>
      <c r="W386" s="12"/>
      <c r="X386" s="12"/>
      <c r="Y386" s="46"/>
    </row>
    <row r="387" spans="22:25" s="4" customFormat="1" x14ac:dyDescent="0.25">
      <c r="V387" s="45"/>
      <c r="W387" s="12"/>
      <c r="X387" s="12"/>
      <c r="Y387" s="46"/>
    </row>
    <row r="388" spans="22:25" s="4" customFormat="1" x14ac:dyDescent="0.25">
      <c r="V388" s="45"/>
      <c r="W388" s="12"/>
      <c r="X388" s="12"/>
      <c r="Y388" s="46"/>
    </row>
    <row r="389" spans="22:25" s="4" customFormat="1" x14ac:dyDescent="0.25">
      <c r="V389" s="45"/>
      <c r="W389" s="12"/>
      <c r="X389" s="12"/>
      <c r="Y389" s="46"/>
    </row>
    <row r="390" spans="22:25" s="4" customFormat="1" x14ac:dyDescent="0.25">
      <c r="V390" s="45"/>
      <c r="W390" s="12"/>
      <c r="X390" s="12"/>
      <c r="Y390" s="46"/>
    </row>
    <row r="391" spans="22:25" s="4" customFormat="1" x14ac:dyDescent="0.25">
      <c r="V391" s="45"/>
      <c r="W391" s="12"/>
      <c r="X391" s="12"/>
      <c r="Y391" s="46"/>
    </row>
    <row r="392" spans="22:25" s="4" customFormat="1" x14ac:dyDescent="0.25">
      <c r="V392" s="45"/>
      <c r="W392" s="12"/>
      <c r="X392" s="12"/>
      <c r="Y392" s="46"/>
    </row>
    <row r="393" spans="22:25" s="4" customFormat="1" x14ac:dyDescent="0.25">
      <c r="V393" s="45"/>
      <c r="W393" s="12"/>
      <c r="X393" s="12"/>
      <c r="Y393" s="46"/>
    </row>
    <row r="394" spans="22:25" s="4" customFormat="1" x14ac:dyDescent="0.25">
      <c r="V394" s="45"/>
      <c r="W394" s="12"/>
      <c r="X394" s="12"/>
      <c r="Y394" s="46"/>
    </row>
    <row r="395" spans="22:25" s="4" customFormat="1" x14ac:dyDescent="0.25">
      <c r="V395" s="45"/>
      <c r="W395" s="12"/>
      <c r="X395" s="12"/>
      <c r="Y395" s="46"/>
    </row>
    <row r="396" spans="22:25" s="4" customFormat="1" x14ac:dyDescent="0.25">
      <c r="V396" s="45"/>
      <c r="W396" s="12"/>
      <c r="X396" s="12"/>
      <c r="Y396" s="46"/>
    </row>
    <row r="397" spans="22:25" s="4" customFormat="1" x14ac:dyDescent="0.25">
      <c r="V397" s="45"/>
      <c r="W397" s="12"/>
      <c r="X397" s="12"/>
      <c r="Y397" s="46"/>
    </row>
    <row r="398" spans="22:25" s="4" customFormat="1" x14ac:dyDescent="0.25">
      <c r="V398" s="45"/>
      <c r="W398" s="12"/>
      <c r="X398" s="12"/>
      <c r="Y398" s="46"/>
    </row>
    <row r="399" spans="22:25" s="4" customFormat="1" x14ac:dyDescent="0.25">
      <c r="V399" s="45"/>
      <c r="W399" s="12"/>
      <c r="X399" s="12"/>
      <c r="Y399" s="46"/>
    </row>
    <row r="400" spans="22:25" s="4" customFormat="1" x14ac:dyDescent="0.25">
      <c r="V400" s="45"/>
      <c r="W400" s="12"/>
      <c r="X400" s="12"/>
      <c r="Y400" s="46"/>
    </row>
    <row r="401" spans="22:25" s="4" customFormat="1" x14ac:dyDescent="0.25">
      <c r="V401" s="45"/>
      <c r="W401" s="12"/>
      <c r="X401" s="12"/>
      <c r="Y401" s="46"/>
    </row>
    <row r="402" spans="22:25" s="4" customFormat="1" x14ac:dyDescent="0.25">
      <c r="V402" s="45"/>
      <c r="W402" s="12"/>
      <c r="X402" s="12"/>
      <c r="Y402" s="46"/>
    </row>
    <row r="403" spans="22:25" s="4" customFormat="1" x14ac:dyDescent="0.25">
      <c r="V403" s="45"/>
      <c r="W403" s="12"/>
      <c r="X403" s="12"/>
      <c r="Y403" s="46"/>
    </row>
    <row r="404" spans="22:25" s="4" customFormat="1" x14ac:dyDescent="0.25">
      <c r="V404" s="45"/>
      <c r="W404" s="12"/>
      <c r="X404" s="12"/>
      <c r="Y404" s="46"/>
    </row>
    <row r="405" spans="22:25" s="4" customFormat="1" x14ac:dyDescent="0.25">
      <c r="V405" s="45"/>
      <c r="W405" s="12"/>
      <c r="X405" s="12"/>
      <c r="Y405" s="46"/>
    </row>
    <row r="406" spans="22:25" s="4" customFormat="1" x14ac:dyDescent="0.25">
      <c r="V406" s="45"/>
      <c r="W406" s="12"/>
      <c r="X406" s="12"/>
      <c r="Y406" s="46"/>
    </row>
    <row r="407" spans="22:25" s="4" customFormat="1" x14ac:dyDescent="0.25">
      <c r="V407" s="45"/>
      <c r="W407" s="12"/>
      <c r="X407" s="12"/>
      <c r="Y407" s="46"/>
    </row>
    <row r="408" spans="22:25" s="4" customFormat="1" x14ac:dyDescent="0.25">
      <c r="V408" s="45"/>
      <c r="W408" s="12"/>
      <c r="X408" s="12"/>
      <c r="Y408" s="46"/>
    </row>
    <row r="409" spans="22:25" s="4" customFormat="1" x14ac:dyDescent="0.25">
      <c r="V409" s="45"/>
      <c r="W409" s="12"/>
      <c r="X409" s="12"/>
      <c r="Y409" s="46"/>
    </row>
    <row r="410" spans="22:25" s="4" customFormat="1" x14ac:dyDescent="0.25">
      <c r="V410" s="45"/>
      <c r="W410" s="12"/>
      <c r="X410" s="12"/>
      <c r="Y410" s="46"/>
    </row>
    <row r="411" spans="22:25" s="4" customFormat="1" x14ac:dyDescent="0.25">
      <c r="V411" s="45"/>
      <c r="W411" s="12"/>
      <c r="X411" s="12"/>
      <c r="Y411" s="46"/>
    </row>
    <row r="412" spans="22:25" s="4" customFormat="1" x14ac:dyDescent="0.25">
      <c r="V412" s="45"/>
      <c r="W412" s="12"/>
      <c r="X412" s="12"/>
      <c r="Y412" s="46"/>
    </row>
    <row r="413" spans="22:25" s="4" customFormat="1" x14ac:dyDescent="0.25">
      <c r="V413" s="45"/>
      <c r="W413" s="12"/>
      <c r="X413" s="12"/>
      <c r="Y413" s="46"/>
    </row>
    <row r="414" spans="22:25" s="4" customFormat="1" x14ac:dyDescent="0.25">
      <c r="V414" s="45"/>
      <c r="W414" s="12"/>
      <c r="X414" s="12"/>
      <c r="Y414" s="46"/>
    </row>
    <row r="415" spans="22:25" s="4" customFormat="1" x14ac:dyDescent="0.25">
      <c r="V415" s="45"/>
      <c r="W415" s="12"/>
      <c r="X415" s="12"/>
      <c r="Y415" s="46"/>
    </row>
    <row r="416" spans="22:25" s="4" customFormat="1" x14ac:dyDescent="0.25">
      <c r="V416" s="45"/>
      <c r="W416" s="12"/>
      <c r="X416" s="12"/>
      <c r="Y416" s="46"/>
    </row>
    <row r="417" spans="22:25" s="4" customFormat="1" x14ac:dyDescent="0.25">
      <c r="V417" s="45"/>
      <c r="W417" s="12"/>
      <c r="X417" s="12"/>
      <c r="Y417" s="46"/>
    </row>
    <row r="418" spans="22:25" s="4" customFormat="1" x14ac:dyDescent="0.25">
      <c r="V418" s="45"/>
      <c r="W418" s="12"/>
      <c r="X418" s="12"/>
      <c r="Y418" s="46"/>
    </row>
    <row r="419" spans="22:25" s="4" customFormat="1" x14ac:dyDescent="0.25">
      <c r="V419" s="45"/>
      <c r="W419" s="12"/>
      <c r="X419" s="12"/>
      <c r="Y419" s="46"/>
    </row>
    <row r="420" spans="22:25" s="4" customFormat="1" x14ac:dyDescent="0.25">
      <c r="V420" s="45"/>
      <c r="W420" s="12"/>
      <c r="X420" s="12"/>
      <c r="Y420" s="46"/>
    </row>
    <row r="421" spans="22:25" s="4" customFormat="1" x14ac:dyDescent="0.25">
      <c r="V421" s="45"/>
      <c r="W421" s="12"/>
      <c r="X421" s="12"/>
      <c r="Y421" s="46"/>
    </row>
    <row r="422" spans="22:25" s="4" customFormat="1" x14ac:dyDescent="0.25">
      <c r="V422" s="45"/>
      <c r="W422" s="12"/>
      <c r="X422" s="12"/>
      <c r="Y422" s="46"/>
    </row>
    <row r="423" spans="22:25" s="4" customFormat="1" x14ac:dyDescent="0.25">
      <c r="V423" s="45"/>
      <c r="W423" s="12"/>
      <c r="X423" s="12"/>
      <c r="Y423" s="46"/>
    </row>
    <row r="424" spans="22:25" s="4" customFormat="1" x14ac:dyDescent="0.25">
      <c r="V424" s="45"/>
      <c r="W424" s="12"/>
      <c r="X424" s="12"/>
      <c r="Y424" s="46"/>
    </row>
    <row r="425" spans="22:25" s="4" customFormat="1" x14ac:dyDescent="0.25">
      <c r="V425" s="45"/>
      <c r="W425" s="12"/>
      <c r="X425" s="12"/>
      <c r="Y425" s="46"/>
    </row>
    <row r="426" spans="22:25" s="4" customFormat="1" x14ac:dyDescent="0.25">
      <c r="V426" s="45"/>
      <c r="W426" s="12"/>
      <c r="X426" s="12"/>
      <c r="Y426" s="46"/>
    </row>
    <row r="427" spans="22:25" s="4" customFormat="1" x14ac:dyDescent="0.25">
      <c r="V427" s="45"/>
      <c r="W427" s="12"/>
      <c r="X427" s="12"/>
      <c r="Y427" s="46"/>
    </row>
    <row r="428" spans="22:25" s="4" customFormat="1" x14ac:dyDescent="0.25">
      <c r="V428" s="45"/>
      <c r="W428" s="12"/>
      <c r="X428" s="12"/>
      <c r="Y428" s="46"/>
    </row>
    <row r="429" spans="22:25" s="4" customFormat="1" x14ac:dyDescent="0.25">
      <c r="V429" s="45"/>
      <c r="W429" s="12"/>
      <c r="X429" s="12"/>
      <c r="Y429" s="46"/>
    </row>
    <row r="430" spans="22:25" s="4" customFormat="1" x14ac:dyDescent="0.25">
      <c r="V430" s="45"/>
      <c r="W430" s="12"/>
      <c r="X430" s="12"/>
      <c r="Y430" s="46"/>
    </row>
    <row r="431" spans="22:25" s="4" customFormat="1" x14ac:dyDescent="0.25">
      <c r="V431" s="45"/>
      <c r="W431" s="12"/>
      <c r="X431" s="12"/>
      <c r="Y431" s="46"/>
    </row>
    <row r="432" spans="22:25" s="4" customFormat="1" x14ac:dyDescent="0.25">
      <c r="V432" s="45"/>
      <c r="W432" s="12"/>
      <c r="X432" s="12"/>
      <c r="Y432" s="46"/>
    </row>
    <row r="433" spans="22:25" s="4" customFormat="1" x14ac:dyDescent="0.25">
      <c r="V433" s="45"/>
      <c r="W433" s="12"/>
      <c r="X433" s="12"/>
      <c r="Y433" s="46"/>
    </row>
    <row r="434" spans="22:25" s="4" customFormat="1" x14ac:dyDescent="0.25">
      <c r="V434" s="45"/>
      <c r="W434" s="12"/>
      <c r="X434" s="12"/>
      <c r="Y434" s="46"/>
    </row>
    <row r="435" spans="22:25" s="4" customFormat="1" x14ac:dyDescent="0.25">
      <c r="V435" s="45"/>
      <c r="W435" s="12"/>
      <c r="X435" s="12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</sheetData>
  <sheetProtection sort="0"/>
  <mergeCells count="13">
    <mergeCell ref="A250:Y250"/>
    <mergeCell ref="A294:Y294"/>
    <mergeCell ref="A178:Y178"/>
    <mergeCell ref="A4:Y4"/>
    <mergeCell ref="A90:Y90"/>
    <mergeCell ref="A1:Y1"/>
    <mergeCell ref="A2:B2"/>
    <mergeCell ref="C2:E2"/>
    <mergeCell ref="G2:I2"/>
    <mergeCell ref="K2:M2"/>
    <mergeCell ref="O2:Q2"/>
    <mergeCell ref="S2:U2"/>
    <mergeCell ref="W2:Y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Y451"/>
  <sheetViews>
    <sheetView zoomScale="80" zoomScaleNormal="80" zoomScalePageLayoutView="80" workbookViewId="0">
      <pane xSplit="2" ySplit="5" topLeftCell="C123" activePane="bottomRight" state="frozen"/>
      <selection pane="topRight" activeCell="C1" sqref="C1"/>
      <selection pane="bottomLeft" activeCell="A6" sqref="A6"/>
      <selection pane="bottomRight" activeCell="B102" sqref="B102"/>
    </sheetView>
  </sheetViews>
  <sheetFormatPr defaultColWidth="8.88671875" defaultRowHeight="13.2" x14ac:dyDescent="0.25"/>
  <cols>
    <col min="1" max="1" width="10" style="7" customWidth="1"/>
    <col min="2" max="2" width="52.44140625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4.664062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4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25" s="61" customFormat="1" x14ac:dyDescent="0.25">
      <c r="A1" s="316" t="s">
        <v>96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25" s="61" customFormat="1" x14ac:dyDescent="0.25">
      <c r="A2" s="331">
        <v>44778</v>
      </c>
      <c r="B2" s="332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25" s="72" customFormat="1" ht="26.4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25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25" s="77" customForma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25" s="61" customFormat="1" x14ac:dyDescent="0.25">
      <c r="A6" s="53"/>
      <c r="B6" s="54" t="s">
        <v>57</v>
      </c>
      <c r="C6" s="124">
        <v>0</v>
      </c>
      <c r="D6" s="56">
        <v>0</v>
      </c>
      <c r="E6" s="56">
        <f t="shared" ref="E6:E14" si="0">SUM(C6:D6)</f>
        <v>0</v>
      </c>
      <c r="F6" s="58"/>
      <c r="G6" s="55">
        <f t="shared" ref="G6:G14" si="1">C6*1.05</f>
        <v>0</v>
      </c>
      <c r="H6" s="57">
        <f t="shared" ref="H6:H14" si="2">D6*1.05</f>
        <v>0</v>
      </c>
      <c r="I6" s="57">
        <f t="shared" ref="I6:I14" si="3">SUM(G6:H6)</f>
        <v>0</v>
      </c>
      <c r="J6" s="58"/>
      <c r="K6" s="55">
        <v>0</v>
      </c>
      <c r="L6" s="57">
        <f t="shared" ref="L6:L14" si="4">H6*1.05</f>
        <v>0</v>
      </c>
      <c r="M6" s="57">
        <f t="shared" ref="M6:M14" si="5">SUM(K6:L6)</f>
        <v>0</v>
      </c>
      <c r="N6" s="58"/>
      <c r="O6" s="55">
        <v>0</v>
      </c>
      <c r="P6" s="57">
        <f t="shared" ref="P6:P14" si="6">L6*1.05</f>
        <v>0</v>
      </c>
      <c r="Q6" s="57">
        <f t="shared" ref="Q6:Q14" si="7">SUM(O6:P6)</f>
        <v>0</v>
      </c>
      <c r="R6" s="58"/>
      <c r="S6" s="55">
        <f t="shared" ref="S6:S14" si="8">O6*1.05</f>
        <v>0</v>
      </c>
      <c r="T6" s="57">
        <f t="shared" ref="T6:T14" si="9">P6*1.05</f>
        <v>0</v>
      </c>
      <c r="U6" s="57">
        <f t="shared" ref="U6:U14" si="10">SUM(S6:T6)</f>
        <v>0</v>
      </c>
      <c r="V6" s="59"/>
      <c r="W6" s="124">
        <f t="shared" ref="W6:W15" si="11">C6+G6+K6+O6+S6</f>
        <v>0</v>
      </c>
      <c r="X6" s="57">
        <f t="shared" ref="X6:X15" si="12">D6+H6+L6+P6+T6</f>
        <v>0</v>
      </c>
      <c r="Y6" s="60">
        <f t="shared" ref="Y6:Y15" si="13">E6+I6+M6+Q6+U6</f>
        <v>0</v>
      </c>
    </row>
    <row r="7" spans="1:25" s="61" customFormat="1" x14ac:dyDescent="0.25">
      <c r="A7" s="53"/>
      <c r="B7" s="52"/>
      <c r="C7" s="124">
        <v>0</v>
      </c>
      <c r="D7" s="56">
        <v>0</v>
      </c>
      <c r="E7" s="56">
        <f t="shared" si="0"/>
        <v>0</v>
      </c>
      <c r="F7" s="58"/>
      <c r="G7" s="55">
        <f t="shared" si="1"/>
        <v>0</v>
      </c>
      <c r="H7" s="57">
        <f t="shared" si="2"/>
        <v>0</v>
      </c>
      <c r="I7" s="57">
        <f t="shared" si="3"/>
        <v>0</v>
      </c>
      <c r="J7" s="58"/>
      <c r="K7" s="55">
        <f t="shared" ref="K7:K14" si="14">G7*1.05</f>
        <v>0</v>
      </c>
      <c r="L7" s="57">
        <f t="shared" si="4"/>
        <v>0</v>
      </c>
      <c r="M7" s="57">
        <f t="shared" si="5"/>
        <v>0</v>
      </c>
      <c r="N7" s="58"/>
      <c r="O7" s="55">
        <f t="shared" ref="O7:O14" si="15">K7*1.05</f>
        <v>0</v>
      </c>
      <c r="P7" s="57">
        <f t="shared" si="6"/>
        <v>0</v>
      </c>
      <c r="Q7" s="57">
        <f t="shared" si="7"/>
        <v>0</v>
      </c>
      <c r="R7" s="58"/>
      <c r="S7" s="55">
        <f t="shared" si="8"/>
        <v>0</v>
      </c>
      <c r="T7" s="57">
        <f t="shared" si="9"/>
        <v>0</v>
      </c>
      <c r="U7" s="57">
        <f t="shared" si="10"/>
        <v>0</v>
      </c>
      <c r="V7" s="59"/>
      <c r="W7" s="124">
        <f t="shared" si="11"/>
        <v>0</v>
      </c>
      <c r="X7" s="57">
        <f t="shared" si="12"/>
        <v>0</v>
      </c>
      <c r="Y7" s="60">
        <f t="shared" si="13"/>
        <v>0</v>
      </c>
    </row>
    <row r="8" spans="1:25" s="61" customFormat="1" x14ac:dyDescent="0.25">
      <c r="A8" s="53"/>
      <c r="B8" s="54"/>
      <c r="C8" s="124">
        <v>0</v>
      </c>
      <c r="D8" s="56">
        <v>0</v>
      </c>
      <c r="E8" s="56">
        <f t="shared" si="0"/>
        <v>0</v>
      </c>
      <c r="F8" s="58"/>
      <c r="G8" s="55">
        <f t="shared" si="1"/>
        <v>0</v>
      </c>
      <c r="H8" s="57">
        <f t="shared" si="2"/>
        <v>0</v>
      </c>
      <c r="I8" s="57">
        <f t="shared" si="3"/>
        <v>0</v>
      </c>
      <c r="J8" s="58"/>
      <c r="K8" s="55">
        <f t="shared" si="14"/>
        <v>0</v>
      </c>
      <c r="L8" s="57">
        <f t="shared" si="4"/>
        <v>0</v>
      </c>
      <c r="M8" s="57">
        <f t="shared" si="5"/>
        <v>0</v>
      </c>
      <c r="N8" s="58"/>
      <c r="O8" s="55">
        <f t="shared" si="15"/>
        <v>0</v>
      </c>
      <c r="P8" s="57">
        <f t="shared" si="6"/>
        <v>0</v>
      </c>
      <c r="Q8" s="57">
        <f t="shared" si="7"/>
        <v>0</v>
      </c>
      <c r="R8" s="58"/>
      <c r="S8" s="55">
        <f t="shared" si="8"/>
        <v>0</v>
      </c>
      <c r="T8" s="57">
        <f t="shared" si="9"/>
        <v>0</v>
      </c>
      <c r="U8" s="57">
        <f t="shared" si="10"/>
        <v>0</v>
      </c>
      <c r="V8" s="59"/>
      <c r="W8" s="124">
        <f t="shared" si="11"/>
        <v>0</v>
      </c>
      <c r="X8" s="57">
        <f t="shared" si="12"/>
        <v>0</v>
      </c>
      <c r="Y8" s="60">
        <f t="shared" si="13"/>
        <v>0</v>
      </c>
    </row>
    <row r="9" spans="1:25" s="61" customFormat="1" x14ac:dyDescent="0.25">
      <c r="A9" s="53"/>
      <c r="B9" s="54"/>
      <c r="C9" s="124">
        <v>0</v>
      </c>
      <c r="D9" s="56">
        <v>0</v>
      </c>
      <c r="E9" s="56">
        <f t="shared" si="0"/>
        <v>0</v>
      </c>
      <c r="F9" s="58"/>
      <c r="G9" s="55">
        <f t="shared" si="1"/>
        <v>0</v>
      </c>
      <c r="H9" s="57">
        <f t="shared" si="2"/>
        <v>0</v>
      </c>
      <c r="I9" s="57">
        <f t="shared" si="3"/>
        <v>0</v>
      </c>
      <c r="J9" s="58"/>
      <c r="K9" s="55">
        <f t="shared" si="14"/>
        <v>0</v>
      </c>
      <c r="L9" s="57">
        <f t="shared" si="4"/>
        <v>0</v>
      </c>
      <c r="M9" s="57">
        <f t="shared" si="5"/>
        <v>0</v>
      </c>
      <c r="N9" s="58"/>
      <c r="O9" s="55">
        <f t="shared" si="15"/>
        <v>0</v>
      </c>
      <c r="P9" s="57">
        <f t="shared" si="6"/>
        <v>0</v>
      </c>
      <c r="Q9" s="57">
        <f t="shared" si="7"/>
        <v>0</v>
      </c>
      <c r="R9" s="58"/>
      <c r="S9" s="55">
        <f t="shared" si="8"/>
        <v>0</v>
      </c>
      <c r="T9" s="57">
        <f t="shared" si="9"/>
        <v>0</v>
      </c>
      <c r="U9" s="57">
        <f t="shared" si="10"/>
        <v>0</v>
      </c>
      <c r="V9" s="59"/>
      <c r="W9" s="124">
        <f t="shared" si="11"/>
        <v>0</v>
      </c>
      <c r="X9" s="57">
        <f t="shared" si="12"/>
        <v>0</v>
      </c>
      <c r="Y9" s="60">
        <f t="shared" si="13"/>
        <v>0</v>
      </c>
    </row>
    <row r="10" spans="1:25" s="61" customFormat="1" x14ac:dyDescent="0.25">
      <c r="A10" s="53"/>
      <c r="B10" s="54"/>
      <c r="C10" s="124">
        <v>0</v>
      </c>
      <c r="D10" s="56">
        <v>0</v>
      </c>
      <c r="E10" s="56">
        <f t="shared" si="0"/>
        <v>0</v>
      </c>
      <c r="F10" s="58"/>
      <c r="G10" s="55">
        <f t="shared" si="1"/>
        <v>0</v>
      </c>
      <c r="H10" s="57">
        <f t="shared" si="2"/>
        <v>0</v>
      </c>
      <c r="I10" s="57">
        <f t="shared" si="3"/>
        <v>0</v>
      </c>
      <c r="J10" s="58"/>
      <c r="K10" s="55">
        <f t="shared" si="14"/>
        <v>0</v>
      </c>
      <c r="L10" s="57">
        <f t="shared" si="4"/>
        <v>0</v>
      </c>
      <c r="M10" s="57">
        <f t="shared" si="5"/>
        <v>0</v>
      </c>
      <c r="N10" s="58"/>
      <c r="O10" s="55">
        <f t="shared" si="15"/>
        <v>0</v>
      </c>
      <c r="P10" s="57">
        <f t="shared" si="6"/>
        <v>0</v>
      </c>
      <c r="Q10" s="57">
        <f t="shared" si="7"/>
        <v>0</v>
      </c>
      <c r="R10" s="58"/>
      <c r="S10" s="55">
        <f t="shared" si="8"/>
        <v>0</v>
      </c>
      <c r="T10" s="57">
        <f t="shared" si="9"/>
        <v>0</v>
      </c>
      <c r="U10" s="57">
        <f t="shared" si="10"/>
        <v>0</v>
      </c>
      <c r="V10" s="59"/>
      <c r="W10" s="124">
        <f t="shared" si="11"/>
        <v>0</v>
      </c>
      <c r="X10" s="57">
        <f t="shared" si="12"/>
        <v>0</v>
      </c>
      <c r="Y10" s="60">
        <f t="shared" si="13"/>
        <v>0</v>
      </c>
    </row>
    <row r="11" spans="1:25" s="61" customFormat="1" x14ac:dyDescent="0.25">
      <c r="A11" s="53"/>
      <c r="B11" s="54"/>
      <c r="C11" s="124">
        <v>0</v>
      </c>
      <c r="D11" s="56">
        <v>0</v>
      </c>
      <c r="E11" s="56">
        <f t="shared" si="0"/>
        <v>0</v>
      </c>
      <c r="F11" s="58"/>
      <c r="G11" s="55">
        <f t="shared" si="1"/>
        <v>0</v>
      </c>
      <c r="H11" s="57">
        <f t="shared" si="2"/>
        <v>0</v>
      </c>
      <c r="I11" s="57">
        <f t="shared" si="3"/>
        <v>0</v>
      </c>
      <c r="J11" s="58"/>
      <c r="K11" s="55">
        <f t="shared" si="14"/>
        <v>0</v>
      </c>
      <c r="L11" s="57">
        <f t="shared" si="4"/>
        <v>0</v>
      </c>
      <c r="M11" s="57">
        <f t="shared" si="5"/>
        <v>0</v>
      </c>
      <c r="N11" s="58"/>
      <c r="O11" s="55">
        <f t="shared" si="15"/>
        <v>0</v>
      </c>
      <c r="P11" s="57">
        <f t="shared" si="6"/>
        <v>0</v>
      </c>
      <c r="Q11" s="57">
        <f t="shared" si="7"/>
        <v>0</v>
      </c>
      <c r="R11" s="58"/>
      <c r="S11" s="55">
        <f t="shared" si="8"/>
        <v>0</v>
      </c>
      <c r="T11" s="57">
        <f t="shared" si="9"/>
        <v>0</v>
      </c>
      <c r="U11" s="57">
        <f t="shared" si="10"/>
        <v>0</v>
      </c>
      <c r="V11" s="59"/>
      <c r="W11" s="124">
        <f t="shared" si="11"/>
        <v>0</v>
      </c>
      <c r="X11" s="57">
        <f t="shared" si="12"/>
        <v>0</v>
      </c>
      <c r="Y11" s="60">
        <f t="shared" si="13"/>
        <v>0</v>
      </c>
    </row>
    <row r="12" spans="1:25" s="61" customFormat="1" x14ac:dyDescent="0.25">
      <c r="A12" s="52"/>
      <c r="B12" s="54"/>
      <c r="C12" s="124">
        <v>0</v>
      </c>
      <c r="D12" s="56">
        <v>0</v>
      </c>
      <c r="E12" s="56">
        <f t="shared" si="0"/>
        <v>0</v>
      </c>
      <c r="F12" s="58"/>
      <c r="G12" s="55">
        <f t="shared" si="1"/>
        <v>0</v>
      </c>
      <c r="H12" s="57">
        <f t="shared" si="2"/>
        <v>0</v>
      </c>
      <c r="I12" s="57">
        <f t="shared" si="3"/>
        <v>0</v>
      </c>
      <c r="J12" s="58"/>
      <c r="K12" s="55">
        <f t="shared" si="14"/>
        <v>0</v>
      </c>
      <c r="L12" s="57">
        <f t="shared" si="4"/>
        <v>0</v>
      </c>
      <c r="M12" s="57">
        <f t="shared" si="5"/>
        <v>0</v>
      </c>
      <c r="N12" s="58"/>
      <c r="O12" s="55">
        <f t="shared" si="15"/>
        <v>0</v>
      </c>
      <c r="P12" s="57">
        <f t="shared" si="6"/>
        <v>0</v>
      </c>
      <c r="Q12" s="57">
        <f t="shared" si="7"/>
        <v>0</v>
      </c>
      <c r="R12" s="58"/>
      <c r="S12" s="55">
        <f t="shared" si="8"/>
        <v>0</v>
      </c>
      <c r="T12" s="57">
        <f t="shared" si="9"/>
        <v>0</v>
      </c>
      <c r="U12" s="57">
        <f t="shared" si="10"/>
        <v>0</v>
      </c>
      <c r="V12" s="59"/>
      <c r="W12" s="124">
        <f t="shared" si="11"/>
        <v>0</v>
      </c>
      <c r="X12" s="57">
        <f t="shared" si="12"/>
        <v>0</v>
      </c>
      <c r="Y12" s="84">
        <f t="shared" si="13"/>
        <v>0</v>
      </c>
    </row>
    <row r="13" spans="1:25" s="61" customFormat="1" x14ac:dyDescent="0.25">
      <c r="A13" s="52"/>
      <c r="B13" s="54"/>
      <c r="C13" s="124">
        <v>0</v>
      </c>
      <c r="D13" s="56">
        <v>0</v>
      </c>
      <c r="E13" s="56">
        <f t="shared" si="0"/>
        <v>0</v>
      </c>
      <c r="F13" s="58"/>
      <c r="G13" s="55">
        <f t="shared" si="1"/>
        <v>0</v>
      </c>
      <c r="H13" s="57">
        <f t="shared" si="2"/>
        <v>0</v>
      </c>
      <c r="I13" s="57">
        <f t="shared" si="3"/>
        <v>0</v>
      </c>
      <c r="J13" s="58"/>
      <c r="K13" s="55">
        <f t="shared" si="14"/>
        <v>0</v>
      </c>
      <c r="L13" s="57">
        <f t="shared" si="4"/>
        <v>0</v>
      </c>
      <c r="M13" s="57">
        <f t="shared" si="5"/>
        <v>0</v>
      </c>
      <c r="N13" s="58"/>
      <c r="O13" s="55">
        <f t="shared" si="15"/>
        <v>0</v>
      </c>
      <c r="P13" s="57">
        <f t="shared" si="6"/>
        <v>0</v>
      </c>
      <c r="Q13" s="57">
        <f t="shared" si="7"/>
        <v>0</v>
      </c>
      <c r="R13" s="58"/>
      <c r="S13" s="55">
        <f t="shared" si="8"/>
        <v>0</v>
      </c>
      <c r="T13" s="57">
        <f t="shared" si="9"/>
        <v>0</v>
      </c>
      <c r="U13" s="57">
        <f t="shared" si="10"/>
        <v>0</v>
      </c>
      <c r="V13" s="59"/>
      <c r="W13" s="124">
        <f t="shared" si="11"/>
        <v>0</v>
      </c>
      <c r="X13" s="57">
        <f t="shared" si="12"/>
        <v>0</v>
      </c>
      <c r="Y13" s="84">
        <f t="shared" si="13"/>
        <v>0</v>
      </c>
    </row>
    <row r="14" spans="1:25" s="61" customFormat="1" x14ac:dyDescent="0.25">
      <c r="A14" s="52"/>
      <c r="B14" s="54"/>
      <c r="C14" s="124">
        <v>0</v>
      </c>
      <c r="D14" s="56">
        <v>0</v>
      </c>
      <c r="E14" s="56">
        <f t="shared" si="0"/>
        <v>0</v>
      </c>
      <c r="F14" s="58"/>
      <c r="G14" s="55">
        <f t="shared" si="1"/>
        <v>0</v>
      </c>
      <c r="H14" s="57">
        <f t="shared" si="2"/>
        <v>0</v>
      </c>
      <c r="I14" s="57">
        <f t="shared" si="3"/>
        <v>0</v>
      </c>
      <c r="J14" s="58"/>
      <c r="K14" s="55">
        <f t="shared" si="14"/>
        <v>0</v>
      </c>
      <c r="L14" s="57">
        <f t="shared" si="4"/>
        <v>0</v>
      </c>
      <c r="M14" s="57">
        <f t="shared" si="5"/>
        <v>0</v>
      </c>
      <c r="N14" s="58"/>
      <c r="O14" s="55">
        <f t="shared" si="15"/>
        <v>0</v>
      </c>
      <c r="P14" s="57">
        <f t="shared" si="6"/>
        <v>0</v>
      </c>
      <c r="Q14" s="57">
        <f t="shared" si="7"/>
        <v>0</v>
      </c>
      <c r="R14" s="58"/>
      <c r="S14" s="55">
        <f t="shared" si="8"/>
        <v>0</v>
      </c>
      <c r="T14" s="57">
        <f t="shared" si="9"/>
        <v>0</v>
      </c>
      <c r="U14" s="57">
        <f t="shared" si="10"/>
        <v>0</v>
      </c>
      <c r="V14" s="59"/>
      <c r="W14" s="124">
        <f t="shared" si="11"/>
        <v>0</v>
      </c>
      <c r="X14" s="57">
        <f t="shared" si="12"/>
        <v>0</v>
      </c>
      <c r="Y14" s="84">
        <f t="shared" si="13"/>
        <v>0</v>
      </c>
    </row>
    <row r="15" spans="1:25" s="83" customFormat="1" x14ac:dyDescent="0.25">
      <c r="A15" s="78"/>
      <c r="B15" s="78" t="s">
        <v>9</v>
      </c>
      <c r="C15" s="228">
        <f>SUM(C6:C14)</f>
        <v>0</v>
      </c>
      <c r="D15" s="125">
        <f>SUM(D6:D14)</f>
        <v>0</v>
      </c>
      <c r="E15" s="125">
        <f>SUM(E6:E14)</f>
        <v>0</v>
      </c>
      <c r="F15" s="81"/>
      <c r="G15" s="79">
        <f>SUM(G6:G14)</f>
        <v>0</v>
      </c>
      <c r="H15" s="80">
        <f>SUM(H6:H14)</f>
        <v>0</v>
      </c>
      <c r="I15" s="80">
        <f>SUM(I6:I14)</f>
        <v>0</v>
      </c>
      <c r="J15" s="81"/>
      <c r="K15" s="79">
        <f>SUM(K6:K14)</f>
        <v>0</v>
      </c>
      <c r="L15" s="80">
        <f>SUM(L6:L14)</f>
        <v>0</v>
      </c>
      <c r="M15" s="80">
        <f>SUM(M6:M14)</f>
        <v>0</v>
      </c>
      <c r="N15" s="81"/>
      <c r="O15" s="79">
        <f>SUM(O6:O14)</f>
        <v>0</v>
      </c>
      <c r="P15" s="80">
        <f>SUM(P6:P14)</f>
        <v>0</v>
      </c>
      <c r="Q15" s="80">
        <f>SUM(Q6:Q14)</f>
        <v>0</v>
      </c>
      <c r="R15" s="81"/>
      <c r="S15" s="79">
        <f>SUM(S6:S14)</f>
        <v>0</v>
      </c>
      <c r="T15" s="80">
        <f>SUM(T6:T14)</f>
        <v>0</v>
      </c>
      <c r="U15" s="80">
        <f>SUM(U6:U14)</f>
        <v>0</v>
      </c>
      <c r="V15" s="82"/>
      <c r="W15" s="228">
        <f t="shared" si="11"/>
        <v>0</v>
      </c>
      <c r="X15" s="80">
        <f t="shared" si="12"/>
        <v>0</v>
      </c>
      <c r="Y15" s="80">
        <f t="shared" si="13"/>
        <v>0</v>
      </c>
    </row>
    <row r="16" spans="1:25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61" customFormat="1" x14ac:dyDescent="0.25">
      <c r="A17" s="54" t="s">
        <v>57</v>
      </c>
      <c r="B17" s="199" t="s">
        <v>160</v>
      </c>
      <c r="C17" s="124">
        <f>(74380.8*1.03)*0.25*0</f>
        <v>0</v>
      </c>
      <c r="D17" s="56">
        <f>(74380.8*1.03)</f>
        <v>76612.224000000002</v>
      </c>
      <c r="E17" s="56">
        <f t="shared" ref="E17:E25" si="16">SUM(C17:D17)</f>
        <v>76612.224000000002</v>
      </c>
      <c r="F17" s="58"/>
      <c r="G17" s="55">
        <f>((C17)*1.03)*0</f>
        <v>0</v>
      </c>
      <c r="H17" s="57">
        <f>(74380.8*1.03*1.03)*0.75</f>
        <v>59182.943040000006</v>
      </c>
      <c r="I17" s="57">
        <f t="shared" ref="I17:I25" si="17">SUM(G17:H17)</f>
        <v>59182.943040000006</v>
      </c>
      <c r="J17" s="58"/>
      <c r="K17" s="55">
        <f>((G17)*1.03)</f>
        <v>0</v>
      </c>
      <c r="L17" s="57">
        <f t="shared" ref="L17:L25" si="18">H17*1.03</f>
        <v>60958.431331200009</v>
      </c>
      <c r="M17" s="57">
        <f t="shared" ref="M17:M25" si="19">SUM(K17:L17)</f>
        <v>60958.431331200009</v>
      </c>
      <c r="N17" s="58"/>
      <c r="O17" s="55">
        <f>((K17)*1.03)</f>
        <v>0</v>
      </c>
      <c r="P17" s="57">
        <f t="shared" ref="P17:P25" si="20">L17*1.03</f>
        <v>62787.184271136008</v>
      </c>
      <c r="Q17" s="57">
        <f t="shared" ref="Q17:Q25" si="21">SUM(O17:P17)</f>
        <v>62787.184271136008</v>
      </c>
      <c r="R17" s="58"/>
      <c r="S17" s="55">
        <f>((C17)*1.03*1.03*1.03*1.03)*0</f>
        <v>0</v>
      </c>
      <c r="T17" s="57">
        <f>(74380.8*1.03*1.03*1.03*1.03)*1.03</f>
        <v>86227.73306569345</v>
      </c>
      <c r="U17" s="57">
        <f t="shared" ref="U17:U25" si="22">SUM(S17:T17)</f>
        <v>86227.73306569345</v>
      </c>
      <c r="V17" s="59"/>
      <c r="W17" s="124">
        <f t="shared" ref="W17:W26" si="23">C17+G17+K17+O17+S17</f>
        <v>0</v>
      </c>
      <c r="X17" s="57">
        <f t="shared" ref="X17:X26" si="24">D17+H17+L17+P17+T17</f>
        <v>345768.51570802944</v>
      </c>
      <c r="Y17" s="84">
        <f t="shared" ref="Y17:Y26" si="25">E17+I17+M17+Q17+U17</f>
        <v>345768.51570802944</v>
      </c>
    </row>
    <row r="18" spans="1:77" s="61" customFormat="1" x14ac:dyDescent="0.25">
      <c r="A18" s="52"/>
      <c r="B18" s="160" t="s">
        <v>57</v>
      </c>
      <c r="C18" s="124">
        <v>0</v>
      </c>
      <c r="D18" s="56">
        <v>0</v>
      </c>
      <c r="E18" s="56">
        <f t="shared" si="16"/>
        <v>0</v>
      </c>
      <c r="F18" s="58"/>
      <c r="G18" s="55">
        <f>C18*1.03</f>
        <v>0</v>
      </c>
      <c r="H18" s="57">
        <f>D18*1.03</f>
        <v>0</v>
      </c>
      <c r="I18" s="57">
        <f t="shared" si="17"/>
        <v>0</v>
      </c>
      <c r="J18" s="58"/>
      <c r="K18" s="55">
        <f t="shared" ref="K18:K25" si="26">G18*1.03</f>
        <v>0</v>
      </c>
      <c r="L18" s="57">
        <f t="shared" si="18"/>
        <v>0</v>
      </c>
      <c r="M18" s="57">
        <f t="shared" si="19"/>
        <v>0</v>
      </c>
      <c r="N18" s="58"/>
      <c r="O18" s="55">
        <f t="shared" ref="O18:O25" si="27">K18*1.03</f>
        <v>0</v>
      </c>
      <c r="P18" s="57">
        <f t="shared" si="20"/>
        <v>0</v>
      </c>
      <c r="Q18" s="57">
        <f t="shared" si="21"/>
        <v>0</v>
      </c>
      <c r="R18" s="58"/>
      <c r="S18" s="55">
        <f t="shared" ref="S18:S20" si="28">((O18)*1.03)</f>
        <v>0</v>
      </c>
      <c r="T18" s="57">
        <f>P18*1.03</f>
        <v>0</v>
      </c>
      <c r="U18" s="57">
        <f t="shared" si="22"/>
        <v>0</v>
      </c>
      <c r="V18" s="59"/>
      <c r="W18" s="124">
        <f t="shared" si="23"/>
        <v>0</v>
      </c>
      <c r="X18" s="57">
        <f t="shared" si="24"/>
        <v>0</v>
      </c>
      <c r="Y18" s="84">
        <f t="shared" si="25"/>
        <v>0</v>
      </c>
    </row>
    <row r="19" spans="1:77" s="61" customFormat="1" x14ac:dyDescent="0.25">
      <c r="A19" s="54" t="s">
        <v>57</v>
      </c>
      <c r="B19" s="54" t="s">
        <v>154</v>
      </c>
      <c r="C19" s="124">
        <f>12390</f>
        <v>12390</v>
      </c>
      <c r="D19" s="56">
        <v>0</v>
      </c>
      <c r="E19" s="56">
        <f t="shared" si="16"/>
        <v>12390</v>
      </c>
      <c r="F19" s="58"/>
      <c r="G19" s="55">
        <f>C19*1.03</f>
        <v>12761.7</v>
      </c>
      <c r="H19" s="57">
        <f t="shared" ref="H19:H25" si="29">D19*1.03</f>
        <v>0</v>
      </c>
      <c r="I19" s="57">
        <f t="shared" si="17"/>
        <v>12761.7</v>
      </c>
      <c r="J19" s="58"/>
      <c r="K19" s="55">
        <f t="shared" si="26"/>
        <v>13144.551000000001</v>
      </c>
      <c r="L19" s="57">
        <f t="shared" si="18"/>
        <v>0</v>
      </c>
      <c r="M19" s="57">
        <f t="shared" si="19"/>
        <v>13144.551000000001</v>
      </c>
      <c r="N19" s="58"/>
      <c r="O19" s="55">
        <f t="shared" si="27"/>
        <v>13538.887530000002</v>
      </c>
      <c r="P19" s="57">
        <f t="shared" si="20"/>
        <v>0</v>
      </c>
      <c r="Q19" s="57">
        <f t="shared" si="21"/>
        <v>13538.887530000002</v>
      </c>
      <c r="R19" s="58"/>
      <c r="S19" s="55">
        <f t="shared" si="28"/>
        <v>13945.054155900003</v>
      </c>
      <c r="T19" s="57">
        <f t="shared" ref="T19:T25" si="30">P19*1.03</f>
        <v>0</v>
      </c>
      <c r="U19" s="57">
        <f t="shared" si="22"/>
        <v>13945.054155900003</v>
      </c>
      <c r="V19" s="59"/>
      <c r="W19" s="124">
        <f t="shared" si="23"/>
        <v>65780.192685900009</v>
      </c>
      <c r="X19" s="57">
        <f t="shared" si="24"/>
        <v>0</v>
      </c>
      <c r="Y19" s="84">
        <f t="shared" si="25"/>
        <v>65780.192685900009</v>
      </c>
      <c r="Z19" s="202">
        <f>X19+X33</f>
        <v>159153.87737145141</v>
      </c>
    </row>
    <row r="20" spans="1:77" s="61" customFormat="1" x14ac:dyDescent="0.25">
      <c r="A20" s="52"/>
      <c r="B20" s="54"/>
      <c r="C20" s="124">
        <v>0</v>
      </c>
      <c r="D20" s="56">
        <v>0</v>
      </c>
      <c r="E20" s="56">
        <f t="shared" si="16"/>
        <v>0</v>
      </c>
      <c r="F20" s="58"/>
      <c r="G20" s="55">
        <f t="shared" ref="G20:G25" si="31">C20*1.03</f>
        <v>0</v>
      </c>
      <c r="H20" s="57">
        <f t="shared" si="29"/>
        <v>0</v>
      </c>
      <c r="I20" s="57">
        <f t="shared" si="17"/>
        <v>0</v>
      </c>
      <c r="J20" s="58"/>
      <c r="K20" s="55">
        <f t="shared" si="26"/>
        <v>0</v>
      </c>
      <c r="L20" s="57">
        <f t="shared" si="18"/>
        <v>0</v>
      </c>
      <c r="M20" s="57">
        <f t="shared" si="19"/>
        <v>0</v>
      </c>
      <c r="N20" s="58"/>
      <c r="O20" s="55">
        <f t="shared" si="27"/>
        <v>0</v>
      </c>
      <c r="P20" s="57">
        <f t="shared" si="20"/>
        <v>0</v>
      </c>
      <c r="Q20" s="57">
        <f t="shared" si="21"/>
        <v>0</v>
      </c>
      <c r="R20" s="58"/>
      <c r="S20" s="55">
        <f t="shared" si="28"/>
        <v>0</v>
      </c>
      <c r="T20" s="57">
        <f t="shared" si="30"/>
        <v>0</v>
      </c>
      <c r="U20" s="57">
        <f t="shared" si="22"/>
        <v>0</v>
      </c>
      <c r="V20" s="59"/>
      <c r="W20" s="124">
        <f t="shared" si="23"/>
        <v>0</v>
      </c>
      <c r="X20" s="57">
        <f t="shared" si="24"/>
        <v>0</v>
      </c>
      <c r="Y20" s="84">
        <f t="shared" si="25"/>
        <v>0</v>
      </c>
    </row>
    <row r="21" spans="1:77" s="61" customFormat="1" x14ac:dyDescent="0.25">
      <c r="A21" s="87"/>
      <c r="B21" s="54"/>
      <c r="C21" s="124">
        <v>0</v>
      </c>
      <c r="D21" s="56">
        <v>0</v>
      </c>
      <c r="E21" s="56">
        <f t="shared" si="16"/>
        <v>0</v>
      </c>
      <c r="F21" s="58"/>
      <c r="G21" s="55">
        <f t="shared" si="31"/>
        <v>0</v>
      </c>
      <c r="H21" s="57">
        <f t="shared" si="29"/>
        <v>0</v>
      </c>
      <c r="I21" s="57">
        <f t="shared" si="17"/>
        <v>0</v>
      </c>
      <c r="J21" s="58"/>
      <c r="K21" s="55">
        <f t="shared" si="26"/>
        <v>0</v>
      </c>
      <c r="L21" s="57">
        <f t="shared" si="18"/>
        <v>0</v>
      </c>
      <c r="M21" s="57">
        <f t="shared" si="19"/>
        <v>0</v>
      </c>
      <c r="N21" s="58"/>
      <c r="O21" s="55">
        <f t="shared" si="27"/>
        <v>0</v>
      </c>
      <c r="P21" s="57">
        <f t="shared" si="20"/>
        <v>0</v>
      </c>
      <c r="Q21" s="57">
        <f t="shared" si="21"/>
        <v>0</v>
      </c>
      <c r="R21" s="58"/>
      <c r="S21" s="55">
        <f t="shared" ref="S21:S25" si="32">O21*1.03</f>
        <v>0</v>
      </c>
      <c r="T21" s="57">
        <f t="shared" si="30"/>
        <v>0</v>
      </c>
      <c r="U21" s="57">
        <f t="shared" si="22"/>
        <v>0</v>
      </c>
      <c r="V21" s="59"/>
      <c r="W21" s="124">
        <f t="shared" si="23"/>
        <v>0</v>
      </c>
      <c r="X21" s="57">
        <f t="shared" si="24"/>
        <v>0</v>
      </c>
      <c r="Y21" s="84">
        <f t="shared" si="25"/>
        <v>0</v>
      </c>
    </row>
    <row r="22" spans="1:77" s="61" customFormat="1" x14ac:dyDescent="0.25">
      <c r="A22" s="87"/>
      <c r="B22" s="54"/>
      <c r="C22" s="124">
        <v>0</v>
      </c>
      <c r="D22" s="56">
        <v>0</v>
      </c>
      <c r="E22" s="56">
        <f t="shared" si="16"/>
        <v>0</v>
      </c>
      <c r="F22" s="58"/>
      <c r="G22" s="55">
        <f t="shared" si="31"/>
        <v>0</v>
      </c>
      <c r="H22" s="57">
        <f t="shared" si="29"/>
        <v>0</v>
      </c>
      <c r="I22" s="57">
        <f t="shared" si="17"/>
        <v>0</v>
      </c>
      <c r="J22" s="58"/>
      <c r="K22" s="55">
        <f t="shared" si="26"/>
        <v>0</v>
      </c>
      <c r="L22" s="57">
        <f t="shared" si="18"/>
        <v>0</v>
      </c>
      <c r="M22" s="57">
        <f t="shared" si="19"/>
        <v>0</v>
      </c>
      <c r="N22" s="58"/>
      <c r="O22" s="55">
        <f t="shared" si="27"/>
        <v>0</v>
      </c>
      <c r="P22" s="57">
        <f t="shared" si="20"/>
        <v>0</v>
      </c>
      <c r="Q22" s="57">
        <f t="shared" si="21"/>
        <v>0</v>
      </c>
      <c r="R22" s="58"/>
      <c r="S22" s="55">
        <f t="shared" si="32"/>
        <v>0</v>
      </c>
      <c r="T22" s="57">
        <f t="shared" si="30"/>
        <v>0</v>
      </c>
      <c r="U22" s="57">
        <f t="shared" si="22"/>
        <v>0</v>
      </c>
      <c r="V22" s="59"/>
      <c r="W22" s="124">
        <f t="shared" si="23"/>
        <v>0</v>
      </c>
      <c r="X22" s="57">
        <f t="shared" si="24"/>
        <v>0</v>
      </c>
      <c r="Y22" s="84">
        <f t="shared" si="25"/>
        <v>0</v>
      </c>
    </row>
    <row r="23" spans="1:77" s="61" customFormat="1" x14ac:dyDescent="0.25">
      <c r="A23" s="52"/>
      <c r="B23" s="54"/>
      <c r="C23" s="124">
        <v>0</v>
      </c>
      <c r="D23" s="56">
        <v>0</v>
      </c>
      <c r="E23" s="56">
        <f t="shared" si="16"/>
        <v>0</v>
      </c>
      <c r="F23" s="58"/>
      <c r="G23" s="55">
        <f t="shared" si="31"/>
        <v>0</v>
      </c>
      <c r="H23" s="57">
        <f t="shared" si="29"/>
        <v>0</v>
      </c>
      <c r="I23" s="57">
        <f t="shared" si="17"/>
        <v>0</v>
      </c>
      <c r="J23" s="58"/>
      <c r="K23" s="55">
        <f t="shared" si="26"/>
        <v>0</v>
      </c>
      <c r="L23" s="57">
        <f t="shared" si="18"/>
        <v>0</v>
      </c>
      <c r="M23" s="57">
        <f t="shared" si="19"/>
        <v>0</v>
      </c>
      <c r="N23" s="58"/>
      <c r="O23" s="55">
        <f t="shared" si="27"/>
        <v>0</v>
      </c>
      <c r="P23" s="57">
        <f t="shared" si="20"/>
        <v>0</v>
      </c>
      <c r="Q23" s="57">
        <f t="shared" si="21"/>
        <v>0</v>
      </c>
      <c r="R23" s="58"/>
      <c r="S23" s="55">
        <f t="shared" si="32"/>
        <v>0</v>
      </c>
      <c r="T23" s="57">
        <f t="shared" si="30"/>
        <v>0</v>
      </c>
      <c r="U23" s="57">
        <f t="shared" si="22"/>
        <v>0</v>
      </c>
      <c r="V23" s="59"/>
      <c r="W23" s="124">
        <f t="shared" si="23"/>
        <v>0</v>
      </c>
      <c r="X23" s="57">
        <f t="shared" si="24"/>
        <v>0</v>
      </c>
      <c r="Y23" s="84">
        <f t="shared" si="25"/>
        <v>0</v>
      </c>
    </row>
    <row r="24" spans="1:77" s="61" customFormat="1" x14ac:dyDescent="0.25">
      <c r="A24" s="52"/>
      <c r="B24" s="54"/>
      <c r="C24" s="124">
        <v>0</v>
      </c>
      <c r="D24" s="56">
        <v>0</v>
      </c>
      <c r="E24" s="56">
        <f t="shared" si="16"/>
        <v>0</v>
      </c>
      <c r="F24" s="58"/>
      <c r="G24" s="55">
        <f t="shared" si="31"/>
        <v>0</v>
      </c>
      <c r="H24" s="57">
        <f t="shared" si="29"/>
        <v>0</v>
      </c>
      <c r="I24" s="57">
        <f t="shared" si="17"/>
        <v>0</v>
      </c>
      <c r="J24" s="58"/>
      <c r="K24" s="55">
        <f t="shared" si="26"/>
        <v>0</v>
      </c>
      <c r="L24" s="57">
        <f t="shared" si="18"/>
        <v>0</v>
      </c>
      <c r="M24" s="57">
        <f t="shared" si="19"/>
        <v>0</v>
      </c>
      <c r="N24" s="58"/>
      <c r="O24" s="55">
        <f t="shared" si="27"/>
        <v>0</v>
      </c>
      <c r="P24" s="57">
        <f t="shared" si="20"/>
        <v>0</v>
      </c>
      <c r="Q24" s="57">
        <f t="shared" si="21"/>
        <v>0</v>
      </c>
      <c r="R24" s="58"/>
      <c r="S24" s="55">
        <f t="shared" si="32"/>
        <v>0</v>
      </c>
      <c r="T24" s="57">
        <f t="shared" si="30"/>
        <v>0</v>
      </c>
      <c r="U24" s="57">
        <f t="shared" si="22"/>
        <v>0</v>
      </c>
      <c r="V24" s="59"/>
      <c r="W24" s="124">
        <f t="shared" si="23"/>
        <v>0</v>
      </c>
      <c r="X24" s="57">
        <f t="shared" si="24"/>
        <v>0</v>
      </c>
      <c r="Y24" s="84">
        <f t="shared" si="25"/>
        <v>0</v>
      </c>
    </row>
    <row r="25" spans="1:77" s="61" customFormat="1" x14ac:dyDescent="0.25">
      <c r="A25" s="52"/>
      <c r="B25" s="54"/>
      <c r="C25" s="124">
        <v>0</v>
      </c>
      <c r="D25" s="56">
        <v>0</v>
      </c>
      <c r="E25" s="56">
        <f t="shared" si="16"/>
        <v>0</v>
      </c>
      <c r="F25" s="58"/>
      <c r="G25" s="55">
        <f t="shared" si="31"/>
        <v>0</v>
      </c>
      <c r="H25" s="57">
        <f t="shared" si="29"/>
        <v>0</v>
      </c>
      <c r="I25" s="57">
        <f t="shared" si="17"/>
        <v>0</v>
      </c>
      <c r="J25" s="58"/>
      <c r="K25" s="55">
        <f t="shared" si="26"/>
        <v>0</v>
      </c>
      <c r="L25" s="57">
        <f t="shared" si="18"/>
        <v>0</v>
      </c>
      <c r="M25" s="57">
        <f t="shared" si="19"/>
        <v>0</v>
      </c>
      <c r="N25" s="58"/>
      <c r="O25" s="55">
        <f t="shared" si="27"/>
        <v>0</v>
      </c>
      <c r="P25" s="57">
        <f t="shared" si="20"/>
        <v>0</v>
      </c>
      <c r="Q25" s="57">
        <f t="shared" si="21"/>
        <v>0</v>
      </c>
      <c r="R25" s="58"/>
      <c r="S25" s="55">
        <f t="shared" si="32"/>
        <v>0</v>
      </c>
      <c r="T25" s="57">
        <f t="shared" si="30"/>
        <v>0</v>
      </c>
      <c r="U25" s="57">
        <f t="shared" si="22"/>
        <v>0</v>
      </c>
      <c r="V25" s="59"/>
      <c r="W25" s="124">
        <f t="shared" si="23"/>
        <v>0</v>
      </c>
      <c r="X25" s="57">
        <f t="shared" si="24"/>
        <v>0</v>
      </c>
      <c r="Y25" s="84">
        <f t="shared" si="25"/>
        <v>0</v>
      </c>
    </row>
    <row r="26" spans="1:77" s="83" customFormat="1" x14ac:dyDescent="0.25">
      <c r="A26" s="78"/>
      <c r="B26" s="78" t="s">
        <v>9</v>
      </c>
      <c r="C26" s="228">
        <f>SUM(C17:C25)</f>
        <v>12390</v>
      </c>
      <c r="D26" s="125">
        <f>SUM(D17:D25)</f>
        <v>76612.224000000002</v>
      </c>
      <c r="E26" s="125">
        <f>SUM(E17:E25)</f>
        <v>89002.224000000002</v>
      </c>
      <c r="F26" s="81"/>
      <c r="G26" s="79">
        <f>SUM(G17:G25)</f>
        <v>12761.7</v>
      </c>
      <c r="H26" s="80">
        <f>SUM(H17:H25)</f>
        <v>59182.943040000006</v>
      </c>
      <c r="I26" s="80">
        <f>SUM(I17:I25)</f>
        <v>71944.64304000001</v>
      </c>
      <c r="J26" s="81"/>
      <c r="K26" s="79">
        <f>SUM(K17:K25)</f>
        <v>13144.551000000001</v>
      </c>
      <c r="L26" s="80">
        <f>SUM(L17:L25)</f>
        <v>60958.431331200009</v>
      </c>
      <c r="M26" s="80">
        <f>SUM(M17:M25)</f>
        <v>74102.982331200008</v>
      </c>
      <c r="N26" s="81"/>
      <c r="O26" s="79">
        <f>SUM(O17:O25)</f>
        <v>13538.887530000002</v>
      </c>
      <c r="P26" s="80">
        <f>SUM(P17:P25)</f>
        <v>62787.184271136008</v>
      </c>
      <c r="Q26" s="80">
        <f>SUM(Q17:Q25)</f>
        <v>76326.071801136015</v>
      </c>
      <c r="R26" s="81"/>
      <c r="S26" s="79">
        <f>SUM(S17:S25)</f>
        <v>13945.054155900003</v>
      </c>
      <c r="T26" s="80">
        <f>SUM(T17:T25)</f>
        <v>86227.73306569345</v>
      </c>
      <c r="U26" s="80">
        <f>SUM(U17:U25)</f>
        <v>100172.78722159345</v>
      </c>
      <c r="V26" s="82"/>
      <c r="W26" s="228">
        <f t="shared" si="23"/>
        <v>65780.192685900009</v>
      </c>
      <c r="X26" s="80">
        <f t="shared" si="24"/>
        <v>345768.51570802944</v>
      </c>
      <c r="Y26" s="80">
        <f t="shared" si="25"/>
        <v>411548.70839392947</v>
      </c>
    </row>
    <row r="27" spans="1:77" s="92" customFormat="1" x14ac:dyDescent="0.25">
      <c r="A27" s="89" t="s">
        <v>16</v>
      </c>
      <c r="B27" s="89"/>
      <c r="C27" s="90">
        <f>C26+C15</f>
        <v>12390</v>
      </c>
      <c r="D27" s="90">
        <f t="shared" ref="D27:Y27" si="33">D26+D15</f>
        <v>76612.224000000002</v>
      </c>
      <c r="E27" s="90">
        <f t="shared" si="33"/>
        <v>89002.224000000002</v>
      </c>
      <c r="F27" s="90">
        <f t="shared" si="33"/>
        <v>0</v>
      </c>
      <c r="G27" s="90">
        <f t="shared" si="33"/>
        <v>12761.7</v>
      </c>
      <c r="H27" s="90">
        <f t="shared" si="33"/>
        <v>59182.943040000006</v>
      </c>
      <c r="I27" s="90">
        <f t="shared" si="33"/>
        <v>71944.64304000001</v>
      </c>
      <c r="J27" s="90">
        <f t="shared" si="33"/>
        <v>0</v>
      </c>
      <c r="K27" s="90">
        <f t="shared" si="33"/>
        <v>13144.551000000001</v>
      </c>
      <c r="L27" s="90">
        <f t="shared" si="33"/>
        <v>60958.431331200009</v>
      </c>
      <c r="M27" s="90">
        <f t="shared" si="33"/>
        <v>74102.982331200008</v>
      </c>
      <c r="N27" s="90">
        <f t="shared" si="33"/>
        <v>0</v>
      </c>
      <c r="O27" s="90">
        <f t="shared" si="33"/>
        <v>13538.887530000002</v>
      </c>
      <c r="P27" s="90">
        <f t="shared" si="33"/>
        <v>62787.184271136008</v>
      </c>
      <c r="Q27" s="90">
        <f t="shared" si="33"/>
        <v>76326.071801136015</v>
      </c>
      <c r="R27" s="90">
        <f t="shared" si="33"/>
        <v>0</v>
      </c>
      <c r="S27" s="90">
        <f t="shared" si="33"/>
        <v>13945.054155900003</v>
      </c>
      <c r="T27" s="90">
        <f t="shared" si="33"/>
        <v>86227.73306569345</v>
      </c>
      <c r="U27" s="90">
        <f t="shared" si="33"/>
        <v>100172.78722159345</v>
      </c>
      <c r="V27" s="90">
        <f t="shared" si="33"/>
        <v>0</v>
      </c>
      <c r="W27" s="90">
        <f t="shared" si="33"/>
        <v>65780.192685900009</v>
      </c>
      <c r="X27" s="90">
        <f t="shared" si="33"/>
        <v>345768.51570802944</v>
      </c>
      <c r="Y27" s="90">
        <f t="shared" si="33"/>
        <v>411548.70839392947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>
        <v>0</v>
      </c>
      <c r="D29" s="56">
        <v>0</v>
      </c>
      <c r="E29" s="56">
        <f t="shared" ref="E29:E35" si="34">SUM(C29:D29)</f>
        <v>0</v>
      </c>
      <c r="F29" s="58"/>
      <c r="G29" s="55">
        <v>0</v>
      </c>
      <c r="H29" s="57">
        <v>0</v>
      </c>
      <c r="I29" s="57">
        <f t="shared" ref="I29:I35" si="35">SUM(G29:H29)</f>
        <v>0</v>
      </c>
      <c r="J29" s="58"/>
      <c r="K29" s="55">
        <v>0</v>
      </c>
      <c r="L29" s="57">
        <v>0</v>
      </c>
      <c r="M29" s="57">
        <f t="shared" ref="M29:M35" si="36">SUM(K29:L29)</f>
        <v>0</v>
      </c>
      <c r="N29" s="58"/>
      <c r="O29" s="55">
        <f>(O6)*0.37</f>
        <v>0</v>
      </c>
      <c r="P29" s="57">
        <v>0</v>
      </c>
      <c r="Q29" s="57">
        <f t="shared" ref="Q29:Q35" si="37">SUM(O29:P29)</f>
        <v>0</v>
      </c>
      <c r="R29" s="58"/>
      <c r="S29" s="55">
        <v>0</v>
      </c>
      <c r="T29" s="57">
        <v>0</v>
      </c>
      <c r="U29" s="57">
        <f t="shared" ref="U29:U35" si="38">SUM(S29:T29)</f>
        <v>0</v>
      </c>
      <c r="V29" s="59"/>
      <c r="W29" s="124">
        <f t="shared" ref="W29:Y36" si="39">C29+G29+K29+O29+S29</f>
        <v>0</v>
      </c>
      <c r="X29" s="57">
        <f t="shared" si="39"/>
        <v>0</v>
      </c>
      <c r="Y29" s="84">
        <f t="shared" si="39"/>
        <v>0</v>
      </c>
    </row>
    <row r="30" spans="1:77" s="61" customFormat="1" x14ac:dyDescent="0.25">
      <c r="A30" s="234">
        <v>3.5999999999999997E-2</v>
      </c>
      <c r="B30" s="52" t="s">
        <v>40</v>
      </c>
      <c r="C30" s="124">
        <f>C21*A30</f>
        <v>0</v>
      </c>
      <c r="D30" s="56">
        <v>0</v>
      </c>
      <c r="E30" s="56">
        <f t="shared" si="34"/>
        <v>0</v>
      </c>
      <c r="F30" s="58"/>
      <c r="G30" s="55">
        <f t="shared" ref="G30:H32" si="40">C30*1.05</f>
        <v>0</v>
      </c>
      <c r="H30" s="57">
        <f t="shared" si="40"/>
        <v>0</v>
      </c>
      <c r="I30" s="57">
        <f t="shared" si="35"/>
        <v>0</v>
      </c>
      <c r="J30" s="58"/>
      <c r="K30" s="55">
        <f t="shared" ref="K30:L32" si="41">G30*1.05</f>
        <v>0</v>
      </c>
      <c r="L30" s="57">
        <f t="shared" si="41"/>
        <v>0</v>
      </c>
      <c r="M30" s="57">
        <f t="shared" si="36"/>
        <v>0</v>
      </c>
      <c r="N30" s="58"/>
      <c r="O30" s="55">
        <f t="shared" ref="O30:P32" si="42">K30*1.05</f>
        <v>0</v>
      </c>
      <c r="P30" s="57">
        <f t="shared" si="42"/>
        <v>0</v>
      </c>
      <c r="Q30" s="57">
        <f t="shared" si="37"/>
        <v>0</v>
      </c>
      <c r="R30" s="58"/>
      <c r="S30" s="55">
        <f t="shared" ref="S30:T32" si="43">O30*1.05</f>
        <v>0</v>
      </c>
      <c r="T30" s="57">
        <f t="shared" si="43"/>
        <v>0</v>
      </c>
      <c r="U30" s="57">
        <f t="shared" si="38"/>
        <v>0</v>
      </c>
      <c r="V30" s="59"/>
      <c r="W30" s="124">
        <f t="shared" si="39"/>
        <v>0</v>
      </c>
      <c r="X30" s="57">
        <f t="shared" si="39"/>
        <v>0</v>
      </c>
      <c r="Y30" s="84">
        <f t="shared" si="39"/>
        <v>0</v>
      </c>
    </row>
    <row r="31" spans="1:77" s="61" customFormat="1" x14ac:dyDescent="0.25">
      <c r="A31" s="234">
        <v>8.6999999999999994E-2</v>
      </c>
      <c r="B31" s="52" t="s">
        <v>42</v>
      </c>
      <c r="C31" s="124">
        <v>0</v>
      </c>
      <c r="D31" s="56">
        <v>0</v>
      </c>
      <c r="E31" s="56">
        <f t="shared" si="34"/>
        <v>0</v>
      </c>
      <c r="F31" s="58"/>
      <c r="G31" s="55">
        <f t="shared" si="40"/>
        <v>0</v>
      </c>
      <c r="H31" s="57">
        <f t="shared" si="40"/>
        <v>0</v>
      </c>
      <c r="I31" s="57">
        <f t="shared" si="35"/>
        <v>0</v>
      </c>
      <c r="J31" s="58"/>
      <c r="K31" s="55">
        <f t="shared" si="41"/>
        <v>0</v>
      </c>
      <c r="L31" s="57">
        <f t="shared" si="41"/>
        <v>0</v>
      </c>
      <c r="M31" s="57">
        <f t="shared" si="36"/>
        <v>0</v>
      </c>
      <c r="N31" s="58"/>
      <c r="O31" s="55">
        <f t="shared" si="42"/>
        <v>0</v>
      </c>
      <c r="P31" s="57">
        <f t="shared" si="42"/>
        <v>0</v>
      </c>
      <c r="Q31" s="57">
        <f t="shared" si="37"/>
        <v>0</v>
      </c>
      <c r="R31" s="58"/>
      <c r="S31" s="55">
        <f t="shared" si="43"/>
        <v>0</v>
      </c>
      <c r="T31" s="57">
        <f t="shared" si="43"/>
        <v>0</v>
      </c>
      <c r="U31" s="57">
        <f t="shared" si="38"/>
        <v>0</v>
      </c>
      <c r="V31" s="59"/>
      <c r="W31" s="124">
        <f t="shared" si="39"/>
        <v>0</v>
      </c>
      <c r="X31" s="57">
        <f t="shared" si="39"/>
        <v>0</v>
      </c>
      <c r="Y31" s="84">
        <f t="shared" si="39"/>
        <v>0</v>
      </c>
    </row>
    <row r="32" spans="1:77" s="61" customFormat="1" x14ac:dyDescent="0.25">
      <c r="A32" s="234">
        <v>0.30099999999999999</v>
      </c>
      <c r="B32" s="54" t="s">
        <v>58</v>
      </c>
      <c r="C32" s="124">
        <v>0</v>
      </c>
      <c r="D32" s="56">
        <v>0</v>
      </c>
      <c r="E32" s="56">
        <f t="shared" si="34"/>
        <v>0</v>
      </c>
      <c r="F32" s="58"/>
      <c r="G32" s="55">
        <f t="shared" si="40"/>
        <v>0</v>
      </c>
      <c r="H32" s="57">
        <f t="shared" si="40"/>
        <v>0</v>
      </c>
      <c r="I32" s="57">
        <f t="shared" si="35"/>
        <v>0</v>
      </c>
      <c r="J32" s="58"/>
      <c r="K32" s="55">
        <f t="shared" si="41"/>
        <v>0</v>
      </c>
      <c r="L32" s="57">
        <f t="shared" si="41"/>
        <v>0</v>
      </c>
      <c r="M32" s="57">
        <f t="shared" si="36"/>
        <v>0</v>
      </c>
      <c r="N32" s="58"/>
      <c r="O32" s="55">
        <f t="shared" si="42"/>
        <v>0</v>
      </c>
      <c r="P32" s="57">
        <f t="shared" si="42"/>
        <v>0</v>
      </c>
      <c r="Q32" s="57">
        <f t="shared" si="37"/>
        <v>0</v>
      </c>
      <c r="R32" s="58"/>
      <c r="S32" s="55">
        <f t="shared" si="43"/>
        <v>0</v>
      </c>
      <c r="T32" s="57">
        <f t="shared" si="43"/>
        <v>0</v>
      </c>
      <c r="U32" s="57">
        <f t="shared" si="38"/>
        <v>0</v>
      </c>
      <c r="V32" s="59"/>
      <c r="W32" s="124">
        <f t="shared" si="39"/>
        <v>0</v>
      </c>
      <c r="X32" s="57">
        <f t="shared" si="39"/>
        <v>0</v>
      </c>
      <c r="Y32" s="84">
        <f t="shared" si="39"/>
        <v>0</v>
      </c>
    </row>
    <row r="33" spans="1:77" s="61" customFormat="1" x14ac:dyDescent="0.25">
      <c r="A33" s="234">
        <v>0.42</v>
      </c>
      <c r="B33" s="54" t="s">
        <v>53</v>
      </c>
      <c r="C33" s="124">
        <f>C26*(A33*1.03)</f>
        <v>5359.9139999999998</v>
      </c>
      <c r="D33" s="56">
        <f>D26*(A33*1.03)</f>
        <v>33142.448102399998</v>
      </c>
      <c r="E33" s="56">
        <f t="shared" si="34"/>
        <v>38502.362102399995</v>
      </c>
      <c r="F33" s="58"/>
      <c r="G33" s="55">
        <f>G26*(A33*1.03*1.03)</f>
        <v>5686.3327626</v>
      </c>
      <c r="H33" s="57">
        <f>H26*(A33*1.03*1.03)</f>
        <v>26370.617393877121</v>
      </c>
      <c r="I33" s="57">
        <f t="shared" si="35"/>
        <v>32056.95015647712</v>
      </c>
      <c r="J33" s="58"/>
      <c r="K33" s="55">
        <f>K26*A33*1.03*1.03*1.03</f>
        <v>6032.6304278423413</v>
      </c>
      <c r="L33" s="56">
        <f>L26*A33*1.03*1.03*1.03</f>
        <v>27976.587993164245</v>
      </c>
      <c r="M33" s="57">
        <f t="shared" si="36"/>
        <v>34009.21842100659</v>
      </c>
      <c r="N33" s="58"/>
      <c r="O33" s="55">
        <f>O26*A33*1.03*1.03*1.03*1.03</f>
        <v>6400.0176208979401</v>
      </c>
      <c r="P33" s="56">
        <f>P26*A33*1.03*1.03*1.03*1.03</f>
        <v>29680.362201947944</v>
      </c>
      <c r="Q33" s="57">
        <f t="shared" si="37"/>
        <v>36080.379822845884</v>
      </c>
      <c r="R33" s="58"/>
      <c r="S33" s="55">
        <f>S26*A33*1.03*1.03*1.03*1.03*1.03</f>
        <v>6789.7786940106243</v>
      </c>
      <c r="T33" s="56">
        <f>T26*A33*1.03*1.03*1.03*1.03*1.03</f>
        <v>41983.861680062102</v>
      </c>
      <c r="U33" s="57">
        <f t="shared" si="38"/>
        <v>48773.640374072726</v>
      </c>
      <c r="V33" s="59"/>
      <c r="W33" s="124">
        <f t="shared" si="39"/>
        <v>30268.673505350904</v>
      </c>
      <c r="X33" s="57">
        <f t="shared" si="39"/>
        <v>159153.87737145141</v>
      </c>
      <c r="Y33" s="84">
        <f t="shared" si="39"/>
        <v>189422.5508768023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34"/>
        <v>0</v>
      </c>
      <c r="F34" s="58"/>
      <c r="G34" s="55">
        <f>C34*1.05</f>
        <v>0</v>
      </c>
      <c r="H34" s="57">
        <f>D34*1.05</f>
        <v>0</v>
      </c>
      <c r="I34" s="57">
        <f t="shared" si="35"/>
        <v>0</v>
      </c>
      <c r="J34" s="58"/>
      <c r="K34" s="55">
        <f>G34*1.05</f>
        <v>0</v>
      </c>
      <c r="L34" s="57">
        <f>H34*1.05</f>
        <v>0</v>
      </c>
      <c r="M34" s="57">
        <f t="shared" si="36"/>
        <v>0</v>
      </c>
      <c r="N34" s="58"/>
      <c r="O34" s="55">
        <f>K34*1.05</f>
        <v>0</v>
      </c>
      <c r="P34" s="57">
        <f>L34*1.05</f>
        <v>0</v>
      </c>
      <c r="Q34" s="57">
        <f t="shared" si="37"/>
        <v>0</v>
      </c>
      <c r="R34" s="58"/>
      <c r="S34" s="55">
        <f>O34*1.05</f>
        <v>0</v>
      </c>
      <c r="T34" s="57">
        <f>P34*1.05</f>
        <v>0</v>
      </c>
      <c r="U34" s="57">
        <f t="shared" si="38"/>
        <v>0</v>
      </c>
      <c r="V34" s="59"/>
      <c r="W34" s="124">
        <f t="shared" si="39"/>
        <v>0</v>
      </c>
      <c r="X34" s="57">
        <f t="shared" si="39"/>
        <v>0</v>
      </c>
      <c r="Y34" s="84">
        <f t="shared" si="39"/>
        <v>0</v>
      </c>
    </row>
    <row r="35" spans="1:77" s="61" customFormat="1" x14ac:dyDescent="0.25">
      <c r="A35" s="6"/>
      <c r="B35" s="52"/>
      <c r="C35" s="124">
        <v>0</v>
      </c>
      <c r="D35" s="56">
        <v>0</v>
      </c>
      <c r="E35" s="56">
        <f t="shared" si="34"/>
        <v>0</v>
      </c>
      <c r="F35" s="58"/>
      <c r="G35" s="55">
        <f>C35*1.05</f>
        <v>0</v>
      </c>
      <c r="H35" s="57">
        <f>D35*1.05</f>
        <v>0</v>
      </c>
      <c r="I35" s="57">
        <f t="shared" si="35"/>
        <v>0</v>
      </c>
      <c r="J35" s="58"/>
      <c r="K35" s="55">
        <f>G35*1.05</f>
        <v>0</v>
      </c>
      <c r="L35" s="57">
        <f>H35*1.05</f>
        <v>0</v>
      </c>
      <c r="M35" s="57">
        <f t="shared" si="36"/>
        <v>0</v>
      </c>
      <c r="N35" s="58"/>
      <c r="O35" s="55">
        <f>K35*1.05</f>
        <v>0</v>
      </c>
      <c r="P35" s="57">
        <f>L35*1.05</f>
        <v>0</v>
      </c>
      <c r="Q35" s="57">
        <f t="shared" si="37"/>
        <v>0</v>
      </c>
      <c r="R35" s="58"/>
      <c r="S35" s="55">
        <f>O35*1.05</f>
        <v>0</v>
      </c>
      <c r="T35" s="57">
        <f>P35*1.05</f>
        <v>0</v>
      </c>
      <c r="U35" s="57">
        <f t="shared" si="38"/>
        <v>0</v>
      </c>
      <c r="V35" s="59"/>
      <c r="W35" s="124">
        <f t="shared" si="39"/>
        <v>0</v>
      </c>
      <c r="X35" s="57">
        <f t="shared" si="39"/>
        <v>0</v>
      </c>
      <c r="Y35" s="84">
        <f t="shared" si="39"/>
        <v>0</v>
      </c>
    </row>
    <row r="36" spans="1:77" s="83" customFormat="1" x14ac:dyDescent="0.25">
      <c r="A36" s="78"/>
      <c r="B36" s="78" t="s">
        <v>9</v>
      </c>
      <c r="C36" s="228">
        <f>SUM(C29:C35)</f>
        <v>5359.9139999999998</v>
      </c>
      <c r="D36" s="125">
        <f>SUM(D29:D35)</f>
        <v>33142.448102399998</v>
      </c>
      <c r="E36" s="125">
        <f>SUM(E29:E35)</f>
        <v>38502.362102399995</v>
      </c>
      <c r="F36" s="81"/>
      <c r="G36" s="79">
        <f>SUM(G29:G35)</f>
        <v>5686.3327626</v>
      </c>
      <c r="H36" s="80">
        <f>SUM(H29:H35)</f>
        <v>26370.617393877121</v>
      </c>
      <c r="I36" s="80">
        <f>SUM(I29:I35)</f>
        <v>32056.95015647712</v>
      </c>
      <c r="J36" s="81"/>
      <c r="K36" s="79">
        <f>SUM(K29:K35)</f>
        <v>6032.6304278423413</v>
      </c>
      <c r="L36" s="80">
        <f>SUM(L29:L35)</f>
        <v>27976.587993164245</v>
      </c>
      <c r="M36" s="80">
        <f>SUM(M29:M35)</f>
        <v>34009.21842100659</v>
      </c>
      <c r="N36" s="81"/>
      <c r="O36" s="79">
        <f>SUM(O29:O35)</f>
        <v>6400.0176208979401</v>
      </c>
      <c r="P36" s="80">
        <f>SUM(P29:P35)</f>
        <v>29680.362201947944</v>
      </c>
      <c r="Q36" s="80">
        <f>SUM(Q29:Q35)</f>
        <v>36080.379822845884</v>
      </c>
      <c r="R36" s="81"/>
      <c r="S36" s="79">
        <f>SUM(S29:S35)</f>
        <v>6789.7786940106243</v>
      </c>
      <c r="T36" s="80">
        <f>SUM(T29:T35)</f>
        <v>41983.861680062102</v>
      </c>
      <c r="U36" s="80">
        <f>SUM(U29:U35)</f>
        <v>48773.640374072726</v>
      </c>
      <c r="V36" s="82"/>
      <c r="W36" s="228">
        <f t="shared" si="39"/>
        <v>30268.673505350904</v>
      </c>
      <c r="X36" s="80">
        <f t="shared" si="39"/>
        <v>159153.87737145141</v>
      </c>
      <c r="Y36" s="80">
        <f t="shared" si="39"/>
        <v>189422.5508768023</v>
      </c>
      <c r="Z36" s="187" t="s">
        <v>57</v>
      </c>
    </row>
    <row r="37" spans="1:77" s="94" customFormat="1" x14ac:dyDescent="0.25">
      <c r="A37" s="89" t="s">
        <v>17</v>
      </c>
      <c r="B37" s="89"/>
      <c r="C37" s="90">
        <f t="shared" ref="C37:Y37" si="44">C36+C27</f>
        <v>17749.914000000001</v>
      </c>
      <c r="D37" s="90">
        <f t="shared" si="44"/>
        <v>109754.6721024</v>
      </c>
      <c r="E37" s="90">
        <f t="shared" si="44"/>
        <v>127504.5861024</v>
      </c>
      <c r="F37" s="90">
        <f t="shared" si="44"/>
        <v>0</v>
      </c>
      <c r="G37" s="90">
        <f t="shared" si="44"/>
        <v>18448.0327626</v>
      </c>
      <c r="H37" s="90">
        <f t="shared" si="44"/>
        <v>85553.560433877123</v>
      </c>
      <c r="I37" s="90">
        <f t="shared" si="44"/>
        <v>104001.59319647713</v>
      </c>
      <c r="J37" s="90">
        <f t="shared" si="44"/>
        <v>0</v>
      </c>
      <c r="K37" s="90">
        <f t="shared" si="44"/>
        <v>19177.181427842341</v>
      </c>
      <c r="L37" s="90">
        <f t="shared" si="44"/>
        <v>88935.019324364257</v>
      </c>
      <c r="M37" s="90">
        <f t="shared" si="44"/>
        <v>108112.2007522066</v>
      </c>
      <c r="N37" s="90">
        <f t="shared" si="44"/>
        <v>0</v>
      </c>
      <c r="O37" s="90">
        <f t="shared" si="44"/>
        <v>19938.905150897943</v>
      </c>
      <c r="P37" s="90">
        <f t="shared" si="44"/>
        <v>92467.546473083959</v>
      </c>
      <c r="Q37" s="90">
        <f t="shared" si="44"/>
        <v>112406.45162398191</v>
      </c>
      <c r="R37" s="90">
        <f t="shared" si="44"/>
        <v>0</v>
      </c>
      <c r="S37" s="90">
        <f t="shared" si="44"/>
        <v>20734.832849910628</v>
      </c>
      <c r="T37" s="90">
        <f t="shared" si="44"/>
        <v>128211.59474575554</v>
      </c>
      <c r="U37" s="90">
        <f t="shared" si="44"/>
        <v>148946.42759566617</v>
      </c>
      <c r="V37" s="90">
        <f t="shared" si="44"/>
        <v>0</v>
      </c>
      <c r="W37" s="90">
        <f t="shared" si="44"/>
        <v>96048.866191250912</v>
      </c>
      <c r="X37" s="90">
        <f t="shared" si="44"/>
        <v>504922.39307948085</v>
      </c>
      <c r="Y37" s="90">
        <f t="shared" si="44"/>
        <v>600971.25927073183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4" t="s">
        <v>57</v>
      </c>
      <c r="B39" s="191" t="s">
        <v>57</v>
      </c>
      <c r="C39" s="124">
        <f>25000*0</f>
        <v>0</v>
      </c>
      <c r="D39" s="56">
        <v>0</v>
      </c>
      <c r="E39" s="56">
        <f t="shared" ref="E39" si="45">SUM(C39:D39)</f>
        <v>0</v>
      </c>
      <c r="F39" s="58"/>
      <c r="G39" s="55">
        <f>C39</f>
        <v>0</v>
      </c>
      <c r="H39" s="57">
        <v>0</v>
      </c>
      <c r="I39" s="57">
        <f t="shared" ref="I39" si="46">SUM(G39:H39)</f>
        <v>0</v>
      </c>
      <c r="J39" s="58"/>
      <c r="K39" s="55">
        <v>0</v>
      </c>
      <c r="L39" s="57">
        <v>0</v>
      </c>
      <c r="M39" s="57">
        <f t="shared" ref="M39" si="47">SUM(K39:L39)</f>
        <v>0</v>
      </c>
      <c r="N39" s="58"/>
      <c r="O39" s="55">
        <v>0</v>
      </c>
      <c r="P39" s="57">
        <v>0</v>
      </c>
      <c r="Q39" s="57">
        <f t="shared" ref="Q39" si="48">SUM(O39:P39)</f>
        <v>0</v>
      </c>
      <c r="R39" s="58"/>
      <c r="S39" s="55">
        <v>0</v>
      </c>
      <c r="T39" s="57">
        <v>0</v>
      </c>
      <c r="U39" s="57">
        <f t="shared" ref="U39" si="49">SUM(S39:T39)</f>
        <v>0</v>
      </c>
      <c r="V39" s="59"/>
      <c r="W39" s="124">
        <f t="shared" ref="W39:W40" si="50">C39+G39+K39+O39+S39</f>
        <v>0</v>
      </c>
      <c r="X39" s="57">
        <f t="shared" ref="X39:X40" si="51">D39+H39+L39+P39+T39</f>
        <v>0</v>
      </c>
      <c r="Y39" s="84">
        <f t="shared" ref="Y39:Y40" si="52">E39+I39+M39+Q39+U39</f>
        <v>0</v>
      </c>
    </row>
    <row r="40" spans="1:77" s="61" customFormat="1" x14ac:dyDescent="0.25">
      <c r="A40" s="52"/>
      <c r="B40" s="199" t="s">
        <v>161</v>
      </c>
      <c r="C40" s="124">
        <f>((15000*3)+5000)*0</f>
        <v>0</v>
      </c>
      <c r="D40" s="56">
        <v>50000</v>
      </c>
      <c r="E40" s="56">
        <f t="shared" ref="E40" si="53">SUM(C40:D40)</f>
        <v>50000</v>
      </c>
      <c r="F40" s="58"/>
      <c r="G40" s="55">
        <v>0</v>
      </c>
      <c r="H40" s="57">
        <v>0</v>
      </c>
      <c r="I40" s="57">
        <f t="shared" ref="I40" si="54">SUM(G40:H40)</f>
        <v>0</v>
      </c>
      <c r="J40" s="58"/>
      <c r="K40" s="55">
        <v>0</v>
      </c>
      <c r="L40" s="57">
        <v>0</v>
      </c>
      <c r="M40" s="57">
        <f t="shared" ref="M40" si="55">SUM(K40:L40)</f>
        <v>0</v>
      </c>
      <c r="N40" s="58"/>
      <c r="O40" s="55">
        <v>0</v>
      </c>
      <c r="P40" s="57">
        <v>0</v>
      </c>
      <c r="Q40" s="57">
        <f t="shared" ref="Q40" si="56">SUM(O40:P40)</f>
        <v>0</v>
      </c>
      <c r="R40" s="58"/>
      <c r="S40" s="55">
        <v>0</v>
      </c>
      <c r="T40" s="57">
        <v>0</v>
      </c>
      <c r="U40" s="57">
        <f t="shared" ref="U40" si="57">SUM(S40:T40)</f>
        <v>0</v>
      </c>
      <c r="V40" s="59"/>
      <c r="W40" s="124">
        <f t="shared" si="50"/>
        <v>0</v>
      </c>
      <c r="X40" s="57">
        <f t="shared" si="51"/>
        <v>50000</v>
      </c>
      <c r="Y40" s="84">
        <f t="shared" si="52"/>
        <v>50000</v>
      </c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</row>
    <row r="41" spans="1:77" s="61" customFormat="1" x14ac:dyDescent="0.25">
      <c r="A41" s="54" t="s">
        <v>57</v>
      </c>
      <c r="B41" s="191" t="s">
        <v>57</v>
      </c>
      <c r="C41" s="124">
        <f>20000*0</f>
        <v>0</v>
      </c>
      <c r="D41" s="56">
        <v>0</v>
      </c>
      <c r="E41" s="56">
        <f t="shared" ref="E41:E48" si="58">SUM(C41:D41)</f>
        <v>0</v>
      </c>
      <c r="F41" s="58"/>
      <c r="G41" s="55">
        <f>C41</f>
        <v>0</v>
      </c>
      <c r="H41" s="57">
        <v>0</v>
      </c>
      <c r="I41" s="57">
        <f t="shared" ref="I41:I48" si="59">SUM(G41:H41)</f>
        <v>0</v>
      </c>
      <c r="J41" s="58"/>
      <c r="K41" s="55">
        <f>G41</f>
        <v>0</v>
      </c>
      <c r="L41" s="57">
        <v>0</v>
      </c>
      <c r="M41" s="57">
        <f t="shared" ref="M41:M48" si="60">SUM(K41:L41)</f>
        <v>0</v>
      </c>
      <c r="N41" s="58"/>
      <c r="O41" s="55">
        <f>K41</f>
        <v>0</v>
      </c>
      <c r="P41" s="57">
        <v>0</v>
      </c>
      <c r="Q41" s="57">
        <f t="shared" ref="Q41:Q48" si="61">SUM(O41:P41)</f>
        <v>0</v>
      </c>
      <c r="R41" s="58"/>
      <c r="S41" s="55">
        <f>O41</f>
        <v>0</v>
      </c>
      <c r="T41" s="57">
        <v>0</v>
      </c>
      <c r="U41" s="57">
        <f t="shared" ref="U41:U48" si="62">SUM(S41:T41)</f>
        <v>0</v>
      </c>
      <c r="V41" s="59"/>
      <c r="W41" s="124">
        <f t="shared" ref="W41:W49" si="63">C41+G41+K41+O41+S41</f>
        <v>0</v>
      </c>
      <c r="X41" s="57">
        <f t="shared" ref="X41:X49" si="64">D41+H41+L41+P41+T41</f>
        <v>0</v>
      </c>
      <c r="Y41" s="84">
        <f t="shared" ref="Y41:Y49" si="65">E41+I41+M41+Q41+U41</f>
        <v>0</v>
      </c>
    </row>
    <row r="42" spans="1:77" s="61" customFormat="1" x14ac:dyDescent="0.25">
      <c r="A42" s="52"/>
      <c r="B42" s="52"/>
      <c r="C42" s="124">
        <v>0</v>
      </c>
      <c r="D42" s="56">
        <v>0</v>
      </c>
      <c r="E42" s="56">
        <f t="shared" si="58"/>
        <v>0</v>
      </c>
      <c r="F42" s="58"/>
      <c r="G42" s="55">
        <v>0</v>
      </c>
      <c r="H42" s="57">
        <v>0</v>
      </c>
      <c r="I42" s="57">
        <f t="shared" si="59"/>
        <v>0</v>
      </c>
      <c r="J42" s="58"/>
      <c r="K42" s="55">
        <v>0</v>
      </c>
      <c r="L42" s="57">
        <v>0</v>
      </c>
      <c r="M42" s="57">
        <f t="shared" si="60"/>
        <v>0</v>
      </c>
      <c r="N42" s="58"/>
      <c r="O42" s="55">
        <v>0</v>
      </c>
      <c r="P42" s="57">
        <v>0</v>
      </c>
      <c r="Q42" s="57">
        <f t="shared" si="61"/>
        <v>0</v>
      </c>
      <c r="R42" s="58"/>
      <c r="S42" s="55">
        <v>0</v>
      </c>
      <c r="T42" s="57">
        <v>0</v>
      </c>
      <c r="U42" s="57">
        <f t="shared" si="62"/>
        <v>0</v>
      </c>
      <c r="V42" s="59"/>
      <c r="W42" s="124">
        <f t="shared" si="63"/>
        <v>0</v>
      </c>
      <c r="X42" s="57">
        <f t="shared" si="64"/>
        <v>0</v>
      </c>
      <c r="Y42" s="84">
        <f t="shared" si="65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58"/>
        <v>0</v>
      </c>
      <c r="F43" s="58"/>
      <c r="G43" s="55">
        <v>0</v>
      </c>
      <c r="H43" s="57">
        <v>0</v>
      </c>
      <c r="I43" s="57">
        <f t="shared" si="59"/>
        <v>0</v>
      </c>
      <c r="J43" s="58"/>
      <c r="K43" s="55">
        <v>0</v>
      </c>
      <c r="L43" s="57">
        <v>0</v>
      </c>
      <c r="M43" s="57">
        <f t="shared" si="60"/>
        <v>0</v>
      </c>
      <c r="N43" s="58"/>
      <c r="O43" s="55">
        <v>0</v>
      </c>
      <c r="P43" s="57">
        <v>0</v>
      </c>
      <c r="Q43" s="57">
        <f t="shared" si="61"/>
        <v>0</v>
      </c>
      <c r="R43" s="58"/>
      <c r="S43" s="55">
        <v>0</v>
      </c>
      <c r="T43" s="57">
        <v>0</v>
      </c>
      <c r="U43" s="57">
        <f t="shared" si="62"/>
        <v>0</v>
      </c>
      <c r="V43" s="59"/>
      <c r="W43" s="124">
        <f t="shared" si="63"/>
        <v>0</v>
      </c>
      <c r="X43" s="57">
        <f t="shared" si="64"/>
        <v>0</v>
      </c>
      <c r="Y43" s="84">
        <f t="shared" si="65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58"/>
        <v>0</v>
      </c>
      <c r="F44" s="58"/>
      <c r="G44" s="55">
        <v>0</v>
      </c>
      <c r="H44" s="57">
        <v>0</v>
      </c>
      <c r="I44" s="57">
        <f t="shared" si="59"/>
        <v>0</v>
      </c>
      <c r="J44" s="58"/>
      <c r="K44" s="55">
        <v>0</v>
      </c>
      <c r="L44" s="57">
        <v>0</v>
      </c>
      <c r="M44" s="57">
        <f t="shared" si="60"/>
        <v>0</v>
      </c>
      <c r="N44" s="58"/>
      <c r="O44" s="55">
        <v>0</v>
      </c>
      <c r="P44" s="57">
        <v>0</v>
      </c>
      <c r="Q44" s="57">
        <f t="shared" si="61"/>
        <v>0</v>
      </c>
      <c r="R44" s="58"/>
      <c r="S44" s="55">
        <v>0</v>
      </c>
      <c r="T44" s="57">
        <v>0</v>
      </c>
      <c r="U44" s="57">
        <f t="shared" si="62"/>
        <v>0</v>
      </c>
      <c r="V44" s="59"/>
      <c r="W44" s="124">
        <f t="shared" si="63"/>
        <v>0</v>
      </c>
      <c r="X44" s="57">
        <f t="shared" si="64"/>
        <v>0</v>
      </c>
      <c r="Y44" s="84">
        <f t="shared" si="65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58"/>
        <v>0</v>
      </c>
      <c r="F45" s="58"/>
      <c r="G45" s="55">
        <v>0</v>
      </c>
      <c r="H45" s="57">
        <v>0</v>
      </c>
      <c r="I45" s="57">
        <f t="shared" si="59"/>
        <v>0</v>
      </c>
      <c r="J45" s="58"/>
      <c r="K45" s="55">
        <v>0</v>
      </c>
      <c r="L45" s="57">
        <v>0</v>
      </c>
      <c r="M45" s="57">
        <f t="shared" si="60"/>
        <v>0</v>
      </c>
      <c r="N45" s="58"/>
      <c r="O45" s="55">
        <v>0</v>
      </c>
      <c r="P45" s="57">
        <v>0</v>
      </c>
      <c r="Q45" s="57">
        <f t="shared" si="61"/>
        <v>0</v>
      </c>
      <c r="R45" s="58"/>
      <c r="S45" s="55">
        <v>0</v>
      </c>
      <c r="T45" s="57">
        <v>0</v>
      </c>
      <c r="U45" s="57">
        <f t="shared" si="62"/>
        <v>0</v>
      </c>
      <c r="V45" s="59"/>
      <c r="W45" s="124">
        <f t="shared" si="63"/>
        <v>0</v>
      </c>
      <c r="X45" s="57">
        <f t="shared" si="64"/>
        <v>0</v>
      </c>
      <c r="Y45" s="84">
        <f t="shared" si="65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58"/>
        <v>0</v>
      </c>
      <c r="F46" s="58"/>
      <c r="G46" s="55">
        <v>0</v>
      </c>
      <c r="H46" s="57">
        <v>0</v>
      </c>
      <c r="I46" s="57">
        <f t="shared" si="59"/>
        <v>0</v>
      </c>
      <c r="J46" s="58"/>
      <c r="K46" s="55">
        <v>0</v>
      </c>
      <c r="L46" s="57">
        <v>0</v>
      </c>
      <c r="M46" s="57">
        <f t="shared" si="60"/>
        <v>0</v>
      </c>
      <c r="N46" s="58"/>
      <c r="O46" s="55">
        <v>0</v>
      </c>
      <c r="P46" s="57">
        <v>0</v>
      </c>
      <c r="Q46" s="57">
        <f t="shared" si="61"/>
        <v>0</v>
      </c>
      <c r="R46" s="58"/>
      <c r="S46" s="55">
        <v>0</v>
      </c>
      <c r="T46" s="57">
        <v>0</v>
      </c>
      <c r="U46" s="57">
        <f t="shared" si="62"/>
        <v>0</v>
      </c>
      <c r="V46" s="59"/>
      <c r="W46" s="124">
        <f t="shared" si="63"/>
        <v>0</v>
      </c>
      <c r="X46" s="57">
        <f t="shared" si="64"/>
        <v>0</v>
      </c>
      <c r="Y46" s="84">
        <f t="shared" si="65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58"/>
        <v>0</v>
      </c>
      <c r="F47" s="58"/>
      <c r="G47" s="55">
        <v>0</v>
      </c>
      <c r="H47" s="57">
        <v>0</v>
      </c>
      <c r="I47" s="57">
        <f t="shared" si="59"/>
        <v>0</v>
      </c>
      <c r="J47" s="58"/>
      <c r="K47" s="55">
        <v>0</v>
      </c>
      <c r="L47" s="57">
        <v>0</v>
      </c>
      <c r="M47" s="57">
        <f t="shared" si="60"/>
        <v>0</v>
      </c>
      <c r="N47" s="58"/>
      <c r="O47" s="55">
        <v>0</v>
      </c>
      <c r="P47" s="57">
        <v>0</v>
      </c>
      <c r="Q47" s="57">
        <f t="shared" si="61"/>
        <v>0</v>
      </c>
      <c r="R47" s="58"/>
      <c r="S47" s="55">
        <v>0</v>
      </c>
      <c r="T47" s="57">
        <v>0</v>
      </c>
      <c r="U47" s="57">
        <f t="shared" si="62"/>
        <v>0</v>
      </c>
      <c r="V47" s="59"/>
      <c r="W47" s="124">
        <f t="shared" si="63"/>
        <v>0</v>
      </c>
      <c r="X47" s="57">
        <f t="shared" si="64"/>
        <v>0</v>
      </c>
      <c r="Y47" s="84">
        <f t="shared" si="65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58"/>
        <v>0</v>
      </c>
      <c r="F48" s="58"/>
      <c r="G48" s="55">
        <v>0</v>
      </c>
      <c r="H48" s="57">
        <v>0</v>
      </c>
      <c r="I48" s="57">
        <f t="shared" si="59"/>
        <v>0</v>
      </c>
      <c r="J48" s="58"/>
      <c r="K48" s="55">
        <v>0</v>
      </c>
      <c r="L48" s="57">
        <v>0</v>
      </c>
      <c r="M48" s="57">
        <f t="shared" si="60"/>
        <v>0</v>
      </c>
      <c r="N48" s="58"/>
      <c r="O48" s="55">
        <v>0</v>
      </c>
      <c r="P48" s="57">
        <v>0</v>
      </c>
      <c r="Q48" s="57">
        <f t="shared" si="61"/>
        <v>0</v>
      </c>
      <c r="R48" s="58"/>
      <c r="S48" s="55">
        <v>0</v>
      </c>
      <c r="T48" s="57">
        <v>0</v>
      </c>
      <c r="U48" s="57">
        <f t="shared" si="62"/>
        <v>0</v>
      </c>
      <c r="V48" s="59"/>
      <c r="W48" s="124">
        <f t="shared" si="63"/>
        <v>0</v>
      </c>
      <c r="X48" s="57">
        <f t="shared" si="64"/>
        <v>0</v>
      </c>
      <c r="Y48" s="84">
        <f t="shared" si="65"/>
        <v>0</v>
      </c>
    </row>
    <row r="49" spans="1:25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50000</v>
      </c>
      <c r="E49" s="125">
        <f>SUM(E39:E48)</f>
        <v>50000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63"/>
        <v>0</v>
      </c>
      <c r="X49" s="80">
        <f t="shared" si="64"/>
        <v>50000</v>
      </c>
      <c r="Y49" s="80">
        <f t="shared" si="65"/>
        <v>50000</v>
      </c>
    </row>
    <row r="50" spans="1:25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25" s="61" customFormat="1" x14ac:dyDescent="0.25">
      <c r="A51" s="54"/>
      <c r="B51" s="199" t="s">
        <v>162</v>
      </c>
      <c r="C51" s="124">
        <v>0</v>
      </c>
      <c r="D51" s="56">
        <v>2500</v>
      </c>
      <c r="E51" s="56">
        <f t="shared" ref="E51:E56" si="66">SUM(C51:D51)</f>
        <v>2500</v>
      </c>
      <c r="F51" s="58"/>
      <c r="G51" s="55">
        <f>C51</f>
        <v>0</v>
      </c>
      <c r="H51" s="57">
        <f>D51</f>
        <v>2500</v>
      </c>
      <c r="I51" s="57">
        <f t="shared" ref="I51:I56" si="67">SUM(G51:H51)</f>
        <v>2500</v>
      </c>
      <c r="J51" s="58"/>
      <c r="K51" s="55">
        <f>G51</f>
        <v>0</v>
      </c>
      <c r="L51" s="56">
        <f>H51</f>
        <v>2500</v>
      </c>
      <c r="M51" s="57">
        <f t="shared" ref="M51:M56" si="68">SUM(K51:L51)</f>
        <v>2500</v>
      </c>
      <c r="N51" s="58"/>
      <c r="O51" s="55">
        <f>K51</f>
        <v>0</v>
      </c>
      <c r="P51" s="57">
        <f>L51</f>
        <v>2500</v>
      </c>
      <c r="Q51" s="57">
        <f t="shared" ref="Q51:Q56" si="69">SUM(O51:P51)</f>
        <v>2500</v>
      </c>
      <c r="R51" s="58"/>
      <c r="S51" s="55">
        <f>O51</f>
        <v>0</v>
      </c>
      <c r="T51" s="56">
        <f>P51-252+14</f>
        <v>2262</v>
      </c>
      <c r="U51" s="57">
        <f t="shared" ref="U51:U56" si="70">SUM(S51:T51)</f>
        <v>2262</v>
      </c>
      <c r="V51" s="59"/>
      <c r="W51" s="124">
        <f t="shared" ref="W51:Y57" si="71">C51+G51+K51+O51+S51</f>
        <v>0</v>
      </c>
      <c r="X51" s="57">
        <f t="shared" si="71"/>
        <v>12262</v>
      </c>
      <c r="Y51" s="84">
        <f t="shared" si="71"/>
        <v>12262</v>
      </c>
    </row>
    <row r="52" spans="1:25" s="61" customFormat="1" x14ac:dyDescent="0.25">
      <c r="A52" s="87"/>
      <c r="B52" s="52"/>
      <c r="C52" s="124">
        <v>0</v>
      </c>
      <c r="D52" s="56">
        <v>0</v>
      </c>
      <c r="E52" s="56">
        <f t="shared" si="66"/>
        <v>0</v>
      </c>
      <c r="F52" s="58"/>
      <c r="G52" s="55">
        <v>0</v>
      </c>
      <c r="H52" s="57">
        <v>0</v>
      </c>
      <c r="I52" s="57">
        <f t="shared" si="67"/>
        <v>0</v>
      </c>
      <c r="J52" s="58"/>
      <c r="K52" s="55">
        <v>0</v>
      </c>
      <c r="L52" s="57">
        <v>0</v>
      </c>
      <c r="M52" s="57">
        <f t="shared" si="68"/>
        <v>0</v>
      </c>
      <c r="N52" s="58"/>
      <c r="O52" s="55">
        <v>0</v>
      </c>
      <c r="P52" s="57">
        <v>0</v>
      </c>
      <c r="Q52" s="57">
        <f t="shared" si="69"/>
        <v>0</v>
      </c>
      <c r="R52" s="58"/>
      <c r="S52" s="55">
        <v>0</v>
      </c>
      <c r="T52" s="57">
        <v>0</v>
      </c>
      <c r="U52" s="57">
        <f t="shared" si="70"/>
        <v>0</v>
      </c>
      <c r="V52" s="59"/>
      <c r="W52" s="124">
        <f t="shared" si="71"/>
        <v>0</v>
      </c>
      <c r="X52" s="57">
        <f t="shared" si="71"/>
        <v>0</v>
      </c>
      <c r="Y52" s="84">
        <f t="shared" si="71"/>
        <v>0</v>
      </c>
    </row>
    <row r="53" spans="1:25" s="61" customFormat="1" x14ac:dyDescent="0.25">
      <c r="A53" s="87"/>
      <c r="B53" s="52" t="s">
        <v>154</v>
      </c>
      <c r="C53" s="124">
        <v>1500</v>
      </c>
      <c r="D53" s="56">
        <v>0</v>
      </c>
      <c r="E53" s="56">
        <f t="shared" si="66"/>
        <v>1500</v>
      </c>
      <c r="F53" s="58"/>
      <c r="G53" s="55">
        <f>C53</f>
        <v>1500</v>
      </c>
      <c r="H53" s="57">
        <v>0</v>
      </c>
      <c r="I53" s="57">
        <f t="shared" si="67"/>
        <v>1500</v>
      </c>
      <c r="J53" s="58"/>
      <c r="K53" s="55">
        <f>G53</f>
        <v>1500</v>
      </c>
      <c r="L53" s="57">
        <v>0</v>
      </c>
      <c r="M53" s="57">
        <f t="shared" si="68"/>
        <v>1500</v>
      </c>
      <c r="N53" s="58"/>
      <c r="O53" s="55">
        <f>K53</f>
        <v>1500</v>
      </c>
      <c r="P53" s="57">
        <v>0</v>
      </c>
      <c r="Q53" s="57">
        <f t="shared" si="69"/>
        <v>1500</v>
      </c>
      <c r="R53" s="58"/>
      <c r="S53" s="55">
        <f>O53</f>
        <v>1500</v>
      </c>
      <c r="T53" s="57">
        <v>0</v>
      </c>
      <c r="U53" s="57">
        <f t="shared" si="70"/>
        <v>1500</v>
      </c>
      <c r="V53" s="59"/>
      <c r="W53" s="124">
        <f t="shared" si="71"/>
        <v>7500</v>
      </c>
      <c r="X53" s="57">
        <f t="shared" si="71"/>
        <v>0</v>
      </c>
      <c r="Y53" s="84">
        <f t="shared" si="71"/>
        <v>7500</v>
      </c>
    </row>
    <row r="54" spans="1:25" s="61" customFormat="1" x14ac:dyDescent="0.25">
      <c r="A54" s="52"/>
      <c r="B54" s="52"/>
      <c r="C54" s="124">
        <v>0</v>
      </c>
      <c r="D54" s="56">
        <v>0</v>
      </c>
      <c r="E54" s="56">
        <f t="shared" si="66"/>
        <v>0</v>
      </c>
      <c r="F54" s="58"/>
      <c r="G54" s="55">
        <v>0</v>
      </c>
      <c r="H54" s="57">
        <v>0</v>
      </c>
      <c r="I54" s="57">
        <f t="shared" si="67"/>
        <v>0</v>
      </c>
      <c r="J54" s="58"/>
      <c r="K54" s="55">
        <v>0</v>
      </c>
      <c r="L54" s="57">
        <v>0</v>
      </c>
      <c r="M54" s="57">
        <f t="shared" si="68"/>
        <v>0</v>
      </c>
      <c r="N54" s="58"/>
      <c r="O54" s="55">
        <v>0</v>
      </c>
      <c r="P54" s="57">
        <v>0</v>
      </c>
      <c r="Q54" s="57">
        <f t="shared" si="69"/>
        <v>0</v>
      </c>
      <c r="R54" s="58"/>
      <c r="S54" s="55">
        <v>0</v>
      </c>
      <c r="T54" s="57">
        <v>0</v>
      </c>
      <c r="U54" s="57">
        <f t="shared" si="70"/>
        <v>0</v>
      </c>
      <c r="V54" s="59"/>
      <c r="W54" s="124">
        <f t="shared" si="71"/>
        <v>0</v>
      </c>
      <c r="X54" s="57">
        <f t="shared" si="71"/>
        <v>0</v>
      </c>
      <c r="Y54" s="84">
        <f t="shared" si="71"/>
        <v>0</v>
      </c>
    </row>
    <row r="55" spans="1:25" s="61" customFormat="1" x14ac:dyDescent="0.25">
      <c r="A55" s="52"/>
      <c r="B55" s="52"/>
      <c r="C55" s="124">
        <v>0</v>
      </c>
      <c r="D55" s="56">
        <v>0</v>
      </c>
      <c r="E55" s="56">
        <f t="shared" si="66"/>
        <v>0</v>
      </c>
      <c r="F55" s="58"/>
      <c r="G55" s="55">
        <v>0</v>
      </c>
      <c r="H55" s="57">
        <v>0</v>
      </c>
      <c r="I55" s="57">
        <f t="shared" si="67"/>
        <v>0</v>
      </c>
      <c r="J55" s="58"/>
      <c r="K55" s="55">
        <v>0</v>
      </c>
      <c r="L55" s="57">
        <v>0</v>
      </c>
      <c r="M55" s="57">
        <f t="shared" si="68"/>
        <v>0</v>
      </c>
      <c r="N55" s="58"/>
      <c r="O55" s="55">
        <v>0</v>
      </c>
      <c r="P55" s="57">
        <v>0</v>
      </c>
      <c r="Q55" s="57">
        <f t="shared" si="69"/>
        <v>0</v>
      </c>
      <c r="R55" s="58"/>
      <c r="S55" s="55">
        <v>0</v>
      </c>
      <c r="T55" s="57">
        <v>0</v>
      </c>
      <c r="U55" s="57">
        <f t="shared" si="70"/>
        <v>0</v>
      </c>
      <c r="V55" s="59"/>
      <c r="W55" s="124">
        <f t="shared" si="71"/>
        <v>0</v>
      </c>
      <c r="X55" s="57">
        <f t="shared" si="71"/>
        <v>0</v>
      </c>
      <c r="Y55" s="84">
        <f t="shared" si="71"/>
        <v>0</v>
      </c>
    </row>
    <row r="56" spans="1:25" s="61" customFormat="1" x14ac:dyDescent="0.25">
      <c r="A56" s="52"/>
      <c r="B56" s="52"/>
      <c r="C56" s="124">
        <v>0</v>
      </c>
      <c r="D56" s="56">
        <v>0</v>
      </c>
      <c r="E56" s="56">
        <f t="shared" si="66"/>
        <v>0</v>
      </c>
      <c r="F56" s="58"/>
      <c r="G56" s="55">
        <v>0</v>
      </c>
      <c r="H56" s="57">
        <v>0</v>
      </c>
      <c r="I56" s="57">
        <f t="shared" si="67"/>
        <v>0</v>
      </c>
      <c r="J56" s="58"/>
      <c r="K56" s="55">
        <v>0</v>
      </c>
      <c r="L56" s="57">
        <v>0</v>
      </c>
      <c r="M56" s="57">
        <f t="shared" si="68"/>
        <v>0</v>
      </c>
      <c r="N56" s="58"/>
      <c r="O56" s="55">
        <v>0</v>
      </c>
      <c r="P56" s="57">
        <v>0</v>
      </c>
      <c r="Q56" s="57">
        <f t="shared" si="69"/>
        <v>0</v>
      </c>
      <c r="R56" s="58"/>
      <c r="S56" s="55">
        <v>0</v>
      </c>
      <c r="T56" s="57">
        <v>0</v>
      </c>
      <c r="U56" s="57">
        <f t="shared" si="70"/>
        <v>0</v>
      </c>
      <c r="V56" s="59"/>
      <c r="W56" s="124">
        <f t="shared" si="71"/>
        <v>0</v>
      </c>
      <c r="X56" s="57">
        <f t="shared" si="71"/>
        <v>0</v>
      </c>
      <c r="Y56" s="84">
        <f t="shared" si="71"/>
        <v>0</v>
      </c>
    </row>
    <row r="57" spans="1:25" s="83" customFormat="1" x14ac:dyDescent="0.25">
      <c r="A57" s="78"/>
      <c r="B57" s="78" t="s">
        <v>9</v>
      </c>
      <c r="C57" s="228">
        <f>SUM(C51:C56)</f>
        <v>1500</v>
      </c>
      <c r="D57" s="125">
        <f>SUM(D51:D56)</f>
        <v>2500</v>
      </c>
      <c r="E57" s="125">
        <f>SUM(E51:E56)</f>
        <v>4000</v>
      </c>
      <c r="F57" s="81"/>
      <c r="G57" s="79">
        <f>SUM(G51:G56)</f>
        <v>1500</v>
      </c>
      <c r="H57" s="80">
        <f>SUM(H51:H56)</f>
        <v>2500</v>
      </c>
      <c r="I57" s="80">
        <f>SUM(I51:I56)</f>
        <v>4000</v>
      </c>
      <c r="J57" s="81"/>
      <c r="K57" s="79">
        <f>SUM(K51:K56)</f>
        <v>1500</v>
      </c>
      <c r="L57" s="80">
        <f>SUM(L51:L56)</f>
        <v>2500</v>
      </c>
      <c r="M57" s="80">
        <f>SUM(M51:M56)</f>
        <v>4000</v>
      </c>
      <c r="N57" s="81"/>
      <c r="O57" s="79">
        <f>SUM(O51:O56)</f>
        <v>1500</v>
      </c>
      <c r="P57" s="80">
        <f>SUM(P51:P56)</f>
        <v>2500</v>
      </c>
      <c r="Q57" s="80">
        <f>SUM(Q51:Q56)</f>
        <v>4000</v>
      </c>
      <c r="R57" s="81"/>
      <c r="S57" s="79">
        <f>SUM(S51:S56)</f>
        <v>1500</v>
      </c>
      <c r="T57" s="80">
        <f>SUM(T51:T56)</f>
        <v>2262</v>
      </c>
      <c r="U57" s="80">
        <f>SUM(U51:U56)</f>
        <v>3762</v>
      </c>
      <c r="V57" s="82"/>
      <c r="W57" s="228">
        <f t="shared" si="71"/>
        <v>7500</v>
      </c>
      <c r="X57" s="80">
        <f t="shared" si="71"/>
        <v>12262</v>
      </c>
      <c r="Y57" s="80">
        <f t="shared" si="71"/>
        <v>19762</v>
      </c>
    </row>
    <row r="58" spans="1:25" s="77" customFormat="1" x14ac:dyDescent="0.25">
      <c r="A58" s="74" t="s">
        <v>14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25" s="61" customFormat="1" x14ac:dyDescent="0.25">
      <c r="A59" s="52"/>
      <c r="B59" s="52"/>
      <c r="C59" s="124">
        <v>0</v>
      </c>
      <c r="D59" s="56">
        <v>0</v>
      </c>
      <c r="E59" s="56">
        <f>SUM(C59:D59)</f>
        <v>0</v>
      </c>
      <c r="F59" s="58"/>
      <c r="G59" s="55">
        <v>0</v>
      </c>
      <c r="H59" s="57">
        <v>0</v>
      </c>
      <c r="I59" s="57">
        <f>SUM(G59:H59)</f>
        <v>0</v>
      </c>
      <c r="J59" s="58"/>
      <c r="K59" s="55">
        <v>0</v>
      </c>
      <c r="L59" s="57">
        <v>0</v>
      </c>
      <c r="M59" s="57">
        <f>SUM(K59:L59)</f>
        <v>0</v>
      </c>
      <c r="N59" s="58"/>
      <c r="O59" s="55">
        <v>0</v>
      </c>
      <c r="P59" s="57">
        <v>0</v>
      </c>
      <c r="Q59" s="57">
        <f>SUM(O59:P59)</f>
        <v>0</v>
      </c>
      <c r="R59" s="58"/>
      <c r="S59" s="55">
        <v>0</v>
      </c>
      <c r="T59" s="57">
        <v>0</v>
      </c>
      <c r="U59" s="57">
        <f>SUM(S59:T59)</f>
        <v>0</v>
      </c>
      <c r="V59" s="59"/>
      <c r="W59" s="124">
        <f t="shared" ref="W59:Y63" si="72">C59+G59+K59+O59+S59</f>
        <v>0</v>
      </c>
      <c r="X59" s="57">
        <f t="shared" si="72"/>
        <v>0</v>
      </c>
      <c r="Y59" s="84">
        <f t="shared" si="72"/>
        <v>0</v>
      </c>
    </row>
    <row r="60" spans="1:25" s="61" customFormat="1" x14ac:dyDescent="0.25">
      <c r="A60" s="52"/>
      <c r="B60" s="52"/>
      <c r="C60" s="124">
        <v>0</v>
      </c>
      <c r="D60" s="56">
        <v>0</v>
      </c>
      <c r="E60" s="56">
        <f>SUM(C60:D60)</f>
        <v>0</v>
      </c>
      <c r="F60" s="58"/>
      <c r="G60" s="55">
        <v>0</v>
      </c>
      <c r="H60" s="57">
        <v>0</v>
      </c>
      <c r="I60" s="57">
        <f>SUM(G60:H60)</f>
        <v>0</v>
      </c>
      <c r="J60" s="58"/>
      <c r="K60" s="55">
        <v>0</v>
      </c>
      <c r="L60" s="57">
        <v>0</v>
      </c>
      <c r="M60" s="57">
        <f>SUM(K60:L60)</f>
        <v>0</v>
      </c>
      <c r="N60" s="58"/>
      <c r="O60" s="55">
        <v>0</v>
      </c>
      <c r="P60" s="57">
        <v>0</v>
      </c>
      <c r="Q60" s="57">
        <f>SUM(O60:P60)</f>
        <v>0</v>
      </c>
      <c r="R60" s="58"/>
      <c r="S60" s="55">
        <v>0</v>
      </c>
      <c r="T60" s="57">
        <v>0</v>
      </c>
      <c r="U60" s="57">
        <f>SUM(S60:T60)</f>
        <v>0</v>
      </c>
      <c r="V60" s="59"/>
      <c r="W60" s="124">
        <f t="shared" si="72"/>
        <v>0</v>
      </c>
      <c r="X60" s="57">
        <f t="shared" si="72"/>
        <v>0</v>
      </c>
      <c r="Y60" s="84">
        <f t="shared" si="72"/>
        <v>0</v>
      </c>
    </row>
    <row r="61" spans="1:25" s="61" customFormat="1" x14ac:dyDescent="0.25">
      <c r="A61" s="52"/>
      <c r="B61" s="52"/>
      <c r="C61" s="124">
        <v>0</v>
      </c>
      <c r="D61" s="56">
        <v>0</v>
      </c>
      <c r="E61" s="56">
        <f>SUM(C61:D61)</f>
        <v>0</v>
      </c>
      <c r="F61" s="58"/>
      <c r="G61" s="55">
        <v>0</v>
      </c>
      <c r="H61" s="57">
        <v>0</v>
      </c>
      <c r="I61" s="57">
        <f>SUM(G61:H61)</f>
        <v>0</v>
      </c>
      <c r="J61" s="58"/>
      <c r="K61" s="55">
        <v>0</v>
      </c>
      <c r="L61" s="57">
        <v>0</v>
      </c>
      <c r="M61" s="57">
        <f>SUM(K61:L61)</f>
        <v>0</v>
      </c>
      <c r="N61" s="58"/>
      <c r="O61" s="55">
        <v>0</v>
      </c>
      <c r="P61" s="57">
        <v>0</v>
      </c>
      <c r="Q61" s="57">
        <f>SUM(O61:P61)</f>
        <v>0</v>
      </c>
      <c r="R61" s="58"/>
      <c r="S61" s="55">
        <v>0</v>
      </c>
      <c r="T61" s="57">
        <v>0</v>
      </c>
      <c r="U61" s="57">
        <f>SUM(S61:T61)</f>
        <v>0</v>
      </c>
      <c r="V61" s="59"/>
      <c r="W61" s="124">
        <f t="shared" si="72"/>
        <v>0</v>
      </c>
      <c r="X61" s="57">
        <f t="shared" si="72"/>
        <v>0</v>
      </c>
      <c r="Y61" s="84">
        <f t="shared" si="72"/>
        <v>0</v>
      </c>
    </row>
    <row r="62" spans="1:25" s="61" customFormat="1" x14ac:dyDescent="0.25">
      <c r="A62" s="52"/>
      <c r="B62" s="52"/>
      <c r="C62" s="124">
        <v>0</v>
      </c>
      <c r="D62" s="56">
        <v>0</v>
      </c>
      <c r="E62" s="56">
        <f>SUM(C62:D62)</f>
        <v>0</v>
      </c>
      <c r="F62" s="58"/>
      <c r="G62" s="55">
        <f>C62*1.1</f>
        <v>0</v>
      </c>
      <c r="H62" s="57">
        <v>0</v>
      </c>
      <c r="I62" s="57">
        <f>SUM(G62:H62)</f>
        <v>0</v>
      </c>
      <c r="J62" s="58"/>
      <c r="K62" s="55">
        <f>G62*1.1</f>
        <v>0</v>
      </c>
      <c r="L62" s="57">
        <v>0</v>
      </c>
      <c r="M62" s="57">
        <f>SUM(K62:L62)</f>
        <v>0</v>
      </c>
      <c r="N62" s="58"/>
      <c r="O62" s="55">
        <f>K62*1.1</f>
        <v>0</v>
      </c>
      <c r="P62" s="57">
        <v>0</v>
      </c>
      <c r="Q62" s="57">
        <f>SUM(O62:P62)</f>
        <v>0</v>
      </c>
      <c r="R62" s="58"/>
      <c r="S62" s="55">
        <f>O62*1.1</f>
        <v>0</v>
      </c>
      <c r="T62" s="57">
        <v>0</v>
      </c>
      <c r="U62" s="57">
        <f>SUM(S62:T62)</f>
        <v>0</v>
      </c>
      <c r="V62" s="59"/>
      <c r="W62" s="124">
        <f t="shared" si="72"/>
        <v>0</v>
      </c>
      <c r="X62" s="57">
        <f t="shared" si="72"/>
        <v>0</v>
      </c>
      <c r="Y62" s="84">
        <f t="shared" si="72"/>
        <v>0</v>
      </c>
    </row>
    <row r="63" spans="1:25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0</v>
      </c>
      <c r="H63" s="125">
        <f>SUM(H59:H62)</f>
        <v>0</v>
      </c>
      <c r="I63" s="125">
        <f>SUM(I59:I62)</f>
        <v>0</v>
      </c>
      <c r="J63" s="81"/>
      <c r="K63" s="79">
        <f>SUM(K59:K62)</f>
        <v>0</v>
      </c>
      <c r="L63" s="125">
        <f>SUM(L59:L62)</f>
        <v>0</v>
      </c>
      <c r="M63" s="125">
        <f>SUM(M59:M62)</f>
        <v>0</v>
      </c>
      <c r="N63" s="81"/>
      <c r="O63" s="79">
        <f>SUM(O59:O62)</f>
        <v>0</v>
      </c>
      <c r="P63" s="125">
        <f>SUM(P59:P62)</f>
        <v>0</v>
      </c>
      <c r="Q63" s="125">
        <f>SUM(Q59:Q62)</f>
        <v>0</v>
      </c>
      <c r="R63" s="81"/>
      <c r="S63" s="79">
        <f>SUM(S59:S62)</f>
        <v>0</v>
      </c>
      <c r="T63" s="125">
        <f>SUM(T59:T62)</f>
        <v>0</v>
      </c>
      <c r="U63" s="125">
        <f>SUM(U59:U62)</f>
        <v>0</v>
      </c>
      <c r="V63" s="82"/>
      <c r="W63" s="228">
        <f t="shared" si="72"/>
        <v>0</v>
      </c>
      <c r="X63" s="80">
        <f t="shared" si="72"/>
        <v>0</v>
      </c>
      <c r="Y63" s="84">
        <f t="shared" si="72"/>
        <v>0</v>
      </c>
    </row>
    <row r="64" spans="1:25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25" s="61" customFormat="1" x14ac:dyDescent="0.25">
      <c r="A65" s="52"/>
      <c r="B65" s="52" t="s">
        <v>57</v>
      </c>
      <c r="C65" s="124">
        <v>0</v>
      </c>
      <c r="D65" s="56">
        <v>0</v>
      </c>
      <c r="E65" s="56">
        <f t="shared" ref="E65:E84" si="73">SUM(C65:D65)</f>
        <v>0</v>
      </c>
      <c r="F65" s="58"/>
      <c r="G65" s="55">
        <v>0</v>
      </c>
      <c r="H65" s="57">
        <v>0</v>
      </c>
      <c r="I65" s="57">
        <f t="shared" ref="I65:I84" si="74">SUM(G65:H65)</f>
        <v>0</v>
      </c>
      <c r="J65" s="58"/>
      <c r="K65" s="55">
        <v>0</v>
      </c>
      <c r="L65" s="57">
        <v>0</v>
      </c>
      <c r="M65" s="57">
        <f t="shared" ref="M65:M84" si="75">SUM(K65:L65)</f>
        <v>0</v>
      </c>
      <c r="N65" s="58"/>
      <c r="O65" s="55">
        <v>0</v>
      </c>
      <c r="P65" s="57">
        <v>0</v>
      </c>
      <c r="Q65" s="57">
        <f t="shared" ref="Q65:Q84" si="76">SUM(O65:P65)</f>
        <v>0</v>
      </c>
      <c r="R65" s="58"/>
      <c r="S65" s="55">
        <v>0</v>
      </c>
      <c r="T65" s="57">
        <v>0</v>
      </c>
      <c r="U65" s="57">
        <f t="shared" ref="U65:U84" si="77">SUM(S65:T65)</f>
        <v>0</v>
      </c>
      <c r="V65" s="59"/>
      <c r="W65" s="124">
        <f t="shared" ref="W65:W85" si="78">C65+G65+K65+O65+S65</f>
        <v>0</v>
      </c>
      <c r="X65" s="57">
        <f t="shared" ref="X65:X85" si="79">D65+H65+L65+P65+T65</f>
        <v>0</v>
      </c>
      <c r="Y65" s="84">
        <f t="shared" ref="Y65:Y85" si="80">E65+I65+M65+Q65+U65</f>
        <v>0</v>
      </c>
    </row>
    <row r="66" spans="1:25" s="61" customFormat="1" x14ac:dyDescent="0.25">
      <c r="A66" s="54"/>
      <c r="B66" s="199" t="s">
        <v>57</v>
      </c>
      <c r="C66" s="124">
        <v>0</v>
      </c>
      <c r="D66" s="56">
        <v>0</v>
      </c>
      <c r="E66" s="56">
        <f t="shared" si="73"/>
        <v>0</v>
      </c>
      <c r="F66" s="58"/>
      <c r="G66" s="55">
        <f>15000*0</f>
        <v>0</v>
      </c>
      <c r="H66" s="57">
        <v>0</v>
      </c>
      <c r="I66" s="57">
        <f t="shared" si="74"/>
        <v>0</v>
      </c>
      <c r="J66" s="58"/>
      <c r="K66" s="55">
        <f>G66*0</f>
        <v>0</v>
      </c>
      <c r="L66" s="57">
        <v>0</v>
      </c>
      <c r="M66" s="57">
        <f t="shared" si="75"/>
        <v>0</v>
      </c>
      <c r="N66" s="58"/>
      <c r="O66" s="55">
        <f>15000*0</f>
        <v>0</v>
      </c>
      <c r="P66" s="56">
        <v>0</v>
      </c>
      <c r="Q66" s="57">
        <f t="shared" si="76"/>
        <v>0</v>
      </c>
      <c r="R66" s="58"/>
      <c r="S66" s="55">
        <f>O66*0</f>
        <v>0</v>
      </c>
      <c r="T66" s="57">
        <v>0</v>
      </c>
      <c r="U66" s="57">
        <f t="shared" si="77"/>
        <v>0</v>
      </c>
      <c r="V66" s="59"/>
      <c r="W66" s="124">
        <f t="shared" si="78"/>
        <v>0</v>
      </c>
      <c r="X66" s="57">
        <f t="shared" si="79"/>
        <v>0</v>
      </c>
      <c r="Y66" s="84">
        <f t="shared" si="80"/>
        <v>0</v>
      </c>
    </row>
    <row r="67" spans="1:25" s="61" customFormat="1" x14ac:dyDescent="0.25">
      <c r="A67" s="52"/>
      <c r="B67" s="54" t="s">
        <v>57</v>
      </c>
      <c r="C67" s="124">
        <v>0</v>
      </c>
      <c r="D67" s="56">
        <v>0</v>
      </c>
      <c r="E67" s="56">
        <f t="shared" si="73"/>
        <v>0</v>
      </c>
      <c r="F67" s="58"/>
      <c r="G67" s="55">
        <f>C67</f>
        <v>0</v>
      </c>
      <c r="H67" s="56">
        <v>0</v>
      </c>
      <c r="I67" s="57">
        <f t="shared" si="74"/>
        <v>0</v>
      </c>
      <c r="J67" s="58"/>
      <c r="K67" s="55">
        <f>G67</f>
        <v>0</v>
      </c>
      <c r="L67" s="57">
        <v>0</v>
      </c>
      <c r="M67" s="57">
        <f t="shared" si="75"/>
        <v>0</v>
      </c>
      <c r="N67" s="58"/>
      <c r="O67" s="55">
        <f>K67</f>
        <v>0</v>
      </c>
      <c r="P67" s="56">
        <v>0</v>
      </c>
      <c r="Q67" s="57">
        <f t="shared" si="76"/>
        <v>0</v>
      </c>
      <c r="R67" s="58"/>
      <c r="S67" s="55">
        <f>O67</f>
        <v>0</v>
      </c>
      <c r="T67" s="56">
        <v>0</v>
      </c>
      <c r="U67" s="57">
        <f t="shared" si="77"/>
        <v>0</v>
      </c>
      <c r="V67" s="59"/>
      <c r="W67" s="124">
        <f t="shared" si="78"/>
        <v>0</v>
      </c>
      <c r="X67" s="57">
        <f t="shared" si="79"/>
        <v>0</v>
      </c>
      <c r="Y67" s="84">
        <f t="shared" si="80"/>
        <v>0</v>
      </c>
    </row>
    <row r="68" spans="1:25" s="61" customFormat="1" x14ac:dyDescent="0.25">
      <c r="B68" s="199" t="s">
        <v>156</v>
      </c>
      <c r="C68" s="55">
        <f>5250*0</f>
        <v>0</v>
      </c>
      <c r="D68" s="56">
        <v>5250</v>
      </c>
      <c r="E68" s="57">
        <f t="shared" si="73"/>
        <v>5250</v>
      </c>
      <c r="F68" s="58"/>
      <c r="G68" s="55">
        <f>C68</f>
        <v>0</v>
      </c>
      <c r="H68" s="56">
        <f>D68</f>
        <v>5250</v>
      </c>
      <c r="I68" s="57">
        <f t="shared" si="74"/>
        <v>5250</v>
      </c>
      <c r="J68" s="58"/>
      <c r="K68" s="55">
        <f>G68</f>
        <v>0</v>
      </c>
      <c r="L68" s="57">
        <f>H68</f>
        <v>5250</v>
      </c>
      <c r="M68" s="57">
        <f t="shared" si="75"/>
        <v>5250</v>
      </c>
      <c r="N68" s="58"/>
      <c r="O68" s="55">
        <f>K68</f>
        <v>0</v>
      </c>
      <c r="P68" s="56">
        <f>L68</f>
        <v>5250</v>
      </c>
      <c r="Q68" s="57">
        <f t="shared" si="76"/>
        <v>5250</v>
      </c>
      <c r="R68" s="58"/>
      <c r="S68" s="55">
        <f>O68</f>
        <v>0</v>
      </c>
      <c r="T68" s="56">
        <f>P68</f>
        <v>5250</v>
      </c>
      <c r="U68" s="57">
        <f t="shared" si="77"/>
        <v>5250</v>
      </c>
      <c r="V68" s="59"/>
      <c r="W68" s="124">
        <f t="shared" si="78"/>
        <v>0</v>
      </c>
      <c r="X68" s="57">
        <f t="shared" si="79"/>
        <v>26250</v>
      </c>
      <c r="Y68" s="202">
        <f t="shared" si="80"/>
        <v>26250</v>
      </c>
    </row>
    <row r="69" spans="1:25" s="61" customFormat="1" x14ac:dyDescent="0.25">
      <c r="A69" s="52"/>
      <c r="B69" s="52"/>
      <c r="C69" s="124">
        <v>0</v>
      </c>
      <c r="D69" s="56">
        <v>0</v>
      </c>
      <c r="E69" s="56">
        <f t="shared" si="73"/>
        <v>0</v>
      </c>
      <c r="F69" s="58"/>
      <c r="G69" s="55">
        <v>0</v>
      </c>
      <c r="H69" s="56">
        <v>0</v>
      </c>
      <c r="I69" s="57">
        <f t="shared" si="74"/>
        <v>0</v>
      </c>
      <c r="J69" s="58"/>
      <c r="K69" s="55">
        <v>0</v>
      </c>
      <c r="L69" s="57">
        <v>0</v>
      </c>
      <c r="M69" s="57">
        <f t="shared" si="75"/>
        <v>0</v>
      </c>
      <c r="N69" s="58"/>
      <c r="O69" s="55">
        <v>0</v>
      </c>
      <c r="P69" s="56">
        <v>0</v>
      </c>
      <c r="Q69" s="57">
        <f t="shared" si="76"/>
        <v>0</v>
      </c>
      <c r="R69" s="58"/>
      <c r="S69" s="55">
        <v>0</v>
      </c>
      <c r="T69" s="56">
        <v>0</v>
      </c>
      <c r="U69" s="57">
        <f t="shared" si="77"/>
        <v>0</v>
      </c>
      <c r="V69" s="59"/>
      <c r="W69" s="124">
        <f t="shared" si="78"/>
        <v>0</v>
      </c>
      <c r="X69" s="57">
        <f t="shared" si="79"/>
        <v>0</v>
      </c>
      <c r="Y69" s="84">
        <f t="shared" si="80"/>
        <v>0</v>
      </c>
    </row>
    <row r="70" spans="1:25" s="61" customFormat="1" x14ac:dyDescent="0.25">
      <c r="A70" s="52"/>
      <c r="B70" s="195" t="s">
        <v>57</v>
      </c>
      <c r="C70" s="124">
        <v>0</v>
      </c>
      <c r="D70" s="56">
        <v>0</v>
      </c>
      <c r="E70" s="56">
        <f t="shared" si="73"/>
        <v>0</v>
      </c>
      <c r="F70" s="58"/>
      <c r="G70" s="55">
        <f>18000*0</f>
        <v>0</v>
      </c>
      <c r="H70" s="57">
        <v>0</v>
      </c>
      <c r="I70" s="57">
        <f t="shared" si="74"/>
        <v>0</v>
      </c>
      <c r="J70" s="58"/>
      <c r="K70" s="55">
        <v>0</v>
      </c>
      <c r="L70" s="57">
        <v>0</v>
      </c>
      <c r="M70" s="57">
        <f t="shared" si="75"/>
        <v>0</v>
      </c>
      <c r="N70" s="58"/>
      <c r="O70" s="55">
        <v>0</v>
      </c>
      <c r="P70" s="56">
        <v>0</v>
      </c>
      <c r="Q70" s="57">
        <f t="shared" si="76"/>
        <v>0</v>
      </c>
      <c r="R70" s="58"/>
      <c r="S70" s="55">
        <v>0</v>
      </c>
      <c r="T70" s="56">
        <v>0</v>
      </c>
      <c r="U70" s="57">
        <f t="shared" si="77"/>
        <v>0</v>
      </c>
      <c r="V70" s="59"/>
      <c r="W70" s="124">
        <f t="shared" si="78"/>
        <v>0</v>
      </c>
      <c r="X70" s="57">
        <f t="shared" si="79"/>
        <v>0</v>
      </c>
      <c r="Y70" s="84">
        <f t="shared" si="80"/>
        <v>0</v>
      </c>
    </row>
    <row r="71" spans="1:25" s="61" customFormat="1" x14ac:dyDescent="0.25">
      <c r="A71" s="52"/>
      <c r="B71" s="52"/>
      <c r="C71" s="124">
        <v>0</v>
      </c>
      <c r="D71" s="56">
        <v>0</v>
      </c>
      <c r="E71" s="56">
        <f t="shared" si="73"/>
        <v>0</v>
      </c>
      <c r="F71" s="58"/>
      <c r="G71" s="55">
        <v>0</v>
      </c>
      <c r="H71" s="57">
        <v>0</v>
      </c>
      <c r="I71" s="57">
        <f t="shared" si="74"/>
        <v>0</v>
      </c>
      <c r="J71" s="58"/>
      <c r="K71" s="55">
        <v>0</v>
      </c>
      <c r="L71" s="57">
        <v>0</v>
      </c>
      <c r="M71" s="57">
        <f t="shared" si="75"/>
        <v>0</v>
      </c>
      <c r="N71" s="58"/>
      <c r="O71" s="55">
        <v>0</v>
      </c>
      <c r="P71" s="56">
        <v>0</v>
      </c>
      <c r="Q71" s="57">
        <f t="shared" si="76"/>
        <v>0</v>
      </c>
      <c r="R71" s="58"/>
      <c r="S71" s="55">
        <v>0</v>
      </c>
      <c r="T71" s="56">
        <v>0</v>
      </c>
      <c r="U71" s="57">
        <f t="shared" si="77"/>
        <v>0</v>
      </c>
      <c r="V71" s="59"/>
      <c r="W71" s="124">
        <f t="shared" si="78"/>
        <v>0</v>
      </c>
      <c r="X71" s="57">
        <f t="shared" si="79"/>
        <v>0</v>
      </c>
      <c r="Y71" s="84">
        <f t="shared" si="80"/>
        <v>0</v>
      </c>
    </row>
    <row r="72" spans="1:25" s="61" customFormat="1" x14ac:dyDescent="0.25">
      <c r="A72" s="52"/>
      <c r="B72" s="52"/>
      <c r="C72" s="124">
        <v>0</v>
      </c>
      <c r="D72" s="56">
        <v>0</v>
      </c>
      <c r="E72" s="56">
        <f t="shared" si="73"/>
        <v>0</v>
      </c>
      <c r="F72" s="58"/>
      <c r="G72" s="55">
        <v>0</v>
      </c>
      <c r="H72" s="57">
        <v>0</v>
      </c>
      <c r="I72" s="57">
        <f t="shared" si="74"/>
        <v>0</v>
      </c>
      <c r="J72" s="58"/>
      <c r="K72" s="55">
        <v>0</v>
      </c>
      <c r="L72" s="57">
        <v>0</v>
      </c>
      <c r="M72" s="57">
        <f t="shared" si="75"/>
        <v>0</v>
      </c>
      <c r="N72" s="58"/>
      <c r="O72" s="55">
        <v>0</v>
      </c>
      <c r="P72" s="56">
        <v>0</v>
      </c>
      <c r="Q72" s="57">
        <f t="shared" si="76"/>
        <v>0</v>
      </c>
      <c r="R72" s="58"/>
      <c r="S72" s="55">
        <v>0</v>
      </c>
      <c r="T72" s="57">
        <v>0</v>
      </c>
      <c r="U72" s="57">
        <f t="shared" si="77"/>
        <v>0</v>
      </c>
      <c r="V72" s="59"/>
      <c r="W72" s="124">
        <f t="shared" si="78"/>
        <v>0</v>
      </c>
      <c r="X72" s="57">
        <f t="shared" si="79"/>
        <v>0</v>
      </c>
      <c r="Y72" s="84">
        <f t="shared" si="80"/>
        <v>0</v>
      </c>
    </row>
    <row r="73" spans="1:25" s="61" customFormat="1" x14ac:dyDescent="0.25">
      <c r="A73" s="87"/>
      <c r="B73" s="54"/>
      <c r="C73" s="124">
        <v>0</v>
      </c>
      <c r="D73" s="56">
        <v>0</v>
      </c>
      <c r="E73" s="56">
        <f t="shared" si="73"/>
        <v>0</v>
      </c>
      <c r="F73" s="58"/>
      <c r="G73" s="55">
        <v>0</v>
      </c>
      <c r="H73" s="57">
        <v>0</v>
      </c>
      <c r="I73" s="57">
        <f t="shared" si="74"/>
        <v>0</v>
      </c>
      <c r="J73" s="58"/>
      <c r="K73" s="55">
        <v>0</v>
      </c>
      <c r="L73" s="57">
        <v>0</v>
      </c>
      <c r="M73" s="57">
        <f t="shared" si="75"/>
        <v>0</v>
      </c>
      <c r="N73" s="58"/>
      <c r="O73" s="55">
        <v>0</v>
      </c>
      <c r="P73" s="56">
        <v>0</v>
      </c>
      <c r="Q73" s="57">
        <f t="shared" si="76"/>
        <v>0</v>
      </c>
      <c r="R73" s="58"/>
      <c r="S73" s="55">
        <v>0</v>
      </c>
      <c r="T73" s="57">
        <v>0</v>
      </c>
      <c r="U73" s="57">
        <f t="shared" si="77"/>
        <v>0</v>
      </c>
      <c r="V73" s="59"/>
      <c r="W73" s="124">
        <f t="shared" si="78"/>
        <v>0</v>
      </c>
      <c r="X73" s="57">
        <f t="shared" si="79"/>
        <v>0</v>
      </c>
      <c r="Y73" s="84">
        <f t="shared" si="80"/>
        <v>0</v>
      </c>
    </row>
    <row r="74" spans="1:25" s="61" customFormat="1" x14ac:dyDescent="0.25">
      <c r="A74" s="87"/>
      <c r="B74" s="54"/>
      <c r="C74" s="124">
        <v>0</v>
      </c>
      <c r="D74" s="56">
        <v>0</v>
      </c>
      <c r="E74" s="56">
        <f t="shared" si="73"/>
        <v>0</v>
      </c>
      <c r="F74" s="58"/>
      <c r="G74" s="55">
        <v>0</v>
      </c>
      <c r="H74" s="57">
        <v>0</v>
      </c>
      <c r="I74" s="57">
        <f t="shared" si="74"/>
        <v>0</v>
      </c>
      <c r="J74" s="58"/>
      <c r="K74" s="55">
        <v>0</v>
      </c>
      <c r="L74" s="57">
        <v>0</v>
      </c>
      <c r="M74" s="57">
        <f t="shared" si="75"/>
        <v>0</v>
      </c>
      <c r="N74" s="58"/>
      <c r="O74" s="55">
        <v>0</v>
      </c>
      <c r="P74" s="57">
        <v>0</v>
      </c>
      <c r="Q74" s="57">
        <f t="shared" si="76"/>
        <v>0</v>
      </c>
      <c r="R74" s="58"/>
      <c r="S74" s="55">
        <v>0</v>
      </c>
      <c r="T74" s="57">
        <v>0</v>
      </c>
      <c r="U74" s="57">
        <f t="shared" si="77"/>
        <v>0</v>
      </c>
      <c r="V74" s="59"/>
      <c r="W74" s="124">
        <f t="shared" si="78"/>
        <v>0</v>
      </c>
      <c r="X74" s="57">
        <f t="shared" si="79"/>
        <v>0</v>
      </c>
      <c r="Y74" s="84">
        <f t="shared" si="80"/>
        <v>0</v>
      </c>
    </row>
    <row r="75" spans="1:25" s="61" customFormat="1" x14ac:dyDescent="0.25">
      <c r="A75" s="87"/>
      <c r="B75" s="54"/>
      <c r="C75" s="124">
        <v>0</v>
      </c>
      <c r="D75" s="56">
        <v>0</v>
      </c>
      <c r="E75" s="56">
        <f t="shared" si="73"/>
        <v>0</v>
      </c>
      <c r="F75" s="58"/>
      <c r="G75" s="55">
        <v>0</v>
      </c>
      <c r="H75" s="57">
        <v>0</v>
      </c>
      <c r="I75" s="57">
        <f t="shared" si="74"/>
        <v>0</v>
      </c>
      <c r="J75" s="58"/>
      <c r="K75" s="55">
        <v>0</v>
      </c>
      <c r="L75" s="57">
        <v>0</v>
      </c>
      <c r="M75" s="57">
        <f t="shared" si="75"/>
        <v>0</v>
      </c>
      <c r="N75" s="58"/>
      <c r="O75" s="55">
        <v>0</v>
      </c>
      <c r="P75" s="57">
        <v>0</v>
      </c>
      <c r="Q75" s="57">
        <f t="shared" si="76"/>
        <v>0</v>
      </c>
      <c r="R75" s="58"/>
      <c r="S75" s="55">
        <v>0</v>
      </c>
      <c r="T75" s="57">
        <v>0</v>
      </c>
      <c r="U75" s="57">
        <f t="shared" si="77"/>
        <v>0</v>
      </c>
      <c r="V75" s="59"/>
      <c r="W75" s="124">
        <f t="shared" si="78"/>
        <v>0</v>
      </c>
      <c r="X75" s="57">
        <f t="shared" si="79"/>
        <v>0</v>
      </c>
      <c r="Y75" s="84">
        <f t="shared" si="80"/>
        <v>0</v>
      </c>
    </row>
    <row r="76" spans="1:25" s="61" customFormat="1" x14ac:dyDescent="0.25">
      <c r="A76" s="87"/>
      <c r="B76" s="54"/>
      <c r="C76" s="124">
        <v>0</v>
      </c>
      <c r="D76" s="56">
        <v>0</v>
      </c>
      <c r="E76" s="56">
        <f t="shared" si="73"/>
        <v>0</v>
      </c>
      <c r="F76" s="58"/>
      <c r="G76" s="55">
        <v>0</v>
      </c>
      <c r="H76" s="57">
        <v>0</v>
      </c>
      <c r="I76" s="57">
        <f t="shared" si="74"/>
        <v>0</v>
      </c>
      <c r="J76" s="58"/>
      <c r="K76" s="55">
        <v>0</v>
      </c>
      <c r="L76" s="57">
        <v>0</v>
      </c>
      <c r="M76" s="57">
        <f t="shared" si="75"/>
        <v>0</v>
      </c>
      <c r="N76" s="58"/>
      <c r="O76" s="55">
        <v>0</v>
      </c>
      <c r="P76" s="57">
        <v>0</v>
      </c>
      <c r="Q76" s="57">
        <f t="shared" si="76"/>
        <v>0</v>
      </c>
      <c r="R76" s="58"/>
      <c r="S76" s="55">
        <v>0</v>
      </c>
      <c r="T76" s="57">
        <v>0</v>
      </c>
      <c r="U76" s="57">
        <f t="shared" si="77"/>
        <v>0</v>
      </c>
      <c r="V76" s="59"/>
      <c r="W76" s="124">
        <f t="shared" si="78"/>
        <v>0</v>
      </c>
      <c r="X76" s="57">
        <f t="shared" si="79"/>
        <v>0</v>
      </c>
      <c r="Y76" s="84">
        <f t="shared" si="80"/>
        <v>0</v>
      </c>
    </row>
    <row r="77" spans="1:25" s="61" customFormat="1" x14ac:dyDescent="0.25">
      <c r="A77" s="87"/>
      <c r="B77" s="54"/>
      <c r="C77" s="124">
        <v>0</v>
      </c>
      <c r="D77" s="56">
        <v>0</v>
      </c>
      <c r="E77" s="56">
        <f t="shared" si="73"/>
        <v>0</v>
      </c>
      <c r="F77" s="58"/>
      <c r="G77" s="55">
        <v>0</v>
      </c>
      <c r="H77" s="57">
        <v>0</v>
      </c>
      <c r="I77" s="57">
        <f t="shared" si="74"/>
        <v>0</v>
      </c>
      <c r="J77" s="58"/>
      <c r="K77" s="55">
        <v>0</v>
      </c>
      <c r="L77" s="57">
        <v>0</v>
      </c>
      <c r="M77" s="57">
        <f t="shared" si="75"/>
        <v>0</v>
      </c>
      <c r="N77" s="58"/>
      <c r="O77" s="55">
        <v>0</v>
      </c>
      <c r="P77" s="57">
        <v>0</v>
      </c>
      <c r="Q77" s="57">
        <f t="shared" si="76"/>
        <v>0</v>
      </c>
      <c r="R77" s="58"/>
      <c r="S77" s="55">
        <v>0</v>
      </c>
      <c r="T77" s="57">
        <v>0</v>
      </c>
      <c r="U77" s="57">
        <f t="shared" si="77"/>
        <v>0</v>
      </c>
      <c r="V77" s="59"/>
      <c r="W77" s="124">
        <f t="shared" si="78"/>
        <v>0</v>
      </c>
      <c r="X77" s="57">
        <f t="shared" si="79"/>
        <v>0</v>
      </c>
      <c r="Y77" s="84">
        <f t="shared" si="80"/>
        <v>0</v>
      </c>
    </row>
    <row r="78" spans="1:25" s="61" customFormat="1" x14ac:dyDescent="0.25">
      <c r="A78" s="87"/>
      <c r="B78" s="54"/>
      <c r="C78" s="124">
        <v>0</v>
      </c>
      <c r="D78" s="56">
        <v>0</v>
      </c>
      <c r="E78" s="56">
        <f t="shared" si="73"/>
        <v>0</v>
      </c>
      <c r="F78" s="58"/>
      <c r="G78" s="55">
        <v>0</v>
      </c>
      <c r="H78" s="57">
        <v>0</v>
      </c>
      <c r="I78" s="57">
        <f t="shared" si="74"/>
        <v>0</v>
      </c>
      <c r="J78" s="58"/>
      <c r="K78" s="55">
        <v>0</v>
      </c>
      <c r="L78" s="57">
        <v>0</v>
      </c>
      <c r="M78" s="57">
        <f t="shared" si="75"/>
        <v>0</v>
      </c>
      <c r="N78" s="58"/>
      <c r="O78" s="55">
        <v>0</v>
      </c>
      <c r="P78" s="57">
        <v>0</v>
      </c>
      <c r="Q78" s="57">
        <f t="shared" si="76"/>
        <v>0</v>
      </c>
      <c r="R78" s="58"/>
      <c r="S78" s="55">
        <v>0</v>
      </c>
      <c r="T78" s="57">
        <v>0</v>
      </c>
      <c r="U78" s="57">
        <f t="shared" si="77"/>
        <v>0</v>
      </c>
      <c r="V78" s="59"/>
      <c r="W78" s="124">
        <f t="shared" si="78"/>
        <v>0</v>
      </c>
      <c r="X78" s="57">
        <f t="shared" si="79"/>
        <v>0</v>
      </c>
      <c r="Y78" s="84">
        <f t="shared" si="80"/>
        <v>0</v>
      </c>
    </row>
    <row r="79" spans="1:25" s="61" customFormat="1" x14ac:dyDescent="0.25">
      <c r="A79" s="87"/>
      <c r="B79" s="54"/>
      <c r="C79" s="124">
        <v>0</v>
      </c>
      <c r="D79" s="56">
        <v>0</v>
      </c>
      <c r="E79" s="56">
        <f t="shared" si="73"/>
        <v>0</v>
      </c>
      <c r="F79" s="58"/>
      <c r="G79" s="55">
        <v>0</v>
      </c>
      <c r="H79" s="57">
        <v>0</v>
      </c>
      <c r="I79" s="57">
        <f t="shared" si="74"/>
        <v>0</v>
      </c>
      <c r="J79" s="58"/>
      <c r="K79" s="55">
        <v>0</v>
      </c>
      <c r="L79" s="57">
        <v>0</v>
      </c>
      <c r="M79" s="57">
        <f t="shared" si="75"/>
        <v>0</v>
      </c>
      <c r="N79" s="58"/>
      <c r="O79" s="55">
        <v>0</v>
      </c>
      <c r="P79" s="57">
        <v>0</v>
      </c>
      <c r="Q79" s="57">
        <f t="shared" si="76"/>
        <v>0</v>
      </c>
      <c r="R79" s="58"/>
      <c r="S79" s="55">
        <v>0</v>
      </c>
      <c r="T79" s="57">
        <v>0</v>
      </c>
      <c r="U79" s="57">
        <f t="shared" si="77"/>
        <v>0</v>
      </c>
      <c r="V79" s="59"/>
      <c r="W79" s="124">
        <f t="shared" si="78"/>
        <v>0</v>
      </c>
      <c r="X79" s="57">
        <f t="shared" si="79"/>
        <v>0</v>
      </c>
      <c r="Y79" s="84">
        <f t="shared" si="80"/>
        <v>0</v>
      </c>
    </row>
    <row r="80" spans="1:25" s="61" customFormat="1" x14ac:dyDescent="0.25">
      <c r="A80" s="52"/>
      <c r="B80" s="52"/>
      <c r="C80" s="124">
        <v>0</v>
      </c>
      <c r="D80" s="56">
        <v>0</v>
      </c>
      <c r="E80" s="56">
        <f t="shared" si="73"/>
        <v>0</v>
      </c>
      <c r="F80" s="58"/>
      <c r="G80" s="55">
        <v>0</v>
      </c>
      <c r="H80" s="57">
        <v>0</v>
      </c>
      <c r="I80" s="57">
        <f t="shared" si="74"/>
        <v>0</v>
      </c>
      <c r="J80" s="58"/>
      <c r="K80" s="55">
        <v>0</v>
      </c>
      <c r="L80" s="57">
        <v>0</v>
      </c>
      <c r="M80" s="57">
        <f t="shared" si="75"/>
        <v>0</v>
      </c>
      <c r="N80" s="58"/>
      <c r="O80" s="55">
        <v>0</v>
      </c>
      <c r="P80" s="57">
        <v>0</v>
      </c>
      <c r="Q80" s="57">
        <f t="shared" si="76"/>
        <v>0</v>
      </c>
      <c r="R80" s="58"/>
      <c r="S80" s="55">
        <v>0</v>
      </c>
      <c r="T80" s="57">
        <v>0</v>
      </c>
      <c r="U80" s="57">
        <f t="shared" si="77"/>
        <v>0</v>
      </c>
      <c r="V80" s="59"/>
      <c r="W80" s="124">
        <f t="shared" si="78"/>
        <v>0</v>
      </c>
      <c r="X80" s="57">
        <f t="shared" si="79"/>
        <v>0</v>
      </c>
      <c r="Y80" s="84">
        <f t="shared" si="80"/>
        <v>0</v>
      </c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73"/>
        <v>0</v>
      </c>
      <c r="F81" s="58"/>
      <c r="G81" s="55">
        <v>0</v>
      </c>
      <c r="H81" s="57">
        <v>0</v>
      </c>
      <c r="I81" s="57">
        <f t="shared" si="74"/>
        <v>0</v>
      </c>
      <c r="J81" s="58"/>
      <c r="K81" s="55">
        <v>0</v>
      </c>
      <c r="L81" s="57">
        <v>0</v>
      </c>
      <c r="M81" s="57">
        <f t="shared" si="75"/>
        <v>0</v>
      </c>
      <c r="N81" s="58"/>
      <c r="O81" s="55">
        <v>0</v>
      </c>
      <c r="P81" s="57">
        <v>0</v>
      </c>
      <c r="Q81" s="57">
        <f t="shared" si="76"/>
        <v>0</v>
      </c>
      <c r="R81" s="58"/>
      <c r="S81" s="55">
        <v>0</v>
      </c>
      <c r="T81" s="57">
        <v>0</v>
      </c>
      <c r="U81" s="57">
        <f t="shared" si="77"/>
        <v>0</v>
      </c>
      <c r="V81" s="59"/>
      <c r="W81" s="124">
        <f t="shared" si="78"/>
        <v>0</v>
      </c>
      <c r="X81" s="57">
        <f t="shared" si="79"/>
        <v>0</v>
      </c>
      <c r="Y81" s="84">
        <f t="shared" si="80"/>
        <v>0</v>
      </c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73"/>
        <v>0</v>
      </c>
      <c r="F82" s="58"/>
      <c r="G82" s="55">
        <v>0</v>
      </c>
      <c r="H82" s="57">
        <v>0</v>
      </c>
      <c r="I82" s="57">
        <f t="shared" si="74"/>
        <v>0</v>
      </c>
      <c r="J82" s="58"/>
      <c r="K82" s="55">
        <v>0</v>
      </c>
      <c r="L82" s="57">
        <v>0</v>
      </c>
      <c r="M82" s="57">
        <f t="shared" si="75"/>
        <v>0</v>
      </c>
      <c r="N82" s="58"/>
      <c r="O82" s="55">
        <v>0</v>
      </c>
      <c r="P82" s="57">
        <v>0</v>
      </c>
      <c r="Q82" s="57">
        <f t="shared" si="76"/>
        <v>0</v>
      </c>
      <c r="R82" s="58"/>
      <c r="S82" s="55">
        <v>0</v>
      </c>
      <c r="T82" s="57">
        <v>0</v>
      </c>
      <c r="U82" s="57">
        <f t="shared" si="77"/>
        <v>0</v>
      </c>
      <c r="V82" s="59"/>
      <c r="W82" s="124">
        <f t="shared" si="78"/>
        <v>0</v>
      </c>
      <c r="X82" s="57">
        <f t="shared" si="79"/>
        <v>0</v>
      </c>
      <c r="Y82" s="84">
        <f t="shared" si="80"/>
        <v>0</v>
      </c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73"/>
        <v>0</v>
      </c>
      <c r="F83" s="58"/>
      <c r="G83" s="55">
        <v>0</v>
      </c>
      <c r="H83" s="57">
        <v>0</v>
      </c>
      <c r="I83" s="57">
        <f t="shared" si="74"/>
        <v>0</v>
      </c>
      <c r="J83" s="58"/>
      <c r="K83" s="55">
        <v>0</v>
      </c>
      <c r="L83" s="57">
        <v>0</v>
      </c>
      <c r="M83" s="57">
        <f t="shared" si="75"/>
        <v>0</v>
      </c>
      <c r="N83" s="58"/>
      <c r="O83" s="55">
        <v>0</v>
      </c>
      <c r="P83" s="57">
        <v>0</v>
      </c>
      <c r="Q83" s="57">
        <f t="shared" si="76"/>
        <v>0</v>
      </c>
      <c r="R83" s="58"/>
      <c r="S83" s="55">
        <v>0</v>
      </c>
      <c r="T83" s="57">
        <v>0</v>
      </c>
      <c r="U83" s="57">
        <f t="shared" si="77"/>
        <v>0</v>
      </c>
      <c r="V83" s="59"/>
      <c r="W83" s="124">
        <f t="shared" si="78"/>
        <v>0</v>
      </c>
      <c r="X83" s="57">
        <f t="shared" si="79"/>
        <v>0</v>
      </c>
      <c r="Y83" s="84">
        <f t="shared" si="80"/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73"/>
        <v>0</v>
      </c>
      <c r="F84" s="58"/>
      <c r="G84" s="55">
        <v>0</v>
      </c>
      <c r="H84" s="57">
        <v>0</v>
      </c>
      <c r="I84" s="57">
        <f t="shared" si="74"/>
        <v>0</v>
      </c>
      <c r="J84" s="58"/>
      <c r="K84" s="55">
        <v>0</v>
      </c>
      <c r="L84" s="57">
        <v>0</v>
      </c>
      <c r="M84" s="57">
        <f t="shared" si="75"/>
        <v>0</v>
      </c>
      <c r="N84" s="58"/>
      <c r="O84" s="55">
        <v>0</v>
      </c>
      <c r="P84" s="57">
        <v>0</v>
      </c>
      <c r="Q84" s="57">
        <f t="shared" si="76"/>
        <v>0</v>
      </c>
      <c r="R84" s="58"/>
      <c r="S84" s="55">
        <v>0</v>
      </c>
      <c r="T84" s="57">
        <v>0</v>
      </c>
      <c r="U84" s="57">
        <f t="shared" si="77"/>
        <v>0</v>
      </c>
      <c r="V84" s="59"/>
      <c r="W84" s="124">
        <f t="shared" si="78"/>
        <v>0</v>
      </c>
      <c r="X84" s="57">
        <f t="shared" si="79"/>
        <v>0</v>
      </c>
      <c r="Y84" s="84">
        <f t="shared" si="80"/>
        <v>0</v>
      </c>
    </row>
    <row r="85" spans="1:77" s="83" customFormat="1" x14ac:dyDescent="0.25">
      <c r="A85" s="78"/>
      <c r="B85" s="78" t="s">
        <v>9</v>
      </c>
      <c r="C85" s="229">
        <f>SUM(C65:C84)</f>
        <v>0</v>
      </c>
      <c r="D85" s="153">
        <f>SUM(D65:D84)</f>
        <v>5250</v>
      </c>
      <c r="E85" s="153">
        <f>SUM(E65:E84)</f>
        <v>5250</v>
      </c>
      <c r="F85" s="154"/>
      <c r="G85" s="152">
        <f>SUM(G65:G84)</f>
        <v>0</v>
      </c>
      <c r="H85" s="153">
        <f>SUM(H65:H84)</f>
        <v>5250</v>
      </c>
      <c r="I85" s="153">
        <f>SUM(I65:I84)</f>
        <v>5250</v>
      </c>
      <c r="J85" s="154"/>
      <c r="K85" s="152">
        <f>SUM(K65:K84)</f>
        <v>0</v>
      </c>
      <c r="L85" s="153">
        <f>SUM(L65:L84)</f>
        <v>5250</v>
      </c>
      <c r="M85" s="153">
        <f>SUM(M65:M84)</f>
        <v>5250</v>
      </c>
      <c r="N85" s="154"/>
      <c r="O85" s="152">
        <f>SUM(O65:O84)</f>
        <v>0</v>
      </c>
      <c r="P85" s="153">
        <f>SUM(P65:P84)</f>
        <v>5250</v>
      </c>
      <c r="Q85" s="153">
        <f>SUM(Q65:Q84)</f>
        <v>5250</v>
      </c>
      <c r="R85" s="154"/>
      <c r="S85" s="152">
        <f>SUM(S65:S84)</f>
        <v>0</v>
      </c>
      <c r="T85" s="153">
        <f>SUM(T65:T84)</f>
        <v>5250</v>
      </c>
      <c r="U85" s="153">
        <f>SUM(U65:U84)</f>
        <v>5250</v>
      </c>
      <c r="V85" s="82"/>
      <c r="W85" s="228">
        <f t="shared" si="78"/>
        <v>0</v>
      </c>
      <c r="X85" s="80">
        <f t="shared" si="79"/>
        <v>26250</v>
      </c>
      <c r="Y85" s="80">
        <f t="shared" si="80"/>
        <v>26250</v>
      </c>
    </row>
    <row r="86" spans="1:77" s="97" customFormat="1" x14ac:dyDescent="0.25">
      <c r="A86" s="89" t="s">
        <v>28</v>
      </c>
      <c r="B86" s="89"/>
      <c r="C86" s="95">
        <f>C85+C63+C57+C49+C37</f>
        <v>19249.914000000001</v>
      </c>
      <c r="D86" s="95">
        <f t="shared" ref="D86:X86" si="81">D85+D63+D57+D49+D37</f>
        <v>167504.67210239999</v>
      </c>
      <c r="E86" s="95">
        <f>SUM(C86:D86)</f>
        <v>186754.58610239998</v>
      </c>
      <c r="F86" s="95"/>
      <c r="G86" s="95">
        <f t="shared" si="81"/>
        <v>19948.0327626</v>
      </c>
      <c r="H86" s="95">
        <f t="shared" si="81"/>
        <v>93303.560433877123</v>
      </c>
      <c r="I86" s="95">
        <f>SUM(G86:H86)</f>
        <v>113251.59319647713</v>
      </c>
      <c r="J86" s="95"/>
      <c r="K86" s="95">
        <f t="shared" si="81"/>
        <v>20677.181427842341</v>
      </c>
      <c r="L86" s="95">
        <f t="shared" si="81"/>
        <v>96685.019324364257</v>
      </c>
      <c r="M86" s="95">
        <f>SUM(K86:L86)</f>
        <v>117362.2007522066</v>
      </c>
      <c r="N86" s="95"/>
      <c r="O86" s="95">
        <f t="shared" si="81"/>
        <v>21438.905150897943</v>
      </c>
      <c r="P86" s="95">
        <f t="shared" si="81"/>
        <v>100217.54647308396</v>
      </c>
      <c r="Q86" s="95">
        <f>SUM(O86:P86)</f>
        <v>121656.45162398191</v>
      </c>
      <c r="R86" s="95"/>
      <c r="S86" s="95">
        <f t="shared" si="81"/>
        <v>22234.832849910628</v>
      </c>
      <c r="T86" s="95">
        <f t="shared" si="81"/>
        <v>135723.59474575554</v>
      </c>
      <c r="U86" s="95">
        <f>SUM(S86:T86)</f>
        <v>157958.42759566617</v>
      </c>
      <c r="V86" s="95"/>
      <c r="W86" s="95">
        <f t="shared" si="81"/>
        <v>103548.86619125091</v>
      </c>
      <c r="X86" s="95">
        <f t="shared" si="81"/>
        <v>593434.39307948085</v>
      </c>
      <c r="Y86" s="95">
        <f>SUM(W86:X86)</f>
        <v>696983.25927073183</v>
      </c>
      <c r="Z86" s="96"/>
      <c r="AA86" s="96">
        <f>Y86-W86</f>
        <v>593434.39307948085</v>
      </c>
    </row>
    <row r="87" spans="1:77" s="97" customFormat="1" x14ac:dyDescent="0.25">
      <c r="A87" s="89" t="s">
        <v>27</v>
      </c>
      <c r="B87" s="89"/>
      <c r="C87" s="95">
        <f>(C37+C57+C85)*0.5</f>
        <v>9624.9570000000003</v>
      </c>
      <c r="D87" s="95">
        <v>0</v>
      </c>
      <c r="E87" s="95">
        <f>SUM(C87:D87)</f>
        <v>9624.9570000000003</v>
      </c>
      <c r="F87" s="95"/>
      <c r="G87" s="95">
        <f>(G37+G57+G85)*0.5</f>
        <v>9974.0163812999999</v>
      </c>
      <c r="H87" s="95">
        <v>0</v>
      </c>
      <c r="I87" s="95">
        <f>SUM(G87:H87)</f>
        <v>9974.0163812999999</v>
      </c>
      <c r="J87" s="95"/>
      <c r="K87" s="95">
        <f>(K37+K57+K85)*0.5</f>
        <v>10338.59071392117</v>
      </c>
      <c r="L87" s="95">
        <v>0</v>
      </c>
      <c r="M87" s="95">
        <f>SUM(K87:L87)</f>
        <v>10338.59071392117</v>
      </c>
      <c r="N87" s="95"/>
      <c r="O87" s="95">
        <f>(O37+O57+O85)*0.5</f>
        <v>10719.452575448971</v>
      </c>
      <c r="P87" s="95">
        <v>0</v>
      </c>
      <c r="Q87" s="95">
        <f>SUM(O87:P87)</f>
        <v>10719.452575448971</v>
      </c>
      <c r="R87" s="95"/>
      <c r="S87" s="95">
        <f>(S37+S57+S85)*0.5</f>
        <v>11117.416424955314</v>
      </c>
      <c r="T87" s="95">
        <v>0</v>
      </c>
      <c r="U87" s="95">
        <f>SUM(S87:T87)</f>
        <v>11117.416424955314</v>
      </c>
      <c r="V87" s="95"/>
      <c r="W87" s="95">
        <f>(W37+W57+W85)*0.5</f>
        <v>51774.433095625456</v>
      </c>
      <c r="X87" s="95">
        <v>0</v>
      </c>
      <c r="Y87" s="95">
        <f>SUM(W87:X87)</f>
        <v>51774.433095625456</v>
      </c>
      <c r="Z87" s="96"/>
      <c r="AA87" s="96"/>
    </row>
    <row r="88" spans="1:77" s="97" customFormat="1" x14ac:dyDescent="0.25">
      <c r="A88" s="89" t="s">
        <v>29</v>
      </c>
      <c r="B88" s="89"/>
      <c r="C88" s="95">
        <f>SUM(C86:C87)</f>
        <v>28874.870999999999</v>
      </c>
      <c r="D88" s="95">
        <f t="shared" ref="D88:X88" si="82">SUM(D86:D87)</f>
        <v>167504.67210239999</v>
      </c>
      <c r="E88" s="95">
        <f>SUM(C88:D88)</f>
        <v>196379.54310239997</v>
      </c>
      <c r="F88" s="95"/>
      <c r="G88" s="95">
        <f t="shared" si="82"/>
        <v>29922.0491439</v>
      </c>
      <c r="H88" s="95">
        <f t="shared" si="82"/>
        <v>93303.560433877123</v>
      </c>
      <c r="I88" s="95">
        <f>SUM(G88:H88)</f>
        <v>123225.60957777713</v>
      </c>
      <c r="J88" s="95"/>
      <c r="K88" s="95">
        <f>SUM(K86:K87)</f>
        <v>31015.772141763511</v>
      </c>
      <c r="L88" s="95">
        <f t="shared" si="82"/>
        <v>96685.019324364257</v>
      </c>
      <c r="M88" s="95">
        <f>SUM(K88:L88)</f>
        <v>127700.79146612776</v>
      </c>
      <c r="N88" s="95"/>
      <c r="O88" s="95">
        <f t="shared" si="82"/>
        <v>32158.357726346912</v>
      </c>
      <c r="P88" s="95">
        <f t="shared" si="82"/>
        <v>100217.54647308396</v>
      </c>
      <c r="Q88" s="95">
        <f>SUM(O88:P88)</f>
        <v>132375.90419943086</v>
      </c>
      <c r="R88" s="95"/>
      <c r="S88" s="95">
        <f t="shared" si="82"/>
        <v>33352.249274865942</v>
      </c>
      <c r="T88" s="95">
        <f t="shared" si="82"/>
        <v>135723.59474575554</v>
      </c>
      <c r="U88" s="95">
        <f>SUM(S88:T88)</f>
        <v>169075.8440206215</v>
      </c>
      <c r="V88" s="95"/>
      <c r="W88" s="95">
        <f t="shared" si="82"/>
        <v>155323.29928687637</v>
      </c>
      <c r="X88" s="95">
        <f t="shared" si="82"/>
        <v>593434.39307948085</v>
      </c>
      <c r="Y88" s="95">
        <f>SUM(W88:X88)</f>
        <v>748757.69236635719</v>
      </c>
      <c r="Z88" s="96"/>
      <c r="AA88" s="96"/>
    </row>
    <row r="89" spans="1:77" s="158" customFormat="1" x14ac:dyDescent="0.25">
      <c r="A89" s="91"/>
      <c r="B89" s="91"/>
      <c r="C89" s="156"/>
      <c r="D89" s="156"/>
      <c r="E89" s="105"/>
      <c r="F89" s="91"/>
      <c r="G89" s="156"/>
      <c r="H89" s="156"/>
      <c r="I89" s="105"/>
      <c r="J89" s="91"/>
      <c r="K89" s="156"/>
      <c r="L89" s="156"/>
      <c r="M89" s="105"/>
      <c r="N89" s="91"/>
      <c r="O89" s="156"/>
      <c r="P89" s="156"/>
      <c r="Q89" s="105"/>
      <c r="R89" s="91"/>
      <c r="S89" s="156"/>
      <c r="T89" s="156"/>
      <c r="U89" s="105"/>
      <c r="V89" s="157"/>
      <c r="W89" s="105"/>
      <c r="X89" s="105"/>
      <c r="Y89" s="156"/>
      <c r="Z89" s="105"/>
      <c r="AA89" s="105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customFormat="1" ht="12.75" customHeight="1" x14ac:dyDescent="0.25">
      <c r="A92" s="292"/>
      <c r="B92" s="292" t="s">
        <v>262</v>
      </c>
      <c r="C92" s="293">
        <v>4575</v>
      </c>
      <c r="D92" s="294">
        <v>0</v>
      </c>
      <c r="E92" s="294">
        <f t="shared" ref="E92" si="83">SUM(C92:D92)</f>
        <v>4575</v>
      </c>
      <c r="F92" s="295"/>
      <c r="G92" s="293">
        <f t="shared" ref="G92" si="84">C92*1.03</f>
        <v>4712.25</v>
      </c>
      <c r="H92" s="294">
        <f>D92*1.05</f>
        <v>0</v>
      </c>
      <c r="I92" s="294">
        <f t="shared" ref="I92" si="85">SUM(G92:H92)</f>
        <v>4712.25</v>
      </c>
      <c r="J92" s="295"/>
      <c r="K92" s="293">
        <f t="shared" ref="K92" si="86">G92*1.03</f>
        <v>4853.6175000000003</v>
      </c>
      <c r="L92" s="294">
        <f>H92*1.05</f>
        <v>0</v>
      </c>
      <c r="M92" s="294">
        <f t="shared" ref="M92" si="87">SUM(K92:L92)</f>
        <v>4853.6175000000003</v>
      </c>
      <c r="N92" s="295"/>
      <c r="O92" s="293">
        <f t="shared" ref="O92" si="88">K92*1.03</f>
        <v>4999.2260250000008</v>
      </c>
      <c r="P92" s="294">
        <f>L92*1.05</f>
        <v>0</v>
      </c>
      <c r="Q92" s="294">
        <f t="shared" ref="Q92" si="89">SUM(O92:P92)</f>
        <v>4999.2260250000008</v>
      </c>
      <c r="R92" s="295"/>
      <c r="S92" s="293">
        <f t="shared" ref="S92" si="90">O92*1.03</f>
        <v>5149.2028057500011</v>
      </c>
      <c r="T92" s="294">
        <f>P92*1.05</f>
        <v>0</v>
      </c>
      <c r="U92" s="294">
        <f t="shared" ref="U92" si="91">SUM(S92:T92)</f>
        <v>5149.2028057500011</v>
      </c>
      <c r="V92" s="296"/>
      <c r="W92" s="293">
        <f t="shared" ref="W92:Y92" si="92">C92+G92+K92+O92+S92</f>
        <v>24289.296330750003</v>
      </c>
      <c r="X92" s="294">
        <f t="shared" si="92"/>
        <v>0</v>
      </c>
      <c r="Y92" s="294">
        <f t="shared" si="92"/>
        <v>24289.296330750003</v>
      </c>
      <c r="Z92" s="292"/>
      <c r="AA92" s="292"/>
      <c r="AB92" s="292"/>
      <c r="AC92" s="292"/>
      <c r="AD92" s="292"/>
      <c r="AE92" s="292"/>
      <c r="AF92" s="292"/>
      <c r="AG92" s="292"/>
      <c r="AH92" s="292"/>
      <c r="AI92" s="292"/>
      <c r="AJ92" s="292"/>
      <c r="AK92" s="292"/>
      <c r="AL92" s="292"/>
      <c r="AM92" s="292"/>
      <c r="AN92" s="292"/>
      <c r="AO92" s="292"/>
      <c r="AP92" s="292"/>
      <c r="AQ92" s="292"/>
      <c r="AR92" s="292"/>
      <c r="AS92" s="292"/>
      <c r="AT92" s="292"/>
    </row>
    <row r="93" spans="1:77" s="61" customFormat="1" x14ac:dyDescent="0.25">
      <c r="A93" s="52"/>
      <c r="B93" s="84"/>
      <c r="C93" s="124">
        <v>0</v>
      </c>
      <c r="D93" s="56">
        <v>0</v>
      </c>
      <c r="E93" s="56">
        <f t="shared" ref="E93:E98" si="93">SUM(C93:D93)</f>
        <v>0</v>
      </c>
      <c r="F93" s="58"/>
      <c r="G93" s="55">
        <f t="shared" ref="G93:G98" si="94">C93*1.05</f>
        <v>0</v>
      </c>
      <c r="H93" s="57">
        <f t="shared" ref="H93:H98" si="95">D93*1.05</f>
        <v>0</v>
      </c>
      <c r="I93" s="57">
        <f t="shared" ref="I93:I98" si="96">SUM(G93:H93)</f>
        <v>0</v>
      </c>
      <c r="J93" s="58"/>
      <c r="K93" s="55">
        <f t="shared" ref="K93:K98" si="97">G93*1.05</f>
        <v>0</v>
      </c>
      <c r="L93" s="57">
        <f t="shared" ref="L93:L98" si="98">H93*1.05</f>
        <v>0</v>
      </c>
      <c r="M93" s="57">
        <f t="shared" ref="M93:M98" si="99">SUM(K93:L93)</f>
        <v>0</v>
      </c>
      <c r="N93" s="58"/>
      <c r="O93" s="55">
        <f t="shared" ref="O93:O98" si="100">K93*1.05</f>
        <v>0</v>
      </c>
      <c r="P93" s="57">
        <f t="shared" ref="P93:P98" si="101">L93*1.05</f>
        <v>0</v>
      </c>
      <c r="Q93" s="57">
        <f t="shared" ref="Q93:Q98" si="102">SUM(O93:P93)</f>
        <v>0</v>
      </c>
      <c r="R93" s="58"/>
      <c r="S93" s="55">
        <f t="shared" ref="S93:S98" si="103">O93*1.05</f>
        <v>0</v>
      </c>
      <c r="T93" s="57">
        <f t="shared" ref="T93:T98" si="104">P93*1.05</f>
        <v>0</v>
      </c>
      <c r="U93" s="57">
        <f t="shared" ref="U93:U98" si="105">SUM(S93:T93)</f>
        <v>0</v>
      </c>
      <c r="V93" s="59"/>
      <c r="W93" s="124">
        <f t="shared" ref="W93:Y99" si="106">C93+G93+K93+O93+S93</f>
        <v>0</v>
      </c>
      <c r="X93" s="57">
        <f t="shared" si="106"/>
        <v>0</v>
      </c>
      <c r="Y93" s="84">
        <f t="shared" si="106"/>
        <v>0</v>
      </c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</row>
    <row r="94" spans="1:77" s="61" customFormat="1" x14ac:dyDescent="0.25">
      <c r="A94" s="52"/>
      <c r="B94" s="52"/>
      <c r="C94" s="124">
        <v>0</v>
      </c>
      <c r="D94" s="56">
        <v>0</v>
      </c>
      <c r="E94" s="56">
        <f t="shared" si="93"/>
        <v>0</v>
      </c>
      <c r="F94" s="58"/>
      <c r="G94" s="55">
        <f t="shared" si="94"/>
        <v>0</v>
      </c>
      <c r="H94" s="57">
        <f t="shared" si="95"/>
        <v>0</v>
      </c>
      <c r="I94" s="57">
        <f t="shared" si="96"/>
        <v>0</v>
      </c>
      <c r="J94" s="58"/>
      <c r="K94" s="55">
        <f t="shared" si="97"/>
        <v>0</v>
      </c>
      <c r="L94" s="57">
        <f t="shared" si="98"/>
        <v>0</v>
      </c>
      <c r="M94" s="57">
        <f t="shared" si="99"/>
        <v>0</v>
      </c>
      <c r="N94" s="58"/>
      <c r="O94" s="55">
        <f t="shared" si="100"/>
        <v>0</v>
      </c>
      <c r="P94" s="57">
        <f t="shared" si="101"/>
        <v>0</v>
      </c>
      <c r="Q94" s="57">
        <f t="shared" si="102"/>
        <v>0</v>
      </c>
      <c r="R94" s="58"/>
      <c r="S94" s="55">
        <f t="shared" si="103"/>
        <v>0</v>
      </c>
      <c r="T94" s="57">
        <f t="shared" si="104"/>
        <v>0</v>
      </c>
      <c r="U94" s="57">
        <f t="shared" si="105"/>
        <v>0</v>
      </c>
      <c r="V94" s="59"/>
      <c r="W94" s="124">
        <f t="shared" si="106"/>
        <v>0</v>
      </c>
      <c r="X94" s="57">
        <f t="shared" si="106"/>
        <v>0</v>
      </c>
      <c r="Y94" s="84">
        <f t="shared" si="106"/>
        <v>0</v>
      </c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</row>
    <row r="95" spans="1:77" s="61" customFormat="1" x14ac:dyDescent="0.25">
      <c r="A95" s="52"/>
      <c r="B95" s="52"/>
      <c r="C95" s="124">
        <v>0</v>
      </c>
      <c r="D95" s="56">
        <v>0</v>
      </c>
      <c r="E95" s="56">
        <f t="shared" si="93"/>
        <v>0</v>
      </c>
      <c r="F95" s="58"/>
      <c r="G95" s="55">
        <f t="shared" si="94"/>
        <v>0</v>
      </c>
      <c r="H95" s="57">
        <f t="shared" si="95"/>
        <v>0</v>
      </c>
      <c r="I95" s="57">
        <f t="shared" si="96"/>
        <v>0</v>
      </c>
      <c r="J95" s="58"/>
      <c r="K95" s="55">
        <f t="shared" si="97"/>
        <v>0</v>
      </c>
      <c r="L95" s="57">
        <f t="shared" si="98"/>
        <v>0</v>
      </c>
      <c r="M95" s="57">
        <f t="shared" si="99"/>
        <v>0</v>
      </c>
      <c r="N95" s="58"/>
      <c r="O95" s="55">
        <f t="shared" si="100"/>
        <v>0</v>
      </c>
      <c r="P95" s="57">
        <f t="shared" si="101"/>
        <v>0</v>
      </c>
      <c r="Q95" s="57">
        <f t="shared" si="102"/>
        <v>0</v>
      </c>
      <c r="R95" s="58"/>
      <c r="S95" s="55">
        <f t="shared" si="103"/>
        <v>0</v>
      </c>
      <c r="T95" s="57">
        <f t="shared" si="104"/>
        <v>0</v>
      </c>
      <c r="U95" s="57">
        <f t="shared" si="105"/>
        <v>0</v>
      </c>
      <c r="V95" s="59"/>
      <c r="W95" s="124">
        <f t="shared" si="106"/>
        <v>0</v>
      </c>
      <c r="X95" s="57">
        <f t="shared" si="106"/>
        <v>0</v>
      </c>
      <c r="Y95" s="84">
        <f t="shared" si="106"/>
        <v>0</v>
      </c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</row>
    <row r="96" spans="1:77" s="61" customFormat="1" x14ac:dyDescent="0.25">
      <c r="A96" s="52"/>
      <c r="B96" s="52"/>
      <c r="C96" s="124">
        <v>0</v>
      </c>
      <c r="D96" s="56">
        <v>0</v>
      </c>
      <c r="E96" s="56">
        <f t="shared" si="93"/>
        <v>0</v>
      </c>
      <c r="F96" s="58"/>
      <c r="G96" s="55">
        <f t="shared" si="94"/>
        <v>0</v>
      </c>
      <c r="H96" s="57">
        <f t="shared" si="95"/>
        <v>0</v>
      </c>
      <c r="I96" s="57">
        <f t="shared" si="96"/>
        <v>0</v>
      </c>
      <c r="J96" s="58"/>
      <c r="K96" s="55">
        <f t="shared" si="97"/>
        <v>0</v>
      </c>
      <c r="L96" s="57">
        <f t="shared" si="98"/>
        <v>0</v>
      </c>
      <c r="M96" s="57">
        <f t="shared" si="99"/>
        <v>0</v>
      </c>
      <c r="N96" s="58"/>
      <c r="O96" s="55">
        <f t="shared" si="100"/>
        <v>0</v>
      </c>
      <c r="P96" s="57">
        <f t="shared" si="101"/>
        <v>0</v>
      </c>
      <c r="Q96" s="57">
        <f t="shared" si="102"/>
        <v>0</v>
      </c>
      <c r="R96" s="58"/>
      <c r="S96" s="55">
        <f t="shared" si="103"/>
        <v>0</v>
      </c>
      <c r="T96" s="57">
        <f t="shared" si="104"/>
        <v>0</v>
      </c>
      <c r="U96" s="57">
        <f t="shared" si="105"/>
        <v>0</v>
      </c>
      <c r="V96" s="59"/>
      <c r="W96" s="124">
        <f t="shared" si="106"/>
        <v>0</v>
      </c>
      <c r="X96" s="57">
        <f t="shared" si="106"/>
        <v>0</v>
      </c>
      <c r="Y96" s="84">
        <f t="shared" si="106"/>
        <v>0</v>
      </c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</row>
    <row r="97" spans="1:77" s="61" customFormat="1" x14ac:dyDescent="0.25">
      <c r="A97" s="52"/>
      <c r="B97" s="52"/>
      <c r="C97" s="124">
        <v>0</v>
      </c>
      <c r="D97" s="56">
        <v>0</v>
      </c>
      <c r="E97" s="56">
        <f t="shared" si="93"/>
        <v>0</v>
      </c>
      <c r="F97" s="58"/>
      <c r="G97" s="55">
        <f t="shared" si="94"/>
        <v>0</v>
      </c>
      <c r="H97" s="57">
        <f t="shared" si="95"/>
        <v>0</v>
      </c>
      <c r="I97" s="57">
        <f t="shared" si="96"/>
        <v>0</v>
      </c>
      <c r="J97" s="58"/>
      <c r="K97" s="55">
        <f t="shared" si="97"/>
        <v>0</v>
      </c>
      <c r="L97" s="57">
        <f t="shared" si="98"/>
        <v>0</v>
      </c>
      <c r="M97" s="57">
        <f t="shared" si="99"/>
        <v>0</v>
      </c>
      <c r="N97" s="58"/>
      <c r="O97" s="55">
        <f t="shared" si="100"/>
        <v>0</v>
      </c>
      <c r="P97" s="57">
        <f t="shared" si="101"/>
        <v>0</v>
      </c>
      <c r="Q97" s="57">
        <f t="shared" si="102"/>
        <v>0</v>
      </c>
      <c r="R97" s="58"/>
      <c r="S97" s="55">
        <f t="shared" si="103"/>
        <v>0</v>
      </c>
      <c r="T97" s="57">
        <f t="shared" si="104"/>
        <v>0</v>
      </c>
      <c r="U97" s="57">
        <f t="shared" si="105"/>
        <v>0</v>
      </c>
      <c r="V97" s="59"/>
      <c r="W97" s="124">
        <f t="shared" si="106"/>
        <v>0</v>
      </c>
      <c r="X97" s="57">
        <f t="shared" si="106"/>
        <v>0</v>
      </c>
      <c r="Y97" s="84">
        <f t="shared" si="106"/>
        <v>0</v>
      </c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</row>
    <row r="98" spans="1:77" s="61" customFormat="1" x14ac:dyDescent="0.25">
      <c r="A98" s="52"/>
      <c r="B98" s="52"/>
      <c r="C98" s="124">
        <v>0</v>
      </c>
      <c r="D98" s="56">
        <v>0</v>
      </c>
      <c r="E98" s="56">
        <f t="shared" si="93"/>
        <v>0</v>
      </c>
      <c r="F98" s="58"/>
      <c r="G98" s="55">
        <f t="shared" si="94"/>
        <v>0</v>
      </c>
      <c r="H98" s="57">
        <f t="shared" si="95"/>
        <v>0</v>
      </c>
      <c r="I98" s="57">
        <f t="shared" si="96"/>
        <v>0</v>
      </c>
      <c r="J98" s="58"/>
      <c r="K98" s="55">
        <f t="shared" si="97"/>
        <v>0</v>
      </c>
      <c r="L98" s="57">
        <f t="shared" si="98"/>
        <v>0</v>
      </c>
      <c r="M98" s="57">
        <f t="shared" si="99"/>
        <v>0</v>
      </c>
      <c r="N98" s="58"/>
      <c r="O98" s="55">
        <f t="shared" si="100"/>
        <v>0</v>
      </c>
      <c r="P98" s="57">
        <f t="shared" si="101"/>
        <v>0</v>
      </c>
      <c r="Q98" s="57">
        <f t="shared" si="102"/>
        <v>0</v>
      </c>
      <c r="R98" s="58"/>
      <c r="S98" s="55">
        <f t="shared" si="103"/>
        <v>0</v>
      </c>
      <c r="T98" s="57">
        <f t="shared" si="104"/>
        <v>0</v>
      </c>
      <c r="U98" s="57">
        <f t="shared" si="105"/>
        <v>0</v>
      </c>
      <c r="V98" s="59"/>
      <c r="W98" s="124">
        <f t="shared" si="106"/>
        <v>0</v>
      </c>
      <c r="X98" s="57">
        <f t="shared" si="106"/>
        <v>0</v>
      </c>
      <c r="Y98" s="84">
        <f t="shared" si="106"/>
        <v>0</v>
      </c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</row>
    <row r="99" spans="1:77" s="83" customFormat="1" x14ac:dyDescent="0.25">
      <c r="A99" s="78"/>
      <c r="B99" s="78" t="s">
        <v>9</v>
      </c>
      <c r="C99" s="228">
        <f>SUM(C92:C98)</f>
        <v>4575</v>
      </c>
      <c r="D99" s="125">
        <f>SUM(D92:D98)</f>
        <v>0</v>
      </c>
      <c r="E99" s="125">
        <f>SUM(E92:E98)</f>
        <v>4575</v>
      </c>
      <c r="F99" s="81"/>
      <c r="G99" s="79">
        <f>SUM(G92:G98)</f>
        <v>4712.25</v>
      </c>
      <c r="H99" s="80">
        <f>SUM(H92:H98)</f>
        <v>0</v>
      </c>
      <c r="I99" s="80">
        <f>SUM(I92:I98)</f>
        <v>4712.25</v>
      </c>
      <c r="J99" s="81"/>
      <c r="K99" s="79">
        <f>SUM(K92:K98)</f>
        <v>4853.6175000000003</v>
      </c>
      <c r="L99" s="80">
        <f>SUM(L92:L98)</f>
        <v>0</v>
      </c>
      <c r="M99" s="80">
        <f>SUM(M92:M98)</f>
        <v>4853.6175000000003</v>
      </c>
      <c r="N99" s="81"/>
      <c r="O99" s="79">
        <f>SUM(O92:O98)</f>
        <v>4999.2260250000008</v>
      </c>
      <c r="P99" s="80">
        <f>SUM(P92:P98)</f>
        <v>0</v>
      </c>
      <c r="Q99" s="80">
        <f>SUM(Q92:Q98)</f>
        <v>4999.2260250000008</v>
      </c>
      <c r="R99" s="81"/>
      <c r="S99" s="79">
        <f>SUM(S92:S98)</f>
        <v>5149.2028057500011</v>
      </c>
      <c r="T99" s="80">
        <f>SUM(T92:T98)</f>
        <v>0</v>
      </c>
      <c r="U99" s="80">
        <f>SUM(U92:U98)</f>
        <v>5149.2028057500011</v>
      </c>
      <c r="V99" s="82"/>
      <c r="W99" s="228">
        <f t="shared" si="106"/>
        <v>24289.296330750003</v>
      </c>
      <c r="X99" s="80">
        <f t="shared" si="106"/>
        <v>0</v>
      </c>
      <c r="Y99" s="80">
        <f t="shared" si="106"/>
        <v>24289.296330750003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s="61" customFormat="1" x14ac:dyDescent="0.25">
      <c r="A101" s="52"/>
      <c r="B101" s="52" t="s">
        <v>57</v>
      </c>
      <c r="C101" s="124">
        <v>0</v>
      </c>
      <c r="D101" s="56">
        <v>0</v>
      </c>
      <c r="E101" s="56">
        <f t="shared" ref="E101" si="107">SUM(C101:D101)</f>
        <v>0</v>
      </c>
      <c r="F101" s="58"/>
      <c r="G101" s="55">
        <f t="shared" ref="G101" si="108">C101*1.03</f>
        <v>0</v>
      </c>
      <c r="H101" s="56">
        <f t="shared" ref="H101:H102" si="109">D101*1.03</f>
        <v>0</v>
      </c>
      <c r="I101" s="57">
        <f t="shared" ref="I101" si="110">SUM(G101:H101)</f>
        <v>0</v>
      </c>
      <c r="J101" s="58"/>
      <c r="K101" s="55">
        <f t="shared" ref="K101:K102" si="111">G101*1.03</f>
        <v>0</v>
      </c>
      <c r="L101" s="56">
        <f t="shared" ref="L101:L102" si="112">H101*1.03</f>
        <v>0</v>
      </c>
      <c r="M101" s="57">
        <f t="shared" ref="M101" si="113">SUM(K101:L101)</f>
        <v>0</v>
      </c>
      <c r="N101" s="58"/>
      <c r="O101" s="55">
        <f t="shared" ref="O101:O102" si="114">K101*1.03</f>
        <v>0</v>
      </c>
      <c r="P101" s="56">
        <f t="shared" ref="P101:P102" si="115">L101*1.03</f>
        <v>0</v>
      </c>
      <c r="Q101" s="57">
        <f t="shared" ref="Q101" si="116">SUM(O101:P101)</f>
        <v>0</v>
      </c>
      <c r="R101" s="58"/>
      <c r="S101" s="55">
        <f>(O101*1.03)</f>
        <v>0</v>
      </c>
      <c r="T101" s="56">
        <f t="shared" ref="T101:T102" si="117">P101*1.03</f>
        <v>0</v>
      </c>
      <c r="U101" s="57">
        <f t="shared" ref="U101" si="118">SUM(S101:T101)</f>
        <v>0</v>
      </c>
      <c r="V101" s="59"/>
      <c r="W101" s="124">
        <f t="shared" ref="W101:W102" si="119">C101+G101+K101+O101+S101</f>
        <v>0</v>
      </c>
      <c r="X101" s="57">
        <f t="shared" ref="X101:X102" si="120">D101+H101+L101+P101+T101</f>
        <v>0</v>
      </c>
      <c r="Y101" s="84">
        <f t="shared" ref="Y101:Y102" si="121">E101+I101+M101+Q101+U101</f>
        <v>0</v>
      </c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</row>
    <row r="102" spans="1:77" s="61" customFormat="1" x14ac:dyDescent="0.25">
      <c r="A102" s="54" t="s">
        <v>57</v>
      </c>
      <c r="B102" s="54" t="s">
        <v>154</v>
      </c>
      <c r="C102" s="124">
        <f>12390</f>
        <v>12390</v>
      </c>
      <c r="D102" s="56">
        <v>0</v>
      </c>
      <c r="E102" s="56">
        <f t="shared" ref="E102" si="122">SUM(C102:D102)</f>
        <v>12390</v>
      </c>
      <c r="F102" s="58"/>
      <c r="G102" s="55">
        <f>C102*1.03</f>
        <v>12761.7</v>
      </c>
      <c r="H102" s="57">
        <f t="shared" si="109"/>
        <v>0</v>
      </c>
      <c r="I102" s="57">
        <f t="shared" ref="I102" si="123">SUM(G102:H102)</f>
        <v>12761.7</v>
      </c>
      <c r="J102" s="58"/>
      <c r="K102" s="55">
        <f t="shared" si="111"/>
        <v>13144.551000000001</v>
      </c>
      <c r="L102" s="57">
        <f t="shared" si="112"/>
        <v>0</v>
      </c>
      <c r="M102" s="57">
        <f t="shared" ref="M102" si="124">SUM(K102:L102)</f>
        <v>13144.551000000001</v>
      </c>
      <c r="N102" s="58"/>
      <c r="O102" s="55">
        <f t="shared" si="114"/>
        <v>13538.887530000002</v>
      </c>
      <c r="P102" s="57">
        <f t="shared" si="115"/>
        <v>0</v>
      </c>
      <c r="Q102" s="57">
        <f t="shared" ref="Q102" si="125">SUM(O102:P102)</f>
        <v>13538.887530000002</v>
      </c>
      <c r="R102" s="58"/>
      <c r="S102" s="55">
        <f t="shared" ref="S102" si="126">((O102)*1.03)</f>
        <v>13945.054155900003</v>
      </c>
      <c r="T102" s="57">
        <f t="shared" si="117"/>
        <v>0</v>
      </c>
      <c r="U102" s="57">
        <f t="shared" ref="U102" si="127">SUM(S102:T102)</f>
        <v>13945.054155900003</v>
      </c>
      <c r="V102" s="59"/>
      <c r="W102" s="124">
        <f t="shared" si="119"/>
        <v>65780.192685900009</v>
      </c>
      <c r="X102" s="57">
        <f t="shared" si="120"/>
        <v>0</v>
      </c>
      <c r="Y102" s="84">
        <f t="shared" si="121"/>
        <v>65780.192685900009</v>
      </c>
      <c r="Z102" s="202">
        <f>X102+X116</f>
        <v>0</v>
      </c>
    </row>
    <row r="103" spans="1:77" s="61" customFormat="1" x14ac:dyDescent="0.25">
      <c r="A103" s="52"/>
      <c r="B103" s="54" t="s">
        <v>57</v>
      </c>
      <c r="C103" s="124">
        <v>0</v>
      </c>
      <c r="D103" s="56">
        <v>0</v>
      </c>
      <c r="E103" s="56">
        <f t="shared" ref="E103:E111" si="128">SUM(C103:D103)</f>
        <v>0</v>
      </c>
      <c r="F103" s="58"/>
      <c r="G103" s="55">
        <f t="shared" ref="G103:G111" si="129">C103*1.03</f>
        <v>0</v>
      </c>
      <c r="H103" s="56">
        <f t="shared" ref="H103:H111" si="130">D103*1.03</f>
        <v>0</v>
      </c>
      <c r="I103" s="57">
        <f t="shared" ref="I103:I111" si="131">SUM(G103:H103)</f>
        <v>0</v>
      </c>
      <c r="J103" s="58"/>
      <c r="K103" s="55">
        <f t="shared" ref="K103:K111" si="132">G103*1.03</f>
        <v>0</v>
      </c>
      <c r="L103" s="56">
        <f t="shared" ref="L103:L111" si="133">H103*1.03</f>
        <v>0</v>
      </c>
      <c r="M103" s="57">
        <f t="shared" ref="M103:M111" si="134">SUM(K103:L103)</f>
        <v>0</v>
      </c>
      <c r="N103" s="58"/>
      <c r="O103" s="55">
        <f t="shared" ref="O103:O111" si="135">K103*1.03</f>
        <v>0</v>
      </c>
      <c r="P103" s="56">
        <f t="shared" ref="P103:P111" si="136">L103*1.03</f>
        <v>0</v>
      </c>
      <c r="Q103" s="57">
        <f t="shared" ref="Q103:Q111" si="137">SUM(O103:P103)</f>
        <v>0</v>
      </c>
      <c r="R103" s="58"/>
      <c r="S103" s="55">
        <f t="shared" ref="S103:S111" si="138">O103*1.03</f>
        <v>0</v>
      </c>
      <c r="T103" s="56">
        <f t="shared" ref="T103:T111" si="139">P103*1.03</f>
        <v>0</v>
      </c>
      <c r="U103" s="57">
        <f t="shared" ref="U103:U111" si="140">SUM(S103:T103)</f>
        <v>0</v>
      </c>
      <c r="V103" s="59"/>
      <c r="W103" s="124">
        <f t="shared" ref="W103:W112" si="141">C103+G103+K103+O103+S103</f>
        <v>0</v>
      </c>
      <c r="X103" s="57">
        <f t="shared" ref="X103:X112" si="142">D103+H103+L103+P103+T103</f>
        <v>0</v>
      </c>
      <c r="Y103" s="84">
        <f t="shared" ref="Y103:Y112" si="143">E103+I103+M103+Q103+U103</f>
        <v>0</v>
      </c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</row>
    <row r="104" spans="1:77" s="61" customFormat="1" x14ac:dyDescent="0.25">
      <c r="A104" s="52"/>
      <c r="B104" s="52"/>
      <c r="C104" s="124">
        <v>0</v>
      </c>
      <c r="D104" s="56">
        <v>0</v>
      </c>
      <c r="E104" s="56">
        <f t="shared" si="128"/>
        <v>0</v>
      </c>
      <c r="F104" s="58"/>
      <c r="G104" s="55">
        <f t="shared" si="129"/>
        <v>0</v>
      </c>
      <c r="H104" s="56">
        <f t="shared" si="130"/>
        <v>0</v>
      </c>
      <c r="I104" s="57">
        <f t="shared" si="131"/>
        <v>0</v>
      </c>
      <c r="J104" s="58"/>
      <c r="K104" s="55">
        <f t="shared" si="132"/>
        <v>0</v>
      </c>
      <c r="L104" s="56">
        <f t="shared" si="133"/>
        <v>0</v>
      </c>
      <c r="M104" s="57">
        <f t="shared" si="134"/>
        <v>0</v>
      </c>
      <c r="N104" s="58"/>
      <c r="O104" s="55">
        <f t="shared" si="135"/>
        <v>0</v>
      </c>
      <c r="P104" s="56">
        <f t="shared" si="136"/>
        <v>0</v>
      </c>
      <c r="Q104" s="57">
        <f t="shared" si="137"/>
        <v>0</v>
      </c>
      <c r="R104" s="58"/>
      <c r="S104" s="55">
        <f t="shared" si="138"/>
        <v>0</v>
      </c>
      <c r="T104" s="56">
        <f t="shared" si="139"/>
        <v>0</v>
      </c>
      <c r="U104" s="57">
        <f t="shared" si="140"/>
        <v>0</v>
      </c>
      <c r="V104" s="59"/>
      <c r="W104" s="124">
        <f t="shared" si="141"/>
        <v>0</v>
      </c>
      <c r="X104" s="57">
        <f t="shared" si="142"/>
        <v>0</v>
      </c>
      <c r="Y104" s="84">
        <f t="shared" si="143"/>
        <v>0</v>
      </c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s="61" customFormat="1" x14ac:dyDescent="0.25">
      <c r="A105" s="87"/>
      <c r="B105" s="52"/>
      <c r="C105" s="124">
        <v>0</v>
      </c>
      <c r="D105" s="56">
        <v>0</v>
      </c>
      <c r="E105" s="56">
        <f t="shared" si="128"/>
        <v>0</v>
      </c>
      <c r="F105" s="58"/>
      <c r="G105" s="55">
        <f t="shared" si="129"/>
        <v>0</v>
      </c>
      <c r="H105" s="56">
        <f t="shared" si="130"/>
        <v>0</v>
      </c>
      <c r="I105" s="57">
        <f t="shared" si="131"/>
        <v>0</v>
      </c>
      <c r="J105" s="58"/>
      <c r="K105" s="55">
        <f t="shared" si="132"/>
        <v>0</v>
      </c>
      <c r="L105" s="56">
        <f t="shared" si="133"/>
        <v>0</v>
      </c>
      <c r="M105" s="57">
        <f t="shared" si="134"/>
        <v>0</v>
      </c>
      <c r="N105" s="58"/>
      <c r="O105" s="55">
        <f t="shared" si="135"/>
        <v>0</v>
      </c>
      <c r="P105" s="56">
        <f t="shared" si="136"/>
        <v>0</v>
      </c>
      <c r="Q105" s="57">
        <f t="shared" si="137"/>
        <v>0</v>
      </c>
      <c r="R105" s="58"/>
      <c r="S105" s="55">
        <f t="shared" si="138"/>
        <v>0</v>
      </c>
      <c r="T105" s="56">
        <f t="shared" si="139"/>
        <v>0</v>
      </c>
      <c r="U105" s="57">
        <f t="shared" si="140"/>
        <v>0</v>
      </c>
      <c r="V105" s="59"/>
      <c r="W105" s="124">
        <f t="shared" si="141"/>
        <v>0</v>
      </c>
      <c r="X105" s="57">
        <f t="shared" si="142"/>
        <v>0</v>
      </c>
      <c r="Y105" s="84">
        <f t="shared" si="143"/>
        <v>0</v>
      </c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s="61" customFormat="1" x14ac:dyDescent="0.25">
      <c r="A106" s="87"/>
      <c r="B106" s="52"/>
      <c r="C106" s="124">
        <v>0</v>
      </c>
      <c r="D106" s="56">
        <v>0</v>
      </c>
      <c r="E106" s="56">
        <f t="shared" si="128"/>
        <v>0</v>
      </c>
      <c r="F106" s="58"/>
      <c r="G106" s="55">
        <f t="shared" si="129"/>
        <v>0</v>
      </c>
      <c r="H106" s="56">
        <f t="shared" si="130"/>
        <v>0</v>
      </c>
      <c r="I106" s="57">
        <f t="shared" si="131"/>
        <v>0</v>
      </c>
      <c r="J106" s="58"/>
      <c r="K106" s="55">
        <f t="shared" si="132"/>
        <v>0</v>
      </c>
      <c r="L106" s="56">
        <f t="shared" si="133"/>
        <v>0</v>
      </c>
      <c r="M106" s="57">
        <f t="shared" si="134"/>
        <v>0</v>
      </c>
      <c r="N106" s="58"/>
      <c r="O106" s="55">
        <f t="shared" si="135"/>
        <v>0</v>
      </c>
      <c r="P106" s="56">
        <f t="shared" si="136"/>
        <v>0</v>
      </c>
      <c r="Q106" s="57">
        <f t="shared" si="137"/>
        <v>0</v>
      </c>
      <c r="R106" s="58"/>
      <c r="S106" s="55">
        <f t="shared" si="138"/>
        <v>0</v>
      </c>
      <c r="T106" s="56">
        <f t="shared" si="139"/>
        <v>0</v>
      </c>
      <c r="U106" s="57">
        <f t="shared" si="140"/>
        <v>0</v>
      </c>
      <c r="V106" s="59"/>
      <c r="W106" s="124">
        <f t="shared" si="141"/>
        <v>0</v>
      </c>
      <c r="X106" s="57">
        <f t="shared" si="142"/>
        <v>0</v>
      </c>
      <c r="Y106" s="84">
        <f t="shared" si="143"/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2"/>
      <c r="C107" s="124">
        <v>0</v>
      </c>
      <c r="D107" s="56">
        <v>0</v>
      </c>
      <c r="E107" s="56">
        <f t="shared" si="128"/>
        <v>0</v>
      </c>
      <c r="F107" s="58"/>
      <c r="G107" s="55">
        <f t="shared" si="129"/>
        <v>0</v>
      </c>
      <c r="H107" s="56">
        <f t="shared" si="130"/>
        <v>0</v>
      </c>
      <c r="I107" s="57">
        <f t="shared" si="131"/>
        <v>0</v>
      </c>
      <c r="J107" s="58"/>
      <c r="K107" s="55">
        <f t="shared" si="132"/>
        <v>0</v>
      </c>
      <c r="L107" s="56">
        <f t="shared" si="133"/>
        <v>0</v>
      </c>
      <c r="M107" s="57">
        <f t="shared" si="134"/>
        <v>0</v>
      </c>
      <c r="N107" s="58"/>
      <c r="O107" s="55">
        <f t="shared" si="135"/>
        <v>0</v>
      </c>
      <c r="P107" s="56">
        <f t="shared" si="136"/>
        <v>0</v>
      </c>
      <c r="Q107" s="57">
        <f t="shared" si="137"/>
        <v>0</v>
      </c>
      <c r="R107" s="58"/>
      <c r="S107" s="55">
        <f t="shared" si="138"/>
        <v>0</v>
      </c>
      <c r="T107" s="56">
        <f t="shared" si="139"/>
        <v>0</v>
      </c>
      <c r="U107" s="57">
        <f t="shared" si="140"/>
        <v>0</v>
      </c>
      <c r="V107" s="59"/>
      <c r="W107" s="124">
        <f t="shared" si="141"/>
        <v>0</v>
      </c>
      <c r="X107" s="57">
        <f t="shared" si="142"/>
        <v>0</v>
      </c>
      <c r="Y107" s="84">
        <f t="shared" si="143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52"/>
      <c r="B108" s="54"/>
      <c r="C108" s="124">
        <v>0</v>
      </c>
      <c r="D108" s="56">
        <v>0</v>
      </c>
      <c r="E108" s="56">
        <f t="shared" si="128"/>
        <v>0</v>
      </c>
      <c r="F108" s="58"/>
      <c r="G108" s="55">
        <f t="shared" si="129"/>
        <v>0</v>
      </c>
      <c r="H108" s="56">
        <f t="shared" si="130"/>
        <v>0</v>
      </c>
      <c r="I108" s="57">
        <f t="shared" si="131"/>
        <v>0</v>
      </c>
      <c r="J108" s="58"/>
      <c r="K108" s="55">
        <f t="shared" si="132"/>
        <v>0</v>
      </c>
      <c r="L108" s="56">
        <f t="shared" si="133"/>
        <v>0</v>
      </c>
      <c r="M108" s="57">
        <f t="shared" si="134"/>
        <v>0</v>
      </c>
      <c r="N108" s="58"/>
      <c r="O108" s="55">
        <f t="shared" si="135"/>
        <v>0</v>
      </c>
      <c r="P108" s="56">
        <f t="shared" si="136"/>
        <v>0</v>
      </c>
      <c r="Q108" s="57">
        <f t="shared" si="137"/>
        <v>0</v>
      </c>
      <c r="R108" s="58"/>
      <c r="S108" s="55">
        <f t="shared" si="138"/>
        <v>0</v>
      </c>
      <c r="T108" s="56">
        <f t="shared" si="139"/>
        <v>0</v>
      </c>
      <c r="U108" s="57">
        <f t="shared" si="140"/>
        <v>0</v>
      </c>
      <c r="V108" s="59"/>
      <c r="W108" s="124">
        <f t="shared" si="141"/>
        <v>0</v>
      </c>
      <c r="X108" s="57">
        <f t="shared" si="142"/>
        <v>0</v>
      </c>
      <c r="Y108" s="84">
        <f t="shared" si="143"/>
        <v>0</v>
      </c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128"/>
        <v>0</v>
      </c>
      <c r="F109" s="74"/>
      <c r="G109" s="55">
        <f t="shared" si="129"/>
        <v>0</v>
      </c>
      <c r="H109" s="56">
        <f t="shared" si="130"/>
        <v>0</v>
      </c>
      <c r="I109" s="57">
        <f t="shared" si="131"/>
        <v>0</v>
      </c>
      <c r="J109" s="74"/>
      <c r="K109" s="55">
        <f t="shared" si="132"/>
        <v>0</v>
      </c>
      <c r="L109" s="56">
        <f t="shared" si="133"/>
        <v>0</v>
      </c>
      <c r="M109" s="57">
        <f t="shared" si="134"/>
        <v>0</v>
      </c>
      <c r="N109" s="74"/>
      <c r="O109" s="55">
        <f t="shared" si="135"/>
        <v>0</v>
      </c>
      <c r="P109" s="56">
        <f t="shared" si="136"/>
        <v>0</v>
      </c>
      <c r="Q109" s="57">
        <f t="shared" si="137"/>
        <v>0</v>
      </c>
      <c r="R109" s="74"/>
      <c r="S109" s="55">
        <f t="shared" si="138"/>
        <v>0</v>
      </c>
      <c r="T109" s="56">
        <f t="shared" si="139"/>
        <v>0</v>
      </c>
      <c r="U109" s="57">
        <f t="shared" si="140"/>
        <v>0</v>
      </c>
      <c r="V109" s="59"/>
      <c r="W109" s="124">
        <f t="shared" si="141"/>
        <v>0</v>
      </c>
      <c r="X109" s="57">
        <f t="shared" si="142"/>
        <v>0</v>
      </c>
      <c r="Y109" s="84">
        <f t="shared" si="143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128"/>
        <v>0</v>
      </c>
      <c r="F110" s="74"/>
      <c r="G110" s="55">
        <f t="shared" si="129"/>
        <v>0</v>
      </c>
      <c r="H110" s="56">
        <f t="shared" si="130"/>
        <v>0</v>
      </c>
      <c r="I110" s="57">
        <f t="shared" si="131"/>
        <v>0</v>
      </c>
      <c r="J110" s="74"/>
      <c r="K110" s="55">
        <f t="shared" si="132"/>
        <v>0</v>
      </c>
      <c r="L110" s="56">
        <f t="shared" si="133"/>
        <v>0</v>
      </c>
      <c r="M110" s="57">
        <f t="shared" si="134"/>
        <v>0</v>
      </c>
      <c r="N110" s="74"/>
      <c r="O110" s="55">
        <f t="shared" si="135"/>
        <v>0</v>
      </c>
      <c r="P110" s="56">
        <f t="shared" si="136"/>
        <v>0</v>
      </c>
      <c r="Q110" s="57">
        <f t="shared" si="137"/>
        <v>0</v>
      </c>
      <c r="R110" s="74"/>
      <c r="S110" s="55">
        <f t="shared" si="138"/>
        <v>0</v>
      </c>
      <c r="T110" s="56">
        <f t="shared" si="139"/>
        <v>0</v>
      </c>
      <c r="U110" s="57">
        <f t="shared" si="140"/>
        <v>0</v>
      </c>
      <c r="V110" s="59"/>
      <c r="W110" s="124">
        <f t="shared" si="141"/>
        <v>0</v>
      </c>
      <c r="X110" s="57">
        <f t="shared" si="142"/>
        <v>0</v>
      </c>
      <c r="Y110" s="84">
        <f t="shared" si="143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128"/>
        <v>0</v>
      </c>
      <c r="F111" s="74"/>
      <c r="G111" s="55">
        <f t="shared" si="129"/>
        <v>0</v>
      </c>
      <c r="H111" s="56">
        <f t="shared" si="130"/>
        <v>0</v>
      </c>
      <c r="I111" s="57">
        <f t="shared" si="131"/>
        <v>0</v>
      </c>
      <c r="J111" s="74"/>
      <c r="K111" s="55">
        <f t="shared" si="132"/>
        <v>0</v>
      </c>
      <c r="L111" s="56">
        <f t="shared" si="133"/>
        <v>0</v>
      </c>
      <c r="M111" s="57">
        <f t="shared" si="134"/>
        <v>0</v>
      </c>
      <c r="N111" s="74"/>
      <c r="O111" s="55">
        <f t="shared" si="135"/>
        <v>0</v>
      </c>
      <c r="P111" s="56">
        <f t="shared" si="136"/>
        <v>0</v>
      </c>
      <c r="Q111" s="57">
        <f t="shared" si="137"/>
        <v>0</v>
      </c>
      <c r="R111" s="74"/>
      <c r="S111" s="55">
        <f t="shared" si="138"/>
        <v>0</v>
      </c>
      <c r="T111" s="56">
        <f t="shared" si="139"/>
        <v>0</v>
      </c>
      <c r="U111" s="57">
        <f t="shared" si="140"/>
        <v>0</v>
      </c>
      <c r="V111" s="59"/>
      <c r="W111" s="124">
        <f t="shared" si="141"/>
        <v>0</v>
      </c>
      <c r="X111" s="57">
        <f t="shared" si="142"/>
        <v>0</v>
      </c>
      <c r="Y111" s="84">
        <f t="shared" si="143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12390</v>
      </c>
      <c r="D112" s="125">
        <f>SUM(D101:D111)</f>
        <v>0</v>
      </c>
      <c r="E112" s="125">
        <f>SUM(E101:E111)</f>
        <v>12390</v>
      </c>
      <c r="F112" s="81"/>
      <c r="G112" s="79">
        <f>SUM(G101:G111)</f>
        <v>12761.7</v>
      </c>
      <c r="H112" s="80">
        <f>SUM(H101:H111)</f>
        <v>0</v>
      </c>
      <c r="I112" s="80">
        <f>SUM(I101:I111)</f>
        <v>12761.7</v>
      </c>
      <c r="J112" s="81"/>
      <c r="K112" s="79">
        <f>SUM(K101:K111)</f>
        <v>13144.551000000001</v>
      </c>
      <c r="L112" s="80">
        <f>SUM(L101:L111)</f>
        <v>0</v>
      </c>
      <c r="M112" s="80">
        <f>SUM(M101:M111)</f>
        <v>13144.551000000001</v>
      </c>
      <c r="N112" s="81"/>
      <c r="O112" s="79">
        <f>SUM(O101:O111)</f>
        <v>13538.887530000002</v>
      </c>
      <c r="P112" s="80">
        <f>SUM(P101:P111)</f>
        <v>0</v>
      </c>
      <c r="Q112" s="80">
        <f>SUM(Q101:Q111)</f>
        <v>13538.887530000002</v>
      </c>
      <c r="R112" s="81"/>
      <c r="S112" s="79">
        <f>SUM(S101:S111)</f>
        <v>13945.054155900003</v>
      </c>
      <c r="T112" s="80">
        <f>SUM(T101:T111)</f>
        <v>0</v>
      </c>
      <c r="U112" s="80">
        <f>SUM(U101:U111)</f>
        <v>13945.054155900003</v>
      </c>
      <c r="V112" s="82"/>
      <c r="W112" s="228">
        <f t="shared" si="141"/>
        <v>65780.192685900009</v>
      </c>
      <c r="X112" s="80">
        <f t="shared" si="142"/>
        <v>0</v>
      </c>
      <c r="Y112" s="80">
        <f t="shared" si="143"/>
        <v>65780.192685900009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>C112+C99</f>
        <v>16965</v>
      </c>
      <c r="D113" s="101">
        <f t="shared" ref="D113:Y113" si="144">D112+D99</f>
        <v>0</v>
      </c>
      <c r="E113" s="101">
        <f t="shared" si="144"/>
        <v>16965</v>
      </c>
      <c r="F113" s="101">
        <f t="shared" si="144"/>
        <v>0</v>
      </c>
      <c r="G113" s="101">
        <f t="shared" si="144"/>
        <v>17473.95</v>
      </c>
      <c r="H113" s="101">
        <f t="shared" si="144"/>
        <v>0</v>
      </c>
      <c r="I113" s="101">
        <f t="shared" si="144"/>
        <v>17473.95</v>
      </c>
      <c r="J113" s="101">
        <f t="shared" si="144"/>
        <v>0</v>
      </c>
      <c r="K113" s="101">
        <f t="shared" si="144"/>
        <v>17998.1685</v>
      </c>
      <c r="L113" s="101">
        <f t="shared" si="144"/>
        <v>0</v>
      </c>
      <c r="M113" s="101">
        <f t="shared" si="144"/>
        <v>17998.1685</v>
      </c>
      <c r="N113" s="101">
        <f t="shared" si="144"/>
        <v>0</v>
      </c>
      <c r="O113" s="101">
        <f t="shared" si="144"/>
        <v>18538.113555000004</v>
      </c>
      <c r="P113" s="101">
        <f t="shared" si="144"/>
        <v>0</v>
      </c>
      <c r="Q113" s="101">
        <f t="shared" si="144"/>
        <v>18538.113555000004</v>
      </c>
      <c r="R113" s="101">
        <f t="shared" si="144"/>
        <v>0</v>
      </c>
      <c r="S113" s="101">
        <f t="shared" si="144"/>
        <v>19094.256961650004</v>
      </c>
      <c r="T113" s="101">
        <f t="shared" si="144"/>
        <v>0</v>
      </c>
      <c r="U113" s="101">
        <f t="shared" si="144"/>
        <v>19094.256961650004</v>
      </c>
      <c r="V113" s="101">
        <f t="shared" si="144"/>
        <v>0</v>
      </c>
      <c r="W113" s="101">
        <f t="shared" si="144"/>
        <v>90069.489016650012</v>
      </c>
      <c r="X113" s="101">
        <f t="shared" si="144"/>
        <v>0</v>
      </c>
      <c r="Y113" s="101">
        <f t="shared" si="144"/>
        <v>90069.489016650012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v>0</v>
      </c>
      <c r="D115" s="56">
        <v>0</v>
      </c>
      <c r="E115" s="56">
        <f t="shared" ref="E115:E121" si="145">SUM(C115:D115)</f>
        <v>0</v>
      </c>
      <c r="F115" s="58"/>
      <c r="G115" s="55">
        <f>G92*0.35*0</f>
        <v>0</v>
      </c>
      <c r="H115" s="57">
        <v>0</v>
      </c>
      <c r="I115" s="57">
        <f t="shared" ref="I115" si="146">SUM(G115:H115)</f>
        <v>0</v>
      </c>
      <c r="J115" s="58"/>
      <c r="K115" s="55">
        <f>K92*0.35*0</f>
        <v>0</v>
      </c>
      <c r="L115" s="57">
        <v>0</v>
      </c>
      <c r="M115" s="57">
        <f t="shared" ref="M115" si="147">SUM(K115:L115)</f>
        <v>0</v>
      </c>
      <c r="N115" s="58"/>
      <c r="O115" s="55">
        <f>O92*0.35*0</f>
        <v>0</v>
      </c>
      <c r="P115" s="57">
        <v>0</v>
      </c>
      <c r="Q115" s="57">
        <f t="shared" ref="Q115" si="148">SUM(O115:P115)</f>
        <v>0</v>
      </c>
      <c r="R115" s="58"/>
      <c r="S115" s="55">
        <f>O115*1.05</f>
        <v>0</v>
      </c>
      <c r="T115" s="57">
        <v>0</v>
      </c>
      <c r="U115" s="57">
        <f t="shared" ref="U115" si="149">SUM(S115:T115)</f>
        <v>0</v>
      </c>
      <c r="V115" s="59"/>
      <c r="W115" s="124">
        <f t="shared" ref="W115:Y121" si="150">C115+G115+K115+O115+S115</f>
        <v>0</v>
      </c>
      <c r="X115" s="57">
        <f t="shared" si="150"/>
        <v>0</v>
      </c>
      <c r="Y115" s="84">
        <f t="shared" si="150"/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customFormat="1" ht="12.75" customHeight="1" x14ac:dyDescent="0.25">
      <c r="A116" s="300">
        <v>0.32190000000000002</v>
      </c>
      <c r="B116" s="292" t="s">
        <v>263</v>
      </c>
      <c r="C116" s="293">
        <f>C92*$A$116</f>
        <v>1472.6925000000001</v>
      </c>
      <c r="D116" s="294"/>
      <c r="E116" s="294">
        <f t="shared" si="145"/>
        <v>1472.6925000000001</v>
      </c>
      <c r="F116" s="295"/>
      <c r="G116" s="293">
        <f>G92*$A$116</f>
        <v>1516.8732750000001</v>
      </c>
      <c r="H116" s="294"/>
      <c r="I116" s="294">
        <f t="shared" ref="I116:I117" si="151">SUM(G116:H116)</f>
        <v>1516.8732750000001</v>
      </c>
      <c r="J116" s="295"/>
      <c r="K116" s="293">
        <f>K92*$A$116</f>
        <v>1562.3794732500003</v>
      </c>
      <c r="L116" s="294"/>
      <c r="M116" s="294">
        <f t="shared" ref="M116:M117" si="152">SUM(K116:L116)</f>
        <v>1562.3794732500003</v>
      </c>
      <c r="N116" s="295"/>
      <c r="O116" s="293">
        <f>O92*$A$116</f>
        <v>1609.2508574475003</v>
      </c>
      <c r="P116" s="294"/>
      <c r="Q116" s="294">
        <f t="shared" ref="Q116:Q117" si="153">SUM(O116:P116)</f>
        <v>1609.2508574475003</v>
      </c>
      <c r="R116" s="295"/>
      <c r="S116" s="293">
        <f>S92*$A$116</f>
        <v>1657.5283831709255</v>
      </c>
      <c r="T116" s="294"/>
      <c r="U116" s="294">
        <f t="shared" ref="U116:U117" si="154">SUM(S116:T116)</f>
        <v>1657.5283831709255</v>
      </c>
      <c r="V116" s="296"/>
      <c r="W116" s="293">
        <f t="shared" si="150"/>
        <v>7818.7244888684263</v>
      </c>
      <c r="X116" s="294">
        <f t="shared" si="150"/>
        <v>0</v>
      </c>
      <c r="Y116" s="294">
        <f t="shared" si="150"/>
        <v>7818.7244888684263</v>
      </c>
      <c r="Z116" s="292"/>
      <c r="AA116" s="292"/>
      <c r="AB116" s="292"/>
      <c r="AC116" s="292"/>
      <c r="AD116" s="29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</row>
    <row r="117" spans="1:77" customFormat="1" ht="12.75" customHeight="1" x14ac:dyDescent="0.25">
      <c r="A117" s="300">
        <v>0.38690000000000002</v>
      </c>
      <c r="B117" s="292" t="s">
        <v>154</v>
      </c>
      <c r="C117" s="293">
        <f>C102*$A$117</f>
        <v>4793.6910000000007</v>
      </c>
      <c r="D117" s="294"/>
      <c r="E117" s="294">
        <f t="shared" si="145"/>
        <v>4793.6910000000007</v>
      </c>
      <c r="F117" s="295"/>
      <c r="G117" s="293">
        <f>G102*$A$117</f>
        <v>4937.5017300000009</v>
      </c>
      <c r="H117" s="294"/>
      <c r="I117" s="294">
        <f t="shared" si="151"/>
        <v>4937.5017300000009</v>
      </c>
      <c r="J117" s="295"/>
      <c r="K117" s="293">
        <f>K102*$A$117</f>
        <v>5085.6267819000004</v>
      </c>
      <c r="L117" s="294"/>
      <c r="M117" s="294">
        <f t="shared" si="152"/>
        <v>5085.6267819000004</v>
      </c>
      <c r="N117" s="295"/>
      <c r="O117" s="293">
        <f>O102*$A$117</f>
        <v>5238.1955853570007</v>
      </c>
      <c r="P117" s="294"/>
      <c r="Q117" s="294">
        <f t="shared" si="153"/>
        <v>5238.1955853570007</v>
      </c>
      <c r="R117" s="295"/>
      <c r="S117" s="293">
        <f>S102*$A$117</f>
        <v>5395.3414529177116</v>
      </c>
      <c r="T117" s="294"/>
      <c r="U117" s="294">
        <f t="shared" si="154"/>
        <v>5395.3414529177116</v>
      </c>
      <c r="V117" s="296"/>
      <c r="W117" s="293">
        <f t="shared" si="150"/>
        <v>25450.356550174714</v>
      </c>
      <c r="X117" s="294">
        <f t="shared" si="150"/>
        <v>0</v>
      </c>
      <c r="Y117" s="294">
        <f t="shared" si="150"/>
        <v>25450.356550174714</v>
      </c>
      <c r="Z117" s="292"/>
      <c r="AA117" s="292"/>
      <c r="AB117" s="292"/>
      <c r="AC117" s="292"/>
      <c r="AD117" s="29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</row>
    <row r="118" spans="1:77" customFormat="1" ht="12.75" customHeight="1" x14ac:dyDescent="0.25">
      <c r="A118" s="300"/>
      <c r="B118" s="292"/>
      <c r="C118" s="293"/>
      <c r="D118" s="294"/>
      <c r="E118" s="294">
        <f t="shared" si="145"/>
        <v>0</v>
      </c>
      <c r="F118" s="295"/>
      <c r="G118" s="293"/>
      <c r="H118" s="294"/>
      <c r="I118" s="294">
        <f t="shared" ref="I118:I121" si="155">SUM(G118:H118)</f>
        <v>0</v>
      </c>
      <c r="J118" s="295"/>
      <c r="K118" s="293"/>
      <c r="L118" s="294"/>
      <c r="M118" s="294">
        <f t="shared" ref="M118:M121" si="156">SUM(K118:L118)</f>
        <v>0</v>
      </c>
      <c r="N118" s="295"/>
      <c r="O118" s="293"/>
      <c r="P118" s="294"/>
      <c r="Q118" s="294">
        <f t="shared" ref="Q118:Q121" si="157">SUM(O118:P118)</f>
        <v>0</v>
      </c>
      <c r="R118" s="295"/>
      <c r="S118" s="293"/>
      <c r="T118" s="294"/>
      <c r="U118" s="294">
        <f t="shared" ref="U118:U121" si="158">SUM(S118:T118)</f>
        <v>0</v>
      </c>
      <c r="V118" s="296"/>
      <c r="W118" s="293">
        <f t="shared" si="150"/>
        <v>0</v>
      </c>
      <c r="X118" s="294">
        <f t="shared" si="150"/>
        <v>0</v>
      </c>
      <c r="Y118" s="294">
        <f t="shared" si="150"/>
        <v>0</v>
      </c>
      <c r="Z118" s="292"/>
      <c r="AA118" s="292"/>
      <c r="AB118" s="292"/>
      <c r="AC118" s="292"/>
      <c r="AD118" s="29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</row>
    <row r="119" spans="1:77" customFormat="1" ht="12.75" customHeight="1" x14ac:dyDescent="0.25">
      <c r="A119" s="300"/>
      <c r="B119" s="292"/>
      <c r="C119" s="293"/>
      <c r="D119" s="294"/>
      <c r="E119" s="294">
        <f t="shared" si="145"/>
        <v>0</v>
      </c>
      <c r="F119" s="295"/>
      <c r="G119" s="311"/>
      <c r="H119" s="294"/>
      <c r="I119" s="294">
        <f t="shared" si="155"/>
        <v>0</v>
      </c>
      <c r="J119" s="295"/>
      <c r="K119" s="311"/>
      <c r="L119" s="294"/>
      <c r="M119" s="294">
        <f t="shared" si="156"/>
        <v>0</v>
      </c>
      <c r="N119" s="295"/>
      <c r="O119" s="311"/>
      <c r="P119" s="294"/>
      <c r="Q119" s="294">
        <f t="shared" si="157"/>
        <v>0</v>
      </c>
      <c r="R119" s="295"/>
      <c r="S119" s="311"/>
      <c r="T119" s="294"/>
      <c r="U119" s="294">
        <f t="shared" si="158"/>
        <v>0</v>
      </c>
      <c r="V119" s="296"/>
      <c r="W119" s="293">
        <f t="shared" si="150"/>
        <v>0</v>
      </c>
      <c r="X119" s="294">
        <f t="shared" si="150"/>
        <v>0</v>
      </c>
      <c r="Y119" s="294">
        <f t="shared" si="150"/>
        <v>0</v>
      </c>
      <c r="Z119" s="292"/>
      <c r="AA119" s="292"/>
      <c r="AB119" s="292"/>
      <c r="AC119" s="292"/>
      <c r="AD119" s="292"/>
      <c r="AE119" s="292"/>
      <c r="AF119" s="292"/>
      <c r="AG119" s="292"/>
      <c r="AH119" s="292"/>
      <c r="AI119" s="292"/>
      <c r="AJ119" s="292"/>
      <c r="AK119" s="292"/>
      <c r="AL119" s="292"/>
      <c r="AM119" s="292"/>
      <c r="AN119" s="292"/>
      <c r="AO119" s="292"/>
      <c r="AP119" s="292"/>
      <c r="AQ119" s="292"/>
      <c r="AR119" s="292"/>
      <c r="AS119" s="292"/>
      <c r="AT119" s="292"/>
    </row>
    <row r="120" spans="1:77" customFormat="1" ht="12.75" customHeight="1" x14ac:dyDescent="0.25">
      <c r="A120" s="300"/>
      <c r="B120" s="292"/>
      <c r="C120" s="293"/>
      <c r="D120" s="294"/>
      <c r="E120" s="294">
        <f t="shared" si="145"/>
        <v>0</v>
      </c>
      <c r="F120" s="295"/>
      <c r="G120" s="293"/>
      <c r="H120" s="294"/>
      <c r="I120" s="294">
        <f t="shared" si="155"/>
        <v>0</v>
      </c>
      <c r="J120" s="295"/>
      <c r="K120" s="293"/>
      <c r="L120" s="294"/>
      <c r="M120" s="294">
        <f t="shared" si="156"/>
        <v>0</v>
      </c>
      <c r="N120" s="295"/>
      <c r="O120" s="293"/>
      <c r="P120" s="294"/>
      <c r="Q120" s="294">
        <f t="shared" si="157"/>
        <v>0</v>
      </c>
      <c r="R120" s="295"/>
      <c r="S120" s="293"/>
      <c r="T120" s="294"/>
      <c r="U120" s="294">
        <f t="shared" si="158"/>
        <v>0</v>
      </c>
      <c r="V120" s="296"/>
      <c r="W120" s="293">
        <f t="shared" si="150"/>
        <v>0</v>
      </c>
      <c r="X120" s="294">
        <f t="shared" si="150"/>
        <v>0</v>
      </c>
      <c r="Y120" s="294">
        <f t="shared" si="150"/>
        <v>0</v>
      </c>
      <c r="Z120" s="292"/>
      <c r="AA120" s="292"/>
      <c r="AB120" s="292"/>
      <c r="AC120" s="292"/>
      <c r="AD120" s="292"/>
      <c r="AE120" s="292"/>
      <c r="AF120" s="292"/>
      <c r="AG120" s="292"/>
      <c r="AH120" s="292"/>
      <c r="AI120" s="292"/>
      <c r="AJ120" s="292"/>
      <c r="AK120" s="292"/>
      <c r="AL120" s="292"/>
      <c r="AM120" s="292"/>
      <c r="AN120" s="292"/>
      <c r="AO120" s="292"/>
      <c r="AP120" s="292"/>
      <c r="AQ120" s="292"/>
      <c r="AR120" s="292"/>
      <c r="AS120" s="292"/>
      <c r="AT120" s="292"/>
    </row>
    <row r="121" spans="1:77" customFormat="1" ht="12.75" customHeight="1" x14ac:dyDescent="0.25">
      <c r="A121" s="310"/>
      <c r="B121" s="292"/>
      <c r="C121" s="293"/>
      <c r="D121" s="294"/>
      <c r="E121" s="294">
        <f t="shared" si="145"/>
        <v>0</v>
      </c>
      <c r="F121" s="295"/>
      <c r="G121" s="293"/>
      <c r="H121" s="294"/>
      <c r="I121" s="294">
        <f t="shared" si="155"/>
        <v>0</v>
      </c>
      <c r="J121" s="295"/>
      <c r="K121" s="293"/>
      <c r="L121" s="294"/>
      <c r="M121" s="294">
        <f t="shared" si="156"/>
        <v>0</v>
      </c>
      <c r="N121" s="295"/>
      <c r="O121" s="293"/>
      <c r="P121" s="294"/>
      <c r="Q121" s="294">
        <f t="shared" si="157"/>
        <v>0</v>
      </c>
      <c r="R121" s="295"/>
      <c r="S121" s="293"/>
      <c r="T121" s="294"/>
      <c r="U121" s="294">
        <f t="shared" si="158"/>
        <v>0</v>
      </c>
      <c r="V121" s="296"/>
      <c r="W121" s="293">
        <f t="shared" si="150"/>
        <v>0</v>
      </c>
      <c r="X121" s="294">
        <f t="shared" si="150"/>
        <v>0</v>
      </c>
      <c r="Y121" s="294">
        <f t="shared" si="150"/>
        <v>0</v>
      </c>
      <c r="Z121" s="292"/>
      <c r="AA121" s="292"/>
      <c r="AB121" s="292"/>
      <c r="AC121" s="292"/>
      <c r="AD121" s="292"/>
      <c r="AE121" s="292"/>
      <c r="AF121" s="292"/>
      <c r="AG121" s="292"/>
      <c r="AH121" s="29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2"/>
      <c r="AT121" s="292"/>
    </row>
    <row r="122" spans="1:77" customFormat="1" ht="12.75" customHeight="1" x14ac:dyDescent="0.25">
      <c r="A122" s="300"/>
      <c r="B122" s="292"/>
      <c r="C122" s="293"/>
      <c r="D122" s="294"/>
      <c r="E122" s="294"/>
      <c r="F122" s="295"/>
      <c r="G122" s="293"/>
      <c r="H122" s="294"/>
      <c r="I122" s="294"/>
      <c r="J122" s="295"/>
      <c r="K122" s="293"/>
      <c r="L122" s="294"/>
      <c r="M122" s="294"/>
      <c r="N122" s="295"/>
      <c r="O122" s="293"/>
      <c r="P122" s="294"/>
      <c r="Q122" s="294"/>
      <c r="R122" s="295"/>
      <c r="S122" s="293"/>
      <c r="T122" s="294"/>
      <c r="U122" s="294"/>
      <c r="V122" s="296"/>
      <c r="W122" s="293"/>
      <c r="X122" s="294"/>
      <c r="Y122" s="294"/>
      <c r="Z122" s="292"/>
      <c r="AA122" s="292"/>
      <c r="AB122" s="292"/>
      <c r="AC122" s="292"/>
      <c r="AD122" s="292"/>
      <c r="AE122" s="292"/>
      <c r="AF122" s="292"/>
      <c r="AG122" s="292"/>
      <c r="AH122" s="292"/>
      <c r="AI122" s="292"/>
      <c r="AJ122" s="292"/>
      <c r="AK122" s="292"/>
      <c r="AL122" s="292"/>
      <c r="AM122" s="292"/>
      <c r="AN122" s="292"/>
      <c r="AO122" s="292"/>
      <c r="AP122" s="292"/>
      <c r="AQ122" s="292"/>
      <c r="AR122" s="292"/>
      <c r="AS122" s="292"/>
      <c r="AT122" s="292"/>
    </row>
    <row r="123" spans="1:77" s="61" customFormat="1" x14ac:dyDescent="0.25">
      <c r="A123" s="52"/>
      <c r="B123" s="52"/>
      <c r="C123" s="124">
        <v>0</v>
      </c>
      <c r="D123" s="56">
        <v>0</v>
      </c>
      <c r="E123" s="56">
        <f>SUM(C123:D123)</f>
        <v>0</v>
      </c>
      <c r="F123" s="58"/>
      <c r="G123" s="55">
        <f>C123*1.05</f>
        <v>0</v>
      </c>
      <c r="H123" s="57">
        <f>D123*1.05</f>
        <v>0</v>
      </c>
      <c r="I123" s="57">
        <f>SUM(G123:H123)</f>
        <v>0</v>
      </c>
      <c r="J123" s="58"/>
      <c r="K123" s="55">
        <f>G123*1.05</f>
        <v>0</v>
      </c>
      <c r="L123" s="57">
        <f>H123*1.05</f>
        <v>0</v>
      </c>
      <c r="M123" s="57">
        <f>SUM(K123:L123)</f>
        <v>0</v>
      </c>
      <c r="N123" s="58"/>
      <c r="O123" s="55">
        <f>K123*1.05</f>
        <v>0</v>
      </c>
      <c r="P123" s="57">
        <f>L123*1.05</f>
        <v>0</v>
      </c>
      <c r="Q123" s="57">
        <f>SUM(O123:P123)</f>
        <v>0</v>
      </c>
      <c r="R123" s="58"/>
      <c r="S123" s="55">
        <f>O123*1.05</f>
        <v>0</v>
      </c>
      <c r="T123" s="57">
        <f>P123*1.05</f>
        <v>0</v>
      </c>
      <c r="U123" s="57">
        <f>SUM(S123:T123)</f>
        <v>0</v>
      </c>
      <c r="V123" s="59"/>
      <c r="W123" s="124">
        <f t="shared" ref="W123:Y124" si="159">C123+G123+K123+O123+S123</f>
        <v>0</v>
      </c>
      <c r="X123" s="57">
        <f t="shared" si="159"/>
        <v>0</v>
      </c>
      <c r="Y123" s="84">
        <f t="shared" si="159"/>
        <v>0</v>
      </c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6266.3835000000008</v>
      </c>
      <c r="D124" s="125">
        <f>SUM(D115:D123)</f>
        <v>0</v>
      </c>
      <c r="E124" s="125">
        <f>SUM(E115:E123)</f>
        <v>6266.3835000000008</v>
      </c>
      <c r="F124" s="81"/>
      <c r="G124" s="79">
        <f>SUM(G115:G123)</f>
        <v>6454.3750050000008</v>
      </c>
      <c r="H124" s="80">
        <f>SUM(H115:H123)</f>
        <v>0</v>
      </c>
      <c r="I124" s="80">
        <f>SUM(I115:I123)</f>
        <v>6454.3750050000008</v>
      </c>
      <c r="J124" s="81"/>
      <c r="K124" s="79">
        <f>SUM(K115:K123)</f>
        <v>6648.0062551500005</v>
      </c>
      <c r="L124" s="80">
        <f>SUM(L115:L123)</f>
        <v>0</v>
      </c>
      <c r="M124" s="80">
        <f>SUM(M115:M123)</f>
        <v>6648.0062551500005</v>
      </c>
      <c r="N124" s="81"/>
      <c r="O124" s="79">
        <f>SUM(O115:O123)</f>
        <v>6847.4464428045012</v>
      </c>
      <c r="P124" s="80">
        <f>SUM(P115:P123)</f>
        <v>0</v>
      </c>
      <c r="Q124" s="80">
        <f>SUM(Q115:Q123)</f>
        <v>6847.4464428045012</v>
      </c>
      <c r="R124" s="81"/>
      <c r="S124" s="79">
        <f>SUM(S115:S123)</f>
        <v>7052.8698360886374</v>
      </c>
      <c r="T124" s="80">
        <f>SUM(T115:T123)</f>
        <v>0</v>
      </c>
      <c r="U124" s="80">
        <f>SUM(U115:U123)</f>
        <v>7052.8698360886374</v>
      </c>
      <c r="V124" s="82"/>
      <c r="W124" s="228">
        <f t="shared" si="159"/>
        <v>33269.081039043143</v>
      </c>
      <c r="X124" s="80">
        <f t="shared" si="159"/>
        <v>0</v>
      </c>
      <c r="Y124" s="84">
        <f t="shared" si="159"/>
        <v>33269.081039043143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160">C124+C113</f>
        <v>23231.3835</v>
      </c>
      <c r="D125" s="101">
        <f t="shared" si="160"/>
        <v>0</v>
      </c>
      <c r="E125" s="101">
        <f t="shared" si="160"/>
        <v>23231.3835</v>
      </c>
      <c r="F125" s="101">
        <f t="shared" si="160"/>
        <v>0</v>
      </c>
      <c r="G125" s="101">
        <f t="shared" si="160"/>
        <v>23928.325005000002</v>
      </c>
      <c r="H125" s="101">
        <f t="shared" si="160"/>
        <v>0</v>
      </c>
      <c r="I125" s="101">
        <f t="shared" si="160"/>
        <v>23928.325005000002</v>
      </c>
      <c r="J125" s="101">
        <f t="shared" si="160"/>
        <v>0</v>
      </c>
      <c r="K125" s="101">
        <f t="shared" si="160"/>
        <v>24646.174755150001</v>
      </c>
      <c r="L125" s="101">
        <f t="shared" si="160"/>
        <v>0</v>
      </c>
      <c r="M125" s="101">
        <f t="shared" si="160"/>
        <v>24646.174755150001</v>
      </c>
      <c r="N125" s="101">
        <f t="shared" si="160"/>
        <v>0</v>
      </c>
      <c r="O125" s="101">
        <f t="shared" si="160"/>
        <v>25385.559997804507</v>
      </c>
      <c r="P125" s="101">
        <f t="shared" si="160"/>
        <v>0</v>
      </c>
      <c r="Q125" s="101">
        <f t="shared" si="160"/>
        <v>25385.559997804507</v>
      </c>
      <c r="R125" s="101">
        <f t="shared" si="160"/>
        <v>0</v>
      </c>
      <c r="S125" s="101">
        <f t="shared" si="160"/>
        <v>26147.126797738641</v>
      </c>
      <c r="T125" s="101">
        <f t="shared" si="160"/>
        <v>0</v>
      </c>
      <c r="U125" s="101">
        <f t="shared" si="160"/>
        <v>26147.126797738641</v>
      </c>
      <c r="V125" s="101">
        <f t="shared" si="160"/>
        <v>0</v>
      </c>
      <c r="W125" s="101">
        <f t="shared" si="160"/>
        <v>123338.57005569316</v>
      </c>
      <c r="X125" s="101">
        <f t="shared" si="160"/>
        <v>0</v>
      </c>
      <c r="Y125" s="101">
        <f t="shared" si="160"/>
        <v>123338.57005569316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x14ac:dyDescent="0.25">
      <c r="A127" s="52"/>
      <c r="B127" s="52"/>
      <c r="C127" s="124">
        <v>0</v>
      </c>
      <c r="D127" s="56">
        <v>0</v>
      </c>
      <c r="E127" s="56">
        <f t="shared" ref="E127:E140" si="161">SUM(C127:D127)</f>
        <v>0</v>
      </c>
      <c r="F127" s="58"/>
      <c r="G127" s="55">
        <v>0</v>
      </c>
      <c r="H127" s="57">
        <v>0</v>
      </c>
      <c r="I127" s="57">
        <f t="shared" ref="I127:I140" si="162">SUM(G127:H127)</f>
        <v>0</v>
      </c>
      <c r="J127" s="58"/>
      <c r="K127" s="55">
        <v>0</v>
      </c>
      <c r="L127" s="57">
        <v>0</v>
      </c>
      <c r="M127" s="57">
        <f t="shared" ref="M127:M140" si="163">SUM(K127:L127)</f>
        <v>0</v>
      </c>
      <c r="N127" s="58"/>
      <c r="O127" s="55">
        <v>0</v>
      </c>
      <c r="P127" s="57">
        <v>0</v>
      </c>
      <c r="Q127" s="57">
        <f t="shared" ref="Q127:Q140" si="164">SUM(O127:P127)</f>
        <v>0</v>
      </c>
      <c r="R127" s="58"/>
      <c r="S127" s="55">
        <v>0</v>
      </c>
      <c r="T127" s="57">
        <v>0</v>
      </c>
      <c r="U127" s="57">
        <f t="shared" ref="U127:U140" si="165">SUM(S127:T127)</f>
        <v>0</v>
      </c>
      <c r="V127" s="59"/>
      <c r="W127" s="124">
        <f t="shared" ref="W127:W141" si="166">C127+G127+K127+O127+S127</f>
        <v>0</v>
      </c>
      <c r="X127" s="57">
        <f t="shared" ref="X127:X141" si="167">D127+H127+L127+P127+T127</f>
        <v>0</v>
      </c>
      <c r="Y127" s="84">
        <f t="shared" ref="Y127:Y141" si="168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x14ac:dyDescent="0.25">
      <c r="B128" s="61" t="s">
        <v>155</v>
      </c>
      <c r="C128" s="55">
        <v>0</v>
      </c>
      <c r="D128" s="56">
        <v>0</v>
      </c>
      <c r="E128" s="57">
        <f t="shared" si="161"/>
        <v>0</v>
      </c>
      <c r="F128" s="58"/>
      <c r="G128" s="55">
        <f>12000*0</f>
        <v>0</v>
      </c>
      <c r="H128" s="56">
        <v>0</v>
      </c>
      <c r="I128" s="57">
        <f t="shared" si="162"/>
        <v>0</v>
      </c>
      <c r="J128" s="58"/>
      <c r="K128" s="55">
        <f>G128*0</f>
        <v>0</v>
      </c>
      <c r="L128" s="57">
        <v>0</v>
      </c>
      <c r="M128" s="57">
        <f t="shared" si="163"/>
        <v>0</v>
      </c>
      <c r="N128" s="58"/>
      <c r="O128" s="55">
        <f>K128</f>
        <v>0</v>
      </c>
      <c r="P128" s="56">
        <v>0</v>
      </c>
      <c r="Q128" s="57">
        <f t="shared" si="164"/>
        <v>0</v>
      </c>
      <c r="R128" s="58"/>
      <c r="S128" s="55">
        <f>O128</f>
        <v>0</v>
      </c>
      <c r="T128" s="56">
        <v>0</v>
      </c>
      <c r="U128" s="57">
        <f t="shared" si="165"/>
        <v>0</v>
      </c>
      <c r="V128" s="59"/>
      <c r="W128" s="124">
        <f t="shared" si="166"/>
        <v>0</v>
      </c>
      <c r="X128" s="57">
        <f t="shared" si="167"/>
        <v>0</v>
      </c>
      <c r="Y128" s="202">
        <f t="shared" si="168"/>
        <v>0</v>
      </c>
    </row>
    <row r="129" spans="1:77" s="61" customFormat="1" x14ac:dyDescent="0.25">
      <c r="A129" s="52"/>
      <c r="B129" s="52" t="s">
        <v>57</v>
      </c>
      <c r="C129" s="124">
        <v>0</v>
      </c>
      <c r="D129" s="56">
        <v>0</v>
      </c>
      <c r="E129" s="56">
        <f t="shared" si="161"/>
        <v>0</v>
      </c>
      <c r="F129" s="58"/>
      <c r="G129" s="55">
        <v>0</v>
      </c>
      <c r="H129" s="57">
        <v>0</v>
      </c>
      <c r="I129" s="57">
        <f t="shared" si="162"/>
        <v>0</v>
      </c>
      <c r="J129" s="58"/>
      <c r="K129" s="55">
        <v>0</v>
      </c>
      <c r="L129" s="57">
        <v>0</v>
      </c>
      <c r="M129" s="57">
        <f t="shared" si="163"/>
        <v>0</v>
      </c>
      <c r="N129" s="58"/>
      <c r="O129" s="55">
        <v>0</v>
      </c>
      <c r="P129" s="57">
        <v>0</v>
      </c>
      <c r="Q129" s="57">
        <f t="shared" si="164"/>
        <v>0</v>
      </c>
      <c r="R129" s="58"/>
      <c r="S129" s="55">
        <v>0</v>
      </c>
      <c r="T129" s="57">
        <v>0</v>
      </c>
      <c r="U129" s="57">
        <f t="shared" si="165"/>
        <v>0</v>
      </c>
      <c r="V129" s="59"/>
      <c r="W129" s="124">
        <f t="shared" si="166"/>
        <v>0</v>
      </c>
      <c r="X129" s="57">
        <f t="shared" si="167"/>
        <v>0</v>
      </c>
      <c r="Y129" s="84">
        <f t="shared" si="168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161"/>
        <v>0</v>
      </c>
      <c r="F130" s="58"/>
      <c r="G130" s="55">
        <v>0</v>
      </c>
      <c r="H130" s="57">
        <v>0</v>
      </c>
      <c r="I130" s="57">
        <f t="shared" si="162"/>
        <v>0</v>
      </c>
      <c r="J130" s="58"/>
      <c r="K130" s="55">
        <v>0</v>
      </c>
      <c r="L130" s="57">
        <v>0</v>
      </c>
      <c r="M130" s="57">
        <f t="shared" si="163"/>
        <v>0</v>
      </c>
      <c r="N130" s="58"/>
      <c r="O130" s="55">
        <v>0</v>
      </c>
      <c r="P130" s="57">
        <v>0</v>
      </c>
      <c r="Q130" s="57">
        <f t="shared" si="164"/>
        <v>0</v>
      </c>
      <c r="R130" s="58"/>
      <c r="S130" s="55">
        <v>0</v>
      </c>
      <c r="T130" s="57">
        <v>0</v>
      </c>
      <c r="U130" s="57">
        <f t="shared" si="165"/>
        <v>0</v>
      </c>
      <c r="V130" s="59"/>
      <c r="W130" s="124">
        <f t="shared" si="166"/>
        <v>0</v>
      </c>
      <c r="X130" s="57">
        <f t="shared" si="167"/>
        <v>0</v>
      </c>
      <c r="Y130" s="84">
        <f t="shared" si="168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161"/>
        <v>0</v>
      </c>
      <c r="F131" s="58"/>
      <c r="G131" s="55">
        <v>0</v>
      </c>
      <c r="H131" s="57">
        <v>0</v>
      </c>
      <c r="I131" s="57">
        <f t="shared" si="162"/>
        <v>0</v>
      </c>
      <c r="J131" s="58"/>
      <c r="K131" s="55">
        <v>0</v>
      </c>
      <c r="L131" s="57">
        <v>0</v>
      </c>
      <c r="M131" s="57">
        <f t="shared" si="163"/>
        <v>0</v>
      </c>
      <c r="N131" s="58"/>
      <c r="O131" s="55">
        <v>0</v>
      </c>
      <c r="P131" s="57">
        <v>0</v>
      </c>
      <c r="Q131" s="57">
        <f t="shared" si="164"/>
        <v>0</v>
      </c>
      <c r="R131" s="58"/>
      <c r="S131" s="55">
        <v>0</v>
      </c>
      <c r="T131" s="57">
        <v>0</v>
      </c>
      <c r="U131" s="57">
        <f t="shared" si="165"/>
        <v>0</v>
      </c>
      <c r="V131" s="59"/>
      <c r="W131" s="124">
        <f t="shared" si="166"/>
        <v>0</v>
      </c>
      <c r="X131" s="57">
        <f t="shared" si="167"/>
        <v>0</v>
      </c>
      <c r="Y131" s="84">
        <f t="shared" si="168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161"/>
        <v>0</v>
      </c>
      <c r="F132" s="58"/>
      <c r="G132" s="55">
        <v>0</v>
      </c>
      <c r="H132" s="57">
        <v>0</v>
      </c>
      <c r="I132" s="57">
        <f t="shared" si="162"/>
        <v>0</v>
      </c>
      <c r="J132" s="58"/>
      <c r="K132" s="55">
        <v>0</v>
      </c>
      <c r="L132" s="57">
        <v>0</v>
      </c>
      <c r="M132" s="57">
        <f t="shared" si="163"/>
        <v>0</v>
      </c>
      <c r="N132" s="58"/>
      <c r="O132" s="55">
        <v>0</v>
      </c>
      <c r="P132" s="57">
        <v>0</v>
      </c>
      <c r="Q132" s="57">
        <f t="shared" si="164"/>
        <v>0</v>
      </c>
      <c r="R132" s="58"/>
      <c r="S132" s="55">
        <v>0</v>
      </c>
      <c r="T132" s="57">
        <v>0</v>
      </c>
      <c r="U132" s="57">
        <f t="shared" si="165"/>
        <v>0</v>
      </c>
      <c r="V132" s="59"/>
      <c r="W132" s="124">
        <f t="shared" si="166"/>
        <v>0</v>
      </c>
      <c r="X132" s="57">
        <f t="shared" si="167"/>
        <v>0</v>
      </c>
      <c r="Y132" s="84">
        <f t="shared" si="168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161"/>
        <v>0</v>
      </c>
      <c r="F133" s="58"/>
      <c r="G133" s="55">
        <v>0</v>
      </c>
      <c r="H133" s="57">
        <v>0</v>
      </c>
      <c r="I133" s="57">
        <f t="shared" si="162"/>
        <v>0</v>
      </c>
      <c r="J133" s="58"/>
      <c r="K133" s="55">
        <v>0</v>
      </c>
      <c r="L133" s="57">
        <v>0</v>
      </c>
      <c r="M133" s="57">
        <f t="shared" si="163"/>
        <v>0</v>
      </c>
      <c r="N133" s="58"/>
      <c r="O133" s="55">
        <v>0</v>
      </c>
      <c r="P133" s="57">
        <v>0</v>
      </c>
      <c r="Q133" s="57">
        <f t="shared" si="164"/>
        <v>0</v>
      </c>
      <c r="R133" s="58"/>
      <c r="S133" s="55">
        <v>0</v>
      </c>
      <c r="T133" s="57">
        <v>0</v>
      </c>
      <c r="U133" s="57">
        <f t="shared" si="165"/>
        <v>0</v>
      </c>
      <c r="V133" s="59"/>
      <c r="W133" s="124">
        <f t="shared" si="166"/>
        <v>0</v>
      </c>
      <c r="X133" s="57">
        <f t="shared" si="167"/>
        <v>0</v>
      </c>
      <c r="Y133" s="84">
        <f t="shared" si="168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161"/>
        <v>0</v>
      </c>
      <c r="F134" s="58"/>
      <c r="G134" s="55">
        <v>0</v>
      </c>
      <c r="H134" s="57">
        <v>0</v>
      </c>
      <c r="I134" s="57">
        <f t="shared" si="162"/>
        <v>0</v>
      </c>
      <c r="J134" s="58"/>
      <c r="K134" s="55">
        <v>0</v>
      </c>
      <c r="L134" s="57">
        <v>0</v>
      </c>
      <c r="M134" s="57">
        <f t="shared" si="163"/>
        <v>0</v>
      </c>
      <c r="N134" s="58"/>
      <c r="O134" s="55">
        <v>0</v>
      </c>
      <c r="P134" s="57">
        <v>0</v>
      </c>
      <c r="Q134" s="57">
        <f t="shared" si="164"/>
        <v>0</v>
      </c>
      <c r="R134" s="58"/>
      <c r="S134" s="55">
        <v>0</v>
      </c>
      <c r="T134" s="57">
        <v>0</v>
      </c>
      <c r="U134" s="57">
        <f t="shared" si="165"/>
        <v>0</v>
      </c>
      <c r="V134" s="59"/>
      <c r="W134" s="124">
        <f t="shared" si="166"/>
        <v>0</v>
      </c>
      <c r="X134" s="57">
        <f t="shared" si="167"/>
        <v>0</v>
      </c>
      <c r="Y134" s="84">
        <f t="shared" si="168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161"/>
        <v>0</v>
      </c>
      <c r="F135" s="58"/>
      <c r="G135" s="55">
        <v>0</v>
      </c>
      <c r="H135" s="57">
        <v>0</v>
      </c>
      <c r="I135" s="57">
        <f t="shared" si="162"/>
        <v>0</v>
      </c>
      <c r="J135" s="58"/>
      <c r="K135" s="55">
        <v>0</v>
      </c>
      <c r="L135" s="57">
        <v>0</v>
      </c>
      <c r="M135" s="57">
        <f t="shared" si="163"/>
        <v>0</v>
      </c>
      <c r="N135" s="58"/>
      <c r="O135" s="55">
        <v>0</v>
      </c>
      <c r="P135" s="57">
        <v>0</v>
      </c>
      <c r="Q135" s="57">
        <f t="shared" si="164"/>
        <v>0</v>
      </c>
      <c r="R135" s="58"/>
      <c r="S135" s="55">
        <v>0</v>
      </c>
      <c r="T135" s="57">
        <v>0</v>
      </c>
      <c r="U135" s="57">
        <f t="shared" si="165"/>
        <v>0</v>
      </c>
      <c r="V135" s="59"/>
      <c r="W135" s="124">
        <f t="shared" si="166"/>
        <v>0</v>
      </c>
      <c r="X135" s="57">
        <f t="shared" si="167"/>
        <v>0</v>
      </c>
      <c r="Y135" s="84">
        <f t="shared" si="168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161"/>
        <v>0</v>
      </c>
      <c r="F136" s="58"/>
      <c r="G136" s="55">
        <v>0</v>
      </c>
      <c r="H136" s="57">
        <v>0</v>
      </c>
      <c r="I136" s="57">
        <f t="shared" si="162"/>
        <v>0</v>
      </c>
      <c r="J136" s="58"/>
      <c r="K136" s="55">
        <v>0</v>
      </c>
      <c r="L136" s="57">
        <v>0</v>
      </c>
      <c r="M136" s="57">
        <f t="shared" si="163"/>
        <v>0</v>
      </c>
      <c r="N136" s="58"/>
      <c r="O136" s="55">
        <v>0</v>
      </c>
      <c r="P136" s="57">
        <v>0</v>
      </c>
      <c r="Q136" s="57">
        <f t="shared" si="164"/>
        <v>0</v>
      </c>
      <c r="R136" s="58"/>
      <c r="S136" s="55">
        <v>0</v>
      </c>
      <c r="T136" s="57">
        <v>0</v>
      </c>
      <c r="U136" s="57">
        <f t="shared" si="165"/>
        <v>0</v>
      </c>
      <c r="V136" s="59"/>
      <c r="W136" s="124">
        <f t="shared" si="166"/>
        <v>0</v>
      </c>
      <c r="X136" s="57">
        <f t="shared" si="167"/>
        <v>0</v>
      </c>
      <c r="Y136" s="84">
        <f t="shared" si="168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161"/>
        <v>0</v>
      </c>
      <c r="F137" s="58"/>
      <c r="G137" s="55">
        <v>0</v>
      </c>
      <c r="H137" s="57">
        <v>0</v>
      </c>
      <c r="I137" s="57">
        <f t="shared" si="162"/>
        <v>0</v>
      </c>
      <c r="J137" s="58"/>
      <c r="K137" s="55">
        <v>0</v>
      </c>
      <c r="L137" s="57">
        <v>0</v>
      </c>
      <c r="M137" s="57">
        <f t="shared" si="163"/>
        <v>0</v>
      </c>
      <c r="N137" s="58"/>
      <c r="O137" s="55">
        <v>0</v>
      </c>
      <c r="P137" s="57">
        <v>0</v>
      </c>
      <c r="Q137" s="57">
        <f t="shared" si="164"/>
        <v>0</v>
      </c>
      <c r="R137" s="58"/>
      <c r="S137" s="55">
        <v>0</v>
      </c>
      <c r="T137" s="57">
        <v>0</v>
      </c>
      <c r="U137" s="57">
        <f t="shared" si="165"/>
        <v>0</v>
      </c>
      <c r="V137" s="59"/>
      <c r="W137" s="124">
        <f t="shared" si="166"/>
        <v>0</v>
      </c>
      <c r="X137" s="57">
        <f t="shared" si="167"/>
        <v>0</v>
      </c>
      <c r="Y137" s="84">
        <f t="shared" si="168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161"/>
        <v>0</v>
      </c>
      <c r="F138" s="58"/>
      <c r="G138" s="55">
        <v>0</v>
      </c>
      <c r="H138" s="57">
        <v>0</v>
      </c>
      <c r="I138" s="57">
        <f t="shared" si="162"/>
        <v>0</v>
      </c>
      <c r="J138" s="58"/>
      <c r="K138" s="55">
        <v>0</v>
      </c>
      <c r="L138" s="57">
        <v>0</v>
      </c>
      <c r="M138" s="57">
        <f t="shared" si="163"/>
        <v>0</v>
      </c>
      <c r="N138" s="58"/>
      <c r="O138" s="55">
        <v>0</v>
      </c>
      <c r="P138" s="57">
        <v>0</v>
      </c>
      <c r="Q138" s="57">
        <f t="shared" si="164"/>
        <v>0</v>
      </c>
      <c r="R138" s="58"/>
      <c r="S138" s="55">
        <v>0</v>
      </c>
      <c r="T138" s="57">
        <v>0</v>
      </c>
      <c r="U138" s="57">
        <f t="shared" si="165"/>
        <v>0</v>
      </c>
      <c r="V138" s="59"/>
      <c r="W138" s="124">
        <f t="shared" si="166"/>
        <v>0</v>
      </c>
      <c r="X138" s="57">
        <f t="shared" si="167"/>
        <v>0</v>
      </c>
      <c r="Y138" s="84">
        <f t="shared" si="168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161"/>
        <v>0</v>
      </c>
      <c r="F139" s="58"/>
      <c r="G139" s="55">
        <v>0</v>
      </c>
      <c r="H139" s="57">
        <v>0</v>
      </c>
      <c r="I139" s="57">
        <f t="shared" si="162"/>
        <v>0</v>
      </c>
      <c r="J139" s="58"/>
      <c r="K139" s="55">
        <v>0</v>
      </c>
      <c r="L139" s="57">
        <v>0</v>
      </c>
      <c r="M139" s="57">
        <f t="shared" si="163"/>
        <v>0</v>
      </c>
      <c r="N139" s="58"/>
      <c r="O139" s="55">
        <v>0</v>
      </c>
      <c r="P139" s="57">
        <v>0</v>
      </c>
      <c r="Q139" s="57">
        <f t="shared" si="164"/>
        <v>0</v>
      </c>
      <c r="R139" s="58"/>
      <c r="S139" s="55">
        <v>0</v>
      </c>
      <c r="T139" s="57">
        <v>0</v>
      </c>
      <c r="U139" s="57">
        <f t="shared" si="165"/>
        <v>0</v>
      </c>
      <c r="V139" s="59"/>
      <c r="W139" s="124">
        <f t="shared" si="166"/>
        <v>0</v>
      </c>
      <c r="X139" s="57">
        <f t="shared" si="167"/>
        <v>0</v>
      </c>
      <c r="Y139" s="84">
        <f t="shared" si="168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161"/>
        <v>0</v>
      </c>
      <c r="F140" s="58"/>
      <c r="G140" s="55">
        <v>0</v>
      </c>
      <c r="H140" s="57">
        <v>0</v>
      </c>
      <c r="I140" s="57">
        <f t="shared" si="162"/>
        <v>0</v>
      </c>
      <c r="J140" s="58"/>
      <c r="K140" s="55">
        <v>0</v>
      </c>
      <c r="L140" s="57">
        <v>0</v>
      </c>
      <c r="M140" s="57">
        <f t="shared" si="163"/>
        <v>0</v>
      </c>
      <c r="N140" s="58"/>
      <c r="O140" s="55">
        <v>0</v>
      </c>
      <c r="P140" s="57">
        <v>0</v>
      </c>
      <c r="Q140" s="57">
        <f t="shared" si="164"/>
        <v>0</v>
      </c>
      <c r="R140" s="58"/>
      <c r="S140" s="55">
        <v>0</v>
      </c>
      <c r="T140" s="57">
        <v>0</v>
      </c>
      <c r="U140" s="57">
        <f t="shared" si="165"/>
        <v>0</v>
      </c>
      <c r="V140" s="59"/>
      <c r="W140" s="124">
        <f t="shared" si="166"/>
        <v>0</v>
      </c>
      <c r="X140" s="57">
        <f t="shared" si="167"/>
        <v>0</v>
      </c>
      <c r="Y140" s="84">
        <f t="shared" si="168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166"/>
        <v>0</v>
      </c>
      <c r="X141" s="80">
        <f t="shared" si="167"/>
        <v>0</v>
      </c>
      <c r="Y141" s="80">
        <f t="shared" si="168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s="61" customFormat="1" x14ac:dyDescent="0.25">
      <c r="A143" s="52"/>
      <c r="B143" s="52" t="s">
        <v>57</v>
      </c>
      <c r="C143" s="124">
        <v>0</v>
      </c>
      <c r="D143" s="56">
        <v>0</v>
      </c>
      <c r="E143" s="56">
        <f t="shared" ref="E143:E144" si="169">SUM(C143:D143)</f>
        <v>0</v>
      </c>
      <c r="F143" s="58"/>
      <c r="G143" s="55">
        <f t="shared" ref="G143" si="170">C143*1.03</f>
        <v>0</v>
      </c>
      <c r="H143" s="56">
        <f t="shared" ref="H143" si="171">D143*1.03</f>
        <v>0</v>
      </c>
      <c r="I143" s="57">
        <f t="shared" ref="I143" si="172">SUM(G143:H143)</f>
        <v>0</v>
      </c>
      <c r="J143" s="58"/>
      <c r="K143" s="55">
        <f t="shared" ref="K143" si="173">G143*1.03</f>
        <v>0</v>
      </c>
      <c r="L143" s="56">
        <f t="shared" ref="L143" si="174">H143*1.03</f>
        <v>0</v>
      </c>
      <c r="M143" s="57">
        <f t="shared" ref="M143" si="175">SUM(K143:L143)</f>
        <v>0</v>
      </c>
      <c r="N143" s="58"/>
      <c r="O143" s="55">
        <f t="shared" ref="O143" si="176">K143*1.03</f>
        <v>0</v>
      </c>
      <c r="P143" s="56">
        <f t="shared" ref="P143" si="177">L143*1.03</f>
        <v>0</v>
      </c>
      <c r="Q143" s="57">
        <f t="shared" ref="Q143" si="178">SUM(O143:P143)</f>
        <v>0</v>
      </c>
      <c r="R143" s="58"/>
      <c r="S143" s="55">
        <f>(O143*1.03)</f>
        <v>0</v>
      </c>
      <c r="T143" s="56">
        <f t="shared" ref="T143" si="179">P143*1.03</f>
        <v>0</v>
      </c>
      <c r="U143" s="57">
        <f t="shared" ref="U143" si="180">SUM(S143:T143)</f>
        <v>0</v>
      </c>
      <c r="V143" s="59"/>
      <c r="W143" s="124">
        <f t="shared" ref="W143:W144" si="181">C143+G143+K143+O143+S143</f>
        <v>0</v>
      </c>
      <c r="X143" s="57">
        <f t="shared" ref="X143:X144" si="182">D143+H143+L143+P143+T143</f>
        <v>0</v>
      </c>
      <c r="Y143" s="84">
        <f t="shared" ref="Y143:Y144" si="183">E143+I143+M143+Q143+U143</f>
        <v>0</v>
      </c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</row>
    <row r="144" spans="1:77" s="61" customFormat="1" x14ac:dyDescent="0.25">
      <c r="A144" s="87"/>
      <c r="B144" s="52" t="s">
        <v>154</v>
      </c>
      <c r="C144" s="124">
        <v>1500</v>
      </c>
      <c r="D144" s="56">
        <v>0</v>
      </c>
      <c r="E144" s="56">
        <f t="shared" si="169"/>
        <v>1500</v>
      </c>
      <c r="F144" s="58"/>
      <c r="G144" s="55">
        <f>C144</f>
        <v>1500</v>
      </c>
      <c r="H144" s="57">
        <v>0</v>
      </c>
      <c r="I144" s="57">
        <f t="shared" ref="I144" si="184">SUM(G144:H144)</f>
        <v>1500</v>
      </c>
      <c r="J144" s="58"/>
      <c r="K144" s="55">
        <f>G144</f>
        <v>1500</v>
      </c>
      <c r="L144" s="57">
        <v>0</v>
      </c>
      <c r="M144" s="57">
        <f t="shared" ref="M144" si="185">SUM(K144:L144)</f>
        <v>1500</v>
      </c>
      <c r="N144" s="58"/>
      <c r="O144" s="55">
        <f>K144</f>
        <v>1500</v>
      </c>
      <c r="P144" s="57">
        <v>0</v>
      </c>
      <c r="Q144" s="57">
        <f t="shared" ref="Q144" si="186">SUM(O144:P144)</f>
        <v>1500</v>
      </c>
      <c r="R144" s="58"/>
      <c r="S144" s="55">
        <f>O144</f>
        <v>1500</v>
      </c>
      <c r="T144" s="57">
        <v>0</v>
      </c>
      <c r="U144" s="57">
        <f t="shared" ref="U144" si="187">SUM(S144:T144)</f>
        <v>1500</v>
      </c>
      <c r="V144" s="59"/>
      <c r="W144" s="124">
        <f t="shared" si="181"/>
        <v>7500</v>
      </c>
      <c r="X144" s="57">
        <f t="shared" si="182"/>
        <v>0</v>
      </c>
      <c r="Y144" s="84">
        <f t="shared" si="183"/>
        <v>7500</v>
      </c>
    </row>
    <row r="145" spans="1:77" s="61" customFormat="1" x14ac:dyDescent="0.25">
      <c r="A145" s="52"/>
      <c r="B145" s="52"/>
      <c r="C145" s="124">
        <v>0</v>
      </c>
      <c r="D145" s="56">
        <v>0</v>
      </c>
      <c r="E145" s="56">
        <f t="shared" ref="E145:E148" si="188">SUM(C145:D145)</f>
        <v>0</v>
      </c>
      <c r="F145" s="58"/>
      <c r="G145" s="55">
        <v>0</v>
      </c>
      <c r="H145" s="57">
        <v>0</v>
      </c>
      <c r="I145" s="57">
        <f t="shared" ref="I145:I148" si="189">SUM(G145:H145)</f>
        <v>0</v>
      </c>
      <c r="J145" s="58"/>
      <c r="K145" s="55">
        <v>0</v>
      </c>
      <c r="L145" s="57">
        <v>0</v>
      </c>
      <c r="M145" s="57">
        <f t="shared" ref="M145:M148" si="190">SUM(K145:L145)</f>
        <v>0</v>
      </c>
      <c r="N145" s="58"/>
      <c r="O145" s="55">
        <v>0</v>
      </c>
      <c r="P145" s="57">
        <v>0</v>
      </c>
      <c r="Q145" s="57">
        <f t="shared" ref="Q145:Q148" si="191">SUM(O145:P145)</f>
        <v>0</v>
      </c>
      <c r="R145" s="58"/>
      <c r="S145" s="55">
        <v>0</v>
      </c>
      <c r="T145" s="57">
        <v>0</v>
      </c>
      <c r="U145" s="57">
        <f t="shared" ref="U145:U148" si="192">SUM(S145:T145)</f>
        <v>0</v>
      </c>
      <c r="V145" s="59"/>
      <c r="W145" s="124">
        <f t="shared" ref="W145:Y149" si="193">C145+G145+K145+O145+S145</f>
        <v>0</v>
      </c>
      <c r="X145" s="57">
        <f t="shared" si="193"/>
        <v>0</v>
      </c>
      <c r="Y145" s="84">
        <f t="shared" si="193"/>
        <v>0</v>
      </c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188"/>
        <v>0</v>
      </c>
      <c r="F146" s="58"/>
      <c r="G146" s="55">
        <v>0</v>
      </c>
      <c r="H146" s="57">
        <v>0</v>
      </c>
      <c r="I146" s="57">
        <f t="shared" si="189"/>
        <v>0</v>
      </c>
      <c r="J146" s="58"/>
      <c r="K146" s="55">
        <v>0</v>
      </c>
      <c r="L146" s="57">
        <v>0</v>
      </c>
      <c r="M146" s="57">
        <f t="shared" si="190"/>
        <v>0</v>
      </c>
      <c r="N146" s="58"/>
      <c r="O146" s="55">
        <v>0</v>
      </c>
      <c r="P146" s="57">
        <v>0</v>
      </c>
      <c r="Q146" s="57">
        <f t="shared" si="191"/>
        <v>0</v>
      </c>
      <c r="R146" s="58"/>
      <c r="S146" s="55">
        <v>0</v>
      </c>
      <c r="T146" s="57">
        <v>0</v>
      </c>
      <c r="U146" s="57">
        <f t="shared" si="192"/>
        <v>0</v>
      </c>
      <c r="V146" s="59"/>
      <c r="W146" s="124">
        <f t="shared" si="193"/>
        <v>0</v>
      </c>
      <c r="X146" s="57">
        <f t="shared" si="193"/>
        <v>0</v>
      </c>
      <c r="Y146" s="84">
        <f t="shared" si="193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188"/>
        <v>0</v>
      </c>
      <c r="F147" s="58"/>
      <c r="G147" s="55">
        <v>0</v>
      </c>
      <c r="H147" s="57">
        <v>0</v>
      </c>
      <c r="I147" s="57">
        <f t="shared" si="189"/>
        <v>0</v>
      </c>
      <c r="J147" s="58"/>
      <c r="K147" s="55">
        <v>0</v>
      </c>
      <c r="L147" s="57">
        <v>0</v>
      </c>
      <c r="M147" s="57">
        <f t="shared" si="190"/>
        <v>0</v>
      </c>
      <c r="N147" s="58"/>
      <c r="O147" s="55">
        <v>0</v>
      </c>
      <c r="P147" s="57">
        <v>0</v>
      </c>
      <c r="Q147" s="57">
        <f t="shared" si="191"/>
        <v>0</v>
      </c>
      <c r="R147" s="58"/>
      <c r="S147" s="55">
        <v>0</v>
      </c>
      <c r="T147" s="57">
        <v>0</v>
      </c>
      <c r="U147" s="57">
        <f t="shared" si="192"/>
        <v>0</v>
      </c>
      <c r="V147" s="59"/>
      <c r="W147" s="124">
        <f t="shared" si="193"/>
        <v>0</v>
      </c>
      <c r="X147" s="57">
        <f t="shared" si="193"/>
        <v>0</v>
      </c>
      <c r="Y147" s="84">
        <f t="shared" si="193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188"/>
        <v>0</v>
      </c>
      <c r="F148" s="58"/>
      <c r="G148" s="55">
        <v>0</v>
      </c>
      <c r="H148" s="57">
        <v>0</v>
      </c>
      <c r="I148" s="57">
        <f t="shared" si="189"/>
        <v>0</v>
      </c>
      <c r="J148" s="58"/>
      <c r="K148" s="55">
        <v>0</v>
      </c>
      <c r="L148" s="57">
        <v>0</v>
      </c>
      <c r="M148" s="57">
        <f t="shared" si="190"/>
        <v>0</v>
      </c>
      <c r="N148" s="58"/>
      <c r="O148" s="55">
        <v>0</v>
      </c>
      <c r="P148" s="57">
        <v>0</v>
      </c>
      <c r="Q148" s="57">
        <f t="shared" si="191"/>
        <v>0</v>
      </c>
      <c r="R148" s="58"/>
      <c r="S148" s="55">
        <v>0</v>
      </c>
      <c r="T148" s="57">
        <v>0</v>
      </c>
      <c r="U148" s="57">
        <f t="shared" si="192"/>
        <v>0</v>
      </c>
      <c r="V148" s="59"/>
      <c r="W148" s="124">
        <f t="shared" si="193"/>
        <v>0</v>
      </c>
      <c r="X148" s="57">
        <f t="shared" si="193"/>
        <v>0</v>
      </c>
      <c r="Y148" s="84">
        <f t="shared" si="193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1500</v>
      </c>
      <c r="D149" s="125">
        <f>SUM(D143:D148)</f>
        <v>0</v>
      </c>
      <c r="E149" s="125">
        <f>SUM(E143:E148)</f>
        <v>1500</v>
      </c>
      <c r="F149" s="81"/>
      <c r="G149" s="79">
        <f>SUM(G143:G148)</f>
        <v>1500</v>
      </c>
      <c r="H149" s="80">
        <f>SUM(H143:H148)</f>
        <v>0</v>
      </c>
      <c r="I149" s="80">
        <f>SUM(I143:I148)</f>
        <v>1500</v>
      </c>
      <c r="J149" s="81"/>
      <c r="K149" s="79">
        <f>SUM(K143:K148)</f>
        <v>1500</v>
      </c>
      <c r="L149" s="80">
        <f>SUM(L143:L148)</f>
        <v>0</v>
      </c>
      <c r="M149" s="80">
        <f>SUM(M143:M148)</f>
        <v>1500</v>
      </c>
      <c r="N149" s="81"/>
      <c r="O149" s="79">
        <f>SUM(O143:O148)</f>
        <v>1500</v>
      </c>
      <c r="P149" s="80">
        <f>SUM(P143:P148)</f>
        <v>0</v>
      </c>
      <c r="Q149" s="80">
        <f>SUM(Q143:Q148)</f>
        <v>1500</v>
      </c>
      <c r="R149" s="81"/>
      <c r="S149" s="79">
        <f>SUM(S143:S148)</f>
        <v>1500</v>
      </c>
      <c r="T149" s="80">
        <f>SUM(T143:T148)</f>
        <v>0</v>
      </c>
      <c r="U149" s="80">
        <f>SUM(U143:U148)</f>
        <v>1500</v>
      </c>
      <c r="V149" s="82"/>
      <c r="W149" s="228">
        <f t="shared" si="193"/>
        <v>7500</v>
      </c>
      <c r="X149" s="80">
        <f t="shared" si="193"/>
        <v>0</v>
      </c>
      <c r="Y149" s="80">
        <f t="shared" si="193"/>
        <v>7500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/>
      <c r="B151" s="54"/>
      <c r="C151" s="124">
        <v>0</v>
      </c>
      <c r="D151" s="56">
        <v>0</v>
      </c>
      <c r="E151" s="56">
        <f>SUM(C151:D151)</f>
        <v>0</v>
      </c>
      <c r="F151" s="58"/>
      <c r="G151" s="55">
        <v>0</v>
      </c>
      <c r="H151" s="56">
        <v>0</v>
      </c>
      <c r="I151" s="56">
        <f>SUM(G151:H151)</f>
        <v>0</v>
      </c>
      <c r="J151" s="58"/>
      <c r="K151" s="55">
        <v>0</v>
      </c>
      <c r="L151" s="56">
        <v>0</v>
      </c>
      <c r="M151" s="56">
        <f>SUM(K151:L151)</f>
        <v>0</v>
      </c>
      <c r="N151" s="58"/>
      <c r="O151" s="55">
        <v>0</v>
      </c>
      <c r="P151" s="56">
        <v>0</v>
      </c>
      <c r="Q151" s="56">
        <f>SUM(O151:P151)</f>
        <v>0</v>
      </c>
      <c r="R151" s="58"/>
      <c r="S151" s="55">
        <v>0</v>
      </c>
      <c r="T151" s="56">
        <v>0</v>
      </c>
      <c r="U151" s="56">
        <f>SUM(S151:T151)</f>
        <v>0</v>
      </c>
      <c r="V151" s="59"/>
      <c r="W151" s="124">
        <f t="shared" ref="W151:Y155" si="194">C151+G151+K151+O151+S151</f>
        <v>0</v>
      </c>
      <c r="X151" s="57">
        <f t="shared" si="194"/>
        <v>0</v>
      </c>
      <c r="Y151" s="84">
        <f t="shared" si="194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77" customFormat="1" x14ac:dyDescent="0.25">
      <c r="A152" s="54"/>
      <c r="B152" s="54"/>
      <c r="C152" s="124">
        <v>0</v>
      </c>
      <c r="D152" s="56">
        <v>0</v>
      </c>
      <c r="E152" s="56">
        <f>SUM(C152:D152)</f>
        <v>0</v>
      </c>
      <c r="F152" s="58"/>
      <c r="G152" s="55">
        <v>0</v>
      </c>
      <c r="H152" s="56">
        <v>0</v>
      </c>
      <c r="I152" s="56">
        <f>SUM(G152:H152)</f>
        <v>0</v>
      </c>
      <c r="J152" s="58"/>
      <c r="K152" s="55">
        <v>0</v>
      </c>
      <c r="L152" s="56">
        <v>0</v>
      </c>
      <c r="M152" s="56">
        <f>SUM(K152:L152)</f>
        <v>0</v>
      </c>
      <c r="N152" s="58"/>
      <c r="O152" s="55">
        <v>0</v>
      </c>
      <c r="P152" s="56">
        <v>0</v>
      </c>
      <c r="Q152" s="56">
        <f>SUM(O152:P152)</f>
        <v>0</v>
      </c>
      <c r="R152" s="58"/>
      <c r="S152" s="55">
        <v>0</v>
      </c>
      <c r="T152" s="56">
        <v>0</v>
      </c>
      <c r="U152" s="56">
        <f>SUM(S152:T152)</f>
        <v>0</v>
      </c>
      <c r="V152" s="59"/>
      <c r="W152" s="124">
        <f t="shared" si="194"/>
        <v>0</v>
      </c>
      <c r="X152" s="57">
        <f t="shared" si="194"/>
        <v>0</v>
      </c>
      <c r="Y152" s="84">
        <f t="shared" si="194"/>
        <v>0</v>
      </c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</row>
    <row r="153" spans="1:77" s="77" customFormat="1" x14ac:dyDescent="0.25">
      <c r="A153" s="54"/>
      <c r="B153" s="54" t="s">
        <v>57</v>
      </c>
      <c r="C153" s="124">
        <v>0</v>
      </c>
      <c r="D153" s="56">
        <v>0</v>
      </c>
      <c r="E153" s="56">
        <f>SUM(C153:D153)</f>
        <v>0</v>
      </c>
      <c r="F153" s="58"/>
      <c r="G153" s="55">
        <v>0</v>
      </c>
      <c r="H153" s="56">
        <v>0</v>
      </c>
      <c r="I153" s="56">
        <f>SUM(G153:H153)</f>
        <v>0</v>
      </c>
      <c r="J153" s="58"/>
      <c r="K153" s="55">
        <v>0</v>
      </c>
      <c r="L153" s="56">
        <v>0</v>
      </c>
      <c r="M153" s="56">
        <f>SUM(K153:L153)</f>
        <v>0</v>
      </c>
      <c r="N153" s="58"/>
      <c r="O153" s="55">
        <v>0</v>
      </c>
      <c r="P153" s="56">
        <v>0</v>
      </c>
      <c r="Q153" s="56">
        <f>SUM(O153:P153)</f>
        <v>0</v>
      </c>
      <c r="R153" s="58"/>
      <c r="S153" s="55">
        <f>O153*1.06</f>
        <v>0</v>
      </c>
      <c r="T153" s="56">
        <v>0</v>
      </c>
      <c r="U153" s="56">
        <f>SUM(S153:T153)</f>
        <v>0</v>
      </c>
      <c r="V153" s="59"/>
      <c r="W153" s="124">
        <f t="shared" si="194"/>
        <v>0</v>
      </c>
      <c r="X153" s="57">
        <f t="shared" si="194"/>
        <v>0</v>
      </c>
      <c r="Y153" s="84">
        <f t="shared" si="194"/>
        <v>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s="61" customFormat="1" x14ac:dyDescent="0.25">
      <c r="A154" s="54"/>
      <c r="B154" s="54" t="s">
        <v>57</v>
      </c>
      <c r="C154" s="124">
        <v>0</v>
      </c>
      <c r="D154" s="56">
        <v>0</v>
      </c>
      <c r="E154" s="56">
        <f>SUM(C154:D154)</f>
        <v>0</v>
      </c>
      <c r="F154" s="58"/>
      <c r="G154" s="55">
        <f>C154*1.06</f>
        <v>0</v>
      </c>
      <c r="H154" s="56">
        <v>0</v>
      </c>
      <c r="I154" s="56">
        <f>SUM(G154:H154)</f>
        <v>0</v>
      </c>
      <c r="J154" s="58"/>
      <c r="K154" s="55">
        <f>G154*1.06</f>
        <v>0</v>
      </c>
      <c r="L154" s="56">
        <v>0</v>
      </c>
      <c r="M154" s="56">
        <f>SUM(K154:L154)</f>
        <v>0</v>
      </c>
      <c r="N154" s="58"/>
      <c r="O154" s="55">
        <f>(C154*2)*1.06*1.06*1.06</f>
        <v>0</v>
      </c>
      <c r="P154" s="56">
        <v>0</v>
      </c>
      <c r="Q154" s="56">
        <f>SUM(O154:P154)</f>
        <v>0</v>
      </c>
      <c r="R154" s="58"/>
      <c r="S154" s="55">
        <f>O154*1.06</f>
        <v>0</v>
      </c>
      <c r="T154" s="56">
        <v>0</v>
      </c>
      <c r="U154" s="56">
        <f>SUM(S154:T154)</f>
        <v>0</v>
      </c>
      <c r="V154" s="59"/>
      <c r="W154" s="124">
        <f t="shared" si="194"/>
        <v>0</v>
      </c>
      <c r="X154" s="57">
        <f t="shared" si="194"/>
        <v>0</v>
      </c>
      <c r="Y154" s="84">
        <f t="shared" si="194"/>
        <v>0</v>
      </c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0</v>
      </c>
      <c r="H155" s="80">
        <f>SUM(H151:H154)</f>
        <v>0</v>
      </c>
      <c r="I155" s="80">
        <f>SUM(I151:I154)</f>
        <v>0</v>
      </c>
      <c r="J155" s="81"/>
      <c r="K155" s="79">
        <f>SUM(K151:K154)</f>
        <v>0</v>
      </c>
      <c r="L155" s="80">
        <f>SUM(L151:L154)</f>
        <v>0</v>
      </c>
      <c r="M155" s="80">
        <f>SUM(M151:M154)</f>
        <v>0</v>
      </c>
      <c r="N155" s="81"/>
      <c r="O155" s="79">
        <f>SUM(O151:O154)</f>
        <v>0</v>
      </c>
      <c r="P155" s="80">
        <f>SUM(P151:P154)</f>
        <v>0</v>
      </c>
      <c r="Q155" s="80">
        <f>SUM(Q151:Q154)</f>
        <v>0</v>
      </c>
      <c r="R155" s="81"/>
      <c r="S155" s="79">
        <f>SUM(S151:S154)</f>
        <v>0</v>
      </c>
      <c r="T155" s="80">
        <f>SUM(T151:T154)</f>
        <v>0</v>
      </c>
      <c r="U155" s="80">
        <f>SUM(U151:U154)</f>
        <v>0</v>
      </c>
      <c r="V155" s="82"/>
      <c r="W155" s="228">
        <f t="shared" si="194"/>
        <v>0</v>
      </c>
      <c r="X155" s="80">
        <f t="shared" si="194"/>
        <v>0</v>
      </c>
      <c r="Y155" s="80">
        <f t="shared" si="194"/>
        <v>0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2"/>
      <c r="B157" s="52" t="s">
        <v>57</v>
      </c>
      <c r="C157" s="124">
        <v>0</v>
      </c>
      <c r="D157" s="56">
        <v>0</v>
      </c>
      <c r="E157" s="56">
        <f t="shared" ref="E157" si="195">SUM(C157:D157)</f>
        <v>0</v>
      </c>
      <c r="F157" s="58"/>
      <c r="G157" s="55">
        <f t="shared" ref="G157" si="196">C157*1.03</f>
        <v>0</v>
      </c>
      <c r="H157" s="56">
        <f t="shared" ref="H157" si="197">D157*1.03</f>
        <v>0</v>
      </c>
      <c r="I157" s="57">
        <f t="shared" ref="I157" si="198">SUM(G157:H157)</f>
        <v>0</v>
      </c>
      <c r="J157" s="58"/>
      <c r="K157" s="55">
        <f t="shared" ref="K157" si="199">G157*1.03</f>
        <v>0</v>
      </c>
      <c r="L157" s="56">
        <f t="shared" ref="L157" si="200">H157*1.03</f>
        <v>0</v>
      </c>
      <c r="M157" s="57">
        <f t="shared" ref="M157" si="201">SUM(K157:L157)</f>
        <v>0</v>
      </c>
      <c r="N157" s="58"/>
      <c r="O157" s="55">
        <f t="shared" ref="O157" si="202">K157*1.03</f>
        <v>0</v>
      </c>
      <c r="P157" s="56">
        <f t="shared" ref="P157" si="203">L157*1.03</f>
        <v>0</v>
      </c>
      <c r="Q157" s="57">
        <f t="shared" ref="Q157" si="204">SUM(O157:P157)</f>
        <v>0</v>
      </c>
      <c r="R157" s="58"/>
      <c r="S157" s="55">
        <f>(O157*1.03)</f>
        <v>0</v>
      </c>
      <c r="T157" s="56">
        <f t="shared" ref="T157" si="205">P157*1.03</f>
        <v>0</v>
      </c>
      <c r="U157" s="57">
        <f t="shared" ref="U157" si="206">SUM(S157:T157)</f>
        <v>0</v>
      </c>
      <c r="V157" s="59"/>
      <c r="W157" s="124">
        <f t="shared" ref="W157:W158" si="207">C157+G157+K157+O157+S157</f>
        <v>0</v>
      </c>
      <c r="X157" s="57">
        <f t="shared" ref="X157:X158" si="208">D157+H157+L157+P157+T157</f>
        <v>0</v>
      </c>
      <c r="Y157" s="84">
        <f t="shared" ref="Y157:Y158" si="209">E157+I157+M157+Q157+U157</f>
        <v>0</v>
      </c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</row>
    <row r="158" spans="1:77" s="61" customFormat="1" x14ac:dyDescent="0.25">
      <c r="A158" s="52"/>
      <c r="B158" s="195" t="s">
        <v>158</v>
      </c>
      <c r="C158" s="124">
        <v>0</v>
      </c>
      <c r="D158" s="56">
        <v>0</v>
      </c>
      <c r="E158" s="56">
        <f t="shared" ref="E158" si="210">SUM(C158:D158)</f>
        <v>0</v>
      </c>
      <c r="F158" s="58"/>
      <c r="G158" s="55">
        <v>18000</v>
      </c>
      <c r="H158" s="57">
        <v>0</v>
      </c>
      <c r="I158" s="57">
        <f t="shared" ref="I158" si="211">SUM(G158:H158)</f>
        <v>18000</v>
      </c>
      <c r="J158" s="58"/>
      <c r="K158" s="55">
        <v>0</v>
      </c>
      <c r="L158" s="57">
        <v>0</v>
      </c>
      <c r="M158" s="57">
        <f t="shared" ref="M158" si="212">SUM(K158:L158)</f>
        <v>0</v>
      </c>
      <c r="N158" s="58"/>
      <c r="O158" s="55">
        <v>0</v>
      </c>
      <c r="P158" s="56">
        <v>0</v>
      </c>
      <c r="Q158" s="57">
        <f t="shared" ref="Q158" si="213">SUM(O158:P158)</f>
        <v>0</v>
      </c>
      <c r="R158" s="58"/>
      <c r="S158" s="55">
        <v>0</v>
      </c>
      <c r="T158" s="56">
        <v>0</v>
      </c>
      <c r="U158" s="57">
        <f t="shared" ref="U158" si="214">SUM(S158:T158)</f>
        <v>0</v>
      </c>
      <c r="V158" s="59"/>
      <c r="W158" s="124">
        <f t="shared" si="207"/>
        <v>18000</v>
      </c>
      <c r="X158" s="57">
        <f t="shared" si="208"/>
        <v>0</v>
      </c>
      <c r="Y158" s="84">
        <f t="shared" si="209"/>
        <v>18000</v>
      </c>
    </row>
    <row r="159" spans="1:77" s="61" customFormat="1" x14ac:dyDescent="0.25">
      <c r="A159" s="52"/>
      <c r="B159" s="52" t="s">
        <v>57</v>
      </c>
      <c r="C159" s="124">
        <v>0</v>
      </c>
      <c r="D159" s="56">
        <v>0</v>
      </c>
      <c r="E159" s="56">
        <f t="shared" ref="E159:E172" si="215">SUM(C159:D159)</f>
        <v>0</v>
      </c>
      <c r="F159" s="58"/>
      <c r="G159" s="55">
        <v>0</v>
      </c>
      <c r="H159" s="57">
        <v>0</v>
      </c>
      <c r="I159" s="57">
        <f t="shared" ref="I159:I172" si="216">SUM(G159:H159)</f>
        <v>0</v>
      </c>
      <c r="J159" s="58"/>
      <c r="K159" s="55">
        <v>0</v>
      </c>
      <c r="L159" s="57">
        <v>0</v>
      </c>
      <c r="M159" s="57">
        <f t="shared" ref="M159:M172" si="217">SUM(K159:L159)</f>
        <v>0</v>
      </c>
      <c r="N159" s="58"/>
      <c r="O159" s="55">
        <v>0</v>
      </c>
      <c r="P159" s="56">
        <v>0</v>
      </c>
      <c r="Q159" s="57">
        <f t="shared" ref="Q159:Q172" si="218">SUM(O159:P159)</f>
        <v>0</v>
      </c>
      <c r="R159" s="58"/>
      <c r="S159" s="55">
        <v>0</v>
      </c>
      <c r="T159" s="57">
        <v>0</v>
      </c>
      <c r="U159" s="57">
        <f t="shared" ref="U159:U172" si="219">SUM(S159:T159)</f>
        <v>0</v>
      </c>
      <c r="V159" s="59"/>
      <c r="W159" s="124">
        <f t="shared" ref="W159:W173" si="220">C159+G159+K159+O159+S159</f>
        <v>0</v>
      </c>
      <c r="X159" s="57">
        <f t="shared" ref="X159:X173" si="221">D159+H159+L159+P159+T159</f>
        <v>0</v>
      </c>
      <c r="Y159" s="84">
        <f t="shared" ref="Y159:Y173" si="222">E159+I159+M159+Q159+U159</f>
        <v>0</v>
      </c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</row>
    <row r="160" spans="1:77" s="61" customFormat="1" x14ac:dyDescent="0.25">
      <c r="A160" s="54"/>
      <c r="B160" s="199" t="s">
        <v>157</v>
      </c>
      <c r="C160" s="124">
        <v>0</v>
      </c>
      <c r="D160" s="56">
        <v>0</v>
      </c>
      <c r="E160" s="56">
        <f t="shared" si="215"/>
        <v>0</v>
      </c>
      <c r="F160" s="58"/>
      <c r="G160" s="55">
        <v>15000</v>
      </c>
      <c r="H160" s="57">
        <v>0</v>
      </c>
      <c r="I160" s="57">
        <f t="shared" si="216"/>
        <v>15000</v>
      </c>
      <c r="J160" s="58"/>
      <c r="K160" s="55">
        <f>G160*0</f>
        <v>0</v>
      </c>
      <c r="L160" s="57">
        <v>0</v>
      </c>
      <c r="M160" s="57">
        <f t="shared" si="217"/>
        <v>0</v>
      </c>
      <c r="N160" s="58"/>
      <c r="O160" s="55">
        <f>15000*0</f>
        <v>0</v>
      </c>
      <c r="P160" s="56">
        <v>0</v>
      </c>
      <c r="Q160" s="57">
        <f t="shared" si="218"/>
        <v>0</v>
      </c>
      <c r="R160" s="58"/>
      <c r="S160" s="55">
        <f>O160*0</f>
        <v>0</v>
      </c>
      <c r="T160" s="57">
        <v>0</v>
      </c>
      <c r="U160" s="57">
        <f t="shared" si="219"/>
        <v>0</v>
      </c>
      <c r="V160" s="59"/>
      <c r="W160" s="124">
        <f t="shared" si="220"/>
        <v>15000</v>
      </c>
      <c r="X160" s="57">
        <f t="shared" si="221"/>
        <v>0</v>
      </c>
      <c r="Y160" s="84">
        <f t="shared" si="222"/>
        <v>15000</v>
      </c>
    </row>
    <row r="161" spans="1:77" s="61" customFormat="1" x14ac:dyDescent="0.25">
      <c r="A161" s="52"/>
      <c r="B161" s="52"/>
      <c r="C161" s="124">
        <v>0</v>
      </c>
      <c r="D161" s="56">
        <v>0</v>
      </c>
      <c r="E161" s="56">
        <f t="shared" si="215"/>
        <v>0</v>
      </c>
      <c r="F161" s="58"/>
      <c r="G161" s="55">
        <v>0</v>
      </c>
      <c r="H161" s="57">
        <v>0</v>
      </c>
      <c r="I161" s="57">
        <f t="shared" si="216"/>
        <v>0</v>
      </c>
      <c r="J161" s="58"/>
      <c r="K161" s="55">
        <v>0</v>
      </c>
      <c r="L161" s="57">
        <v>0</v>
      </c>
      <c r="M161" s="57">
        <f t="shared" si="217"/>
        <v>0</v>
      </c>
      <c r="N161" s="58"/>
      <c r="O161" s="55">
        <v>0</v>
      </c>
      <c r="P161" s="57">
        <v>0</v>
      </c>
      <c r="Q161" s="57">
        <f t="shared" si="218"/>
        <v>0</v>
      </c>
      <c r="R161" s="58"/>
      <c r="S161" s="55">
        <v>0</v>
      </c>
      <c r="T161" s="57">
        <v>0</v>
      </c>
      <c r="U161" s="57">
        <f t="shared" si="219"/>
        <v>0</v>
      </c>
      <c r="V161" s="59"/>
      <c r="W161" s="124">
        <f t="shared" si="220"/>
        <v>0</v>
      </c>
      <c r="X161" s="57">
        <f t="shared" si="221"/>
        <v>0</v>
      </c>
      <c r="Y161" s="84">
        <f t="shared" si="222"/>
        <v>0</v>
      </c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1" customFormat="1" x14ac:dyDescent="0.25">
      <c r="A162" s="52"/>
      <c r="B162" s="52"/>
      <c r="C162" s="124">
        <v>0</v>
      </c>
      <c r="D162" s="56">
        <v>0</v>
      </c>
      <c r="E162" s="56">
        <f t="shared" si="215"/>
        <v>0</v>
      </c>
      <c r="F162" s="58"/>
      <c r="G162" s="55">
        <v>0</v>
      </c>
      <c r="H162" s="57">
        <v>0</v>
      </c>
      <c r="I162" s="57">
        <f t="shared" si="216"/>
        <v>0</v>
      </c>
      <c r="J162" s="58"/>
      <c r="K162" s="55">
        <v>0</v>
      </c>
      <c r="L162" s="57">
        <v>0</v>
      </c>
      <c r="M162" s="57">
        <f t="shared" si="217"/>
        <v>0</v>
      </c>
      <c r="N162" s="58"/>
      <c r="O162" s="55">
        <v>0</v>
      </c>
      <c r="P162" s="57">
        <v>0</v>
      </c>
      <c r="Q162" s="57">
        <f t="shared" si="218"/>
        <v>0</v>
      </c>
      <c r="R162" s="58"/>
      <c r="S162" s="55">
        <v>0</v>
      </c>
      <c r="T162" s="57">
        <v>0</v>
      </c>
      <c r="U162" s="57">
        <f t="shared" si="219"/>
        <v>0</v>
      </c>
      <c r="V162" s="59"/>
      <c r="W162" s="124">
        <f t="shared" si="220"/>
        <v>0</v>
      </c>
      <c r="X162" s="57">
        <f t="shared" si="221"/>
        <v>0</v>
      </c>
      <c r="Y162" s="84">
        <f t="shared" si="222"/>
        <v>0</v>
      </c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</row>
    <row r="163" spans="1:77" s="61" customFormat="1" x14ac:dyDescent="0.25">
      <c r="A163" s="87"/>
      <c r="B163" s="52"/>
      <c r="C163" s="124">
        <v>0</v>
      </c>
      <c r="D163" s="56">
        <v>0</v>
      </c>
      <c r="E163" s="56">
        <f t="shared" si="215"/>
        <v>0</v>
      </c>
      <c r="F163" s="58"/>
      <c r="G163" s="55">
        <v>0</v>
      </c>
      <c r="H163" s="57">
        <v>0</v>
      </c>
      <c r="I163" s="57">
        <f t="shared" si="216"/>
        <v>0</v>
      </c>
      <c r="J163" s="58"/>
      <c r="K163" s="55">
        <v>0</v>
      </c>
      <c r="L163" s="57">
        <v>0</v>
      </c>
      <c r="M163" s="57">
        <f t="shared" si="217"/>
        <v>0</v>
      </c>
      <c r="N163" s="58"/>
      <c r="O163" s="55">
        <v>0</v>
      </c>
      <c r="P163" s="57">
        <v>0</v>
      </c>
      <c r="Q163" s="57">
        <f t="shared" si="218"/>
        <v>0</v>
      </c>
      <c r="R163" s="58"/>
      <c r="S163" s="55">
        <v>0</v>
      </c>
      <c r="T163" s="57">
        <v>0</v>
      </c>
      <c r="U163" s="57">
        <f t="shared" si="219"/>
        <v>0</v>
      </c>
      <c r="V163" s="59"/>
      <c r="W163" s="124">
        <f t="shared" si="220"/>
        <v>0</v>
      </c>
      <c r="X163" s="57">
        <f t="shared" si="221"/>
        <v>0</v>
      </c>
      <c r="Y163" s="84">
        <f t="shared" si="222"/>
        <v>0</v>
      </c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s="61" customFormat="1" x14ac:dyDescent="0.25">
      <c r="A164" s="52"/>
      <c r="B164" s="52"/>
      <c r="C164" s="124">
        <v>0</v>
      </c>
      <c r="D164" s="56">
        <v>0</v>
      </c>
      <c r="E164" s="56">
        <f t="shared" si="215"/>
        <v>0</v>
      </c>
      <c r="F164" s="58"/>
      <c r="G164" s="55">
        <v>0</v>
      </c>
      <c r="H164" s="57">
        <v>0</v>
      </c>
      <c r="I164" s="57">
        <f t="shared" si="216"/>
        <v>0</v>
      </c>
      <c r="J164" s="58"/>
      <c r="K164" s="55">
        <v>0</v>
      </c>
      <c r="L164" s="57">
        <v>0</v>
      </c>
      <c r="M164" s="57">
        <f t="shared" si="217"/>
        <v>0</v>
      </c>
      <c r="N164" s="58"/>
      <c r="O164" s="55">
        <v>0</v>
      </c>
      <c r="P164" s="57">
        <v>0</v>
      </c>
      <c r="Q164" s="57">
        <f t="shared" si="218"/>
        <v>0</v>
      </c>
      <c r="R164" s="58"/>
      <c r="S164" s="55">
        <v>0</v>
      </c>
      <c r="T164" s="57">
        <v>0</v>
      </c>
      <c r="U164" s="57">
        <f t="shared" si="219"/>
        <v>0</v>
      </c>
      <c r="V164" s="59"/>
      <c r="W164" s="124">
        <f t="shared" si="220"/>
        <v>0</v>
      </c>
      <c r="X164" s="57">
        <f t="shared" si="221"/>
        <v>0</v>
      </c>
      <c r="Y164" s="84">
        <f t="shared" si="222"/>
        <v>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/>
      <c r="C165" s="124">
        <v>0</v>
      </c>
      <c r="D165" s="56">
        <v>0</v>
      </c>
      <c r="E165" s="56">
        <f t="shared" si="215"/>
        <v>0</v>
      </c>
      <c r="F165" s="58"/>
      <c r="G165" s="55">
        <v>0</v>
      </c>
      <c r="H165" s="57">
        <v>0</v>
      </c>
      <c r="I165" s="57">
        <f t="shared" si="216"/>
        <v>0</v>
      </c>
      <c r="J165" s="58"/>
      <c r="K165" s="55">
        <v>0</v>
      </c>
      <c r="L165" s="57">
        <v>0</v>
      </c>
      <c r="M165" s="57">
        <f t="shared" si="217"/>
        <v>0</v>
      </c>
      <c r="N165" s="58"/>
      <c r="O165" s="55">
        <v>0</v>
      </c>
      <c r="P165" s="57">
        <v>0</v>
      </c>
      <c r="Q165" s="57">
        <f t="shared" si="218"/>
        <v>0</v>
      </c>
      <c r="R165" s="58"/>
      <c r="S165" s="55">
        <v>0</v>
      </c>
      <c r="T165" s="57">
        <v>0</v>
      </c>
      <c r="U165" s="57">
        <f t="shared" si="219"/>
        <v>0</v>
      </c>
      <c r="V165" s="59"/>
      <c r="W165" s="124">
        <f t="shared" si="220"/>
        <v>0</v>
      </c>
      <c r="X165" s="57">
        <f t="shared" si="221"/>
        <v>0</v>
      </c>
      <c r="Y165" s="84">
        <f t="shared" si="222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2"/>
      <c r="C166" s="124">
        <v>0</v>
      </c>
      <c r="D166" s="56">
        <v>0</v>
      </c>
      <c r="E166" s="56">
        <f t="shared" si="215"/>
        <v>0</v>
      </c>
      <c r="F166" s="58"/>
      <c r="G166" s="55">
        <v>0</v>
      </c>
      <c r="H166" s="57">
        <v>0</v>
      </c>
      <c r="I166" s="57">
        <f t="shared" si="216"/>
        <v>0</v>
      </c>
      <c r="J166" s="58"/>
      <c r="K166" s="55">
        <v>0</v>
      </c>
      <c r="L166" s="57">
        <v>0</v>
      </c>
      <c r="M166" s="57">
        <f t="shared" si="217"/>
        <v>0</v>
      </c>
      <c r="N166" s="58"/>
      <c r="O166" s="55">
        <v>0</v>
      </c>
      <c r="P166" s="57">
        <v>0</v>
      </c>
      <c r="Q166" s="57">
        <f t="shared" si="218"/>
        <v>0</v>
      </c>
      <c r="R166" s="58"/>
      <c r="S166" s="55">
        <v>0</v>
      </c>
      <c r="T166" s="57">
        <v>0</v>
      </c>
      <c r="U166" s="57">
        <f t="shared" si="219"/>
        <v>0</v>
      </c>
      <c r="V166" s="59"/>
      <c r="W166" s="124">
        <f t="shared" si="220"/>
        <v>0</v>
      </c>
      <c r="X166" s="57">
        <f t="shared" si="221"/>
        <v>0</v>
      </c>
      <c r="Y166" s="84">
        <f t="shared" si="222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215"/>
        <v>0</v>
      </c>
      <c r="F167" s="58"/>
      <c r="G167" s="55">
        <v>0</v>
      </c>
      <c r="H167" s="57">
        <v>0</v>
      </c>
      <c r="I167" s="57">
        <f t="shared" si="216"/>
        <v>0</v>
      </c>
      <c r="J167" s="58"/>
      <c r="K167" s="55">
        <v>0</v>
      </c>
      <c r="L167" s="57">
        <v>0</v>
      </c>
      <c r="M167" s="57">
        <f t="shared" si="217"/>
        <v>0</v>
      </c>
      <c r="N167" s="58"/>
      <c r="O167" s="55">
        <v>0</v>
      </c>
      <c r="P167" s="57">
        <v>0</v>
      </c>
      <c r="Q167" s="57">
        <f t="shared" si="218"/>
        <v>0</v>
      </c>
      <c r="R167" s="58"/>
      <c r="S167" s="55">
        <v>0</v>
      </c>
      <c r="T167" s="57">
        <v>0</v>
      </c>
      <c r="U167" s="57">
        <f t="shared" si="219"/>
        <v>0</v>
      </c>
      <c r="V167" s="59"/>
      <c r="W167" s="124">
        <f t="shared" si="220"/>
        <v>0</v>
      </c>
      <c r="X167" s="57">
        <f t="shared" si="221"/>
        <v>0</v>
      </c>
      <c r="Y167" s="84">
        <f t="shared" si="222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215"/>
        <v>0</v>
      </c>
      <c r="F168" s="58"/>
      <c r="G168" s="55">
        <v>0</v>
      </c>
      <c r="H168" s="57">
        <v>0</v>
      </c>
      <c r="I168" s="57">
        <f t="shared" si="216"/>
        <v>0</v>
      </c>
      <c r="J168" s="58"/>
      <c r="K168" s="55">
        <v>0</v>
      </c>
      <c r="L168" s="57">
        <v>0</v>
      </c>
      <c r="M168" s="57">
        <f t="shared" si="217"/>
        <v>0</v>
      </c>
      <c r="N168" s="58"/>
      <c r="O168" s="55">
        <v>0</v>
      </c>
      <c r="P168" s="57">
        <v>0</v>
      </c>
      <c r="Q168" s="57">
        <f t="shared" si="218"/>
        <v>0</v>
      </c>
      <c r="R168" s="58"/>
      <c r="S168" s="55">
        <v>0</v>
      </c>
      <c r="T168" s="57">
        <v>0</v>
      </c>
      <c r="U168" s="57">
        <f t="shared" si="219"/>
        <v>0</v>
      </c>
      <c r="V168" s="59"/>
      <c r="W168" s="124">
        <f t="shared" si="220"/>
        <v>0</v>
      </c>
      <c r="X168" s="57">
        <f t="shared" si="221"/>
        <v>0</v>
      </c>
      <c r="Y168" s="84">
        <f t="shared" si="222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215"/>
        <v>0</v>
      </c>
      <c r="F169" s="58"/>
      <c r="G169" s="55">
        <v>0</v>
      </c>
      <c r="H169" s="57">
        <v>0</v>
      </c>
      <c r="I169" s="57">
        <f t="shared" si="216"/>
        <v>0</v>
      </c>
      <c r="J169" s="58"/>
      <c r="K169" s="55">
        <v>0</v>
      </c>
      <c r="L169" s="57">
        <v>0</v>
      </c>
      <c r="M169" s="57">
        <f t="shared" si="217"/>
        <v>0</v>
      </c>
      <c r="N169" s="58"/>
      <c r="O169" s="55">
        <v>0</v>
      </c>
      <c r="P169" s="57">
        <v>0</v>
      </c>
      <c r="Q169" s="57">
        <f t="shared" si="218"/>
        <v>0</v>
      </c>
      <c r="R169" s="58"/>
      <c r="S169" s="55">
        <v>0</v>
      </c>
      <c r="T169" s="57">
        <v>0</v>
      </c>
      <c r="U169" s="57">
        <f t="shared" si="219"/>
        <v>0</v>
      </c>
      <c r="V169" s="59"/>
      <c r="W169" s="124">
        <f t="shared" si="220"/>
        <v>0</v>
      </c>
      <c r="X169" s="57">
        <f t="shared" si="221"/>
        <v>0</v>
      </c>
      <c r="Y169" s="84">
        <f t="shared" si="222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215"/>
        <v>0</v>
      </c>
      <c r="F170" s="58"/>
      <c r="G170" s="55">
        <v>0</v>
      </c>
      <c r="H170" s="57">
        <v>0</v>
      </c>
      <c r="I170" s="57">
        <f t="shared" si="216"/>
        <v>0</v>
      </c>
      <c r="J170" s="58"/>
      <c r="K170" s="55">
        <v>0</v>
      </c>
      <c r="L170" s="57">
        <v>0</v>
      </c>
      <c r="M170" s="57">
        <f t="shared" si="217"/>
        <v>0</v>
      </c>
      <c r="N170" s="58"/>
      <c r="O170" s="55">
        <v>0</v>
      </c>
      <c r="P170" s="57">
        <v>0</v>
      </c>
      <c r="Q170" s="57">
        <f t="shared" si="218"/>
        <v>0</v>
      </c>
      <c r="R170" s="58"/>
      <c r="S170" s="55">
        <v>0</v>
      </c>
      <c r="T170" s="57">
        <v>0</v>
      </c>
      <c r="U170" s="57">
        <f t="shared" si="219"/>
        <v>0</v>
      </c>
      <c r="V170" s="59"/>
      <c r="W170" s="124">
        <f t="shared" si="220"/>
        <v>0</v>
      </c>
      <c r="X170" s="57">
        <f t="shared" si="221"/>
        <v>0</v>
      </c>
      <c r="Y170" s="84">
        <f t="shared" si="222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215"/>
        <v>0</v>
      </c>
      <c r="F171" s="58"/>
      <c r="G171" s="55">
        <v>0</v>
      </c>
      <c r="H171" s="57">
        <v>0</v>
      </c>
      <c r="I171" s="57">
        <f t="shared" si="216"/>
        <v>0</v>
      </c>
      <c r="J171" s="58"/>
      <c r="K171" s="55">
        <v>0</v>
      </c>
      <c r="L171" s="57">
        <v>0</v>
      </c>
      <c r="M171" s="57">
        <f t="shared" si="217"/>
        <v>0</v>
      </c>
      <c r="N171" s="58"/>
      <c r="O171" s="55">
        <v>0</v>
      </c>
      <c r="P171" s="57">
        <v>0</v>
      </c>
      <c r="Q171" s="57">
        <f t="shared" si="218"/>
        <v>0</v>
      </c>
      <c r="R171" s="58"/>
      <c r="S171" s="55">
        <v>0</v>
      </c>
      <c r="T171" s="57">
        <v>0</v>
      </c>
      <c r="U171" s="57">
        <f t="shared" si="219"/>
        <v>0</v>
      </c>
      <c r="V171" s="59"/>
      <c r="W171" s="124">
        <f t="shared" si="220"/>
        <v>0</v>
      </c>
      <c r="X171" s="57">
        <f t="shared" si="221"/>
        <v>0</v>
      </c>
      <c r="Y171" s="84">
        <f t="shared" si="222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215"/>
        <v>0</v>
      </c>
      <c r="F172" s="58"/>
      <c r="G172" s="55">
        <v>0</v>
      </c>
      <c r="H172" s="57">
        <v>0</v>
      </c>
      <c r="I172" s="57">
        <f t="shared" si="216"/>
        <v>0</v>
      </c>
      <c r="J172" s="58"/>
      <c r="K172" s="55">
        <v>0</v>
      </c>
      <c r="L172" s="57">
        <v>0</v>
      </c>
      <c r="M172" s="57">
        <f t="shared" si="217"/>
        <v>0</v>
      </c>
      <c r="N172" s="58"/>
      <c r="O172" s="55">
        <v>0</v>
      </c>
      <c r="P172" s="57">
        <v>0</v>
      </c>
      <c r="Q172" s="57">
        <f t="shared" si="218"/>
        <v>0</v>
      </c>
      <c r="R172" s="58"/>
      <c r="S172" s="55">
        <v>0</v>
      </c>
      <c r="T172" s="57">
        <v>0</v>
      </c>
      <c r="U172" s="57">
        <f t="shared" si="219"/>
        <v>0</v>
      </c>
      <c r="V172" s="59"/>
      <c r="W172" s="124">
        <f t="shared" si="220"/>
        <v>0</v>
      </c>
      <c r="X172" s="57">
        <f t="shared" si="221"/>
        <v>0</v>
      </c>
      <c r="Y172" s="84">
        <f t="shared" si="222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0</v>
      </c>
      <c r="D173" s="153">
        <f>SUM(D157:D172)</f>
        <v>0</v>
      </c>
      <c r="E173" s="153">
        <f>SUM(E157:E172)</f>
        <v>0</v>
      </c>
      <c r="F173" s="154"/>
      <c r="G173" s="152">
        <f>SUM(G157:G172)</f>
        <v>33000</v>
      </c>
      <c r="H173" s="155">
        <f>SUM(H157:H172)</f>
        <v>0</v>
      </c>
      <c r="I173" s="155">
        <f>SUM(I157:I172)</f>
        <v>33000</v>
      </c>
      <c r="J173" s="154"/>
      <c r="K173" s="152">
        <f>SUM(K157:K172)</f>
        <v>0</v>
      </c>
      <c r="L173" s="155">
        <f>SUM(L157:L172)</f>
        <v>0</v>
      </c>
      <c r="M173" s="155">
        <f>SUM(M157:M172)</f>
        <v>0</v>
      </c>
      <c r="N173" s="154"/>
      <c r="O173" s="152">
        <f>SUM(O157:O172)</f>
        <v>0</v>
      </c>
      <c r="P173" s="155">
        <f>SUM(P157:P172)</f>
        <v>0</v>
      </c>
      <c r="Q173" s="155">
        <f>SUM(Q157:Q172)</f>
        <v>0</v>
      </c>
      <c r="R173" s="154"/>
      <c r="S173" s="152">
        <f>SUM(S157:S172)</f>
        <v>0</v>
      </c>
      <c r="T173" s="155">
        <f>SUM(T157:T172)</f>
        <v>0</v>
      </c>
      <c r="U173" s="155">
        <f>SUM(U157:U172)</f>
        <v>0</v>
      </c>
      <c r="V173" s="82"/>
      <c r="W173" s="228">
        <f t="shared" si="220"/>
        <v>33000</v>
      </c>
      <c r="X173" s="80">
        <f t="shared" si="221"/>
        <v>0</v>
      </c>
      <c r="Y173" s="80">
        <f t="shared" si="222"/>
        <v>33000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>(C173+ C155+C149+C141+C125)</f>
        <v>24731.3835</v>
      </c>
      <c r="D174" s="104">
        <f t="shared" ref="D174:Y174" si="223">(D173+ D155+D149+D141+D125)</f>
        <v>0</v>
      </c>
      <c r="E174" s="104">
        <f t="shared" si="223"/>
        <v>24731.3835</v>
      </c>
      <c r="F174" s="104">
        <f t="shared" si="223"/>
        <v>0</v>
      </c>
      <c r="G174" s="104">
        <f t="shared" si="223"/>
        <v>58428.325005000006</v>
      </c>
      <c r="H174" s="104">
        <f t="shared" si="223"/>
        <v>0</v>
      </c>
      <c r="I174" s="104">
        <f t="shared" si="223"/>
        <v>58428.325005000006</v>
      </c>
      <c r="J174" s="104">
        <f t="shared" si="223"/>
        <v>0</v>
      </c>
      <c r="K174" s="104">
        <f t="shared" si="223"/>
        <v>26146.174755150001</v>
      </c>
      <c r="L174" s="104">
        <f t="shared" si="223"/>
        <v>0</v>
      </c>
      <c r="M174" s="104">
        <f t="shared" si="223"/>
        <v>26146.174755150001</v>
      </c>
      <c r="N174" s="104">
        <f t="shared" si="223"/>
        <v>0</v>
      </c>
      <c r="O174" s="104">
        <f t="shared" si="223"/>
        <v>26885.559997804507</v>
      </c>
      <c r="P174" s="104">
        <f t="shared" si="223"/>
        <v>0</v>
      </c>
      <c r="Q174" s="104">
        <f t="shared" si="223"/>
        <v>26885.559997804507</v>
      </c>
      <c r="R174" s="104">
        <f t="shared" si="223"/>
        <v>0</v>
      </c>
      <c r="S174" s="104">
        <f t="shared" si="223"/>
        <v>27647.126797738641</v>
      </c>
      <c r="T174" s="104">
        <f t="shared" si="223"/>
        <v>0</v>
      </c>
      <c r="U174" s="104">
        <f t="shared" si="223"/>
        <v>27647.126797738641</v>
      </c>
      <c r="V174" s="104">
        <f t="shared" si="223"/>
        <v>0</v>
      </c>
      <c r="W174" s="104">
        <f t="shared" si="223"/>
        <v>163838.57005569316</v>
      </c>
      <c r="X174" s="104">
        <f t="shared" si="223"/>
        <v>0</v>
      </c>
      <c r="Y174" s="104">
        <f t="shared" si="223"/>
        <v>163838.57005569316</v>
      </c>
      <c r="Z174" s="105">
        <f>(SUM(C174+G174+K174)/3)</f>
        <v>36435.294420049999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(C125+C149+C173)*0.405</f>
        <v>10016.210317500001</v>
      </c>
      <c r="D175" s="104">
        <v>0</v>
      </c>
      <c r="E175" s="104">
        <f>C175</f>
        <v>10016.210317500001</v>
      </c>
      <c r="F175" s="104">
        <f>(F125+F149+F173)*0.39</f>
        <v>0</v>
      </c>
      <c r="G175" s="104">
        <f>(G125+G149+G173)*0.405</f>
        <v>23663.471627025003</v>
      </c>
      <c r="H175" s="104">
        <v>0</v>
      </c>
      <c r="I175" s="104">
        <f>G175</f>
        <v>23663.471627025003</v>
      </c>
      <c r="J175" s="104">
        <f>(J125+J149+J173)*0.39</f>
        <v>0</v>
      </c>
      <c r="K175" s="104">
        <f>(K125+K149+K173)*0.405</f>
        <v>10589.20077583575</v>
      </c>
      <c r="L175" s="104">
        <v>0</v>
      </c>
      <c r="M175" s="104">
        <f>K175</f>
        <v>10589.20077583575</v>
      </c>
      <c r="N175" s="104">
        <f>(N125+N149+N173)*0.39</f>
        <v>0</v>
      </c>
      <c r="O175" s="104">
        <f>(O125+O149+O173)*0.405</f>
        <v>10888.651799110827</v>
      </c>
      <c r="P175" s="104">
        <v>0</v>
      </c>
      <c r="Q175" s="104">
        <f>O175</f>
        <v>10888.651799110827</v>
      </c>
      <c r="R175" s="104">
        <f>(R125+R149+R173)*0.39</f>
        <v>0</v>
      </c>
      <c r="S175" s="104">
        <f>(S125+S149+S173)*0.405</f>
        <v>11197.086353084151</v>
      </c>
      <c r="T175" s="104">
        <v>0</v>
      </c>
      <c r="U175" s="104">
        <f>S175</f>
        <v>11197.086353084151</v>
      </c>
      <c r="V175" s="104">
        <f>(V125+V149+V173)*0.39</f>
        <v>0</v>
      </c>
      <c r="W175" s="104">
        <f>(W125+W149+W173)*0.405</f>
        <v>66354.620872555737</v>
      </c>
      <c r="X175" s="104">
        <v>0</v>
      </c>
      <c r="Y175" s="104">
        <f>W175</f>
        <v>66354.620872555737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C174+C175+0.1</f>
        <v>34747.693817500003</v>
      </c>
      <c r="D176" s="104">
        <f t="shared" ref="D176:Y176" si="224">D174+D175</f>
        <v>0</v>
      </c>
      <c r="E176" s="104">
        <f t="shared" si="224"/>
        <v>34747.593817500005</v>
      </c>
      <c r="F176" s="104">
        <f t="shared" si="224"/>
        <v>0</v>
      </c>
      <c r="G176" s="104">
        <f t="shared" si="224"/>
        <v>82091.796632025013</v>
      </c>
      <c r="H176" s="104">
        <f t="shared" si="224"/>
        <v>0</v>
      </c>
      <c r="I176" s="104">
        <f t="shared" si="224"/>
        <v>82091.796632025013</v>
      </c>
      <c r="J176" s="104">
        <f t="shared" si="224"/>
        <v>0</v>
      </c>
      <c r="K176" s="104">
        <f t="shared" si="224"/>
        <v>36735.375530985752</v>
      </c>
      <c r="L176" s="104">
        <f t="shared" si="224"/>
        <v>0</v>
      </c>
      <c r="M176" s="104">
        <f t="shared" si="224"/>
        <v>36735.375530985752</v>
      </c>
      <c r="N176" s="104">
        <f t="shared" si="224"/>
        <v>0</v>
      </c>
      <c r="O176" s="104">
        <f t="shared" si="224"/>
        <v>37774.211796915333</v>
      </c>
      <c r="P176" s="104">
        <f t="shared" si="224"/>
        <v>0</v>
      </c>
      <c r="Q176" s="104">
        <f t="shared" si="224"/>
        <v>37774.211796915333</v>
      </c>
      <c r="R176" s="104">
        <f t="shared" si="224"/>
        <v>0</v>
      </c>
      <c r="S176" s="104">
        <f t="shared" si="224"/>
        <v>38844.21315082279</v>
      </c>
      <c r="T176" s="104">
        <f t="shared" si="224"/>
        <v>0</v>
      </c>
      <c r="U176" s="104">
        <f t="shared" si="224"/>
        <v>38844.21315082279</v>
      </c>
      <c r="V176" s="104">
        <f t="shared" si="224"/>
        <v>0</v>
      </c>
      <c r="W176" s="104">
        <f t="shared" si="224"/>
        <v>230193.19092824889</v>
      </c>
      <c r="X176" s="104">
        <f t="shared" si="224"/>
        <v>0</v>
      </c>
      <c r="Y176" s="104">
        <f t="shared" si="224"/>
        <v>230193.19092824889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158" customFormat="1" x14ac:dyDescent="0.25">
      <c r="A177" s="91"/>
      <c r="B177" s="91"/>
      <c r="C177" s="156"/>
      <c r="D177" s="156"/>
      <c r="E177" s="105"/>
      <c r="F177" s="91"/>
      <c r="G177" s="156"/>
      <c r="H177" s="156"/>
      <c r="I177" s="105"/>
      <c r="J177" s="91"/>
      <c r="K177" s="156"/>
      <c r="L177" s="156"/>
      <c r="M177" s="105"/>
      <c r="N177" s="91"/>
      <c r="O177" s="156"/>
      <c r="P177" s="156"/>
      <c r="Q177" s="105"/>
      <c r="R177" s="91"/>
      <c r="S177" s="156"/>
      <c r="T177" s="156"/>
      <c r="U177" s="105"/>
      <c r="V177" s="157"/>
      <c r="W177" s="105"/>
      <c r="X177" s="105"/>
      <c r="Y177" s="156"/>
      <c r="Z177" s="105"/>
      <c r="AA177" s="105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77" customFormat="1" x14ac:dyDescent="0.25">
      <c r="A179" s="74" t="s">
        <v>5</v>
      </c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5"/>
      <c r="W179" s="74"/>
      <c r="X179" s="74"/>
      <c r="Y179" s="7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</row>
    <row r="180" spans="1:77" s="61" customFormat="1" x14ac:dyDescent="0.25">
      <c r="A180" s="52"/>
      <c r="B180" s="52"/>
      <c r="C180" s="124">
        <v>0</v>
      </c>
      <c r="D180" s="56">
        <v>0</v>
      </c>
      <c r="E180" s="56">
        <f t="shared" ref="E180:E185" si="225">SUM(C180:D180)</f>
        <v>0</v>
      </c>
      <c r="F180" s="58"/>
      <c r="G180" s="55">
        <f t="shared" ref="G180:H185" si="226">C180*1.05</f>
        <v>0</v>
      </c>
      <c r="H180" s="57">
        <f t="shared" si="226"/>
        <v>0</v>
      </c>
      <c r="I180" s="57">
        <f t="shared" ref="I180:I185" si="227">SUM(G180:H180)</f>
        <v>0</v>
      </c>
      <c r="J180" s="58"/>
      <c r="K180" s="55">
        <f t="shared" ref="K180:L185" si="228">G180*1.05</f>
        <v>0</v>
      </c>
      <c r="L180" s="57">
        <f t="shared" si="228"/>
        <v>0</v>
      </c>
      <c r="M180" s="57">
        <f t="shared" ref="M180:M185" si="229">SUM(K180:L180)</f>
        <v>0</v>
      </c>
      <c r="N180" s="58"/>
      <c r="O180" s="55">
        <f t="shared" ref="O180:P185" si="230">K180*1.05</f>
        <v>0</v>
      </c>
      <c r="P180" s="57">
        <f t="shared" si="230"/>
        <v>0</v>
      </c>
      <c r="Q180" s="57">
        <f t="shared" ref="Q180:Q185" si="231">SUM(O180:P180)</f>
        <v>0</v>
      </c>
      <c r="R180" s="58"/>
      <c r="S180" s="55">
        <f t="shared" ref="S180:T185" si="232">O180*1.05</f>
        <v>0</v>
      </c>
      <c r="T180" s="57">
        <f t="shared" si="232"/>
        <v>0</v>
      </c>
      <c r="U180" s="57">
        <f t="shared" ref="U180:U185" si="233">SUM(S180:T180)</f>
        <v>0</v>
      </c>
      <c r="V180" s="59"/>
      <c r="W180" s="124">
        <f t="shared" ref="W180:Y186" si="234">C180+G180+K180+O180+S180</f>
        <v>0</v>
      </c>
      <c r="X180" s="57">
        <f t="shared" si="234"/>
        <v>0</v>
      </c>
      <c r="Y180" s="84">
        <f t="shared" si="234"/>
        <v>0</v>
      </c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</row>
    <row r="181" spans="1:77" s="61" customFormat="1" x14ac:dyDescent="0.25">
      <c r="A181" s="52"/>
      <c r="B181" s="52"/>
      <c r="C181" s="124">
        <v>0</v>
      </c>
      <c r="D181" s="56">
        <v>0</v>
      </c>
      <c r="E181" s="56">
        <f t="shared" si="225"/>
        <v>0</v>
      </c>
      <c r="F181" s="58"/>
      <c r="G181" s="55">
        <f t="shared" si="226"/>
        <v>0</v>
      </c>
      <c r="H181" s="57">
        <f t="shared" si="226"/>
        <v>0</v>
      </c>
      <c r="I181" s="57">
        <f t="shared" si="227"/>
        <v>0</v>
      </c>
      <c r="J181" s="58"/>
      <c r="K181" s="55">
        <f t="shared" si="228"/>
        <v>0</v>
      </c>
      <c r="L181" s="57">
        <f t="shared" si="228"/>
        <v>0</v>
      </c>
      <c r="M181" s="57">
        <f t="shared" si="229"/>
        <v>0</v>
      </c>
      <c r="N181" s="58"/>
      <c r="O181" s="55">
        <f t="shared" si="230"/>
        <v>0</v>
      </c>
      <c r="P181" s="57">
        <f t="shared" si="230"/>
        <v>0</v>
      </c>
      <c r="Q181" s="57">
        <f t="shared" si="231"/>
        <v>0</v>
      </c>
      <c r="R181" s="58"/>
      <c r="S181" s="55">
        <f t="shared" si="232"/>
        <v>0</v>
      </c>
      <c r="T181" s="57">
        <f t="shared" si="232"/>
        <v>0</v>
      </c>
      <c r="U181" s="57">
        <f t="shared" si="233"/>
        <v>0</v>
      </c>
      <c r="V181" s="59"/>
      <c r="W181" s="124">
        <f t="shared" si="234"/>
        <v>0</v>
      </c>
      <c r="X181" s="57">
        <f t="shared" si="234"/>
        <v>0</v>
      </c>
      <c r="Y181" s="84">
        <f t="shared" si="234"/>
        <v>0</v>
      </c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</row>
    <row r="182" spans="1:77" s="61" customFormat="1" x14ac:dyDescent="0.25">
      <c r="A182" s="52"/>
      <c r="B182" s="52"/>
      <c r="C182" s="124">
        <v>0</v>
      </c>
      <c r="D182" s="56">
        <v>0</v>
      </c>
      <c r="E182" s="56">
        <f t="shared" si="225"/>
        <v>0</v>
      </c>
      <c r="F182" s="58"/>
      <c r="G182" s="55">
        <f t="shared" si="226"/>
        <v>0</v>
      </c>
      <c r="H182" s="57">
        <f t="shared" si="226"/>
        <v>0</v>
      </c>
      <c r="I182" s="57">
        <f t="shared" si="227"/>
        <v>0</v>
      </c>
      <c r="J182" s="58"/>
      <c r="K182" s="55">
        <f t="shared" si="228"/>
        <v>0</v>
      </c>
      <c r="L182" s="57">
        <f t="shared" si="228"/>
        <v>0</v>
      </c>
      <c r="M182" s="57">
        <f t="shared" si="229"/>
        <v>0</v>
      </c>
      <c r="N182" s="58"/>
      <c r="O182" s="55">
        <f t="shared" si="230"/>
        <v>0</v>
      </c>
      <c r="P182" s="57">
        <f t="shared" si="230"/>
        <v>0</v>
      </c>
      <c r="Q182" s="57">
        <f t="shared" si="231"/>
        <v>0</v>
      </c>
      <c r="R182" s="58"/>
      <c r="S182" s="55">
        <f t="shared" si="232"/>
        <v>0</v>
      </c>
      <c r="T182" s="57">
        <f t="shared" si="232"/>
        <v>0</v>
      </c>
      <c r="U182" s="57">
        <f t="shared" si="233"/>
        <v>0</v>
      </c>
      <c r="V182" s="59"/>
      <c r="W182" s="124">
        <f t="shared" si="234"/>
        <v>0</v>
      </c>
      <c r="X182" s="57">
        <f t="shared" si="234"/>
        <v>0</v>
      </c>
      <c r="Y182" s="84">
        <f t="shared" si="234"/>
        <v>0</v>
      </c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</row>
    <row r="183" spans="1:77" s="61" customFormat="1" x14ac:dyDescent="0.25">
      <c r="A183" s="52"/>
      <c r="B183" s="52"/>
      <c r="C183" s="124">
        <v>0</v>
      </c>
      <c r="D183" s="56">
        <v>0</v>
      </c>
      <c r="E183" s="56">
        <f t="shared" si="225"/>
        <v>0</v>
      </c>
      <c r="F183" s="58"/>
      <c r="G183" s="55">
        <f t="shared" ref="G183" si="235">C183*1.05</f>
        <v>0</v>
      </c>
      <c r="H183" s="57">
        <f t="shared" ref="H183" si="236">D183*1.05</f>
        <v>0</v>
      </c>
      <c r="I183" s="57">
        <f t="shared" si="227"/>
        <v>0</v>
      </c>
      <c r="J183" s="58"/>
      <c r="K183" s="55">
        <f t="shared" ref="K183" si="237">G183*1.05</f>
        <v>0</v>
      </c>
      <c r="L183" s="57">
        <f t="shared" ref="L183" si="238">H183*1.05</f>
        <v>0</v>
      </c>
      <c r="M183" s="57">
        <f t="shared" si="229"/>
        <v>0</v>
      </c>
      <c r="N183" s="58"/>
      <c r="O183" s="55">
        <f t="shared" ref="O183" si="239">K183*1.05</f>
        <v>0</v>
      </c>
      <c r="P183" s="57">
        <f t="shared" ref="P183" si="240">L183*1.05</f>
        <v>0</v>
      </c>
      <c r="Q183" s="57">
        <f t="shared" si="231"/>
        <v>0</v>
      </c>
      <c r="R183" s="58"/>
      <c r="S183" s="55">
        <f t="shared" ref="S183" si="241">O183*1.05</f>
        <v>0</v>
      </c>
      <c r="T183" s="57">
        <f t="shared" ref="T183" si="242">P183*1.05</f>
        <v>0</v>
      </c>
      <c r="U183" s="57">
        <f t="shared" si="233"/>
        <v>0</v>
      </c>
      <c r="V183" s="59"/>
      <c r="W183" s="124">
        <f t="shared" ref="W183" si="243">C183+G183+K183+O183+S183</f>
        <v>0</v>
      </c>
      <c r="X183" s="57">
        <f t="shared" ref="X183" si="244">D183+H183+L183+P183+T183</f>
        <v>0</v>
      </c>
      <c r="Y183" s="84">
        <f t="shared" ref="Y183" si="245">E183+I183+M183+Q183+U183</f>
        <v>0</v>
      </c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</row>
    <row r="184" spans="1:77" s="61" customFormat="1" x14ac:dyDescent="0.25">
      <c r="A184" s="52"/>
      <c r="B184" s="52"/>
      <c r="C184" s="124">
        <v>0</v>
      </c>
      <c r="D184" s="56">
        <v>0</v>
      </c>
      <c r="E184" s="56">
        <f t="shared" si="225"/>
        <v>0</v>
      </c>
      <c r="F184" s="58"/>
      <c r="G184" s="55">
        <f t="shared" si="226"/>
        <v>0</v>
      </c>
      <c r="H184" s="57">
        <f t="shared" si="226"/>
        <v>0</v>
      </c>
      <c r="I184" s="57">
        <f t="shared" si="227"/>
        <v>0</v>
      </c>
      <c r="J184" s="58"/>
      <c r="K184" s="55">
        <f t="shared" si="228"/>
        <v>0</v>
      </c>
      <c r="L184" s="57">
        <f t="shared" si="228"/>
        <v>0</v>
      </c>
      <c r="M184" s="57">
        <f t="shared" si="229"/>
        <v>0</v>
      </c>
      <c r="N184" s="58"/>
      <c r="O184" s="55">
        <f t="shared" si="230"/>
        <v>0</v>
      </c>
      <c r="P184" s="57">
        <f t="shared" si="230"/>
        <v>0</v>
      </c>
      <c r="Q184" s="57">
        <f t="shared" si="231"/>
        <v>0</v>
      </c>
      <c r="R184" s="58"/>
      <c r="S184" s="55">
        <f t="shared" si="232"/>
        <v>0</v>
      </c>
      <c r="T184" s="57">
        <f t="shared" si="232"/>
        <v>0</v>
      </c>
      <c r="U184" s="57">
        <f t="shared" si="233"/>
        <v>0</v>
      </c>
      <c r="V184" s="59"/>
      <c r="W184" s="124">
        <f t="shared" si="234"/>
        <v>0</v>
      </c>
      <c r="X184" s="57">
        <f t="shared" si="234"/>
        <v>0</v>
      </c>
      <c r="Y184" s="84">
        <f t="shared" si="234"/>
        <v>0</v>
      </c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</row>
    <row r="185" spans="1:77" s="61" customFormat="1" x14ac:dyDescent="0.25">
      <c r="A185" s="52"/>
      <c r="B185" s="52"/>
      <c r="C185" s="124">
        <v>0</v>
      </c>
      <c r="D185" s="56">
        <v>0</v>
      </c>
      <c r="E185" s="56">
        <f t="shared" si="225"/>
        <v>0</v>
      </c>
      <c r="F185" s="58"/>
      <c r="G185" s="55">
        <f t="shared" si="226"/>
        <v>0</v>
      </c>
      <c r="H185" s="57">
        <f t="shared" si="226"/>
        <v>0</v>
      </c>
      <c r="I185" s="57">
        <f t="shared" si="227"/>
        <v>0</v>
      </c>
      <c r="J185" s="58"/>
      <c r="K185" s="55">
        <f t="shared" si="228"/>
        <v>0</v>
      </c>
      <c r="L185" s="57">
        <f t="shared" si="228"/>
        <v>0</v>
      </c>
      <c r="M185" s="57">
        <f t="shared" si="229"/>
        <v>0</v>
      </c>
      <c r="N185" s="58"/>
      <c r="O185" s="55">
        <f t="shared" si="230"/>
        <v>0</v>
      </c>
      <c r="P185" s="57">
        <f t="shared" si="230"/>
        <v>0</v>
      </c>
      <c r="Q185" s="57">
        <f t="shared" si="231"/>
        <v>0</v>
      </c>
      <c r="R185" s="58"/>
      <c r="S185" s="55">
        <f t="shared" si="232"/>
        <v>0</v>
      </c>
      <c r="T185" s="57">
        <f t="shared" si="232"/>
        <v>0</v>
      </c>
      <c r="U185" s="57">
        <f t="shared" si="233"/>
        <v>0</v>
      </c>
      <c r="V185" s="59"/>
      <c r="W185" s="124">
        <f t="shared" si="234"/>
        <v>0</v>
      </c>
      <c r="X185" s="57">
        <f t="shared" si="234"/>
        <v>0</v>
      </c>
      <c r="Y185" s="84">
        <f t="shared" si="234"/>
        <v>0</v>
      </c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</row>
    <row r="186" spans="1:77" s="83" customFormat="1" x14ac:dyDescent="0.25">
      <c r="A186" s="78"/>
      <c r="B186" s="78" t="s">
        <v>9</v>
      </c>
      <c r="C186" s="228">
        <f>SUM(C180:C185)</f>
        <v>0</v>
      </c>
      <c r="D186" s="125">
        <f>SUM(D180:D185)</f>
        <v>0</v>
      </c>
      <c r="E186" s="125">
        <f>SUM(E180:E185)</f>
        <v>0</v>
      </c>
      <c r="F186" s="81"/>
      <c r="G186" s="79">
        <f>SUM(G180:G185)</f>
        <v>0</v>
      </c>
      <c r="H186" s="80">
        <f>SUM(H180:H185)</f>
        <v>0</v>
      </c>
      <c r="I186" s="80">
        <f>SUM(I180:I185)</f>
        <v>0</v>
      </c>
      <c r="J186" s="81"/>
      <c r="K186" s="79">
        <f>SUM(K180:K185)</f>
        <v>0</v>
      </c>
      <c r="L186" s="80">
        <f>SUM(L180:L185)</f>
        <v>0</v>
      </c>
      <c r="M186" s="80">
        <f>SUM(M180:M185)</f>
        <v>0</v>
      </c>
      <c r="N186" s="81"/>
      <c r="O186" s="79">
        <f>SUM(O180:O185)</f>
        <v>0</v>
      </c>
      <c r="P186" s="80">
        <f>SUM(P180:P185)</f>
        <v>0</v>
      </c>
      <c r="Q186" s="80">
        <f>SUM(Q180:Q185)</f>
        <v>0</v>
      </c>
      <c r="R186" s="81"/>
      <c r="S186" s="79">
        <f>SUM(S180:S185)</f>
        <v>0</v>
      </c>
      <c r="T186" s="80">
        <f>SUM(T180:T185)</f>
        <v>0</v>
      </c>
      <c r="U186" s="80">
        <f>SUM(U180:U185)</f>
        <v>0</v>
      </c>
      <c r="V186" s="82"/>
      <c r="W186" s="228">
        <f t="shared" si="234"/>
        <v>0</v>
      </c>
      <c r="X186" s="80">
        <f t="shared" si="234"/>
        <v>0</v>
      </c>
      <c r="Y186" s="80">
        <f t="shared" si="234"/>
        <v>0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A188" s="52"/>
      <c r="B188" s="52" t="s">
        <v>57</v>
      </c>
      <c r="C188" s="124">
        <v>0</v>
      </c>
      <c r="D188" s="56">
        <v>0</v>
      </c>
      <c r="E188" s="56">
        <f t="shared" ref="E188" si="246">SUM(C188:D188)</f>
        <v>0</v>
      </c>
      <c r="F188" s="58"/>
      <c r="G188" s="55">
        <f t="shared" ref="G188" si="247">C188*1.03</f>
        <v>0</v>
      </c>
      <c r="H188" s="56">
        <f t="shared" ref="H188:H189" si="248">D188*1.03</f>
        <v>0</v>
      </c>
      <c r="I188" s="57">
        <f t="shared" ref="I188" si="249">SUM(G188:H188)</f>
        <v>0</v>
      </c>
      <c r="J188" s="58"/>
      <c r="K188" s="55">
        <f t="shared" ref="K188:K189" si="250">G188*1.03</f>
        <v>0</v>
      </c>
      <c r="L188" s="56">
        <f t="shared" ref="L188:L189" si="251">H188*1.03</f>
        <v>0</v>
      </c>
      <c r="M188" s="57">
        <f t="shared" ref="M188" si="252">SUM(K188:L188)</f>
        <v>0</v>
      </c>
      <c r="N188" s="58"/>
      <c r="O188" s="55">
        <f t="shared" ref="O188:O189" si="253">K188*1.03</f>
        <v>0</v>
      </c>
      <c r="P188" s="56">
        <f t="shared" ref="P188:P189" si="254">L188*1.03</f>
        <v>0</v>
      </c>
      <c r="Q188" s="57">
        <f t="shared" ref="Q188" si="255">SUM(O188:P188)</f>
        <v>0</v>
      </c>
      <c r="R188" s="58"/>
      <c r="S188" s="55">
        <f>(O188*1.03)</f>
        <v>0</v>
      </c>
      <c r="T188" s="56">
        <f t="shared" ref="T188:T189" si="256">P188*1.03</f>
        <v>0</v>
      </c>
      <c r="U188" s="57">
        <f t="shared" ref="U188" si="257">SUM(S188:T188)</f>
        <v>0</v>
      </c>
      <c r="V188" s="59"/>
      <c r="W188" s="124">
        <f t="shared" ref="W188:W189" si="258">C188+G188+K188+O188+S188</f>
        <v>0</v>
      </c>
      <c r="X188" s="57">
        <f t="shared" ref="X188:X189" si="259">D188+H188+L188+P188+T188</f>
        <v>0</v>
      </c>
      <c r="Y188" s="84">
        <f t="shared" ref="Y188:Y189" si="260">E188+I188+M188+Q188+U188</f>
        <v>0</v>
      </c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</row>
    <row r="189" spans="1:77" s="61" customFormat="1" x14ac:dyDescent="0.25">
      <c r="A189" s="54" t="s">
        <v>57</v>
      </c>
      <c r="B189" s="54" t="s">
        <v>154</v>
      </c>
      <c r="C189" s="124">
        <f>12390</f>
        <v>12390</v>
      </c>
      <c r="D189" s="56">
        <v>0</v>
      </c>
      <c r="E189" s="56">
        <f t="shared" ref="E189" si="261">SUM(C189:D189)</f>
        <v>12390</v>
      </c>
      <c r="F189" s="58"/>
      <c r="G189" s="55">
        <f>C189*1.03</f>
        <v>12761.7</v>
      </c>
      <c r="H189" s="57">
        <f t="shared" si="248"/>
        <v>0</v>
      </c>
      <c r="I189" s="57">
        <f t="shared" ref="I189" si="262">SUM(G189:H189)</f>
        <v>12761.7</v>
      </c>
      <c r="J189" s="58"/>
      <c r="K189" s="55">
        <f t="shared" si="250"/>
        <v>13144.551000000001</v>
      </c>
      <c r="L189" s="57">
        <f t="shared" si="251"/>
        <v>0</v>
      </c>
      <c r="M189" s="57">
        <f t="shared" ref="M189" si="263">SUM(K189:L189)</f>
        <v>13144.551000000001</v>
      </c>
      <c r="N189" s="58"/>
      <c r="O189" s="55">
        <f t="shared" si="253"/>
        <v>13538.887530000002</v>
      </c>
      <c r="P189" s="57">
        <f t="shared" si="254"/>
        <v>0</v>
      </c>
      <c r="Q189" s="57">
        <f t="shared" ref="Q189" si="264">SUM(O189:P189)</f>
        <v>13538.887530000002</v>
      </c>
      <c r="R189" s="58"/>
      <c r="S189" s="55">
        <f t="shared" ref="S189" si="265">((O189)*1.03)</f>
        <v>13945.054155900003</v>
      </c>
      <c r="T189" s="57">
        <f t="shared" si="256"/>
        <v>0</v>
      </c>
      <c r="U189" s="57">
        <f t="shared" ref="U189" si="266">SUM(S189:T189)</f>
        <v>13945.054155900003</v>
      </c>
      <c r="V189" s="59"/>
      <c r="W189" s="124">
        <f t="shared" si="258"/>
        <v>65780.192685900009</v>
      </c>
      <c r="X189" s="57">
        <f t="shared" si="259"/>
        <v>0</v>
      </c>
      <c r="Y189" s="84">
        <f t="shared" si="260"/>
        <v>65780.192685900009</v>
      </c>
      <c r="Z189" s="202">
        <f>X189+X203</f>
        <v>0</v>
      </c>
    </row>
    <row r="190" spans="1:77" s="61" customFormat="1" x14ac:dyDescent="0.25">
      <c r="A190" s="52"/>
      <c r="B190" s="52" t="s">
        <v>57</v>
      </c>
      <c r="C190" s="124">
        <v>0</v>
      </c>
      <c r="D190" s="56">
        <v>0</v>
      </c>
      <c r="E190" s="56">
        <f t="shared" ref="E190:E194" si="267">SUM(C190:D190)</f>
        <v>0</v>
      </c>
      <c r="F190" s="58"/>
      <c r="G190" s="55">
        <f t="shared" ref="G190:H194" si="268">C190*1.03</f>
        <v>0</v>
      </c>
      <c r="H190" s="57">
        <f t="shared" si="268"/>
        <v>0</v>
      </c>
      <c r="I190" s="57">
        <f t="shared" ref="I190:I194" si="269">SUM(G190:H190)</f>
        <v>0</v>
      </c>
      <c r="J190" s="58"/>
      <c r="K190" s="55">
        <f t="shared" ref="K190:L194" si="270">G190*1.03</f>
        <v>0</v>
      </c>
      <c r="L190" s="57">
        <f t="shared" si="270"/>
        <v>0</v>
      </c>
      <c r="M190" s="57">
        <f t="shared" ref="M190:M194" si="271">SUM(K190:L190)</f>
        <v>0</v>
      </c>
      <c r="N190" s="58"/>
      <c r="O190" s="55">
        <f t="shared" ref="O190:P194" si="272">K190*1.03</f>
        <v>0</v>
      </c>
      <c r="P190" s="57">
        <f t="shared" si="272"/>
        <v>0</v>
      </c>
      <c r="Q190" s="57">
        <f t="shared" ref="Q190:Q194" si="273">SUM(O190:P190)</f>
        <v>0</v>
      </c>
      <c r="R190" s="58"/>
      <c r="S190" s="55">
        <f t="shared" ref="S190:T194" si="274">O190*1.03</f>
        <v>0</v>
      </c>
      <c r="T190" s="57">
        <f t="shared" si="274"/>
        <v>0</v>
      </c>
      <c r="U190" s="57">
        <f t="shared" ref="U190:U194" si="275">SUM(S190:T190)</f>
        <v>0</v>
      </c>
      <c r="V190" s="59"/>
      <c r="W190" s="124">
        <f t="shared" ref="W190:Y195" si="276">C190+G190+K190+O190+S190</f>
        <v>0</v>
      </c>
      <c r="X190" s="57">
        <f t="shared" si="276"/>
        <v>0</v>
      </c>
      <c r="Y190" s="84">
        <f t="shared" si="276"/>
        <v>0</v>
      </c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s="61" customFormat="1" x14ac:dyDescent="0.25">
      <c r="A191" s="87"/>
      <c r="B191" s="52" t="s">
        <v>57</v>
      </c>
      <c r="C191" s="124">
        <v>0</v>
      </c>
      <c r="D191" s="56">
        <v>0</v>
      </c>
      <c r="E191" s="56">
        <f t="shared" si="267"/>
        <v>0</v>
      </c>
      <c r="F191" s="58"/>
      <c r="G191" s="55">
        <f t="shared" si="268"/>
        <v>0</v>
      </c>
      <c r="H191" s="57">
        <f t="shared" si="268"/>
        <v>0</v>
      </c>
      <c r="I191" s="57">
        <f t="shared" si="269"/>
        <v>0</v>
      </c>
      <c r="J191" s="58"/>
      <c r="K191" s="55">
        <f t="shared" si="270"/>
        <v>0</v>
      </c>
      <c r="L191" s="57">
        <f t="shared" si="270"/>
        <v>0</v>
      </c>
      <c r="M191" s="57">
        <f t="shared" si="271"/>
        <v>0</v>
      </c>
      <c r="N191" s="58"/>
      <c r="O191" s="55">
        <f t="shared" si="272"/>
        <v>0</v>
      </c>
      <c r="P191" s="57">
        <f t="shared" si="272"/>
        <v>0</v>
      </c>
      <c r="Q191" s="57">
        <f t="shared" si="273"/>
        <v>0</v>
      </c>
      <c r="R191" s="58"/>
      <c r="S191" s="55">
        <f t="shared" si="274"/>
        <v>0</v>
      </c>
      <c r="T191" s="57">
        <f t="shared" si="274"/>
        <v>0</v>
      </c>
      <c r="U191" s="57">
        <f t="shared" si="275"/>
        <v>0</v>
      </c>
      <c r="V191" s="59"/>
      <c r="W191" s="124">
        <f t="shared" si="276"/>
        <v>0</v>
      </c>
      <c r="X191" s="57">
        <f t="shared" si="276"/>
        <v>0</v>
      </c>
      <c r="Y191" s="84">
        <f t="shared" si="276"/>
        <v>0</v>
      </c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</row>
    <row r="192" spans="1:77" s="61" customFormat="1" x14ac:dyDescent="0.25">
      <c r="A192" s="52"/>
      <c r="B192" s="52"/>
      <c r="C192" s="124">
        <v>0</v>
      </c>
      <c r="D192" s="56">
        <v>0</v>
      </c>
      <c r="E192" s="56">
        <f t="shared" si="267"/>
        <v>0</v>
      </c>
      <c r="F192" s="58"/>
      <c r="G192" s="55">
        <f t="shared" si="268"/>
        <v>0</v>
      </c>
      <c r="H192" s="57">
        <f t="shared" si="268"/>
        <v>0</v>
      </c>
      <c r="I192" s="57">
        <f t="shared" si="269"/>
        <v>0</v>
      </c>
      <c r="J192" s="58"/>
      <c r="K192" s="55">
        <f t="shared" si="270"/>
        <v>0</v>
      </c>
      <c r="L192" s="57">
        <f t="shared" si="270"/>
        <v>0</v>
      </c>
      <c r="M192" s="57">
        <f t="shared" si="271"/>
        <v>0</v>
      </c>
      <c r="N192" s="58"/>
      <c r="O192" s="55">
        <f t="shared" si="272"/>
        <v>0</v>
      </c>
      <c r="P192" s="57">
        <f t="shared" si="272"/>
        <v>0</v>
      </c>
      <c r="Q192" s="57">
        <f t="shared" si="273"/>
        <v>0</v>
      </c>
      <c r="R192" s="58"/>
      <c r="S192" s="55">
        <f t="shared" si="274"/>
        <v>0</v>
      </c>
      <c r="T192" s="57">
        <f t="shared" si="274"/>
        <v>0</v>
      </c>
      <c r="U192" s="57">
        <f t="shared" si="275"/>
        <v>0</v>
      </c>
      <c r="V192" s="59"/>
      <c r="W192" s="124">
        <f t="shared" si="276"/>
        <v>0</v>
      </c>
      <c r="X192" s="57">
        <f t="shared" si="276"/>
        <v>0</v>
      </c>
      <c r="Y192" s="84">
        <f t="shared" si="276"/>
        <v>0</v>
      </c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si="267"/>
        <v>0</v>
      </c>
      <c r="F193" s="58"/>
      <c r="G193" s="55">
        <f t="shared" si="268"/>
        <v>0</v>
      </c>
      <c r="H193" s="57">
        <f t="shared" si="268"/>
        <v>0</v>
      </c>
      <c r="I193" s="57">
        <f t="shared" si="269"/>
        <v>0</v>
      </c>
      <c r="J193" s="58"/>
      <c r="K193" s="55">
        <f t="shared" si="270"/>
        <v>0</v>
      </c>
      <c r="L193" s="57">
        <f t="shared" si="270"/>
        <v>0</v>
      </c>
      <c r="M193" s="57">
        <f t="shared" si="271"/>
        <v>0</v>
      </c>
      <c r="N193" s="58"/>
      <c r="O193" s="55">
        <f t="shared" si="272"/>
        <v>0</v>
      </c>
      <c r="P193" s="57">
        <f t="shared" si="272"/>
        <v>0</v>
      </c>
      <c r="Q193" s="57">
        <f t="shared" si="273"/>
        <v>0</v>
      </c>
      <c r="R193" s="58"/>
      <c r="S193" s="55">
        <f t="shared" si="274"/>
        <v>0</v>
      </c>
      <c r="T193" s="57">
        <f t="shared" si="274"/>
        <v>0</v>
      </c>
      <c r="U193" s="57">
        <f t="shared" si="275"/>
        <v>0</v>
      </c>
      <c r="V193" s="59"/>
      <c r="W193" s="124">
        <f t="shared" si="276"/>
        <v>0</v>
      </c>
      <c r="X193" s="57">
        <f t="shared" si="276"/>
        <v>0</v>
      </c>
      <c r="Y193" s="84">
        <f t="shared" si="276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267"/>
        <v>0</v>
      </c>
      <c r="F194" s="74"/>
      <c r="G194" s="55">
        <f t="shared" si="268"/>
        <v>0</v>
      </c>
      <c r="H194" s="57">
        <f t="shared" si="268"/>
        <v>0</v>
      </c>
      <c r="I194" s="57">
        <f t="shared" si="269"/>
        <v>0</v>
      </c>
      <c r="J194" s="74"/>
      <c r="K194" s="55">
        <f t="shared" si="270"/>
        <v>0</v>
      </c>
      <c r="L194" s="57">
        <f t="shared" si="270"/>
        <v>0</v>
      </c>
      <c r="M194" s="57">
        <f t="shared" si="271"/>
        <v>0</v>
      </c>
      <c r="N194" s="74"/>
      <c r="O194" s="55">
        <f t="shared" si="272"/>
        <v>0</v>
      </c>
      <c r="P194" s="57">
        <f t="shared" si="272"/>
        <v>0</v>
      </c>
      <c r="Q194" s="57">
        <f t="shared" si="273"/>
        <v>0</v>
      </c>
      <c r="R194" s="74"/>
      <c r="S194" s="55">
        <f t="shared" si="274"/>
        <v>0</v>
      </c>
      <c r="T194" s="57">
        <f t="shared" si="274"/>
        <v>0</v>
      </c>
      <c r="U194" s="57">
        <f t="shared" si="275"/>
        <v>0</v>
      </c>
      <c r="V194" s="59"/>
      <c r="W194" s="124">
        <f t="shared" si="276"/>
        <v>0</v>
      </c>
      <c r="X194" s="57">
        <f t="shared" si="276"/>
        <v>0</v>
      </c>
      <c r="Y194" s="84">
        <f t="shared" si="276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12390</v>
      </c>
      <c r="D195" s="125">
        <f>SUM(D188:D194)</f>
        <v>0</v>
      </c>
      <c r="E195" s="125">
        <f>SUM(E188:E194)</f>
        <v>12390</v>
      </c>
      <c r="F195" s="81"/>
      <c r="G195" s="79">
        <f>SUM(G188:G194)</f>
        <v>12761.7</v>
      </c>
      <c r="H195" s="80">
        <f>SUM(H188:H194)</f>
        <v>0</v>
      </c>
      <c r="I195" s="80">
        <f>SUM(I188:I194)</f>
        <v>12761.7</v>
      </c>
      <c r="J195" s="81"/>
      <c r="K195" s="79">
        <f>SUM(K188:K194)</f>
        <v>13144.551000000001</v>
      </c>
      <c r="L195" s="80">
        <f>SUM(L188:L194)</f>
        <v>0</v>
      </c>
      <c r="M195" s="80">
        <f>SUM(M188:M194)</f>
        <v>13144.551000000001</v>
      </c>
      <c r="N195" s="81"/>
      <c r="O195" s="79">
        <f>SUM(O188:O194)</f>
        <v>13538.887530000002</v>
      </c>
      <c r="P195" s="80">
        <f>SUM(P188:P194)</f>
        <v>0</v>
      </c>
      <c r="Q195" s="80">
        <f>SUM(Q188:Q194)</f>
        <v>13538.887530000002</v>
      </c>
      <c r="R195" s="81"/>
      <c r="S195" s="79">
        <f>SUM(S188:S194)</f>
        <v>13945.054155900003</v>
      </c>
      <c r="T195" s="80">
        <f>SUM(T188:T194)</f>
        <v>0</v>
      </c>
      <c r="U195" s="80">
        <f>SUM(U188:U194)</f>
        <v>13945.054155900003</v>
      </c>
      <c r="V195" s="82"/>
      <c r="W195" s="228">
        <f t="shared" si="276"/>
        <v>65780.192685900009</v>
      </c>
      <c r="X195" s="80">
        <f t="shared" si="276"/>
        <v>0</v>
      </c>
      <c r="Y195" s="80">
        <f t="shared" si="276"/>
        <v>65780.192685900009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>C195+C186</f>
        <v>12390</v>
      </c>
      <c r="D196" s="107">
        <f t="shared" ref="D196:X196" si="277">D195+D186</f>
        <v>0</v>
      </c>
      <c r="E196" s="107">
        <f t="shared" si="277"/>
        <v>12390</v>
      </c>
      <c r="F196" s="107">
        <f t="shared" si="277"/>
        <v>0</v>
      </c>
      <c r="G196" s="107">
        <f t="shared" si="277"/>
        <v>12761.7</v>
      </c>
      <c r="H196" s="107">
        <f t="shared" si="277"/>
        <v>0</v>
      </c>
      <c r="I196" s="107">
        <f t="shared" si="277"/>
        <v>12761.7</v>
      </c>
      <c r="J196" s="107">
        <f t="shared" si="277"/>
        <v>0</v>
      </c>
      <c r="K196" s="107">
        <f t="shared" si="277"/>
        <v>13144.551000000001</v>
      </c>
      <c r="L196" s="107">
        <f t="shared" si="277"/>
        <v>0</v>
      </c>
      <c r="M196" s="107">
        <f t="shared" si="277"/>
        <v>13144.551000000001</v>
      </c>
      <c r="N196" s="107">
        <f t="shared" si="277"/>
        <v>0</v>
      </c>
      <c r="O196" s="107">
        <f t="shared" si="277"/>
        <v>13538.887530000002</v>
      </c>
      <c r="P196" s="107">
        <f t="shared" si="277"/>
        <v>0</v>
      </c>
      <c r="Q196" s="107">
        <f t="shared" si="277"/>
        <v>13538.887530000002</v>
      </c>
      <c r="R196" s="107">
        <f t="shared" si="277"/>
        <v>0</v>
      </c>
      <c r="S196" s="107">
        <f t="shared" si="277"/>
        <v>13945.054155900003</v>
      </c>
      <c r="T196" s="107">
        <f t="shared" si="277"/>
        <v>0</v>
      </c>
      <c r="U196" s="107">
        <f t="shared" si="277"/>
        <v>13945.054155900003</v>
      </c>
      <c r="V196" s="107">
        <f t="shared" si="277"/>
        <v>0</v>
      </c>
      <c r="W196" s="107">
        <f t="shared" si="277"/>
        <v>65780.192685900009</v>
      </c>
      <c r="X196" s="107">
        <f t="shared" si="277"/>
        <v>0</v>
      </c>
      <c r="Y196" s="108">
        <f>E196+I196+M196+Q196+U196</f>
        <v>65780.192685900009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77" customFormat="1" x14ac:dyDescent="0.25">
      <c r="A197" s="74" t="s">
        <v>6</v>
      </c>
      <c r="B197" s="74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129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s="61" customFormat="1" x14ac:dyDescent="0.25">
      <c r="A198" s="50">
        <v>3.6999999999999998E-2</v>
      </c>
      <c r="B198" s="52" t="s">
        <v>107</v>
      </c>
      <c r="C198" s="124">
        <v>0</v>
      </c>
      <c r="D198" s="56">
        <v>0</v>
      </c>
      <c r="E198" s="56">
        <f t="shared" ref="E198:E203" si="278">SUM(C198:D198)</f>
        <v>0</v>
      </c>
      <c r="F198" s="58"/>
      <c r="G198" s="55">
        <f>C198*1.05</f>
        <v>0</v>
      </c>
      <c r="H198" s="57">
        <v>0</v>
      </c>
      <c r="I198" s="57">
        <f t="shared" ref="I198:I203" si="279">SUM(G198:H198)</f>
        <v>0</v>
      </c>
      <c r="J198" s="58"/>
      <c r="K198" s="55">
        <f>G198*1.05</f>
        <v>0</v>
      </c>
      <c r="L198" s="57">
        <v>0</v>
      </c>
      <c r="M198" s="57">
        <f t="shared" ref="M198:M203" si="280">SUM(K198:L198)</f>
        <v>0</v>
      </c>
      <c r="N198" s="58"/>
      <c r="O198" s="55">
        <f>O180*0.35</f>
        <v>0</v>
      </c>
      <c r="P198" s="57">
        <v>0</v>
      </c>
      <c r="Q198" s="57">
        <f t="shared" ref="Q198:Q203" si="281">SUM(O198:P198)</f>
        <v>0</v>
      </c>
      <c r="R198" s="58"/>
      <c r="S198" s="55">
        <f>S180*0.35</f>
        <v>0</v>
      </c>
      <c r="T198" s="57">
        <v>0</v>
      </c>
      <c r="U198" s="57">
        <f t="shared" ref="U198:U203" si="282">SUM(S198:T198)</f>
        <v>0</v>
      </c>
      <c r="V198" s="59"/>
      <c r="W198" s="124">
        <f t="shared" ref="W198:Y204" si="283">C198+G198+K198+O198+S198</f>
        <v>0</v>
      </c>
      <c r="X198" s="57">
        <f t="shared" si="283"/>
        <v>0</v>
      </c>
      <c r="Y198" s="84">
        <f t="shared" si="283"/>
        <v>0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C191*A199</f>
        <v>0</v>
      </c>
      <c r="D199" s="56">
        <v>0</v>
      </c>
      <c r="E199" s="56">
        <f t="shared" si="278"/>
        <v>0</v>
      </c>
      <c r="F199" s="58"/>
      <c r="G199" s="55">
        <f>G191*A199</f>
        <v>0</v>
      </c>
      <c r="H199" s="56">
        <f>D199*1.05</f>
        <v>0</v>
      </c>
      <c r="I199" s="57">
        <f t="shared" si="279"/>
        <v>0</v>
      </c>
      <c r="J199" s="58"/>
      <c r="K199" s="55">
        <f>G199*1.05</f>
        <v>0</v>
      </c>
      <c r="L199" s="56">
        <f>H199*1.05</f>
        <v>0</v>
      </c>
      <c r="M199" s="57">
        <f t="shared" si="280"/>
        <v>0</v>
      </c>
      <c r="N199" s="58"/>
      <c r="O199" s="55">
        <f>K199*1.05</f>
        <v>0</v>
      </c>
      <c r="P199" s="57">
        <f>L199*1.05</f>
        <v>0</v>
      </c>
      <c r="Q199" s="57">
        <f t="shared" si="281"/>
        <v>0</v>
      </c>
      <c r="R199" s="58"/>
      <c r="S199" s="55">
        <f>O199*1.05</f>
        <v>0</v>
      </c>
      <c r="T199" s="57">
        <f>P199*1.05</f>
        <v>0</v>
      </c>
      <c r="U199" s="57">
        <f t="shared" si="282"/>
        <v>0</v>
      </c>
      <c r="V199" s="59"/>
      <c r="W199" s="124">
        <f t="shared" si="283"/>
        <v>0</v>
      </c>
      <c r="X199" s="57">
        <f t="shared" si="283"/>
        <v>0</v>
      </c>
      <c r="Y199" s="84">
        <f t="shared" si="283"/>
        <v>0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160" customFormat="1" x14ac:dyDescent="0.25">
      <c r="A200" s="3">
        <v>0.36099999999999999</v>
      </c>
      <c r="B200" s="52" t="s">
        <v>52</v>
      </c>
      <c r="C200" s="124">
        <f>(C186)*A200</f>
        <v>0</v>
      </c>
      <c r="D200" s="56">
        <f>D190*A200+(A200*D188)</f>
        <v>0</v>
      </c>
      <c r="E200" s="56">
        <f t="shared" si="278"/>
        <v>0</v>
      </c>
      <c r="F200" s="58"/>
      <c r="G200" s="55">
        <f>G186*A200*1.03</f>
        <v>0</v>
      </c>
      <c r="H200" s="151">
        <f>H190*A200+(A200*H188)</f>
        <v>0</v>
      </c>
      <c r="I200" s="151">
        <f t="shared" si="279"/>
        <v>0</v>
      </c>
      <c r="J200" s="189"/>
      <c r="K200" s="55">
        <f>K186*A200*1.03*1.03</f>
        <v>0</v>
      </c>
      <c r="L200" s="151">
        <f>A200*L188</f>
        <v>0</v>
      </c>
      <c r="M200" s="151">
        <f t="shared" si="280"/>
        <v>0</v>
      </c>
      <c r="N200" s="189"/>
      <c r="O200" s="55">
        <f>O186*A200*1.03*1.03*1.03</f>
        <v>0</v>
      </c>
      <c r="P200" s="151">
        <f>P190*A200</f>
        <v>0</v>
      </c>
      <c r="Q200" s="151">
        <f t="shared" si="281"/>
        <v>0</v>
      </c>
      <c r="R200" s="189"/>
      <c r="S200" s="55">
        <f>S186*A200*1.03*1.03*1.03*1.03</f>
        <v>0</v>
      </c>
      <c r="T200" s="56">
        <f>T190*A200</f>
        <v>0</v>
      </c>
      <c r="U200" s="56">
        <f t="shared" si="282"/>
        <v>0</v>
      </c>
      <c r="V200" s="59"/>
      <c r="W200" s="124">
        <f t="shared" si="283"/>
        <v>0</v>
      </c>
      <c r="X200" s="56">
        <f t="shared" si="283"/>
        <v>0</v>
      </c>
      <c r="Y200" s="85">
        <f t="shared" si="283"/>
        <v>0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160" customFormat="1" x14ac:dyDescent="0.25">
      <c r="A201" s="50">
        <v>0.34899999999999998</v>
      </c>
      <c r="B201" s="52" t="s">
        <v>109</v>
      </c>
      <c r="C201" s="124">
        <f>(A201*1.03)*C195</f>
        <v>4453.8333000000002</v>
      </c>
      <c r="D201" s="56">
        <v>0</v>
      </c>
      <c r="E201" s="56">
        <f t="shared" si="278"/>
        <v>4453.8333000000002</v>
      </c>
      <c r="F201" s="58"/>
      <c r="G201" s="55">
        <f>G195*A201*1.03*1.03</f>
        <v>4725.0717479700006</v>
      </c>
      <c r="H201" s="56">
        <v>0</v>
      </c>
      <c r="I201" s="56">
        <f t="shared" si="279"/>
        <v>4725.0717479700006</v>
      </c>
      <c r="J201" s="58"/>
      <c r="K201" s="55">
        <f>K195*(A201*1.03*1.03*1.03)</f>
        <v>5012.8286174213745</v>
      </c>
      <c r="L201" s="56">
        <v>0</v>
      </c>
      <c r="M201" s="56">
        <f t="shared" si="280"/>
        <v>5012.8286174213745</v>
      </c>
      <c r="N201" s="58"/>
      <c r="O201" s="55">
        <f>O195*A201*1.03*1.03*1.03*1.03</f>
        <v>5318.1098802223369</v>
      </c>
      <c r="P201" s="56">
        <v>0</v>
      </c>
      <c r="Q201" s="56">
        <f t="shared" si="281"/>
        <v>5318.1098802223369</v>
      </c>
      <c r="R201" s="58"/>
      <c r="S201" s="55">
        <f>S195*A201*1.03*1.03*1.03*1.03*1.03</f>
        <v>5641.9827719278774</v>
      </c>
      <c r="T201" s="56">
        <v>0</v>
      </c>
      <c r="U201" s="56">
        <f t="shared" si="282"/>
        <v>5641.9827719278774</v>
      </c>
      <c r="V201" s="59"/>
      <c r="W201" s="124">
        <f t="shared" si="283"/>
        <v>25151.826317541592</v>
      </c>
      <c r="X201" s="56">
        <f t="shared" si="283"/>
        <v>0</v>
      </c>
      <c r="Y201" s="85">
        <f t="shared" si="283"/>
        <v>25151.826317541592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f>C194*A202</f>
        <v>0</v>
      </c>
      <c r="D202" s="56">
        <v>0</v>
      </c>
      <c r="E202" s="56">
        <f t="shared" si="278"/>
        <v>0</v>
      </c>
      <c r="F202" s="58"/>
      <c r="G202" s="55">
        <f>G194*A202</f>
        <v>0</v>
      </c>
      <c r="H202" s="56">
        <v>0</v>
      </c>
      <c r="I202" s="57">
        <f t="shared" si="279"/>
        <v>0</v>
      </c>
      <c r="J202" s="58"/>
      <c r="K202" s="55">
        <f>G202*1.05</f>
        <v>0</v>
      </c>
      <c r="L202" s="56">
        <v>0</v>
      </c>
      <c r="M202" s="57">
        <f t="shared" si="280"/>
        <v>0</v>
      </c>
      <c r="N202" s="58"/>
      <c r="O202" s="55">
        <f>K202*1.05</f>
        <v>0</v>
      </c>
      <c r="P202" s="56">
        <v>0</v>
      </c>
      <c r="Q202" s="57">
        <f t="shared" si="281"/>
        <v>0</v>
      </c>
      <c r="R202" s="58"/>
      <c r="S202" s="55">
        <v>0</v>
      </c>
      <c r="T202" s="57">
        <v>0</v>
      </c>
      <c r="U202" s="57">
        <f t="shared" si="282"/>
        <v>0</v>
      </c>
      <c r="V202" s="59"/>
      <c r="W202" s="124">
        <f t="shared" si="283"/>
        <v>0</v>
      </c>
      <c r="X202" s="57">
        <f t="shared" si="283"/>
        <v>0</v>
      </c>
      <c r="Y202" s="84">
        <f t="shared" si="283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v>0</v>
      </c>
      <c r="D203" s="56">
        <v>0</v>
      </c>
      <c r="E203" s="56">
        <f t="shared" si="278"/>
        <v>0</v>
      </c>
      <c r="F203" s="58"/>
      <c r="G203" s="55">
        <f>C203*1.05</f>
        <v>0</v>
      </c>
      <c r="H203" s="56">
        <v>0</v>
      </c>
      <c r="I203" s="57">
        <f t="shared" si="279"/>
        <v>0</v>
      </c>
      <c r="J203" s="58"/>
      <c r="K203" s="55">
        <f>G203*1.05</f>
        <v>0</v>
      </c>
      <c r="L203" s="56">
        <v>0</v>
      </c>
      <c r="M203" s="57">
        <f t="shared" si="280"/>
        <v>0</v>
      </c>
      <c r="N203" s="58"/>
      <c r="O203" s="55">
        <v>0</v>
      </c>
      <c r="P203" s="57">
        <v>0</v>
      </c>
      <c r="Q203" s="57">
        <f t="shared" si="281"/>
        <v>0</v>
      </c>
      <c r="R203" s="58"/>
      <c r="S203" s="55">
        <v>0</v>
      </c>
      <c r="T203" s="57">
        <v>0</v>
      </c>
      <c r="U203" s="57">
        <f t="shared" si="282"/>
        <v>0</v>
      </c>
      <c r="V203" s="59"/>
      <c r="W203" s="124">
        <f t="shared" si="283"/>
        <v>0</v>
      </c>
      <c r="X203" s="57">
        <f t="shared" si="283"/>
        <v>0</v>
      </c>
      <c r="Y203" s="84">
        <f t="shared" si="283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4453.8333000000002</v>
      </c>
      <c r="D204" s="125">
        <f>SUM(D198:D203)</f>
        <v>0</v>
      </c>
      <c r="E204" s="125">
        <f>SUM(E198:E203)</f>
        <v>4453.8333000000002</v>
      </c>
      <c r="F204" s="81"/>
      <c r="G204" s="79">
        <f>SUM(G198:G203)</f>
        <v>4725.0717479700006</v>
      </c>
      <c r="H204" s="80">
        <f>SUM(H198:H203)</f>
        <v>0</v>
      </c>
      <c r="I204" s="80">
        <f>SUM(I198:I203)</f>
        <v>4725.0717479700006</v>
      </c>
      <c r="J204" s="81"/>
      <c r="K204" s="79">
        <f>SUM(K198:K203)</f>
        <v>5012.8286174213745</v>
      </c>
      <c r="L204" s="80">
        <f>SUM(L198:L203)</f>
        <v>0</v>
      </c>
      <c r="M204" s="80">
        <f>SUM(M198:M203)</f>
        <v>5012.8286174213745</v>
      </c>
      <c r="N204" s="81"/>
      <c r="O204" s="79">
        <f>SUM(O198:O203)</f>
        <v>5318.1098802223369</v>
      </c>
      <c r="P204" s="80">
        <f>SUM(P198:P203)</f>
        <v>0</v>
      </c>
      <c r="Q204" s="80">
        <f>SUM(Q198:Q203)</f>
        <v>5318.1098802223369</v>
      </c>
      <c r="R204" s="81"/>
      <c r="S204" s="79">
        <f>SUM(S198:S203)</f>
        <v>5641.9827719278774</v>
      </c>
      <c r="T204" s="80">
        <f>SUM(T198:T203)</f>
        <v>0</v>
      </c>
      <c r="U204" s="80">
        <f>SUM(U198:U203)</f>
        <v>5641.9827719278774</v>
      </c>
      <c r="V204" s="82"/>
      <c r="W204" s="228">
        <f t="shared" si="283"/>
        <v>25151.826317541592</v>
      </c>
      <c r="X204" s="80">
        <f t="shared" si="283"/>
        <v>0</v>
      </c>
      <c r="Y204" s="80">
        <f t="shared" si="283"/>
        <v>25151.826317541592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284">C204+C196</f>
        <v>16843.833299999998</v>
      </c>
      <c r="D205" s="107">
        <f t="shared" si="284"/>
        <v>0</v>
      </c>
      <c r="E205" s="107">
        <f t="shared" si="284"/>
        <v>16843.833299999998</v>
      </c>
      <c r="F205" s="107">
        <f t="shared" si="284"/>
        <v>0</v>
      </c>
      <c r="G205" s="107">
        <f t="shared" si="284"/>
        <v>17486.77174797</v>
      </c>
      <c r="H205" s="107">
        <f t="shared" si="284"/>
        <v>0</v>
      </c>
      <c r="I205" s="107">
        <f t="shared" si="284"/>
        <v>17486.77174797</v>
      </c>
      <c r="J205" s="107">
        <f t="shared" si="284"/>
        <v>0</v>
      </c>
      <c r="K205" s="107">
        <f t="shared" si="284"/>
        <v>18157.379617421375</v>
      </c>
      <c r="L205" s="107">
        <f t="shared" si="284"/>
        <v>0</v>
      </c>
      <c r="M205" s="107">
        <f t="shared" si="284"/>
        <v>18157.379617421375</v>
      </c>
      <c r="N205" s="107">
        <f t="shared" si="284"/>
        <v>0</v>
      </c>
      <c r="O205" s="107">
        <f t="shared" si="284"/>
        <v>18856.997410222339</v>
      </c>
      <c r="P205" s="107">
        <f t="shared" si="284"/>
        <v>0</v>
      </c>
      <c r="Q205" s="107">
        <f t="shared" si="284"/>
        <v>18856.997410222339</v>
      </c>
      <c r="R205" s="107">
        <f t="shared" si="284"/>
        <v>0</v>
      </c>
      <c r="S205" s="107">
        <f t="shared" si="284"/>
        <v>19587.036927827881</v>
      </c>
      <c r="T205" s="107">
        <f t="shared" si="284"/>
        <v>0</v>
      </c>
      <c r="U205" s="107">
        <f t="shared" si="284"/>
        <v>19587.036927827881</v>
      </c>
      <c r="V205" s="107">
        <f t="shared" si="284"/>
        <v>0</v>
      </c>
      <c r="W205" s="107">
        <f t="shared" si="284"/>
        <v>90932.019003441601</v>
      </c>
      <c r="X205" s="107">
        <f t="shared" si="284"/>
        <v>0</v>
      </c>
      <c r="Y205" s="107">
        <f t="shared" si="284"/>
        <v>90932.019003441601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61" t="s">
        <v>57</v>
      </c>
      <c r="C207" s="124">
        <v>0</v>
      </c>
      <c r="D207" s="56">
        <v>0</v>
      </c>
      <c r="E207" s="56">
        <f t="shared" ref="E207:E216" si="285">SUM(C207:D207)</f>
        <v>0</v>
      </c>
      <c r="F207" s="58"/>
      <c r="G207" s="55">
        <v>0</v>
      </c>
      <c r="H207" s="57">
        <v>0</v>
      </c>
      <c r="I207" s="57">
        <f t="shared" ref="I207:I216" si="286">SUM(G207:H207)</f>
        <v>0</v>
      </c>
      <c r="J207" s="58"/>
      <c r="K207" s="55">
        <v>0</v>
      </c>
      <c r="L207" s="57">
        <v>0</v>
      </c>
      <c r="M207" s="57">
        <f t="shared" ref="M207:M216" si="287">SUM(K207:L207)</f>
        <v>0</v>
      </c>
      <c r="N207" s="58"/>
      <c r="O207" s="55">
        <v>0</v>
      </c>
      <c r="P207" s="57">
        <v>0</v>
      </c>
      <c r="Q207" s="57">
        <f t="shared" ref="Q207:Q216" si="288">SUM(O207:P207)</f>
        <v>0</v>
      </c>
      <c r="R207" s="58"/>
      <c r="S207" s="55">
        <v>0</v>
      </c>
      <c r="T207" s="57">
        <v>0</v>
      </c>
      <c r="U207" s="57">
        <f t="shared" ref="U207:U216" si="289">SUM(S207:T207)</f>
        <v>0</v>
      </c>
      <c r="V207" s="59"/>
      <c r="W207" s="124">
        <f t="shared" ref="W207:W217" si="290">C207+G207+K207+O207+S207</f>
        <v>0</v>
      </c>
      <c r="X207" s="57">
        <f t="shared" ref="X207:X217" si="291">D207+H207+L207+P207+T207</f>
        <v>0</v>
      </c>
      <c r="Y207" s="84">
        <f t="shared" ref="Y207:Y217" si="292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B208" s="61" t="s">
        <v>155</v>
      </c>
      <c r="C208" s="55">
        <v>0</v>
      </c>
      <c r="D208" s="56">
        <v>0</v>
      </c>
      <c r="E208" s="57">
        <f t="shared" ref="E208" si="293">SUM(C208:D208)</f>
        <v>0</v>
      </c>
      <c r="F208" s="58"/>
      <c r="G208" s="55">
        <v>12000</v>
      </c>
      <c r="H208" s="56">
        <v>0</v>
      </c>
      <c r="I208" s="57">
        <f t="shared" ref="I208" si="294">SUM(G208:H208)</f>
        <v>12000</v>
      </c>
      <c r="J208" s="58"/>
      <c r="K208" s="55">
        <f>G208*0</f>
        <v>0</v>
      </c>
      <c r="L208" s="57">
        <v>0</v>
      </c>
      <c r="M208" s="57">
        <f t="shared" ref="M208" si="295">SUM(K208:L208)</f>
        <v>0</v>
      </c>
      <c r="N208" s="58"/>
      <c r="O208" s="55">
        <f>K208</f>
        <v>0</v>
      </c>
      <c r="P208" s="56">
        <v>0</v>
      </c>
      <c r="Q208" s="57">
        <f t="shared" ref="Q208" si="296">SUM(O208:P208)</f>
        <v>0</v>
      </c>
      <c r="R208" s="58"/>
      <c r="S208" s="55">
        <f>O208</f>
        <v>0</v>
      </c>
      <c r="T208" s="56">
        <v>0</v>
      </c>
      <c r="U208" s="57">
        <f t="shared" ref="U208" si="297">SUM(S208:T208)</f>
        <v>0</v>
      </c>
      <c r="V208" s="59"/>
      <c r="W208" s="124">
        <f t="shared" si="290"/>
        <v>12000</v>
      </c>
      <c r="X208" s="57">
        <f t="shared" si="291"/>
        <v>0</v>
      </c>
      <c r="Y208" s="202">
        <f t="shared" si="292"/>
        <v>12000</v>
      </c>
    </row>
    <row r="209" spans="1:77" s="61" customFormat="1" x14ac:dyDescent="0.25">
      <c r="A209" s="52"/>
      <c r="B209" s="52"/>
      <c r="C209" s="124">
        <v>0</v>
      </c>
      <c r="D209" s="56">
        <v>0</v>
      </c>
      <c r="E209" s="56">
        <f t="shared" si="285"/>
        <v>0</v>
      </c>
      <c r="F209" s="58"/>
      <c r="G209" s="55">
        <v>0</v>
      </c>
      <c r="H209" s="57">
        <v>0</v>
      </c>
      <c r="I209" s="57">
        <f t="shared" si="286"/>
        <v>0</v>
      </c>
      <c r="J209" s="58"/>
      <c r="K209" s="55">
        <v>0</v>
      </c>
      <c r="L209" s="57">
        <v>0</v>
      </c>
      <c r="M209" s="57">
        <f t="shared" si="287"/>
        <v>0</v>
      </c>
      <c r="N209" s="58"/>
      <c r="O209" s="55">
        <v>0</v>
      </c>
      <c r="P209" s="57">
        <v>0</v>
      </c>
      <c r="Q209" s="57">
        <f t="shared" si="288"/>
        <v>0</v>
      </c>
      <c r="R209" s="58"/>
      <c r="S209" s="55">
        <v>0</v>
      </c>
      <c r="T209" s="57">
        <v>0</v>
      </c>
      <c r="U209" s="57">
        <f t="shared" si="289"/>
        <v>0</v>
      </c>
      <c r="V209" s="59"/>
      <c r="W209" s="124">
        <f t="shared" si="290"/>
        <v>0</v>
      </c>
      <c r="X209" s="57">
        <f t="shared" si="291"/>
        <v>0</v>
      </c>
      <c r="Y209" s="84">
        <f t="shared" si="292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52"/>
      <c r="B210" s="52"/>
      <c r="C210" s="124">
        <v>0</v>
      </c>
      <c r="D210" s="56">
        <v>0</v>
      </c>
      <c r="E210" s="56">
        <f t="shared" si="285"/>
        <v>0</v>
      </c>
      <c r="F210" s="58"/>
      <c r="G210" s="55">
        <v>0</v>
      </c>
      <c r="H210" s="57">
        <v>0</v>
      </c>
      <c r="I210" s="57">
        <f t="shared" si="286"/>
        <v>0</v>
      </c>
      <c r="J210" s="58"/>
      <c r="K210" s="55">
        <v>0</v>
      </c>
      <c r="L210" s="57">
        <v>0</v>
      </c>
      <c r="M210" s="57">
        <f t="shared" si="287"/>
        <v>0</v>
      </c>
      <c r="N210" s="58"/>
      <c r="O210" s="55">
        <v>0</v>
      </c>
      <c r="P210" s="57">
        <v>0</v>
      </c>
      <c r="Q210" s="57">
        <f t="shared" si="288"/>
        <v>0</v>
      </c>
      <c r="R210" s="58"/>
      <c r="S210" s="55">
        <v>0</v>
      </c>
      <c r="T210" s="57">
        <v>0</v>
      </c>
      <c r="U210" s="57">
        <f t="shared" si="289"/>
        <v>0</v>
      </c>
      <c r="V210" s="59"/>
      <c r="W210" s="124">
        <f t="shared" si="290"/>
        <v>0</v>
      </c>
      <c r="X210" s="57">
        <f t="shared" si="291"/>
        <v>0</v>
      </c>
      <c r="Y210" s="84">
        <f t="shared" si="292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52"/>
      <c r="B211" s="52"/>
      <c r="C211" s="124">
        <v>0</v>
      </c>
      <c r="D211" s="56">
        <v>0</v>
      </c>
      <c r="E211" s="56">
        <f t="shared" si="285"/>
        <v>0</v>
      </c>
      <c r="F211" s="58"/>
      <c r="G211" s="55">
        <v>0</v>
      </c>
      <c r="H211" s="57">
        <v>0</v>
      </c>
      <c r="I211" s="57">
        <f t="shared" si="286"/>
        <v>0</v>
      </c>
      <c r="J211" s="58"/>
      <c r="K211" s="55">
        <v>0</v>
      </c>
      <c r="L211" s="57">
        <v>0</v>
      </c>
      <c r="M211" s="57">
        <f t="shared" si="287"/>
        <v>0</v>
      </c>
      <c r="N211" s="58"/>
      <c r="O211" s="55">
        <v>0</v>
      </c>
      <c r="P211" s="57">
        <v>0</v>
      </c>
      <c r="Q211" s="57">
        <f t="shared" si="288"/>
        <v>0</v>
      </c>
      <c r="R211" s="58"/>
      <c r="S211" s="55">
        <v>0</v>
      </c>
      <c r="T211" s="57">
        <v>0</v>
      </c>
      <c r="U211" s="57">
        <f t="shared" si="289"/>
        <v>0</v>
      </c>
      <c r="V211" s="59"/>
      <c r="W211" s="124">
        <f t="shared" si="290"/>
        <v>0</v>
      </c>
      <c r="X211" s="57">
        <f t="shared" si="291"/>
        <v>0</v>
      </c>
      <c r="Y211" s="84">
        <f t="shared" si="292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52"/>
      <c r="B212" s="52"/>
      <c r="C212" s="124">
        <v>0</v>
      </c>
      <c r="D212" s="56">
        <v>0</v>
      </c>
      <c r="E212" s="56">
        <f t="shared" si="285"/>
        <v>0</v>
      </c>
      <c r="F212" s="58"/>
      <c r="G212" s="55">
        <v>0</v>
      </c>
      <c r="H212" s="57">
        <v>0</v>
      </c>
      <c r="I212" s="57">
        <f t="shared" si="286"/>
        <v>0</v>
      </c>
      <c r="J212" s="58"/>
      <c r="K212" s="55">
        <v>0</v>
      </c>
      <c r="L212" s="57">
        <v>0</v>
      </c>
      <c r="M212" s="57">
        <f t="shared" si="287"/>
        <v>0</v>
      </c>
      <c r="N212" s="58"/>
      <c r="O212" s="55">
        <v>0</v>
      </c>
      <c r="P212" s="57">
        <v>0</v>
      </c>
      <c r="Q212" s="57">
        <f t="shared" si="288"/>
        <v>0</v>
      </c>
      <c r="R212" s="58"/>
      <c r="S212" s="55">
        <v>0</v>
      </c>
      <c r="T212" s="57">
        <v>0</v>
      </c>
      <c r="U212" s="57">
        <f t="shared" si="289"/>
        <v>0</v>
      </c>
      <c r="V212" s="59"/>
      <c r="W212" s="124">
        <f t="shared" si="290"/>
        <v>0</v>
      </c>
      <c r="X212" s="57">
        <f t="shared" si="291"/>
        <v>0</v>
      </c>
      <c r="Y212" s="84">
        <f t="shared" si="292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285"/>
        <v>0</v>
      </c>
      <c r="F213" s="58"/>
      <c r="G213" s="55">
        <v>0</v>
      </c>
      <c r="H213" s="57">
        <v>0</v>
      </c>
      <c r="I213" s="57">
        <f t="shared" si="286"/>
        <v>0</v>
      </c>
      <c r="J213" s="58"/>
      <c r="K213" s="55">
        <v>0</v>
      </c>
      <c r="L213" s="57">
        <v>0</v>
      </c>
      <c r="M213" s="57">
        <f t="shared" si="287"/>
        <v>0</v>
      </c>
      <c r="N213" s="58"/>
      <c r="O213" s="55">
        <v>0</v>
      </c>
      <c r="P213" s="57">
        <v>0</v>
      </c>
      <c r="Q213" s="57">
        <f t="shared" si="288"/>
        <v>0</v>
      </c>
      <c r="R213" s="58"/>
      <c r="S213" s="55">
        <v>0</v>
      </c>
      <c r="T213" s="57">
        <v>0</v>
      </c>
      <c r="U213" s="57">
        <f t="shared" si="289"/>
        <v>0</v>
      </c>
      <c r="V213" s="59"/>
      <c r="W213" s="124">
        <f t="shared" si="290"/>
        <v>0</v>
      </c>
      <c r="X213" s="57">
        <f t="shared" si="291"/>
        <v>0</v>
      </c>
      <c r="Y213" s="84">
        <f t="shared" si="292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285"/>
        <v>0</v>
      </c>
      <c r="F214" s="58"/>
      <c r="G214" s="55">
        <v>0</v>
      </c>
      <c r="H214" s="57">
        <v>0</v>
      </c>
      <c r="I214" s="57">
        <f t="shared" si="286"/>
        <v>0</v>
      </c>
      <c r="J214" s="58"/>
      <c r="K214" s="55">
        <v>0</v>
      </c>
      <c r="L214" s="57">
        <v>0</v>
      </c>
      <c r="M214" s="57">
        <f t="shared" si="287"/>
        <v>0</v>
      </c>
      <c r="N214" s="58"/>
      <c r="O214" s="55">
        <v>0</v>
      </c>
      <c r="P214" s="57">
        <v>0</v>
      </c>
      <c r="Q214" s="57">
        <f t="shared" si="288"/>
        <v>0</v>
      </c>
      <c r="R214" s="58"/>
      <c r="S214" s="55">
        <v>0</v>
      </c>
      <c r="T214" s="57">
        <v>0</v>
      </c>
      <c r="U214" s="57">
        <f t="shared" si="289"/>
        <v>0</v>
      </c>
      <c r="V214" s="59"/>
      <c r="W214" s="124">
        <f t="shared" si="290"/>
        <v>0</v>
      </c>
      <c r="X214" s="57">
        <f t="shared" si="291"/>
        <v>0</v>
      </c>
      <c r="Y214" s="84">
        <f t="shared" si="292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285"/>
        <v>0</v>
      </c>
      <c r="F215" s="58"/>
      <c r="G215" s="55">
        <v>0</v>
      </c>
      <c r="H215" s="57">
        <v>0</v>
      </c>
      <c r="I215" s="57">
        <f t="shared" si="286"/>
        <v>0</v>
      </c>
      <c r="J215" s="58"/>
      <c r="K215" s="55">
        <v>0</v>
      </c>
      <c r="L215" s="57">
        <v>0</v>
      </c>
      <c r="M215" s="57">
        <f t="shared" si="287"/>
        <v>0</v>
      </c>
      <c r="N215" s="58"/>
      <c r="O215" s="55">
        <v>0</v>
      </c>
      <c r="P215" s="57">
        <v>0</v>
      </c>
      <c r="Q215" s="57">
        <f t="shared" si="288"/>
        <v>0</v>
      </c>
      <c r="R215" s="58"/>
      <c r="S215" s="55">
        <v>0</v>
      </c>
      <c r="T215" s="57">
        <v>0</v>
      </c>
      <c r="U215" s="57">
        <f t="shared" si="289"/>
        <v>0</v>
      </c>
      <c r="V215" s="59"/>
      <c r="W215" s="124">
        <f t="shared" si="290"/>
        <v>0</v>
      </c>
      <c r="X215" s="57">
        <f t="shared" si="291"/>
        <v>0</v>
      </c>
      <c r="Y215" s="84">
        <f t="shared" si="292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285"/>
        <v>0</v>
      </c>
      <c r="F216" s="58"/>
      <c r="G216" s="55">
        <v>0</v>
      </c>
      <c r="H216" s="57">
        <v>0</v>
      </c>
      <c r="I216" s="57">
        <f t="shared" si="286"/>
        <v>0</v>
      </c>
      <c r="J216" s="58"/>
      <c r="K216" s="55">
        <v>0</v>
      </c>
      <c r="L216" s="57">
        <v>0</v>
      </c>
      <c r="M216" s="57">
        <f t="shared" si="287"/>
        <v>0</v>
      </c>
      <c r="N216" s="58"/>
      <c r="O216" s="55">
        <v>0</v>
      </c>
      <c r="P216" s="57">
        <v>0</v>
      </c>
      <c r="Q216" s="57">
        <f t="shared" si="288"/>
        <v>0</v>
      </c>
      <c r="R216" s="58"/>
      <c r="S216" s="55">
        <v>0</v>
      </c>
      <c r="T216" s="57">
        <v>0</v>
      </c>
      <c r="U216" s="57">
        <f t="shared" si="289"/>
        <v>0</v>
      </c>
      <c r="V216" s="59"/>
      <c r="W216" s="124">
        <f t="shared" si="290"/>
        <v>0</v>
      </c>
      <c r="X216" s="57">
        <f t="shared" si="291"/>
        <v>0</v>
      </c>
      <c r="Y216" s="84">
        <f t="shared" si="292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12000</v>
      </c>
      <c r="H217" s="125">
        <f>SUM(H207:H216)</f>
        <v>0</v>
      </c>
      <c r="I217" s="125">
        <f>SUM(I207:I216)</f>
        <v>12000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290"/>
        <v>12000</v>
      </c>
      <c r="X217" s="80">
        <f t="shared" si="291"/>
        <v>0</v>
      </c>
      <c r="Y217" s="80">
        <f t="shared" si="292"/>
        <v>12000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2"/>
      <c r="B219" s="52" t="s">
        <v>57</v>
      </c>
      <c r="C219" s="124">
        <v>0</v>
      </c>
      <c r="D219" s="56">
        <v>0</v>
      </c>
      <c r="E219" s="56">
        <f t="shared" ref="E219:E220" si="298">SUM(C219:D219)</f>
        <v>0</v>
      </c>
      <c r="F219" s="58"/>
      <c r="G219" s="55">
        <f t="shared" ref="G219" si="299">C219*1.03</f>
        <v>0</v>
      </c>
      <c r="H219" s="56">
        <f t="shared" ref="H219" si="300">D219*1.03</f>
        <v>0</v>
      </c>
      <c r="I219" s="57">
        <f t="shared" ref="I219" si="301">SUM(G219:H219)</f>
        <v>0</v>
      </c>
      <c r="J219" s="58"/>
      <c r="K219" s="55">
        <f t="shared" ref="K219" si="302">G219*1.03</f>
        <v>0</v>
      </c>
      <c r="L219" s="56">
        <f t="shared" ref="L219" si="303">H219*1.03</f>
        <v>0</v>
      </c>
      <c r="M219" s="57">
        <f t="shared" ref="M219" si="304">SUM(K219:L219)</f>
        <v>0</v>
      </c>
      <c r="N219" s="58"/>
      <c r="O219" s="55">
        <f t="shared" ref="O219" si="305">K219*1.03</f>
        <v>0</v>
      </c>
      <c r="P219" s="56">
        <f t="shared" ref="P219" si="306">L219*1.03</f>
        <v>0</v>
      </c>
      <c r="Q219" s="57">
        <f t="shared" ref="Q219" si="307">SUM(O219:P219)</f>
        <v>0</v>
      </c>
      <c r="R219" s="58"/>
      <c r="S219" s="55">
        <f>(O219*1.03)</f>
        <v>0</v>
      </c>
      <c r="T219" s="56">
        <f t="shared" ref="T219" si="308">P219*1.03</f>
        <v>0</v>
      </c>
      <c r="U219" s="57">
        <f t="shared" ref="U219" si="309">SUM(S219:T219)</f>
        <v>0</v>
      </c>
      <c r="V219" s="59"/>
      <c r="W219" s="124">
        <f t="shared" ref="W219:W220" si="310">C219+G219+K219+O219+S219</f>
        <v>0</v>
      </c>
      <c r="X219" s="57">
        <f t="shared" ref="X219:X220" si="311">D219+H219+L219+P219+T219</f>
        <v>0</v>
      </c>
      <c r="Y219" s="84">
        <f t="shared" ref="Y219:Y220" si="312">E219+I219+M219+Q219+U219</f>
        <v>0</v>
      </c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</row>
    <row r="220" spans="1:77" s="61" customFormat="1" x14ac:dyDescent="0.25">
      <c r="A220" s="87"/>
      <c r="B220" s="52" t="s">
        <v>154</v>
      </c>
      <c r="C220" s="124">
        <v>1500</v>
      </c>
      <c r="D220" s="56">
        <v>0</v>
      </c>
      <c r="E220" s="56">
        <f t="shared" si="298"/>
        <v>1500</v>
      </c>
      <c r="F220" s="58"/>
      <c r="G220" s="55">
        <f>C220</f>
        <v>1500</v>
      </c>
      <c r="H220" s="57">
        <v>0</v>
      </c>
      <c r="I220" s="57">
        <f t="shared" ref="I220" si="313">SUM(G220:H220)</f>
        <v>1500</v>
      </c>
      <c r="J220" s="58"/>
      <c r="K220" s="55">
        <f>G220</f>
        <v>1500</v>
      </c>
      <c r="L220" s="57">
        <v>0</v>
      </c>
      <c r="M220" s="57">
        <f t="shared" ref="M220" si="314">SUM(K220:L220)</f>
        <v>1500</v>
      </c>
      <c r="N220" s="58"/>
      <c r="O220" s="55">
        <f>K220</f>
        <v>1500</v>
      </c>
      <c r="P220" s="57">
        <v>0</v>
      </c>
      <c r="Q220" s="57">
        <f t="shared" ref="Q220" si="315">SUM(O220:P220)</f>
        <v>1500</v>
      </c>
      <c r="R220" s="58"/>
      <c r="S220" s="55">
        <f>O220</f>
        <v>1500</v>
      </c>
      <c r="T220" s="57">
        <v>0</v>
      </c>
      <c r="U220" s="57">
        <f t="shared" ref="U220" si="316">SUM(S220:T220)</f>
        <v>1500</v>
      </c>
      <c r="V220" s="59"/>
      <c r="W220" s="124">
        <f t="shared" si="310"/>
        <v>7500</v>
      </c>
      <c r="X220" s="57">
        <f t="shared" si="311"/>
        <v>0</v>
      </c>
      <c r="Y220" s="84">
        <f t="shared" si="312"/>
        <v>7500</v>
      </c>
    </row>
    <row r="221" spans="1:77" s="61" customFormat="1" x14ac:dyDescent="0.25">
      <c r="A221" s="52"/>
      <c r="B221" s="52"/>
      <c r="C221" s="124">
        <v>0</v>
      </c>
      <c r="D221" s="56">
        <v>0</v>
      </c>
      <c r="E221" s="56">
        <f t="shared" ref="E221:E224" si="317">SUM(C221:D221)</f>
        <v>0</v>
      </c>
      <c r="F221" s="58"/>
      <c r="G221" s="55">
        <v>0</v>
      </c>
      <c r="H221" s="57">
        <v>0</v>
      </c>
      <c r="I221" s="57">
        <f t="shared" ref="I221:I224" si="318">SUM(G221:H221)</f>
        <v>0</v>
      </c>
      <c r="J221" s="58"/>
      <c r="K221" s="55">
        <v>0</v>
      </c>
      <c r="L221" s="57">
        <v>0</v>
      </c>
      <c r="M221" s="57">
        <f t="shared" ref="M221:M224" si="319">SUM(K221:L221)</f>
        <v>0</v>
      </c>
      <c r="N221" s="58"/>
      <c r="O221" s="55">
        <v>0</v>
      </c>
      <c r="P221" s="57">
        <v>0</v>
      </c>
      <c r="Q221" s="57">
        <f t="shared" ref="Q221:Q224" si="320">SUM(O221:P221)</f>
        <v>0</v>
      </c>
      <c r="R221" s="58"/>
      <c r="S221" s="55">
        <v>0</v>
      </c>
      <c r="T221" s="57">
        <v>0</v>
      </c>
      <c r="U221" s="57">
        <f t="shared" ref="U221:U224" si="321">SUM(S221:T221)</f>
        <v>0</v>
      </c>
      <c r="V221" s="59"/>
      <c r="W221" s="124">
        <f t="shared" ref="W221:Y225" si="322">C221+G221+K221+O221+S221</f>
        <v>0</v>
      </c>
      <c r="X221" s="57">
        <f t="shared" si="322"/>
        <v>0</v>
      </c>
      <c r="Y221" s="84">
        <f t="shared" si="322"/>
        <v>0</v>
      </c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</row>
    <row r="222" spans="1:77" s="61" customFormat="1" x14ac:dyDescent="0.25">
      <c r="A222" s="52"/>
      <c r="B222" s="52"/>
      <c r="C222" s="124">
        <v>0</v>
      </c>
      <c r="D222" s="56">
        <v>0</v>
      </c>
      <c r="E222" s="56">
        <f t="shared" si="317"/>
        <v>0</v>
      </c>
      <c r="F222" s="58"/>
      <c r="G222" s="55">
        <v>0</v>
      </c>
      <c r="H222" s="57">
        <v>0</v>
      </c>
      <c r="I222" s="57">
        <f t="shared" si="318"/>
        <v>0</v>
      </c>
      <c r="J222" s="58"/>
      <c r="K222" s="55">
        <v>0</v>
      </c>
      <c r="L222" s="57">
        <v>0</v>
      </c>
      <c r="M222" s="57">
        <f t="shared" si="319"/>
        <v>0</v>
      </c>
      <c r="N222" s="58"/>
      <c r="O222" s="55">
        <v>0</v>
      </c>
      <c r="P222" s="57">
        <v>0</v>
      </c>
      <c r="Q222" s="57">
        <f t="shared" si="320"/>
        <v>0</v>
      </c>
      <c r="R222" s="58"/>
      <c r="S222" s="55">
        <v>0</v>
      </c>
      <c r="T222" s="57">
        <v>0</v>
      </c>
      <c r="U222" s="57">
        <f t="shared" si="321"/>
        <v>0</v>
      </c>
      <c r="V222" s="59"/>
      <c r="W222" s="124">
        <f t="shared" si="322"/>
        <v>0</v>
      </c>
      <c r="X222" s="57">
        <f t="shared" si="322"/>
        <v>0</v>
      </c>
      <c r="Y222" s="84">
        <f t="shared" si="322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317"/>
        <v>0</v>
      </c>
      <c r="F223" s="58"/>
      <c r="G223" s="55">
        <v>0</v>
      </c>
      <c r="H223" s="57">
        <v>0</v>
      </c>
      <c r="I223" s="57">
        <f t="shared" si="318"/>
        <v>0</v>
      </c>
      <c r="J223" s="58"/>
      <c r="K223" s="55">
        <v>0</v>
      </c>
      <c r="L223" s="57">
        <v>0</v>
      </c>
      <c r="M223" s="57">
        <f t="shared" si="319"/>
        <v>0</v>
      </c>
      <c r="N223" s="58"/>
      <c r="O223" s="55">
        <v>0</v>
      </c>
      <c r="P223" s="57">
        <v>0</v>
      </c>
      <c r="Q223" s="57">
        <f t="shared" si="320"/>
        <v>0</v>
      </c>
      <c r="R223" s="58"/>
      <c r="S223" s="55">
        <v>0</v>
      </c>
      <c r="T223" s="57">
        <v>0</v>
      </c>
      <c r="U223" s="57">
        <f t="shared" si="321"/>
        <v>0</v>
      </c>
      <c r="V223" s="59"/>
      <c r="W223" s="124">
        <f t="shared" si="322"/>
        <v>0</v>
      </c>
      <c r="X223" s="57">
        <f t="shared" si="322"/>
        <v>0</v>
      </c>
      <c r="Y223" s="84">
        <f t="shared" si="322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317"/>
        <v>0</v>
      </c>
      <c r="F224" s="58"/>
      <c r="G224" s="55">
        <v>0</v>
      </c>
      <c r="H224" s="57">
        <v>0</v>
      </c>
      <c r="I224" s="57">
        <f t="shared" si="318"/>
        <v>0</v>
      </c>
      <c r="J224" s="58"/>
      <c r="K224" s="55">
        <v>0</v>
      </c>
      <c r="L224" s="57">
        <v>0</v>
      </c>
      <c r="M224" s="57">
        <f t="shared" si="319"/>
        <v>0</v>
      </c>
      <c r="N224" s="58"/>
      <c r="O224" s="55">
        <v>0</v>
      </c>
      <c r="P224" s="57">
        <v>0</v>
      </c>
      <c r="Q224" s="57">
        <f t="shared" si="320"/>
        <v>0</v>
      </c>
      <c r="R224" s="58"/>
      <c r="S224" s="55">
        <v>0</v>
      </c>
      <c r="T224" s="57">
        <v>0</v>
      </c>
      <c r="U224" s="57">
        <f t="shared" si="321"/>
        <v>0</v>
      </c>
      <c r="V224" s="59"/>
      <c r="W224" s="124">
        <f t="shared" si="322"/>
        <v>0</v>
      </c>
      <c r="X224" s="57">
        <f t="shared" si="322"/>
        <v>0</v>
      </c>
      <c r="Y224" s="84">
        <f t="shared" si="322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1500</v>
      </c>
      <c r="D225" s="125">
        <f>SUM(D219:D224)</f>
        <v>0</v>
      </c>
      <c r="E225" s="125">
        <f>SUM(E219:E224)</f>
        <v>1500</v>
      </c>
      <c r="F225" s="81"/>
      <c r="G225" s="79">
        <f>SUM(G219:G224)</f>
        <v>1500</v>
      </c>
      <c r="H225" s="80">
        <f>SUM(H219:H224)</f>
        <v>0</v>
      </c>
      <c r="I225" s="80">
        <f>SUM(I219:I224)</f>
        <v>1500</v>
      </c>
      <c r="J225" s="81"/>
      <c r="K225" s="79">
        <f>SUM(K219:K224)</f>
        <v>1500</v>
      </c>
      <c r="L225" s="80">
        <f>SUM(L219:L224)</f>
        <v>0</v>
      </c>
      <c r="M225" s="80">
        <f>SUM(M219:M224)</f>
        <v>1500</v>
      </c>
      <c r="N225" s="81"/>
      <c r="O225" s="79">
        <f>SUM(O219:O224)</f>
        <v>1500</v>
      </c>
      <c r="P225" s="80">
        <f>SUM(P219:P224)</f>
        <v>0</v>
      </c>
      <c r="Q225" s="80">
        <f>SUM(Q219:Q224)</f>
        <v>1500</v>
      </c>
      <c r="R225" s="81"/>
      <c r="S225" s="79">
        <f>SUM(S219:S224)</f>
        <v>1500</v>
      </c>
      <c r="T225" s="80">
        <f>SUM(T219:T224)</f>
        <v>0</v>
      </c>
      <c r="U225" s="80">
        <f>SUM(U219:U224)</f>
        <v>1500</v>
      </c>
      <c r="V225" s="82"/>
      <c r="W225" s="228">
        <f t="shared" si="322"/>
        <v>7500</v>
      </c>
      <c r="X225" s="80">
        <f t="shared" si="322"/>
        <v>0</v>
      </c>
      <c r="Y225" s="80">
        <f t="shared" si="322"/>
        <v>7500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/>
      <c r="B227" s="54"/>
      <c r="C227" s="124">
        <v>0</v>
      </c>
      <c r="D227" s="56">
        <v>0</v>
      </c>
      <c r="E227" s="56">
        <f>SUM(C227:D227)</f>
        <v>0</v>
      </c>
      <c r="F227" s="58"/>
      <c r="G227" s="55">
        <v>0</v>
      </c>
      <c r="H227" s="56">
        <v>0</v>
      </c>
      <c r="I227" s="56">
        <f>SUM(G227:H227)</f>
        <v>0</v>
      </c>
      <c r="J227" s="58"/>
      <c r="K227" s="55">
        <v>0</v>
      </c>
      <c r="L227" s="56">
        <v>0</v>
      </c>
      <c r="M227" s="56">
        <f>SUM(K227:L227)</f>
        <v>0</v>
      </c>
      <c r="N227" s="58"/>
      <c r="O227" s="55">
        <v>0</v>
      </c>
      <c r="P227" s="56">
        <v>0</v>
      </c>
      <c r="Q227" s="56">
        <f>SUM(O227:P227)</f>
        <v>0</v>
      </c>
      <c r="R227" s="58"/>
      <c r="S227" s="55">
        <v>0</v>
      </c>
      <c r="T227" s="56">
        <v>0</v>
      </c>
      <c r="U227" s="56">
        <f>SUM(S227:T227)</f>
        <v>0</v>
      </c>
      <c r="V227" s="59"/>
      <c r="W227" s="124">
        <f t="shared" ref="W227:Y231" si="323">C227+G227+K227+O227+S227</f>
        <v>0</v>
      </c>
      <c r="X227" s="57">
        <f t="shared" si="323"/>
        <v>0</v>
      </c>
      <c r="Y227" s="84">
        <f t="shared" si="323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/>
      <c r="B228" s="54"/>
      <c r="C228" s="124">
        <v>0</v>
      </c>
      <c r="D228" s="56">
        <v>0</v>
      </c>
      <c r="E228" s="56">
        <f>SUM(C228:D228)</f>
        <v>0</v>
      </c>
      <c r="F228" s="58"/>
      <c r="G228" s="55">
        <v>0</v>
      </c>
      <c r="H228" s="56">
        <v>0</v>
      </c>
      <c r="I228" s="56">
        <f>SUM(G228:H228)</f>
        <v>0</v>
      </c>
      <c r="J228" s="58"/>
      <c r="K228" s="55">
        <v>0</v>
      </c>
      <c r="L228" s="56">
        <v>0</v>
      </c>
      <c r="M228" s="56">
        <f>SUM(K228:L228)</f>
        <v>0</v>
      </c>
      <c r="N228" s="58"/>
      <c r="O228" s="55">
        <v>0</v>
      </c>
      <c r="P228" s="56">
        <v>0</v>
      </c>
      <c r="Q228" s="56">
        <f>SUM(O228:P228)</f>
        <v>0</v>
      </c>
      <c r="R228" s="58"/>
      <c r="S228" s="55">
        <v>0</v>
      </c>
      <c r="T228" s="56">
        <v>0</v>
      </c>
      <c r="U228" s="56">
        <f>SUM(S228:T228)</f>
        <v>0</v>
      </c>
      <c r="V228" s="59"/>
      <c r="W228" s="124">
        <f t="shared" si="323"/>
        <v>0</v>
      </c>
      <c r="X228" s="57">
        <f t="shared" si="323"/>
        <v>0</v>
      </c>
      <c r="Y228" s="84">
        <f t="shared" si="323"/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54"/>
      <c r="C229" s="124">
        <v>0</v>
      </c>
      <c r="D229" s="56">
        <v>0</v>
      </c>
      <c r="E229" s="56">
        <f>SUM(C229:D229)</f>
        <v>0</v>
      </c>
      <c r="F229" s="58"/>
      <c r="G229" s="55">
        <v>0</v>
      </c>
      <c r="H229" s="56">
        <v>0</v>
      </c>
      <c r="I229" s="56">
        <f>SUM(G229:H229)</f>
        <v>0</v>
      </c>
      <c r="J229" s="58"/>
      <c r="K229" s="55">
        <v>0</v>
      </c>
      <c r="L229" s="56">
        <v>0</v>
      </c>
      <c r="M229" s="56">
        <f>SUM(K229:L229)</f>
        <v>0</v>
      </c>
      <c r="N229" s="58"/>
      <c r="O229" s="55">
        <v>0</v>
      </c>
      <c r="P229" s="56">
        <v>0</v>
      </c>
      <c r="Q229" s="56">
        <f>SUM(O229:P229)</f>
        <v>0</v>
      </c>
      <c r="R229" s="58"/>
      <c r="S229" s="55">
        <v>0</v>
      </c>
      <c r="T229" s="56">
        <v>0</v>
      </c>
      <c r="U229" s="56">
        <f>SUM(S229:T229)</f>
        <v>0</v>
      </c>
      <c r="V229" s="59"/>
      <c r="W229" s="124">
        <f t="shared" si="323"/>
        <v>0</v>
      </c>
      <c r="X229" s="57">
        <f t="shared" si="323"/>
        <v>0</v>
      </c>
      <c r="Y229" s="84">
        <f t="shared" si="323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61" customFormat="1" x14ac:dyDescent="0.25">
      <c r="A230" s="54"/>
      <c r="B230" s="54" t="s">
        <v>57</v>
      </c>
      <c r="C230" s="124">
        <v>0</v>
      </c>
      <c r="D230" s="56">
        <v>0</v>
      </c>
      <c r="E230" s="56">
        <f>SUM(C230:D230)</f>
        <v>0</v>
      </c>
      <c r="F230" s="58"/>
      <c r="G230" s="55">
        <v>0</v>
      </c>
      <c r="H230" s="56">
        <v>0</v>
      </c>
      <c r="I230" s="56">
        <f>SUM(G230:H230)</f>
        <v>0</v>
      </c>
      <c r="J230" s="58"/>
      <c r="K230" s="55">
        <v>0</v>
      </c>
      <c r="L230" s="56">
        <v>0</v>
      </c>
      <c r="M230" s="56">
        <f>SUM(K230:L230)</f>
        <v>0</v>
      </c>
      <c r="N230" s="58"/>
      <c r="O230" s="55">
        <v>0</v>
      </c>
      <c r="P230" s="56">
        <v>0</v>
      </c>
      <c r="Q230" s="56">
        <f>SUM(O230:P230)</f>
        <v>0</v>
      </c>
      <c r="R230" s="58"/>
      <c r="S230" s="55">
        <v>0</v>
      </c>
      <c r="T230" s="56">
        <v>0</v>
      </c>
      <c r="U230" s="56">
        <f>SUM(S230:T230)</f>
        <v>0</v>
      </c>
      <c r="V230" s="59"/>
      <c r="W230" s="124">
        <f t="shared" si="323"/>
        <v>0</v>
      </c>
      <c r="X230" s="57">
        <f t="shared" si="323"/>
        <v>0</v>
      </c>
      <c r="Y230" s="84">
        <f t="shared" si="323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0</v>
      </c>
      <c r="H231" s="80">
        <f>SUM(H227:H230)</f>
        <v>0</v>
      </c>
      <c r="I231" s="80">
        <f>SUM(I227:I230)</f>
        <v>0</v>
      </c>
      <c r="J231" s="81"/>
      <c r="K231" s="79">
        <f>SUM(K227:K230)</f>
        <v>0</v>
      </c>
      <c r="L231" s="80">
        <f>SUM(L227:L230)</f>
        <v>0</v>
      </c>
      <c r="M231" s="80">
        <f>SUM(M227:M230)</f>
        <v>0</v>
      </c>
      <c r="N231" s="81"/>
      <c r="O231" s="79">
        <f>SUM(O227:O230)</f>
        <v>0</v>
      </c>
      <c r="P231" s="80">
        <f>SUM(P227:P230)</f>
        <v>0</v>
      </c>
      <c r="Q231" s="80">
        <f>SUM(Q227:Q230)</f>
        <v>0</v>
      </c>
      <c r="R231" s="81"/>
      <c r="S231" s="79">
        <f>SUM(S227:S230)</f>
        <v>0</v>
      </c>
      <c r="T231" s="125">
        <f>SUM(T227:T230)</f>
        <v>0</v>
      </c>
      <c r="U231" s="125">
        <f>SUM(U227:U230)</f>
        <v>0</v>
      </c>
      <c r="V231" s="82"/>
      <c r="W231" s="228">
        <f t="shared" si="323"/>
        <v>0</v>
      </c>
      <c r="X231" s="80">
        <f t="shared" si="323"/>
        <v>0</v>
      </c>
      <c r="Y231" s="80">
        <f t="shared" si="323"/>
        <v>0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2"/>
      <c r="B233" s="61" t="s">
        <v>57</v>
      </c>
      <c r="C233" s="124">
        <v>0</v>
      </c>
      <c r="D233" s="56">
        <v>0</v>
      </c>
      <c r="E233" s="56">
        <f t="shared" ref="E233:E244" si="324">SUM(C233:D233)</f>
        <v>0</v>
      </c>
      <c r="F233" s="58"/>
      <c r="G233" s="55">
        <v>0</v>
      </c>
      <c r="H233" s="57">
        <v>0</v>
      </c>
      <c r="I233" s="57">
        <f t="shared" ref="I233:I244" si="325">SUM(G233:H233)</f>
        <v>0</v>
      </c>
      <c r="J233" s="58"/>
      <c r="K233" s="55">
        <v>0</v>
      </c>
      <c r="L233" s="57">
        <v>0</v>
      </c>
      <c r="M233" s="57">
        <f t="shared" ref="M233:M244" si="326">SUM(K233:L233)</f>
        <v>0</v>
      </c>
      <c r="N233" s="58"/>
      <c r="O233" s="55">
        <v>0</v>
      </c>
      <c r="P233" s="57">
        <v>0</v>
      </c>
      <c r="Q233" s="57">
        <f t="shared" ref="Q233:Q244" si="327">SUM(O233:P233)</f>
        <v>0</v>
      </c>
      <c r="R233" s="58"/>
      <c r="S233" s="55">
        <v>0</v>
      </c>
      <c r="T233" s="57">
        <v>0</v>
      </c>
      <c r="U233" s="57">
        <f t="shared" ref="U233:U244" si="328">SUM(S233:T233)</f>
        <v>0</v>
      </c>
      <c r="V233" s="59"/>
      <c r="W233" s="124">
        <f t="shared" ref="W233:W245" si="329">C233+G233+K233+O233+S233</f>
        <v>0</v>
      </c>
      <c r="X233" s="57">
        <f t="shared" ref="X233:X245" si="330">D233+H233+L233+P233+T233</f>
        <v>0</v>
      </c>
      <c r="Y233" s="84">
        <f t="shared" ref="Y233:Y245" si="331">E233+I233+M233+Q233+U233</f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</row>
    <row r="234" spans="1:77" s="61" customFormat="1" x14ac:dyDescent="0.25">
      <c r="A234" s="54" t="s">
        <v>57</v>
      </c>
      <c r="B234" s="61" t="s">
        <v>57</v>
      </c>
      <c r="C234" s="124">
        <f>40000*0</f>
        <v>0</v>
      </c>
      <c r="D234" s="56">
        <v>0</v>
      </c>
      <c r="E234" s="56">
        <f t="shared" si="324"/>
        <v>0</v>
      </c>
      <c r="F234" s="58"/>
      <c r="G234" s="55">
        <v>0</v>
      </c>
      <c r="H234" s="57">
        <v>0</v>
      </c>
      <c r="I234" s="57">
        <f t="shared" si="325"/>
        <v>0</v>
      </c>
      <c r="J234" s="58"/>
      <c r="K234" s="55">
        <v>0</v>
      </c>
      <c r="L234" s="57">
        <v>0</v>
      </c>
      <c r="M234" s="57">
        <f t="shared" si="326"/>
        <v>0</v>
      </c>
      <c r="N234" s="58"/>
      <c r="O234" s="55">
        <v>0</v>
      </c>
      <c r="P234" s="57">
        <v>0</v>
      </c>
      <c r="Q234" s="57">
        <f t="shared" si="327"/>
        <v>0</v>
      </c>
      <c r="R234" s="58"/>
      <c r="S234" s="55">
        <v>0</v>
      </c>
      <c r="T234" s="57">
        <v>0</v>
      </c>
      <c r="U234" s="57">
        <f t="shared" si="328"/>
        <v>0</v>
      </c>
      <c r="V234" s="59"/>
      <c r="W234" s="124">
        <f t="shared" si="329"/>
        <v>0</v>
      </c>
      <c r="X234" s="57">
        <f t="shared" si="330"/>
        <v>0</v>
      </c>
      <c r="Y234" s="84">
        <f t="shared" si="331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</row>
    <row r="235" spans="1:77" s="61" customFormat="1" x14ac:dyDescent="0.25">
      <c r="A235" s="54"/>
      <c r="B235" s="199" t="s">
        <v>157</v>
      </c>
      <c r="C235" s="124">
        <v>0</v>
      </c>
      <c r="D235" s="56">
        <v>0</v>
      </c>
      <c r="E235" s="56">
        <f t="shared" si="324"/>
        <v>0</v>
      </c>
      <c r="F235" s="58"/>
      <c r="G235" s="55">
        <f>15000*0</f>
        <v>0</v>
      </c>
      <c r="H235" s="57">
        <v>0</v>
      </c>
      <c r="I235" s="57">
        <f t="shared" si="325"/>
        <v>0</v>
      </c>
      <c r="J235" s="58"/>
      <c r="K235" s="55">
        <f>G235*0</f>
        <v>0</v>
      </c>
      <c r="L235" s="57">
        <v>0</v>
      </c>
      <c r="M235" s="57">
        <f t="shared" si="326"/>
        <v>0</v>
      </c>
      <c r="N235" s="58"/>
      <c r="O235" s="55">
        <f>15000</f>
        <v>15000</v>
      </c>
      <c r="P235" s="56">
        <v>0</v>
      </c>
      <c r="Q235" s="57">
        <f t="shared" si="327"/>
        <v>15000</v>
      </c>
      <c r="R235" s="58"/>
      <c r="S235" s="55">
        <f>O235*0</f>
        <v>0</v>
      </c>
      <c r="T235" s="57">
        <v>0</v>
      </c>
      <c r="U235" s="57">
        <f t="shared" si="328"/>
        <v>0</v>
      </c>
      <c r="V235" s="59"/>
      <c r="W235" s="124">
        <f t="shared" si="329"/>
        <v>15000</v>
      </c>
      <c r="X235" s="57">
        <f t="shared" si="330"/>
        <v>0</v>
      </c>
      <c r="Y235" s="84">
        <f t="shared" si="331"/>
        <v>15000</v>
      </c>
    </row>
    <row r="236" spans="1:77" s="61" customFormat="1" x14ac:dyDescent="0.25">
      <c r="A236" s="52"/>
      <c r="B236" s="52" t="s">
        <v>57</v>
      </c>
      <c r="C236" s="124">
        <v>0</v>
      </c>
      <c r="D236" s="56">
        <v>0</v>
      </c>
      <c r="E236" s="56">
        <f t="shared" si="324"/>
        <v>0</v>
      </c>
      <c r="F236" s="58"/>
      <c r="G236" s="55">
        <v>0</v>
      </c>
      <c r="H236" s="57">
        <v>0</v>
      </c>
      <c r="I236" s="57">
        <f t="shared" si="325"/>
        <v>0</v>
      </c>
      <c r="J236" s="58"/>
      <c r="K236" s="55">
        <v>0</v>
      </c>
      <c r="L236" s="57">
        <v>0</v>
      </c>
      <c r="M236" s="57">
        <f t="shared" si="326"/>
        <v>0</v>
      </c>
      <c r="N236" s="58"/>
      <c r="O236" s="55">
        <v>0</v>
      </c>
      <c r="P236" s="57">
        <v>0</v>
      </c>
      <c r="Q236" s="57">
        <f t="shared" si="327"/>
        <v>0</v>
      </c>
      <c r="R236" s="58"/>
      <c r="S236" s="55">
        <v>0</v>
      </c>
      <c r="T236" s="57">
        <v>0</v>
      </c>
      <c r="U236" s="57">
        <f t="shared" si="328"/>
        <v>0</v>
      </c>
      <c r="V236" s="59"/>
      <c r="W236" s="124">
        <f t="shared" si="329"/>
        <v>0</v>
      </c>
      <c r="X236" s="57">
        <f t="shared" si="330"/>
        <v>0</v>
      </c>
      <c r="Y236" s="84">
        <f t="shared" si="331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</row>
    <row r="237" spans="1:77" s="61" customFormat="1" x14ac:dyDescent="0.25">
      <c r="A237" s="52"/>
      <c r="B237" s="52"/>
      <c r="C237" s="124">
        <v>0</v>
      </c>
      <c r="D237" s="56">
        <v>0</v>
      </c>
      <c r="E237" s="56">
        <f t="shared" si="324"/>
        <v>0</v>
      </c>
      <c r="F237" s="58"/>
      <c r="G237" s="55">
        <v>0</v>
      </c>
      <c r="H237" s="57">
        <v>0</v>
      </c>
      <c r="I237" s="57">
        <f t="shared" si="325"/>
        <v>0</v>
      </c>
      <c r="J237" s="58"/>
      <c r="K237" s="55">
        <v>0</v>
      </c>
      <c r="L237" s="57">
        <v>0</v>
      </c>
      <c r="M237" s="57">
        <f t="shared" si="326"/>
        <v>0</v>
      </c>
      <c r="N237" s="58"/>
      <c r="O237" s="55">
        <v>0</v>
      </c>
      <c r="P237" s="57">
        <v>0</v>
      </c>
      <c r="Q237" s="57">
        <f t="shared" si="327"/>
        <v>0</v>
      </c>
      <c r="R237" s="58"/>
      <c r="S237" s="55">
        <v>0</v>
      </c>
      <c r="T237" s="57">
        <v>0</v>
      </c>
      <c r="U237" s="57">
        <f t="shared" si="328"/>
        <v>0</v>
      </c>
      <c r="V237" s="59"/>
      <c r="W237" s="124">
        <f t="shared" si="329"/>
        <v>0</v>
      </c>
      <c r="X237" s="57">
        <f t="shared" si="330"/>
        <v>0</v>
      </c>
      <c r="Y237" s="84">
        <f t="shared" si="331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</row>
    <row r="238" spans="1:77" s="61" customFormat="1" x14ac:dyDescent="0.25">
      <c r="A238" s="52"/>
      <c r="B238" s="52"/>
      <c r="C238" s="124">
        <v>0</v>
      </c>
      <c r="D238" s="56">
        <v>0</v>
      </c>
      <c r="E238" s="56">
        <f t="shared" si="324"/>
        <v>0</v>
      </c>
      <c r="F238" s="58"/>
      <c r="G238" s="55">
        <v>0</v>
      </c>
      <c r="H238" s="57">
        <v>0</v>
      </c>
      <c r="I238" s="57">
        <f t="shared" si="325"/>
        <v>0</v>
      </c>
      <c r="J238" s="58"/>
      <c r="K238" s="55">
        <v>0</v>
      </c>
      <c r="L238" s="57">
        <v>0</v>
      </c>
      <c r="M238" s="57">
        <f t="shared" si="326"/>
        <v>0</v>
      </c>
      <c r="N238" s="58"/>
      <c r="O238" s="55">
        <v>0</v>
      </c>
      <c r="P238" s="57">
        <v>0</v>
      </c>
      <c r="Q238" s="57">
        <f t="shared" si="327"/>
        <v>0</v>
      </c>
      <c r="R238" s="58"/>
      <c r="S238" s="55">
        <v>0</v>
      </c>
      <c r="T238" s="57">
        <v>0</v>
      </c>
      <c r="U238" s="57">
        <f t="shared" si="328"/>
        <v>0</v>
      </c>
      <c r="V238" s="59"/>
      <c r="W238" s="124">
        <f t="shared" si="329"/>
        <v>0</v>
      </c>
      <c r="X238" s="57">
        <f t="shared" si="330"/>
        <v>0</v>
      </c>
      <c r="Y238" s="84">
        <f t="shared" si="331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</row>
    <row r="239" spans="1:77" s="61" customFormat="1" x14ac:dyDescent="0.25">
      <c r="A239" s="52"/>
      <c r="B239" s="52"/>
      <c r="C239" s="124">
        <v>0</v>
      </c>
      <c r="D239" s="56">
        <v>0</v>
      </c>
      <c r="E239" s="56">
        <f t="shared" si="324"/>
        <v>0</v>
      </c>
      <c r="F239" s="58"/>
      <c r="G239" s="55">
        <v>0</v>
      </c>
      <c r="H239" s="57">
        <v>0</v>
      </c>
      <c r="I239" s="57">
        <f t="shared" si="325"/>
        <v>0</v>
      </c>
      <c r="J239" s="58"/>
      <c r="K239" s="55">
        <v>0</v>
      </c>
      <c r="L239" s="57">
        <v>0</v>
      </c>
      <c r="M239" s="57">
        <f t="shared" si="326"/>
        <v>0</v>
      </c>
      <c r="N239" s="58"/>
      <c r="O239" s="55">
        <v>0</v>
      </c>
      <c r="P239" s="57">
        <v>0</v>
      </c>
      <c r="Q239" s="57">
        <f t="shared" si="327"/>
        <v>0</v>
      </c>
      <c r="R239" s="58"/>
      <c r="S239" s="55">
        <v>0</v>
      </c>
      <c r="T239" s="57">
        <v>0</v>
      </c>
      <c r="U239" s="57">
        <f t="shared" si="328"/>
        <v>0</v>
      </c>
      <c r="V239" s="59"/>
      <c r="W239" s="124">
        <f t="shared" si="329"/>
        <v>0</v>
      </c>
      <c r="X239" s="57">
        <f t="shared" si="330"/>
        <v>0</v>
      </c>
      <c r="Y239" s="84">
        <f t="shared" si="331"/>
        <v>0</v>
      </c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</row>
    <row r="240" spans="1:77" s="61" customFormat="1" x14ac:dyDescent="0.25">
      <c r="A240" s="52"/>
      <c r="B240" s="52"/>
      <c r="C240" s="124">
        <v>0</v>
      </c>
      <c r="D240" s="56">
        <v>0</v>
      </c>
      <c r="E240" s="56">
        <f t="shared" si="324"/>
        <v>0</v>
      </c>
      <c r="F240" s="58"/>
      <c r="G240" s="55">
        <v>0</v>
      </c>
      <c r="H240" s="57">
        <v>0</v>
      </c>
      <c r="I240" s="57">
        <f t="shared" si="325"/>
        <v>0</v>
      </c>
      <c r="J240" s="58"/>
      <c r="K240" s="55">
        <v>0</v>
      </c>
      <c r="L240" s="57">
        <v>0</v>
      </c>
      <c r="M240" s="57">
        <f t="shared" si="326"/>
        <v>0</v>
      </c>
      <c r="N240" s="58"/>
      <c r="O240" s="55">
        <v>0</v>
      </c>
      <c r="P240" s="57">
        <v>0</v>
      </c>
      <c r="Q240" s="57">
        <f t="shared" si="327"/>
        <v>0</v>
      </c>
      <c r="R240" s="58"/>
      <c r="S240" s="55">
        <v>0</v>
      </c>
      <c r="T240" s="57">
        <v>0</v>
      </c>
      <c r="U240" s="57">
        <f t="shared" si="328"/>
        <v>0</v>
      </c>
      <c r="V240" s="59"/>
      <c r="W240" s="124">
        <f t="shared" si="329"/>
        <v>0</v>
      </c>
      <c r="X240" s="57">
        <f t="shared" si="330"/>
        <v>0</v>
      </c>
      <c r="Y240" s="84">
        <f t="shared" si="331"/>
        <v>0</v>
      </c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324"/>
        <v>0</v>
      </c>
      <c r="F241" s="58"/>
      <c r="G241" s="55">
        <v>0</v>
      </c>
      <c r="H241" s="57">
        <v>0</v>
      </c>
      <c r="I241" s="57">
        <f t="shared" si="325"/>
        <v>0</v>
      </c>
      <c r="J241" s="58"/>
      <c r="K241" s="55">
        <v>0</v>
      </c>
      <c r="L241" s="57">
        <v>0</v>
      </c>
      <c r="M241" s="57">
        <f t="shared" si="326"/>
        <v>0</v>
      </c>
      <c r="N241" s="58"/>
      <c r="O241" s="55">
        <v>0</v>
      </c>
      <c r="P241" s="57">
        <v>0</v>
      </c>
      <c r="Q241" s="57">
        <f t="shared" si="327"/>
        <v>0</v>
      </c>
      <c r="R241" s="58"/>
      <c r="S241" s="55">
        <v>0</v>
      </c>
      <c r="T241" s="57">
        <v>0</v>
      </c>
      <c r="U241" s="57">
        <f t="shared" si="328"/>
        <v>0</v>
      </c>
      <c r="V241" s="59"/>
      <c r="W241" s="124">
        <f t="shared" si="329"/>
        <v>0</v>
      </c>
      <c r="X241" s="57">
        <f t="shared" si="330"/>
        <v>0</v>
      </c>
      <c r="Y241" s="84">
        <f t="shared" si="331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324"/>
        <v>0</v>
      </c>
      <c r="F242" s="58"/>
      <c r="G242" s="55">
        <v>0</v>
      </c>
      <c r="H242" s="57">
        <v>0</v>
      </c>
      <c r="I242" s="57">
        <f t="shared" si="325"/>
        <v>0</v>
      </c>
      <c r="J242" s="58"/>
      <c r="K242" s="55">
        <v>0</v>
      </c>
      <c r="L242" s="57">
        <v>0</v>
      </c>
      <c r="M242" s="57">
        <f t="shared" si="326"/>
        <v>0</v>
      </c>
      <c r="N242" s="58"/>
      <c r="O242" s="55">
        <v>0</v>
      </c>
      <c r="P242" s="57">
        <v>0</v>
      </c>
      <c r="Q242" s="57">
        <f t="shared" si="327"/>
        <v>0</v>
      </c>
      <c r="R242" s="58"/>
      <c r="S242" s="55">
        <v>0</v>
      </c>
      <c r="T242" s="57">
        <v>0</v>
      </c>
      <c r="U242" s="57">
        <f t="shared" si="328"/>
        <v>0</v>
      </c>
      <c r="V242" s="59"/>
      <c r="W242" s="124">
        <f t="shared" si="329"/>
        <v>0</v>
      </c>
      <c r="X242" s="57">
        <f t="shared" si="330"/>
        <v>0</v>
      </c>
      <c r="Y242" s="84">
        <f t="shared" si="331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324"/>
        <v>0</v>
      </c>
      <c r="F243" s="58"/>
      <c r="G243" s="55">
        <v>0</v>
      </c>
      <c r="H243" s="57">
        <v>0</v>
      </c>
      <c r="I243" s="57">
        <f t="shared" si="325"/>
        <v>0</v>
      </c>
      <c r="J243" s="58"/>
      <c r="K243" s="55">
        <v>0</v>
      </c>
      <c r="L243" s="57">
        <v>0</v>
      </c>
      <c r="M243" s="57">
        <f t="shared" si="326"/>
        <v>0</v>
      </c>
      <c r="N243" s="58"/>
      <c r="O243" s="55">
        <v>0</v>
      </c>
      <c r="P243" s="57">
        <v>0</v>
      </c>
      <c r="Q243" s="57">
        <f t="shared" si="327"/>
        <v>0</v>
      </c>
      <c r="R243" s="58"/>
      <c r="S243" s="55">
        <v>0</v>
      </c>
      <c r="T243" s="57">
        <v>0</v>
      </c>
      <c r="U243" s="57">
        <f t="shared" si="328"/>
        <v>0</v>
      </c>
      <c r="V243" s="59"/>
      <c r="W243" s="124">
        <f t="shared" si="329"/>
        <v>0</v>
      </c>
      <c r="X243" s="57">
        <f t="shared" si="330"/>
        <v>0</v>
      </c>
      <c r="Y243" s="84">
        <f t="shared" si="331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324"/>
        <v>0</v>
      </c>
      <c r="F244" s="58"/>
      <c r="G244" s="55">
        <v>0</v>
      </c>
      <c r="H244" s="57">
        <v>0</v>
      </c>
      <c r="I244" s="57">
        <f t="shared" si="325"/>
        <v>0</v>
      </c>
      <c r="J244" s="58"/>
      <c r="K244" s="55">
        <v>0</v>
      </c>
      <c r="L244" s="57">
        <v>0</v>
      </c>
      <c r="M244" s="57">
        <f t="shared" si="326"/>
        <v>0</v>
      </c>
      <c r="N244" s="58"/>
      <c r="O244" s="55">
        <v>0</v>
      </c>
      <c r="P244" s="57">
        <v>0</v>
      </c>
      <c r="Q244" s="57">
        <f t="shared" si="327"/>
        <v>0</v>
      </c>
      <c r="R244" s="58"/>
      <c r="S244" s="55">
        <v>0</v>
      </c>
      <c r="T244" s="57">
        <v>0</v>
      </c>
      <c r="U244" s="57">
        <f t="shared" si="328"/>
        <v>0</v>
      </c>
      <c r="V244" s="59"/>
      <c r="W244" s="124">
        <f t="shared" si="329"/>
        <v>0</v>
      </c>
      <c r="X244" s="57">
        <f t="shared" si="330"/>
        <v>0</v>
      </c>
      <c r="Y244" s="84">
        <f t="shared" si="331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0</v>
      </c>
      <c r="D245" s="153">
        <f>SUM(D233:D244)</f>
        <v>0</v>
      </c>
      <c r="E245" s="153">
        <f>SUM(E233:E244)</f>
        <v>0</v>
      </c>
      <c r="F245" s="154"/>
      <c r="G245" s="152">
        <f>SUM(G233:G244)</f>
        <v>0</v>
      </c>
      <c r="H245" s="155">
        <f>SUM(H233:H244)</f>
        <v>0</v>
      </c>
      <c r="I245" s="155">
        <f>SUM(I233:I244)</f>
        <v>0</v>
      </c>
      <c r="J245" s="154"/>
      <c r="K245" s="152">
        <f>SUM(K233:K244)</f>
        <v>0</v>
      </c>
      <c r="L245" s="155">
        <f>SUM(L233:L244)</f>
        <v>0</v>
      </c>
      <c r="M245" s="155">
        <f>SUM(M233:M244)</f>
        <v>0</v>
      </c>
      <c r="N245" s="154"/>
      <c r="O245" s="152">
        <f>SUM(O233:O244)</f>
        <v>15000</v>
      </c>
      <c r="P245" s="155">
        <f>SUM(P233:P244)</f>
        <v>0</v>
      </c>
      <c r="Q245" s="155">
        <f>SUM(Q233:Q244)</f>
        <v>15000</v>
      </c>
      <c r="R245" s="154"/>
      <c r="S245" s="152">
        <f>SUM(S233:S244)</f>
        <v>0</v>
      </c>
      <c r="T245" s="155">
        <f>SUM(T233:T244)</f>
        <v>0</v>
      </c>
      <c r="U245" s="155">
        <f>SUM(U233:U244)</f>
        <v>0</v>
      </c>
      <c r="V245" s="82"/>
      <c r="W245" s="228">
        <f t="shared" si="329"/>
        <v>15000</v>
      </c>
      <c r="X245" s="80">
        <f t="shared" si="330"/>
        <v>0</v>
      </c>
      <c r="Y245" s="80">
        <f t="shared" si="331"/>
        <v>15000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 t="shared" ref="C246:Y246" si="332">SUM(C205+C217+C225+C231+C245)</f>
        <v>18343.833299999998</v>
      </c>
      <c r="D246" s="111">
        <f t="shared" si="332"/>
        <v>0</v>
      </c>
      <c r="E246" s="111">
        <f t="shared" si="332"/>
        <v>18343.833299999998</v>
      </c>
      <c r="F246" s="111">
        <f t="shared" si="332"/>
        <v>0</v>
      </c>
      <c r="G246" s="111">
        <f t="shared" si="332"/>
        <v>30986.77174797</v>
      </c>
      <c r="H246" s="111">
        <f t="shared" si="332"/>
        <v>0</v>
      </c>
      <c r="I246" s="111">
        <f t="shared" si="332"/>
        <v>30986.77174797</v>
      </c>
      <c r="J246" s="111">
        <f t="shared" si="332"/>
        <v>0</v>
      </c>
      <c r="K246" s="111">
        <f t="shared" si="332"/>
        <v>19657.379617421375</v>
      </c>
      <c r="L246" s="111">
        <f t="shared" si="332"/>
        <v>0</v>
      </c>
      <c r="M246" s="111">
        <f t="shared" si="332"/>
        <v>19657.379617421375</v>
      </c>
      <c r="N246" s="111">
        <f t="shared" si="332"/>
        <v>0</v>
      </c>
      <c r="O246" s="111">
        <f t="shared" si="332"/>
        <v>35356.997410222335</v>
      </c>
      <c r="P246" s="111">
        <f t="shared" si="332"/>
        <v>0</v>
      </c>
      <c r="Q246" s="111">
        <f t="shared" si="332"/>
        <v>35356.997410222335</v>
      </c>
      <c r="R246" s="111">
        <f t="shared" si="332"/>
        <v>0</v>
      </c>
      <c r="S246" s="111">
        <f t="shared" si="332"/>
        <v>21087.036927827881</v>
      </c>
      <c r="T246" s="111">
        <f t="shared" si="332"/>
        <v>0</v>
      </c>
      <c r="U246" s="111">
        <f t="shared" si="332"/>
        <v>21087.036927827881</v>
      </c>
      <c r="V246" s="111">
        <f t="shared" si="332"/>
        <v>0</v>
      </c>
      <c r="W246" s="111">
        <f t="shared" si="332"/>
        <v>125432.0190034416</v>
      </c>
      <c r="X246" s="111">
        <f t="shared" si="332"/>
        <v>0</v>
      </c>
      <c r="Y246" s="111">
        <f t="shared" si="332"/>
        <v>125432.0190034416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(C205+C225+C245)*0.42</f>
        <v>7704.4099859999988</v>
      </c>
      <c r="D247" s="111">
        <v>0</v>
      </c>
      <c r="E247" s="111">
        <f>C247</f>
        <v>7704.4099859999988</v>
      </c>
      <c r="F247" s="111">
        <f>F196*0.47</f>
        <v>0</v>
      </c>
      <c r="G247" s="111">
        <f>(G205+G225+G245)*0.42</f>
        <v>7974.4441341474003</v>
      </c>
      <c r="H247" s="111">
        <v>0</v>
      </c>
      <c r="I247" s="111">
        <f>G247</f>
        <v>7974.4441341474003</v>
      </c>
      <c r="J247" s="111">
        <f>J196*0.47</f>
        <v>0</v>
      </c>
      <c r="K247" s="111">
        <f>(K205+K225+K245)*0.42</f>
        <v>8256.0994393169767</v>
      </c>
      <c r="L247" s="111">
        <v>0</v>
      </c>
      <c r="M247" s="111">
        <f>K247</f>
        <v>8256.0994393169767</v>
      </c>
      <c r="N247" s="111">
        <f>N196*0.47</f>
        <v>0</v>
      </c>
      <c r="O247" s="111">
        <f>(O205+O225+O245)*0.42</f>
        <v>14849.938912293381</v>
      </c>
      <c r="P247" s="111">
        <v>0</v>
      </c>
      <c r="Q247" s="111">
        <f>O247</f>
        <v>14849.938912293381</v>
      </c>
      <c r="R247" s="111">
        <f>R196*0.47</f>
        <v>0</v>
      </c>
      <c r="S247" s="111">
        <f>(S205+S225+S245)*0.42</f>
        <v>8856.5555096877106</v>
      </c>
      <c r="T247" s="111">
        <v>0</v>
      </c>
      <c r="U247" s="111">
        <f>S247</f>
        <v>8856.5555096877106</v>
      </c>
      <c r="V247" s="111">
        <f>V196*0.47</f>
        <v>0</v>
      </c>
      <c r="W247" s="111">
        <f>(W205+W225+W245)*0.42</f>
        <v>47641.447981445468</v>
      </c>
      <c r="X247" s="111">
        <v>0</v>
      </c>
      <c r="Y247" s="111">
        <f>W247</f>
        <v>47641.447981445468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26048.243285999997</v>
      </c>
      <c r="D248" s="111">
        <f t="shared" ref="D248:Y248" si="333">SUM(D246:D247)</f>
        <v>0</v>
      </c>
      <c r="E248" s="111">
        <f t="shared" si="333"/>
        <v>26048.243285999997</v>
      </c>
      <c r="F248" s="111">
        <f t="shared" si="333"/>
        <v>0</v>
      </c>
      <c r="G248" s="111">
        <f t="shared" si="333"/>
        <v>38961.215882117402</v>
      </c>
      <c r="H248" s="111">
        <f t="shared" si="333"/>
        <v>0</v>
      </c>
      <c r="I248" s="111">
        <f t="shared" si="333"/>
        <v>38961.215882117402</v>
      </c>
      <c r="J248" s="111">
        <f t="shared" si="333"/>
        <v>0</v>
      </c>
      <c r="K248" s="111">
        <f t="shared" si="333"/>
        <v>27913.479056738353</v>
      </c>
      <c r="L248" s="111">
        <f t="shared" si="333"/>
        <v>0</v>
      </c>
      <c r="M248" s="111">
        <f t="shared" si="333"/>
        <v>27913.479056738353</v>
      </c>
      <c r="N248" s="111">
        <f t="shared" si="333"/>
        <v>0</v>
      </c>
      <c r="O248" s="111">
        <f t="shared" si="333"/>
        <v>50206.936322515714</v>
      </c>
      <c r="P248" s="111">
        <f t="shared" si="333"/>
        <v>0</v>
      </c>
      <c r="Q248" s="111">
        <f t="shared" si="333"/>
        <v>50206.936322515714</v>
      </c>
      <c r="R248" s="111">
        <f t="shared" si="333"/>
        <v>0</v>
      </c>
      <c r="S248" s="111">
        <f t="shared" si="333"/>
        <v>29943.592437515592</v>
      </c>
      <c r="T248" s="111">
        <f t="shared" si="333"/>
        <v>0</v>
      </c>
      <c r="U248" s="111">
        <f t="shared" si="333"/>
        <v>29943.592437515592</v>
      </c>
      <c r="V248" s="111">
        <f t="shared" si="333"/>
        <v>0</v>
      </c>
      <c r="W248" s="111">
        <f t="shared" si="333"/>
        <v>173073.46698488708</v>
      </c>
      <c r="X248" s="111">
        <f t="shared" si="333"/>
        <v>0</v>
      </c>
      <c r="Y248" s="111">
        <f t="shared" si="333"/>
        <v>173073.46698488708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3" customFormat="1" x14ac:dyDescent="0.25">
      <c r="C249" s="14"/>
      <c r="D249" s="14"/>
      <c r="E249" s="14"/>
      <c r="F249" s="14"/>
      <c r="G249" s="14"/>
      <c r="H249" s="14"/>
      <c r="I249" s="14"/>
      <c r="J249" s="14"/>
      <c r="K249" s="14"/>
      <c r="M249" s="14"/>
      <c r="N249" s="14"/>
      <c r="O249" s="14"/>
      <c r="Q249" s="14"/>
      <c r="R249" s="14"/>
      <c r="S249" s="14"/>
      <c r="U249" s="14"/>
      <c r="V249" s="16"/>
      <c r="W249" s="14"/>
      <c r="X249" s="14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169" customFormat="1" x14ac:dyDescent="0.25">
      <c r="A252" s="170" t="s">
        <v>57</v>
      </c>
      <c r="B252" s="169" t="s">
        <v>57</v>
      </c>
      <c r="C252" s="172">
        <v>0</v>
      </c>
      <c r="D252" s="173">
        <v>0</v>
      </c>
      <c r="E252" s="173">
        <f t="shared" ref="E252:E255" si="334">SUM(C252:D252)</f>
        <v>0</v>
      </c>
      <c r="F252" s="175"/>
      <c r="G252" s="172">
        <f>C252*1.03</f>
        <v>0</v>
      </c>
      <c r="H252" s="173">
        <f>D252*1.03</f>
        <v>0</v>
      </c>
      <c r="I252" s="173">
        <f t="shared" ref="I252:I255" si="335">SUM(G252:H252)</f>
        <v>0</v>
      </c>
      <c r="J252" s="175"/>
      <c r="K252" s="172">
        <f>G252*1.03</f>
        <v>0</v>
      </c>
      <c r="L252" s="173">
        <f>H252*1.03</f>
        <v>0</v>
      </c>
      <c r="M252" s="173">
        <f t="shared" ref="M252:M255" si="336">SUM(K252:L252)</f>
        <v>0</v>
      </c>
      <c r="N252" s="175"/>
      <c r="O252" s="172">
        <f>K252*1.03</f>
        <v>0</v>
      </c>
      <c r="P252" s="173">
        <f>L252*1.03</f>
        <v>0</v>
      </c>
      <c r="Q252" s="173">
        <f t="shared" ref="Q252:Q255" si="337">SUM(O252:P252)</f>
        <v>0</v>
      </c>
      <c r="R252" s="175"/>
      <c r="S252" s="172">
        <f>O252*1.03</f>
        <v>0</v>
      </c>
      <c r="T252" s="173">
        <f>P252*1.03</f>
        <v>0</v>
      </c>
      <c r="U252" s="173">
        <f t="shared" ref="U252:U255" si="338">SUM(S252:T252)</f>
        <v>0</v>
      </c>
      <c r="V252" s="176"/>
      <c r="W252" s="227">
        <f>C252+G252+K252+O252+S252</f>
        <v>0</v>
      </c>
      <c r="X252" s="173">
        <f t="shared" ref="X252:Y256" si="339">D252+H252+L252+P252+T252</f>
        <v>0</v>
      </c>
      <c r="Y252" s="177">
        <f t="shared" si="339"/>
        <v>0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si="334"/>
        <v>0</v>
      </c>
      <c r="F253" s="175"/>
      <c r="G253" s="172">
        <f t="shared" ref="G253:H255" si="340">C253*1.03</f>
        <v>0</v>
      </c>
      <c r="H253" s="173">
        <f t="shared" si="340"/>
        <v>0</v>
      </c>
      <c r="I253" s="173">
        <f t="shared" si="335"/>
        <v>0</v>
      </c>
      <c r="J253" s="175"/>
      <c r="K253" s="172">
        <f t="shared" ref="K253:L255" si="341">G253*1.03</f>
        <v>0</v>
      </c>
      <c r="L253" s="173">
        <f t="shared" si="341"/>
        <v>0</v>
      </c>
      <c r="M253" s="173">
        <f t="shared" si="336"/>
        <v>0</v>
      </c>
      <c r="N253" s="175"/>
      <c r="O253" s="172">
        <f t="shared" ref="O253:P255" si="342">K253*1.03</f>
        <v>0</v>
      </c>
      <c r="P253" s="173">
        <f t="shared" si="342"/>
        <v>0</v>
      </c>
      <c r="Q253" s="173">
        <f t="shared" si="337"/>
        <v>0</v>
      </c>
      <c r="R253" s="175"/>
      <c r="S253" s="172">
        <f t="shared" ref="S253:T255" si="343">O253*1.03</f>
        <v>0</v>
      </c>
      <c r="T253" s="173">
        <f t="shared" si="343"/>
        <v>0</v>
      </c>
      <c r="U253" s="173">
        <f t="shared" si="338"/>
        <v>0</v>
      </c>
      <c r="V253" s="176"/>
      <c r="W253" s="227">
        <f t="shared" ref="W253:W256" si="344">C253+G253+K253+O253+S253</f>
        <v>0</v>
      </c>
      <c r="X253" s="173">
        <f t="shared" si="339"/>
        <v>0</v>
      </c>
      <c r="Y253" s="177">
        <f t="shared" si="339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334"/>
        <v>0</v>
      </c>
      <c r="F254" s="175"/>
      <c r="G254" s="172">
        <f t="shared" si="340"/>
        <v>0</v>
      </c>
      <c r="H254" s="173">
        <f t="shared" si="340"/>
        <v>0</v>
      </c>
      <c r="I254" s="173">
        <f t="shared" si="335"/>
        <v>0</v>
      </c>
      <c r="J254" s="175"/>
      <c r="K254" s="172">
        <f t="shared" si="341"/>
        <v>0</v>
      </c>
      <c r="L254" s="173">
        <f t="shared" si="341"/>
        <v>0</v>
      </c>
      <c r="M254" s="173">
        <f t="shared" si="336"/>
        <v>0</v>
      </c>
      <c r="N254" s="175"/>
      <c r="O254" s="172">
        <f t="shared" si="342"/>
        <v>0</v>
      </c>
      <c r="P254" s="173">
        <f t="shared" si="342"/>
        <v>0</v>
      </c>
      <c r="Q254" s="173">
        <f t="shared" si="337"/>
        <v>0</v>
      </c>
      <c r="R254" s="175"/>
      <c r="S254" s="172">
        <f t="shared" si="343"/>
        <v>0</v>
      </c>
      <c r="T254" s="173">
        <f t="shared" si="343"/>
        <v>0</v>
      </c>
      <c r="U254" s="173">
        <f t="shared" si="338"/>
        <v>0</v>
      </c>
      <c r="V254" s="176"/>
      <c r="W254" s="227">
        <f t="shared" si="344"/>
        <v>0</v>
      </c>
      <c r="X254" s="173">
        <f t="shared" si="339"/>
        <v>0</v>
      </c>
      <c r="Y254" s="177">
        <f t="shared" si="339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334"/>
        <v>0</v>
      </c>
      <c r="F255" s="175"/>
      <c r="G255" s="172">
        <f t="shared" si="340"/>
        <v>0</v>
      </c>
      <c r="H255" s="173">
        <f t="shared" si="340"/>
        <v>0</v>
      </c>
      <c r="I255" s="173">
        <f t="shared" si="335"/>
        <v>0</v>
      </c>
      <c r="J255" s="175"/>
      <c r="K255" s="172">
        <f t="shared" si="341"/>
        <v>0</v>
      </c>
      <c r="L255" s="173">
        <f t="shared" si="341"/>
        <v>0</v>
      </c>
      <c r="M255" s="173">
        <f t="shared" si="336"/>
        <v>0</v>
      </c>
      <c r="N255" s="175"/>
      <c r="O255" s="172">
        <f t="shared" si="342"/>
        <v>0</v>
      </c>
      <c r="P255" s="173">
        <f t="shared" si="342"/>
        <v>0</v>
      </c>
      <c r="Q255" s="173">
        <f t="shared" si="337"/>
        <v>0</v>
      </c>
      <c r="R255" s="175"/>
      <c r="S255" s="172">
        <f t="shared" si="343"/>
        <v>0</v>
      </c>
      <c r="T255" s="173">
        <f t="shared" si="343"/>
        <v>0</v>
      </c>
      <c r="U255" s="173">
        <f t="shared" si="338"/>
        <v>0</v>
      </c>
      <c r="V255" s="176"/>
      <c r="W255" s="227">
        <f t="shared" si="344"/>
        <v>0</v>
      </c>
      <c r="X255" s="173">
        <f t="shared" si="339"/>
        <v>0</v>
      </c>
      <c r="Y255" s="177">
        <f t="shared" si="339"/>
        <v>0</v>
      </c>
    </row>
    <row r="256" spans="1:77" s="83" customFormat="1" x14ac:dyDescent="0.25">
      <c r="A256" s="78"/>
      <c r="B256" s="78" t="s">
        <v>9</v>
      </c>
      <c r="C256" s="228">
        <f>SUM(C252:C255)</f>
        <v>0</v>
      </c>
      <c r="D256" s="125">
        <f>SUM(D252:D255)</f>
        <v>0</v>
      </c>
      <c r="E256" s="125">
        <f>SUM(E252:E255)</f>
        <v>0</v>
      </c>
      <c r="F256" s="81"/>
      <c r="G256" s="79">
        <f>SUM(G252:G255)</f>
        <v>0</v>
      </c>
      <c r="H256" s="80">
        <f>SUM(H252:H255)</f>
        <v>0</v>
      </c>
      <c r="I256" s="80">
        <f>SUM(I252:I255)</f>
        <v>0</v>
      </c>
      <c r="J256" s="81"/>
      <c r="K256" s="79">
        <f>SUM(K252:K255)</f>
        <v>0</v>
      </c>
      <c r="L256" s="80">
        <f>SUM(L252:L255)</f>
        <v>0</v>
      </c>
      <c r="M256" s="80">
        <f>SUM(M252:M255)</f>
        <v>0</v>
      </c>
      <c r="N256" s="81"/>
      <c r="O256" s="79">
        <f>SUM(O252:O255)</f>
        <v>0</v>
      </c>
      <c r="P256" s="80">
        <f>SUM(P252:P255)</f>
        <v>0</v>
      </c>
      <c r="Q256" s="80">
        <f>SUM(Q252:Q255)</f>
        <v>0</v>
      </c>
      <c r="R256" s="81"/>
      <c r="S256" s="79">
        <f>SUM(S252:S255)</f>
        <v>0</v>
      </c>
      <c r="T256" s="80">
        <f>SUM(T252:T255)</f>
        <v>0</v>
      </c>
      <c r="U256" s="80">
        <f>SUM(U252:U255)</f>
        <v>0</v>
      </c>
      <c r="V256" s="82"/>
      <c r="W256" s="228">
        <f t="shared" si="344"/>
        <v>0</v>
      </c>
      <c r="X256" s="80">
        <f t="shared" si="339"/>
        <v>0</v>
      </c>
      <c r="Y256" s="80">
        <f t="shared" si="339"/>
        <v>0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:L261" si="345">G258*1.03</f>
        <v>0</v>
      </c>
      <c r="L258" s="57">
        <f t="shared" si="345"/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Y262" si="346">C258+G258+K258+O258+S258</f>
        <v>0</v>
      </c>
      <c r="X258" s="57">
        <f t="shared" si="346"/>
        <v>0</v>
      </c>
      <c r="Y258" s="57">
        <f t="shared" ref="Y258:Y261" si="347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24">
        <v>0</v>
      </c>
      <c r="D259" s="56">
        <v>0</v>
      </c>
      <c r="E259" s="56">
        <f t="shared" ref="E259:E261" si="348">SUM(C259:D259)</f>
        <v>0</v>
      </c>
      <c r="F259" s="58"/>
      <c r="G259" s="55">
        <f t="shared" ref="G259:H261" si="349">C259*1.03</f>
        <v>0</v>
      </c>
      <c r="H259" s="57">
        <f t="shared" si="349"/>
        <v>0</v>
      </c>
      <c r="I259" s="57">
        <f t="shared" ref="I259:I261" si="350">SUM(G259:H259)</f>
        <v>0</v>
      </c>
      <c r="J259" s="58"/>
      <c r="K259" s="55">
        <f t="shared" si="345"/>
        <v>0</v>
      </c>
      <c r="L259" s="57">
        <f t="shared" si="345"/>
        <v>0</v>
      </c>
      <c r="M259" s="57">
        <f t="shared" ref="M259:M261" si="351">SUM(K259:L259)</f>
        <v>0</v>
      </c>
      <c r="N259" s="58"/>
      <c r="O259" s="55">
        <f t="shared" ref="O259:P261" si="352">K259*1.03</f>
        <v>0</v>
      </c>
      <c r="P259" s="57">
        <f t="shared" si="352"/>
        <v>0</v>
      </c>
      <c r="Q259" s="57">
        <f t="shared" ref="Q259:Q261" si="353">SUM(O259:P259)</f>
        <v>0</v>
      </c>
      <c r="R259" s="58"/>
      <c r="S259" s="55">
        <f t="shared" ref="S259:T261" si="354">O259*1.03</f>
        <v>0</v>
      </c>
      <c r="T259" s="57">
        <f t="shared" si="354"/>
        <v>0</v>
      </c>
      <c r="U259" s="57">
        <f t="shared" ref="U259:U261" si="355">SUM(S259:T259)</f>
        <v>0</v>
      </c>
      <c r="V259" s="59"/>
      <c r="W259" s="124">
        <f t="shared" si="346"/>
        <v>0</v>
      </c>
      <c r="X259" s="57">
        <f t="shared" si="346"/>
        <v>0</v>
      </c>
      <c r="Y259" s="57">
        <f t="shared" si="347"/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si="348"/>
        <v>0</v>
      </c>
      <c r="F260" s="58"/>
      <c r="G260" s="55">
        <f t="shared" si="349"/>
        <v>0</v>
      </c>
      <c r="H260" s="57">
        <f t="shared" si="349"/>
        <v>0</v>
      </c>
      <c r="I260" s="57">
        <f t="shared" si="350"/>
        <v>0</v>
      </c>
      <c r="J260" s="58"/>
      <c r="K260" s="55">
        <f t="shared" si="345"/>
        <v>0</v>
      </c>
      <c r="L260" s="57">
        <f t="shared" si="345"/>
        <v>0</v>
      </c>
      <c r="M260" s="57">
        <f t="shared" si="351"/>
        <v>0</v>
      </c>
      <c r="N260" s="58"/>
      <c r="O260" s="55">
        <f t="shared" si="352"/>
        <v>0</v>
      </c>
      <c r="P260" s="57">
        <f t="shared" si="352"/>
        <v>0</v>
      </c>
      <c r="Q260" s="57">
        <f t="shared" si="353"/>
        <v>0</v>
      </c>
      <c r="R260" s="58"/>
      <c r="S260" s="55">
        <f t="shared" si="354"/>
        <v>0</v>
      </c>
      <c r="T260" s="57">
        <f t="shared" si="354"/>
        <v>0</v>
      </c>
      <c r="U260" s="57">
        <f t="shared" si="355"/>
        <v>0</v>
      </c>
      <c r="V260" s="59"/>
      <c r="W260" s="124">
        <f t="shared" si="346"/>
        <v>0</v>
      </c>
      <c r="X260" s="57">
        <f t="shared" si="346"/>
        <v>0</v>
      </c>
      <c r="Y260" s="57">
        <f t="shared" si="347"/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348"/>
        <v>0</v>
      </c>
      <c r="F261" s="58"/>
      <c r="G261" s="55">
        <f t="shared" si="349"/>
        <v>0</v>
      </c>
      <c r="H261" s="57">
        <f t="shared" si="349"/>
        <v>0</v>
      </c>
      <c r="I261" s="57">
        <f t="shared" si="350"/>
        <v>0</v>
      </c>
      <c r="J261" s="58"/>
      <c r="K261" s="55">
        <f t="shared" si="345"/>
        <v>0</v>
      </c>
      <c r="L261" s="57">
        <f t="shared" si="345"/>
        <v>0</v>
      </c>
      <c r="M261" s="57">
        <f t="shared" si="351"/>
        <v>0</v>
      </c>
      <c r="N261" s="58"/>
      <c r="O261" s="55">
        <f t="shared" si="352"/>
        <v>0</v>
      </c>
      <c r="P261" s="57">
        <f t="shared" si="352"/>
        <v>0</v>
      </c>
      <c r="Q261" s="57">
        <f t="shared" si="353"/>
        <v>0</v>
      </c>
      <c r="R261" s="58"/>
      <c r="S261" s="55">
        <f t="shared" si="354"/>
        <v>0</v>
      </c>
      <c r="T261" s="57">
        <f t="shared" si="354"/>
        <v>0</v>
      </c>
      <c r="U261" s="57">
        <f t="shared" si="355"/>
        <v>0</v>
      </c>
      <c r="V261" s="59"/>
      <c r="W261" s="124">
        <f t="shared" si="346"/>
        <v>0</v>
      </c>
      <c r="X261" s="57">
        <f t="shared" si="346"/>
        <v>0</v>
      </c>
      <c r="Y261" s="57">
        <f t="shared" si="347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346"/>
        <v>0</v>
      </c>
      <c r="X262" s="80">
        <f t="shared" si="346"/>
        <v>0</v>
      </c>
      <c r="Y262" s="80">
        <f t="shared" si="346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356">C262+C256</f>
        <v>0</v>
      </c>
      <c r="D263" s="242">
        <f t="shared" si="356"/>
        <v>0</v>
      </c>
      <c r="E263" s="242">
        <f t="shared" si="356"/>
        <v>0</v>
      </c>
      <c r="F263" s="242">
        <f t="shared" si="356"/>
        <v>0</v>
      </c>
      <c r="G263" s="242">
        <f t="shared" si="356"/>
        <v>0</v>
      </c>
      <c r="H263" s="242">
        <f t="shared" si="356"/>
        <v>0</v>
      </c>
      <c r="I263" s="242">
        <f t="shared" si="356"/>
        <v>0</v>
      </c>
      <c r="J263" s="242">
        <f t="shared" si="356"/>
        <v>0</v>
      </c>
      <c r="K263" s="242">
        <f t="shared" si="356"/>
        <v>0</v>
      </c>
      <c r="L263" s="242">
        <f t="shared" si="356"/>
        <v>0</v>
      </c>
      <c r="M263" s="242">
        <f t="shared" si="356"/>
        <v>0</v>
      </c>
      <c r="N263" s="242">
        <f t="shared" si="356"/>
        <v>0</v>
      </c>
      <c r="O263" s="242">
        <f t="shared" si="356"/>
        <v>0</v>
      </c>
      <c r="P263" s="242">
        <f t="shared" si="356"/>
        <v>0</v>
      </c>
      <c r="Q263" s="242">
        <f t="shared" si="356"/>
        <v>0</v>
      </c>
      <c r="R263" s="242">
        <f t="shared" si="356"/>
        <v>0</v>
      </c>
      <c r="S263" s="242">
        <f t="shared" si="356"/>
        <v>0</v>
      </c>
      <c r="T263" s="242">
        <f t="shared" si="356"/>
        <v>0</v>
      </c>
      <c r="U263" s="242">
        <f t="shared" si="356"/>
        <v>0</v>
      </c>
      <c r="V263" s="242">
        <f t="shared" si="356"/>
        <v>0</v>
      </c>
      <c r="W263" s="242">
        <f t="shared" si="356"/>
        <v>0</v>
      </c>
      <c r="X263" s="242">
        <f t="shared" si="356"/>
        <v>0</v>
      </c>
      <c r="Y263" s="243">
        <f>E263+I263+M263+Q263+U263</f>
        <v>0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56">
        <f t="shared" ref="E265:E267" si="357">SUM(C265:D265)</f>
        <v>0</v>
      </c>
      <c r="F265" s="58"/>
      <c r="G265" s="124">
        <f>G258*A265*1.03*1.03</f>
        <v>0</v>
      </c>
      <c r="H265" s="56">
        <f>H258*A265*1.03</f>
        <v>0</v>
      </c>
      <c r="I265" s="57">
        <f t="shared" ref="I265:I267" si="358">SUM(G265:H265)</f>
        <v>0</v>
      </c>
      <c r="J265" s="58"/>
      <c r="K265" s="124">
        <f>K258*A265*1.03*1.03*1.03</f>
        <v>0</v>
      </c>
      <c r="L265" s="56">
        <f>L258*A265*1.03*1.03</f>
        <v>0</v>
      </c>
      <c r="M265" s="57">
        <f t="shared" ref="M265:M267" si="359">SUM(K265:L265)</f>
        <v>0</v>
      </c>
      <c r="N265" s="58"/>
      <c r="O265" s="124">
        <f>O258*A265*1.03*1.03*1.03*1.03</f>
        <v>0</v>
      </c>
      <c r="P265" s="56">
        <f>P258*A265*1.03*1.03*1.03</f>
        <v>0</v>
      </c>
      <c r="Q265" s="57">
        <f t="shared" ref="Q265:Q267" si="360">SUM(O265:P265)</f>
        <v>0</v>
      </c>
      <c r="R265" s="58"/>
      <c r="S265" s="124">
        <f>S258*A265*1.03*1.03*1.03*1.03*1.03</f>
        <v>0</v>
      </c>
      <c r="T265" s="56">
        <f>T258*A265*1.03*1.03*1.03*1.03</f>
        <v>0</v>
      </c>
      <c r="U265" s="57">
        <f t="shared" ref="U265:U267" si="361">SUM(S265:T265)</f>
        <v>0</v>
      </c>
      <c r="V265" s="59"/>
      <c r="W265" s="124">
        <f t="shared" ref="W265:Y268" si="362">C265+G265+K265+O265+S265</f>
        <v>0</v>
      </c>
      <c r="X265" s="57">
        <f t="shared" si="362"/>
        <v>0</v>
      </c>
      <c r="Y265" s="84">
        <f t="shared" si="362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0</v>
      </c>
      <c r="D266" s="56">
        <f>D256*A266*1.03</f>
        <v>0</v>
      </c>
      <c r="E266" s="56">
        <f t="shared" si="357"/>
        <v>0</v>
      </c>
      <c r="F266" s="58"/>
      <c r="G266" s="124">
        <f>G256*A266*1.03*1.03</f>
        <v>0</v>
      </c>
      <c r="H266" s="56">
        <f>H256*A266*1.03*1.03</f>
        <v>0</v>
      </c>
      <c r="I266" s="57">
        <f t="shared" si="358"/>
        <v>0</v>
      </c>
      <c r="J266" s="58"/>
      <c r="K266" s="124">
        <f>K260*A266*1.03*1.03</f>
        <v>0</v>
      </c>
      <c r="L266" s="56">
        <f>L260*A266*1.03*1.03</f>
        <v>0</v>
      </c>
      <c r="M266" s="57">
        <f t="shared" si="359"/>
        <v>0</v>
      </c>
      <c r="N266" s="58"/>
      <c r="O266" s="124">
        <f>O260*A266*1.03*1.03*1.03</f>
        <v>0</v>
      </c>
      <c r="P266" s="56">
        <f>P260*A266*1.03*1.03*1.03</f>
        <v>0</v>
      </c>
      <c r="Q266" s="57">
        <f t="shared" si="360"/>
        <v>0</v>
      </c>
      <c r="R266" s="58"/>
      <c r="S266" s="124">
        <f>S260*A266*1.03*1.03*1.03*1.03</f>
        <v>0</v>
      </c>
      <c r="T266" s="56">
        <f>T260*A266*1.03*1.03*1.03*1.03</f>
        <v>0</v>
      </c>
      <c r="U266" s="57">
        <f t="shared" si="361"/>
        <v>0</v>
      </c>
      <c r="V266" s="59"/>
      <c r="W266" s="124">
        <f t="shared" si="362"/>
        <v>0</v>
      </c>
      <c r="X266" s="57">
        <f t="shared" si="362"/>
        <v>0</v>
      </c>
      <c r="Y266" s="84">
        <f t="shared" si="362"/>
        <v>0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56">
        <f t="shared" si="357"/>
        <v>0</v>
      </c>
      <c r="F267" s="58"/>
      <c r="G267" s="55">
        <f>C267*1.05</f>
        <v>0</v>
      </c>
      <c r="H267" s="57">
        <f>D267*1.05</f>
        <v>0</v>
      </c>
      <c r="I267" s="57">
        <f t="shared" si="358"/>
        <v>0</v>
      </c>
      <c r="J267" s="58"/>
      <c r="K267" s="55">
        <f>K256*A266*1.03*1.03*1.03</f>
        <v>0</v>
      </c>
      <c r="L267" s="56">
        <f>L256*A266*1.03*1.03*1.03</f>
        <v>0</v>
      </c>
      <c r="M267" s="57">
        <f t="shared" si="359"/>
        <v>0</v>
      </c>
      <c r="N267" s="58"/>
      <c r="O267" s="55">
        <f>O256*A266*1.03*1.03*1.03*1.03</f>
        <v>0</v>
      </c>
      <c r="P267" s="56">
        <f>P256*A266*1.03*1.03*1.03*1.03</f>
        <v>0</v>
      </c>
      <c r="Q267" s="57">
        <f t="shared" si="360"/>
        <v>0</v>
      </c>
      <c r="R267" s="58"/>
      <c r="S267" s="55">
        <f>S256*A266*1.03*1.03*1.03*1.03*1.03</f>
        <v>0</v>
      </c>
      <c r="T267" s="56">
        <f>T256*A266*1.03*1.03*1.03*1.03*1.03</f>
        <v>0</v>
      </c>
      <c r="U267" s="57">
        <f t="shared" si="361"/>
        <v>0</v>
      </c>
      <c r="V267" s="59"/>
      <c r="W267" s="124">
        <f t="shared" si="362"/>
        <v>0</v>
      </c>
      <c r="X267" s="57">
        <f t="shared" si="362"/>
        <v>0</v>
      </c>
      <c r="Y267" s="84">
        <f t="shared" si="362"/>
        <v>0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0</v>
      </c>
      <c r="D268" s="125">
        <f>SUM(D265:D267)</f>
        <v>0</v>
      </c>
      <c r="E268" s="125">
        <f>SUM(E265:E267)</f>
        <v>0</v>
      </c>
      <c r="F268" s="81"/>
      <c r="G268" s="79">
        <f>SUM(G265:G267)</f>
        <v>0</v>
      </c>
      <c r="H268" s="80">
        <f>SUM(H265:H267)</f>
        <v>0</v>
      </c>
      <c r="I268" s="80">
        <f>SUM(I265:I267)</f>
        <v>0</v>
      </c>
      <c r="J268" s="81"/>
      <c r="K268" s="79">
        <f>SUM(K265:K267)</f>
        <v>0</v>
      </c>
      <c r="L268" s="80">
        <f>SUM(L265:L267)</f>
        <v>0</v>
      </c>
      <c r="M268" s="80">
        <f>SUM(M265:M267)</f>
        <v>0</v>
      </c>
      <c r="N268" s="81"/>
      <c r="O268" s="79">
        <f>SUM(O265:O267)</f>
        <v>0</v>
      </c>
      <c r="P268" s="80">
        <f>SUM(P265:P267)</f>
        <v>0</v>
      </c>
      <c r="Q268" s="80">
        <f>SUM(Q265:Q267)</f>
        <v>0</v>
      </c>
      <c r="R268" s="81"/>
      <c r="S268" s="79">
        <f>SUM(S265:S267)</f>
        <v>0</v>
      </c>
      <c r="T268" s="80">
        <f>SUM(T265:T267)</f>
        <v>0</v>
      </c>
      <c r="U268" s="80">
        <f>SUM(U265:U267)</f>
        <v>0</v>
      </c>
      <c r="V268" s="82"/>
      <c r="W268" s="228">
        <f t="shared" si="362"/>
        <v>0</v>
      </c>
      <c r="X268" s="80">
        <f t="shared" si="362"/>
        <v>0</v>
      </c>
      <c r="Y268" s="80">
        <f t="shared" si="362"/>
        <v>0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363">C268+C263</f>
        <v>0</v>
      </c>
      <c r="D269" s="242">
        <f t="shared" si="363"/>
        <v>0</v>
      </c>
      <c r="E269" s="242">
        <f t="shared" si="363"/>
        <v>0</v>
      </c>
      <c r="F269" s="242">
        <f t="shared" si="363"/>
        <v>0</v>
      </c>
      <c r="G269" s="242">
        <f t="shared" si="363"/>
        <v>0</v>
      </c>
      <c r="H269" s="242">
        <f t="shared" si="363"/>
        <v>0</v>
      </c>
      <c r="I269" s="242">
        <f t="shared" si="363"/>
        <v>0</v>
      </c>
      <c r="J269" s="242">
        <f t="shared" si="363"/>
        <v>0</v>
      </c>
      <c r="K269" s="242">
        <f t="shared" si="363"/>
        <v>0</v>
      </c>
      <c r="L269" s="242">
        <f t="shared" si="363"/>
        <v>0</v>
      </c>
      <c r="M269" s="242">
        <f t="shared" si="363"/>
        <v>0</v>
      </c>
      <c r="N269" s="242">
        <f t="shared" si="363"/>
        <v>0</v>
      </c>
      <c r="O269" s="242">
        <f t="shared" si="363"/>
        <v>0</v>
      </c>
      <c r="P269" s="242">
        <f t="shared" si="363"/>
        <v>0</v>
      </c>
      <c r="Q269" s="242">
        <f t="shared" si="363"/>
        <v>0</v>
      </c>
      <c r="R269" s="242">
        <f t="shared" si="363"/>
        <v>0</v>
      </c>
      <c r="S269" s="242">
        <f t="shared" si="363"/>
        <v>0</v>
      </c>
      <c r="T269" s="242">
        <f t="shared" si="363"/>
        <v>0</v>
      </c>
      <c r="U269" s="242">
        <f t="shared" si="363"/>
        <v>0</v>
      </c>
      <c r="V269" s="242">
        <f t="shared" si="363"/>
        <v>0</v>
      </c>
      <c r="W269" s="242">
        <f t="shared" si="363"/>
        <v>0</v>
      </c>
      <c r="X269" s="242">
        <f t="shared" si="363"/>
        <v>0</v>
      </c>
      <c r="Y269" s="242">
        <f t="shared" si="363"/>
        <v>0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364">SUM(C271:D271)</f>
        <v>0</v>
      </c>
      <c r="F271" s="58"/>
      <c r="G271" s="55">
        <v>0</v>
      </c>
      <c r="H271" s="57">
        <v>0</v>
      </c>
      <c r="I271" s="57">
        <f t="shared" ref="I271:I273" si="365">SUM(G271:H271)</f>
        <v>0</v>
      </c>
      <c r="J271" s="58"/>
      <c r="K271" s="55">
        <v>0</v>
      </c>
      <c r="L271" s="57">
        <v>0</v>
      </c>
      <c r="M271" s="57">
        <f t="shared" ref="M271:M273" si="366">SUM(K271:L271)</f>
        <v>0</v>
      </c>
      <c r="N271" s="58"/>
      <c r="O271" s="55">
        <v>0</v>
      </c>
      <c r="P271" s="57">
        <v>0</v>
      </c>
      <c r="Q271" s="57">
        <f t="shared" ref="Q271:Q273" si="367">SUM(O271:P271)</f>
        <v>0</v>
      </c>
      <c r="R271" s="58"/>
      <c r="S271" s="55">
        <v>0</v>
      </c>
      <c r="T271" s="57">
        <v>0</v>
      </c>
      <c r="U271" s="57">
        <f t="shared" ref="U271:U273" si="368">SUM(S271:T271)</f>
        <v>0</v>
      </c>
      <c r="V271" s="59"/>
      <c r="W271" s="124">
        <f t="shared" ref="W271:Y274" si="369">C271+G271+K271+O271+S271</f>
        <v>0</v>
      </c>
      <c r="X271" s="57">
        <f t="shared" si="369"/>
        <v>0</v>
      </c>
      <c r="Y271" s="84">
        <f t="shared" si="369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364"/>
        <v>0</v>
      </c>
      <c r="F272" s="58"/>
      <c r="G272" s="55">
        <v>0</v>
      </c>
      <c r="H272" s="57">
        <v>0</v>
      </c>
      <c r="I272" s="57">
        <f t="shared" si="365"/>
        <v>0</v>
      </c>
      <c r="J272" s="58"/>
      <c r="K272" s="55">
        <v>0</v>
      </c>
      <c r="L272" s="57">
        <v>0</v>
      </c>
      <c r="M272" s="57">
        <f t="shared" si="366"/>
        <v>0</v>
      </c>
      <c r="N272" s="58"/>
      <c r="O272" s="55">
        <f>K272</f>
        <v>0</v>
      </c>
      <c r="P272" s="57">
        <v>0</v>
      </c>
      <c r="Q272" s="57">
        <f t="shared" si="367"/>
        <v>0</v>
      </c>
      <c r="R272" s="58"/>
      <c r="S272" s="55">
        <f>O272</f>
        <v>0</v>
      </c>
      <c r="T272" s="57">
        <v>0</v>
      </c>
      <c r="U272" s="57">
        <f t="shared" si="368"/>
        <v>0</v>
      </c>
      <c r="V272" s="59"/>
      <c r="W272" s="124">
        <f t="shared" si="369"/>
        <v>0</v>
      </c>
      <c r="X272" s="57">
        <f t="shared" si="369"/>
        <v>0</v>
      </c>
      <c r="Y272" s="84">
        <f t="shared" si="369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364"/>
        <v>0</v>
      </c>
      <c r="F273" s="58"/>
      <c r="G273" s="55">
        <v>0</v>
      </c>
      <c r="H273" s="57">
        <v>0</v>
      </c>
      <c r="I273" s="57">
        <f t="shared" si="365"/>
        <v>0</v>
      </c>
      <c r="J273" s="58"/>
      <c r="K273" s="55">
        <f>G273</f>
        <v>0</v>
      </c>
      <c r="L273" s="57">
        <v>0</v>
      </c>
      <c r="M273" s="57">
        <f t="shared" si="366"/>
        <v>0</v>
      </c>
      <c r="N273" s="58"/>
      <c r="O273" s="55">
        <v>0</v>
      </c>
      <c r="P273" s="57">
        <v>0</v>
      </c>
      <c r="Q273" s="57">
        <f t="shared" si="367"/>
        <v>0</v>
      </c>
      <c r="R273" s="58"/>
      <c r="S273" s="55">
        <f>O273</f>
        <v>0</v>
      </c>
      <c r="T273" s="57">
        <v>0</v>
      </c>
      <c r="U273" s="57">
        <f t="shared" si="368"/>
        <v>0</v>
      </c>
      <c r="V273" s="59"/>
      <c r="W273" s="124">
        <f t="shared" si="369"/>
        <v>0</v>
      </c>
      <c r="X273" s="57">
        <f t="shared" si="369"/>
        <v>0</v>
      </c>
      <c r="Y273" s="84">
        <f t="shared" si="369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369"/>
        <v>0</v>
      </c>
      <c r="X274" s="80">
        <f t="shared" si="369"/>
        <v>0</v>
      </c>
      <c r="Y274" s="80">
        <f t="shared" si="369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144</v>
      </c>
      <c r="C276" s="124">
        <f>12*800*0.5*0</f>
        <v>0</v>
      </c>
      <c r="D276" s="56">
        <f>12*800*0.5*0</f>
        <v>0</v>
      </c>
      <c r="E276" s="56">
        <f t="shared" ref="E276:E278" si="370">SUM(C276:D276)</f>
        <v>0</v>
      </c>
      <c r="F276" s="58"/>
      <c r="G276" s="55">
        <f>C276</f>
        <v>0</v>
      </c>
      <c r="H276" s="57">
        <f>D276</f>
        <v>0</v>
      </c>
      <c r="I276" s="57">
        <f t="shared" ref="I276:I278" si="371">SUM(G276:H276)</f>
        <v>0</v>
      </c>
      <c r="J276" s="58"/>
      <c r="K276" s="55">
        <f>G276</f>
        <v>0</v>
      </c>
      <c r="L276" s="57">
        <f>H276</f>
        <v>0</v>
      </c>
      <c r="M276" s="57">
        <f t="shared" ref="M276:M278" si="372">SUM(K276:L276)</f>
        <v>0</v>
      </c>
      <c r="N276" s="58"/>
      <c r="O276" s="55">
        <f>K276</f>
        <v>0</v>
      </c>
      <c r="P276" s="57">
        <f>L276</f>
        <v>0</v>
      </c>
      <c r="Q276" s="57">
        <f t="shared" ref="Q276:Q278" si="373">SUM(O276:P276)</f>
        <v>0</v>
      </c>
      <c r="R276" s="58"/>
      <c r="S276" s="55">
        <f>O276</f>
        <v>0</v>
      </c>
      <c r="T276" s="57">
        <f>P276</f>
        <v>0</v>
      </c>
      <c r="U276" s="57">
        <f t="shared" ref="U276:U278" si="374">SUM(S276:T276)</f>
        <v>0</v>
      </c>
      <c r="V276" s="59"/>
      <c r="W276" s="124">
        <f t="shared" ref="W276:Y279" si="375">C276+G276+K276+O276+S276</f>
        <v>0</v>
      </c>
      <c r="X276" s="57">
        <f t="shared" si="375"/>
        <v>0</v>
      </c>
      <c r="Y276" s="84">
        <f t="shared" si="375"/>
        <v>0</v>
      </c>
    </row>
    <row r="277" spans="1:77" s="61" customFormat="1" x14ac:dyDescent="0.25">
      <c r="A277" s="203"/>
      <c r="B277" s="52" t="s">
        <v>57</v>
      </c>
      <c r="C277" s="124">
        <f>2000*5*0.5*0</f>
        <v>0</v>
      </c>
      <c r="D277" s="56">
        <f>2000*5*0.5*0</f>
        <v>0</v>
      </c>
      <c r="E277" s="56">
        <f t="shared" si="370"/>
        <v>0</v>
      </c>
      <c r="F277" s="58"/>
      <c r="G277" s="55">
        <f>C277</f>
        <v>0</v>
      </c>
      <c r="H277" s="57">
        <f>D277</f>
        <v>0</v>
      </c>
      <c r="I277" s="57">
        <f t="shared" si="371"/>
        <v>0</v>
      </c>
      <c r="J277" s="58"/>
      <c r="K277" s="55">
        <f>G277</f>
        <v>0</v>
      </c>
      <c r="L277" s="57">
        <f>H277</f>
        <v>0</v>
      </c>
      <c r="M277" s="57">
        <f t="shared" si="372"/>
        <v>0</v>
      </c>
      <c r="N277" s="58"/>
      <c r="O277" s="55">
        <f>K277</f>
        <v>0</v>
      </c>
      <c r="P277" s="57">
        <f>L277</f>
        <v>0</v>
      </c>
      <c r="Q277" s="57">
        <f t="shared" si="373"/>
        <v>0</v>
      </c>
      <c r="R277" s="58"/>
      <c r="S277" s="55">
        <f>O277</f>
        <v>0</v>
      </c>
      <c r="T277" s="57">
        <f>P277</f>
        <v>0</v>
      </c>
      <c r="U277" s="57">
        <f t="shared" si="374"/>
        <v>0</v>
      </c>
      <c r="V277" s="59"/>
      <c r="W277" s="124">
        <f t="shared" si="375"/>
        <v>0</v>
      </c>
      <c r="X277" s="57">
        <f t="shared" si="375"/>
        <v>0</v>
      </c>
      <c r="Y277" s="84">
        <f t="shared" si="375"/>
        <v>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si="370"/>
        <v>0</v>
      </c>
      <c r="F278" s="58"/>
      <c r="G278" s="55">
        <v>0</v>
      </c>
      <c r="H278" s="57">
        <v>0</v>
      </c>
      <c r="I278" s="57">
        <f t="shared" si="371"/>
        <v>0</v>
      </c>
      <c r="J278" s="58"/>
      <c r="K278" s="55">
        <v>0</v>
      </c>
      <c r="L278" s="57">
        <v>0</v>
      </c>
      <c r="M278" s="57">
        <f t="shared" si="372"/>
        <v>0</v>
      </c>
      <c r="N278" s="58"/>
      <c r="O278" s="55">
        <v>0</v>
      </c>
      <c r="P278" s="57">
        <v>0</v>
      </c>
      <c r="Q278" s="57">
        <f t="shared" si="373"/>
        <v>0</v>
      </c>
      <c r="R278" s="58"/>
      <c r="S278" s="55">
        <v>0</v>
      </c>
      <c r="T278" s="57">
        <v>0</v>
      </c>
      <c r="U278" s="57">
        <f t="shared" si="374"/>
        <v>0</v>
      </c>
      <c r="V278" s="59"/>
      <c r="W278" s="124">
        <f t="shared" si="375"/>
        <v>0</v>
      </c>
      <c r="X278" s="57">
        <f t="shared" si="375"/>
        <v>0</v>
      </c>
      <c r="Y278" s="84">
        <f t="shared" si="375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0</v>
      </c>
      <c r="D279" s="125">
        <f>SUM(D276:D278)</f>
        <v>0</v>
      </c>
      <c r="E279" s="125">
        <f>SUM(E276:E278)</f>
        <v>0</v>
      </c>
      <c r="F279" s="81"/>
      <c r="G279" s="79">
        <f>SUM(G276:G278)</f>
        <v>0</v>
      </c>
      <c r="H279" s="80">
        <f>SUM(H276:H278)</f>
        <v>0</v>
      </c>
      <c r="I279" s="80">
        <f>SUM(I276:I278)</f>
        <v>0</v>
      </c>
      <c r="J279" s="81"/>
      <c r="K279" s="79">
        <f>SUM(K276:K278)</f>
        <v>0</v>
      </c>
      <c r="L279" s="80">
        <f>SUM(L276:L278)</f>
        <v>0</v>
      </c>
      <c r="M279" s="80">
        <f>SUM(M276:M278)</f>
        <v>0</v>
      </c>
      <c r="N279" s="81"/>
      <c r="O279" s="79">
        <f>SUM(O276:O278)</f>
        <v>0</v>
      </c>
      <c r="P279" s="80">
        <f>SUM(P276:P278)</f>
        <v>0</v>
      </c>
      <c r="Q279" s="80">
        <f>SUM(Q276:Q278)</f>
        <v>0</v>
      </c>
      <c r="R279" s="81"/>
      <c r="S279" s="79">
        <f>SUM(S276:S278)</f>
        <v>0</v>
      </c>
      <c r="T279" s="80">
        <f>SUM(T276:T278)</f>
        <v>0</v>
      </c>
      <c r="U279" s="80">
        <f>SUM(U276:U278)</f>
        <v>0</v>
      </c>
      <c r="V279" s="82"/>
      <c r="W279" s="228">
        <f t="shared" si="375"/>
        <v>0</v>
      </c>
      <c r="X279" s="80">
        <f t="shared" si="375"/>
        <v>0</v>
      </c>
      <c r="Y279" s="80">
        <f t="shared" si="375"/>
        <v>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Y283" si="376">C281+G281+K281+O281+S281</f>
        <v>0</v>
      </c>
      <c r="X281" s="57">
        <f t="shared" si="376"/>
        <v>0</v>
      </c>
      <c r="Y281" s="84">
        <f t="shared" si="376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376"/>
        <v>0</v>
      </c>
      <c r="X282" s="56">
        <f t="shared" si="376"/>
        <v>0</v>
      </c>
      <c r="Y282" s="85">
        <f t="shared" si="376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376"/>
        <v>0</v>
      </c>
      <c r="X283" s="80">
        <f t="shared" si="376"/>
        <v>0</v>
      </c>
      <c r="Y283" s="80">
        <f t="shared" si="376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169" customFormat="1" x14ac:dyDescent="0.25">
      <c r="B285" s="169" t="s">
        <v>116</v>
      </c>
      <c r="C285" s="172">
        <v>0</v>
      </c>
      <c r="D285" s="174">
        <v>0</v>
      </c>
      <c r="E285" s="173">
        <f t="shared" ref="E285" si="377">SUM(C285:D285)</f>
        <v>0</v>
      </c>
      <c r="F285" s="175"/>
      <c r="G285" s="172">
        <f>C285</f>
        <v>0</v>
      </c>
      <c r="H285" s="174">
        <v>0</v>
      </c>
      <c r="I285" s="173">
        <f t="shared" ref="I285" si="378">SUM(G285:H285)</f>
        <v>0</v>
      </c>
      <c r="J285" s="175"/>
      <c r="K285" s="172">
        <f>G285</f>
        <v>0</v>
      </c>
      <c r="L285" s="174">
        <v>0</v>
      </c>
      <c r="M285" s="173">
        <f t="shared" ref="M285" si="379">SUM(K285:L285)</f>
        <v>0</v>
      </c>
      <c r="N285" s="175"/>
      <c r="O285" s="172">
        <f>K285</f>
        <v>0</v>
      </c>
      <c r="P285" s="174">
        <v>0</v>
      </c>
      <c r="Q285" s="174">
        <f t="shared" ref="Q285" si="380">SUM(O285:P285)</f>
        <v>0</v>
      </c>
      <c r="R285" s="175"/>
      <c r="S285" s="172">
        <f>O285</f>
        <v>0</v>
      </c>
      <c r="T285" s="174">
        <v>0</v>
      </c>
      <c r="U285" s="173">
        <f t="shared" ref="U285" si="381">SUM(S285:T285)</f>
        <v>0</v>
      </c>
      <c r="V285" s="176"/>
      <c r="W285" s="227">
        <f t="shared" ref="W285:Y289" si="382">C285+G285+K285+O285+S285</f>
        <v>0</v>
      </c>
      <c r="X285" s="173">
        <f t="shared" si="382"/>
        <v>0</v>
      </c>
      <c r="Y285" s="186">
        <f t="shared" si="382"/>
        <v>0</v>
      </c>
    </row>
    <row r="286" spans="1:77" s="61" customFormat="1" x14ac:dyDescent="0.25">
      <c r="A286" s="203"/>
      <c r="B286" s="54" t="s">
        <v>57</v>
      </c>
      <c r="C286" s="124">
        <v>0</v>
      </c>
      <c r="D286" s="56">
        <v>0</v>
      </c>
      <c r="E286" s="56">
        <f t="shared" ref="E286:E288" si="383">SUM(C286:D286)</f>
        <v>0</v>
      </c>
      <c r="F286" s="58"/>
      <c r="G286" s="55">
        <v>0</v>
      </c>
      <c r="H286" s="57">
        <v>0</v>
      </c>
      <c r="I286" s="57">
        <f t="shared" ref="I286:I288" si="384">SUM(G286:H286)</f>
        <v>0</v>
      </c>
      <c r="J286" s="58"/>
      <c r="K286" s="55">
        <v>0</v>
      </c>
      <c r="L286" s="56">
        <v>0</v>
      </c>
      <c r="M286" s="57">
        <f t="shared" ref="M286:M288" si="385">SUM(K286:L286)</f>
        <v>0</v>
      </c>
      <c r="N286" s="58"/>
      <c r="O286" s="55">
        <v>0</v>
      </c>
      <c r="P286" s="57">
        <v>0</v>
      </c>
      <c r="Q286" s="57">
        <f t="shared" ref="Q286:Q288" si="386">SUM(O286:P286)</f>
        <v>0</v>
      </c>
      <c r="R286" s="58"/>
      <c r="S286" s="55">
        <v>0</v>
      </c>
      <c r="T286" s="56">
        <v>0</v>
      </c>
      <c r="U286" s="57">
        <f t="shared" ref="U286:U288" si="387">SUM(S286:T286)</f>
        <v>0</v>
      </c>
      <c r="V286" s="59"/>
      <c r="W286" s="124">
        <f t="shared" si="382"/>
        <v>0</v>
      </c>
      <c r="X286" s="57">
        <f t="shared" si="382"/>
        <v>0</v>
      </c>
      <c r="Y286" s="84">
        <f t="shared" si="382"/>
        <v>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si="383"/>
        <v>0</v>
      </c>
      <c r="F287" s="58"/>
      <c r="G287" s="55">
        <v>0</v>
      </c>
      <c r="H287" s="57"/>
      <c r="I287" s="57">
        <f t="shared" si="384"/>
        <v>0</v>
      </c>
      <c r="J287" s="58"/>
      <c r="K287" s="55">
        <v>0</v>
      </c>
      <c r="L287" s="56">
        <v>0</v>
      </c>
      <c r="M287" s="57">
        <f t="shared" si="385"/>
        <v>0</v>
      </c>
      <c r="N287" s="58"/>
      <c r="O287" s="55">
        <v>0</v>
      </c>
      <c r="P287" s="56">
        <v>0</v>
      </c>
      <c r="Q287" s="56">
        <f t="shared" si="386"/>
        <v>0</v>
      </c>
      <c r="R287" s="58"/>
      <c r="S287" s="55">
        <v>0</v>
      </c>
      <c r="T287" s="56">
        <v>0</v>
      </c>
      <c r="U287" s="57">
        <f t="shared" si="387"/>
        <v>0</v>
      </c>
      <c r="V287" s="59"/>
      <c r="W287" s="124">
        <f t="shared" si="382"/>
        <v>0</v>
      </c>
      <c r="X287" s="57">
        <f t="shared" si="382"/>
        <v>0</v>
      </c>
      <c r="Y287" s="84">
        <f t="shared" si="382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383"/>
        <v>0</v>
      </c>
      <c r="F288" s="58"/>
      <c r="G288" s="55">
        <v>0</v>
      </c>
      <c r="H288" s="57">
        <v>0</v>
      </c>
      <c r="I288" s="57">
        <f t="shared" si="384"/>
        <v>0</v>
      </c>
      <c r="J288" s="58"/>
      <c r="K288" s="55">
        <v>0</v>
      </c>
      <c r="L288" s="57">
        <v>0</v>
      </c>
      <c r="M288" s="57">
        <f t="shared" si="385"/>
        <v>0</v>
      </c>
      <c r="N288" s="58"/>
      <c r="O288" s="55">
        <v>0</v>
      </c>
      <c r="P288" s="57">
        <v>0</v>
      </c>
      <c r="Q288" s="57">
        <f t="shared" si="386"/>
        <v>0</v>
      </c>
      <c r="R288" s="58"/>
      <c r="S288" s="55">
        <v>0</v>
      </c>
      <c r="T288" s="57">
        <v>0</v>
      </c>
      <c r="U288" s="57">
        <f t="shared" si="387"/>
        <v>0</v>
      </c>
      <c r="V288" s="59"/>
      <c r="W288" s="124">
        <f t="shared" si="382"/>
        <v>0</v>
      </c>
      <c r="X288" s="57">
        <f t="shared" si="382"/>
        <v>0</v>
      </c>
      <c r="Y288" s="84">
        <f t="shared" si="382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0</v>
      </c>
      <c r="D289" s="153">
        <f>SUM(D285:D288)</f>
        <v>0</v>
      </c>
      <c r="E289" s="153">
        <f>SUM(E285:E288)</f>
        <v>0</v>
      </c>
      <c r="F289" s="154"/>
      <c r="G289" s="152">
        <f>SUM(G285:G288)</f>
        <v>0</v>
      </c>
      <c r="H289" s="155">
        <f>SUM(H285:H288)</f>
        <v>0</v>
      </c>
      <c r="I289" s="155">
        <f>SUM(I285:I288)</f>
        <v>0</v>
      </c>
      <c r="J289" s="154"/>
      <c r="K289" s="152">
        <f>SUM(K285:K288)</f>
        <v>0</v>
      </c>
      <c r="L289" s="155">
        <f>SUM(L285:L288)</f>
        <v>0</v>
      </c>
      <c r="M289" s="155">
        <f>SUM(M285:M288)</f>
        <v>0</v>
      </c>
      <c r="N289" s="154"/>
      <c r="O289" s="152">
        <f>SUM(O285:O288)</f>
        <v>0</v>
      </c>
      <c r="P289" s="155">
        <f>SUM(P285:P288)</f>
        <v>0</v>
      </c>
      <c r="Q289" s="155">
        <f>SUM(Q285:Q288)</f>
        <v>0</v>
      </c>
      <c r="R289" s="154"/>
      <c r="S289" s="152">
        <f>SUM(S285:S288)</f>
        <v>0</v>
      </c>
      <c r="T289" s="155">
        <f>SUM(T285:T288)</f>
        <v>0</v>
      </c>
      <c r="U289" s="155">
        <f>SUM(U285:U288)</f>
        <v>0</v>
      </c>
      <c r="V289" s="82"/>
      <c r="W289" s="228">
        <f t="shared" si="382"/>
        <v>0</v>
      </c>
      <c r="X289" s="80">
        <f t="shared" si="382"/>
        <v>0</v>
      </c>
      <c r="Y289" s="80">
        <f t="shared" si="382"/>
        <v>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388">SUM(C269+C274+C279+C283+C289)</f>
        <v>0</v>
      </c>
      <c r="D290" s="246">
        <f t="shared" si="388"/>
        <v>0</v>
      </c>
      <c r="E290" s="246">
        <f t="shared" si="388"/>
        <v>0</v>
      </c>
      <c r="F290" s="246">
        <f t="shared" si="388"/>
        <v>0</v>
      </c>
      <c r="G290" s="246">
        <f t="shared" si="388"/>
        <v>0</v>
      </c>
      <c r="H290" s="246">
        <f t="shared" si="388"/>
        <v>0</v>
      </c>
      <c r="I290" s="246">
        <f t="shared" si="388"/>
        <v>0</v>
      </c>
      <c r="J290" s="246">
        <f t="shared" si="388"/>
        <v>0</v>
      </c>
      <c r="K290" s="246">
        <f t="shared" si="388"/>
        <v>0</v>
      </c>
      <c r="L290" s="246">
        <f t="shared" si="388"/>
        <v>0</v>
      </c>
      <c r="M290" s="246">
        <f t="shared" si="388"/>
        <v>0</v>
      </c>
      <c r="N290" s="246">
        <f t="shared" si="388"/>
        <v>0</v>
      </c>
      <c r="O290" s="246">
        <f t="shared" si="388"/>
        <v>0</v>
      </c>
      <c r="P290" s="246">
        <f t="shared" si="388"/>
        <v>0</v>
      </c>
      <c r="Q290" s="246">
        <f t="shared" si="388"/>
        <v>0</v>
      </c>
      <c r="R290" s="246">
        <f t="shared" si="388"/>
        <v>0</v>
      </c>
      <c r="S290" s="246">
        <f t="shared" si="388"/>
        <v>0</v>
      </c>
      <c r="T290" s="246">
        <f t="shared" si="388"/>
        <v>0</v>
      </c>
      <c r="U290" s="246">
        <f t="shared" si="388"/>
        <v>0</v>
      </c>
      <c r="V290" s="246">
        <f t="shared" si="388"/>
        <v>0</v>
      </c>
      <c r="W290" s="246">
        <f t="shared" si="388"/>
        <v>0</v>
      </c>
      <c r="X290" s="246">
        <f t="shared" si="388"/>
        <v>0</v>
      </c>
      <c r="Y290" s="246">
        <f t="shared" si="388"/>
        <v>0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0</v>
      </c>
      <c r="D291" s="246">
        <v>0</v>
      </c>
      <c r="E291" s="246">
        <f>C291</f>
        <v>0</v>
      </c>
      <c r="F291" s="246">
        <f>F263*0.47</f>
        <v>0</v>
      </c>
      <c r="G291" s="246">
        <f>((G263)*0.56)</f>
        <v>0</v>
      </c>
      <c r="H291" s="246">
        <v>0</v>
      </c>
      <c r="I291" s="246">
        <f>G291</f>
        <v>0</v>
      </c>
      <c r="J291" s="246">
        <f>J263*0.47</f>
        <v>0</v>
      </c>
      <c r="K291" s="246">
        <f>((K263)*0.56)</f>
        <v>0</v>
      </c>
      <c r="L291" s="246">
        <v>0</v>
      </c>
      <c r="M291" s="246">
        <f>K291</f>
        <v>0</v>
      </c>
      <c r="N291" s="246">
        <f>N263*0.47</f>
        <v>0</v>
      </c>
      <c r="O291" s="246">
        <f>((O263)*0.56)</f>
        <v>0</v>
      </c>
      <c r="P291" s="246">
        <v>0</v>
      </c>
      <c r="Q291" s="246">
        <f>O291</f>
        <v>0</v>
      </c>
      <c r="R291" s="246">
        <f>R263*0.47</f>
        <v>0</v>
      </c>
      <c r="S291" s="246">
        <f>((S263)*0.56)</f>
        <v>0</v>
      </c>
      <c r="T291" s="246">
        <v>0</v>
      </c>
      <c r="U291" s="246">
        <f>S291</f>
        <v>0</v>
      </c>
      <c r="V291" s="246">
        <f>V263*0.47</f>
        <v>0</v>
      </c>
      <c r="W291" s="246">
        <f>((W263)*0.56)</f>
        <v>0</v>
      </c>
      <c r="X291" s="246">
        <v>0</v>
      </c>
      <c r="Y291" s="246">
        <f>W291</f>
        <v>0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0</v>
      </c>
      <c r="D292" s="246">
        <f t="shared" ref="D292:Y292" si="389">SUM(D290:D291)</f>
        <v>0</v>
      </c>
      <c r="E292" s="246">
        <f t="shared" si="389"/>
        <v>0</v>
      </c>
      <c r="F292" s="246">
        <f t="shared" si="389"/>
        <v>0</v>
      </c>
      <c r="G292" s="246">
        <f t="shared" si="389"/>
        <v>0</v>
      </c>
      <c r="H292" s="246">
        <f t="shared" si="389"/>
        <v>0</v>
      </c>
      <c r="I292" s="246">
        <f t="shared" si="389"/>
        <v>0</v>
      </c>
      <c r="J292" s="246">
        <f t="shared" si="389"/>
        <v>0</v>
      </c>
      <c r="K292" s="246">
        <f t="shared" si="389"/>
        <v>0</v>
      </c>
      <c r="L292" s="246">
        <f t="shared" si="389"/>
        <v>0</v>
      </c>
      <c r="M292" s="246">
        <f t="shared" si="389"/>
        <v>0</v>
      </c>
      <c r="N292" s="246">
        <f t="shared" si="389"/>
        <v>0</v>
      </c>
      <c r="O292" s="246">
        <f t="shared" si="389"/>
        <v>0</v>
      </c>
      <c r="P292" s="246">
        <f t="shared" si="389"/>
        <v>0</v>
      </c>
      <c r="Q292" s="246">
        <f t="shared" si="389"/>
        <v>0</v>
      </c>
      <c r="R292" s="246">
        <f t="shared" si="389"/>
        <v>0</v>
      </c>
      <c r="S292" s="246">
        <f t="shared" si="389"/>
        <v>0</v>
      </c>
      <c r="T292" s="246">
        <f t="shared" si="389"/>
        <v>0</v>
      </c>
      <c r="U292" s="246">
        <f t="shared" si="389"/>
        <v>0</v>
      </c>
      <c r="V292" s="246">
        <f t="shared" si="389"/>
        <v>0</v>
      </c>
      <c r="W292" s="246">
        <f t="shared" si="389"/>
        <v>0</v>
      </c>
      <c r="X292" s="246">
        <f t="shared" si="389"/>
        <v>0</v>
      </c>
      <c r="Y292" s="246">
        <f t="shared" si="389"/>
        <v>0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169" customFormat="1" x14ac:dyDescent="0.25">
      <c r="A296" s="170" t="s">
        <v>57</v>
      </c>
      <c r="B296" s="169" t="s">
        <v>57</v>
      </c>
      <c r="C296" s="172">
        <v>0</v>
      </c>
      <c r="D296" s="173">
        <v>0</v>
      </c>
      <c r="E296" s="173">
        <f t="shared" ref="E296:E299" si="390">SUM(C296:D296)</f>
        <v>0</v>
      </c>
      <c r="F296" s="175"/>
      <c r="G296" s="172">
        <f>C296*1.03</f>
        <v>0</v>
      </c>
      <c r="H296" s="173">
        <f>D296*1.03</f>
        <v>0</v>
      </c>
      <c r="I296" s="173">
        <f t="shared" ref="I296:I299" si="391">SUM(G296:H296)</f>
        <v>0</v>
      </c>
      <c r="J296" s="175"/>
      <c r="K296" s="172">
        <f>G296*1.03</f>
        <v>0</v>
      </c>
      <c r="L296" s="173">
        <f>H296*1.03</f>
        <v>0</v>
      </c>
      <c r="M296" s="173">
        <f t="shared" ref="M296:M299" si="392">SUM(K296:L296)</f>
        <v>0</v>
      </c>
      <c r="N296" s="175"/>
      <c r="O296" s="172">
        <f>K296*1.03</f>
        <v>0</v>
      </c>
      <c r="P296" s="173">
        <f>L296*1.03</f>
        <v>0</v>
      </c>
      <c r="Q296" s="173">
        <f t="shared" ref="Q296:Q299" si="393">SUM(O296:P296)</f>
        <v>0</v>
      </c>
      <c r="R296" s="175"/>
      <c r="S296" s="172">
        <f>O296*1.03</f>
        <v>0</v>
      </c>
      <c r="T296" s="173">
        <f>P296*1.03</f>
        <v>0</v>
      </c>
      <c r="U296" s="173">
        <f t="shared" ref="U296:U299" si="394">SUM(S296:T296)</f>
        <v>0</v>
      </c>
      <c r="V296" s="176"/>
      <c r="W296" s="227">
        <f>C296+G296+K296+O296+S296</f>
        <v>0</v>
      </c>
      <c r="X296" s="173">
        <f t="shared" ref="X296:Y300" si="395">D296+H296+L296+P296+T296</f>
        <v>0</v>
      </c>
      <c r="Y296" s="177">
        <f t="shared" si="395"/>
        <v>0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si="390"/>
        <v>0</v>
      </c>
      <c r="F297" s="175"/>
      <c r="G297" s="172">
        <f t="shared" ref="G297:H299" si="396">C297*1.03</f>
        <v>0</v>
      </c>
      <c r="H297" s="173">
        <f t="shared" si="396"/>
        <v>0</v>
      </c>
      <c r="I297" s="173">
        <f t="shared" si="391"/>
        <v>0</v>
      </c>
      <c r="J297" s="175"/>
      <c r="K297" s="172">
        <f t="shared" ref="K297:L299" si="397">G297*1.03</f>
        <v>0</v>
      </c>
      <c r="L297" s="173">
        <f t="shared" si="397"/>
        <v>0</v>
      </c>
      <c r="M297" s="173">
        <f t="shared" si="392"/>
        <v>0</v>
      </c>
      <c r="N297" s="175"/>
      <c r="O297" s="172">
        <f t="shared" ref="O297:P299" si="398">K297*1.03</f>
        <v>0</v>
      </c>
      <c r="P297" s="173">
        <f t="shared" si="398"/>
        <v>0</v>
      </c>
      <c r="Q297" s="173">
        <f t="shared" si="393"/>
        <v>0</v>
      </c>
      <c r="R297" s="175"/>
      <c r="S297" s="172">
        <f t="shared" ref="S297:T299" si="399">O297*1.03</f>
        <v>0</v>
      </c>
      <c r="T297" s="173">
        <f t="shared" si="399"/>
        <v>0</v>
      </c>
      <c r="U297" s="173">
        <f t="shared" si="394"/>
        <v>0</v>
      </c>
      <c r="V297" s="176"/>
      <c r="W297" s="227">
        <f t="shared" ref="W297:W300" si="400">C297+G297+K297+O297+S297</f>
        <v>0</v>
      </c>
      <c r="X297" s="173">
        <f t="shared" si="395"/>
        <v>0</v>
      </c>
      <c r="Y297" s="177">
        <f t="shared" si="395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390"/>
        <v>0</v>
      </c>
      <c r="F298" s="175"/>
      <c r="G298" s="172">
        <f t="shared" si="396"/>
        <v>0</v>
      </c>
      <c r="H298" s="173">
        <f t="shared" si="396"/>
        <v>0</v>
      </c>
      <c r="I298" s="173">
        <f t="shared" si="391"/>
        <v>0</v>
      </c>
      <c r="J298" s="175"/>
      <c r="K298" s="172">
        <f t="shared" si="397"/>
        <v>0</v>
      </c>
      <c r="L298" s="173">
        <f t="shared" si="397"/>
        <v>0</v>
      </c>
      <c r="M298" s="173">
        <f t="shared" si="392"/>
        <v>0</v>
      </c>
      <c r="N298" s="175"/>
      <c r="O298" s="172">
        <f t="shared" si="398"/>
        <v>0</v>
      </c>
      <c r="P298" s="173">
        <f t="shared" si="398"/>
        <v>0</v>
      </c>
      <c r="Q298" s="173">
        <f t="shared" si="393"/>
        <v>0</v>
      </c>
      <c r="R298" s="175"/>
      <c r="S298" s="172">
        <f t="shared" si="399"/>
        <v>0</v>
      </c>
      <c r="T298" s="173">
        <f t="shared" si="399"/>
        <v>0</v>
      </c>
      <c r="U298" s="173">
        <f t="shared" si="394"/>
        <v>0</v>
      </c>
      <c r="V298" s="176"/>
      <c r="W298" s="227">
        <f t="shared" si="400"/>
        <v>0</v>
      </c>
      <c r="X298" s="173">
        <f t="shared" si="395"/>
        <v>0</v>
      </c>
      <c r="Y298" s="177">
        <f t="shared" si="395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390"/>
        <v>0</v>
      </c>
      <c r="F299" s="175"/>
      <c r="G299" s="172">
        <f t="shared" si="396"/>
        <v>0</v>
      </c>
      <c r="H299" s="173">
        <f t="shared" si="396"/>
        <v>0</v>
      </c>
      <c r="I299" s="173">
        <f t="shared" si="391"/>
        <v>0</v>
      </c>
      <c r="J299" s="175"/>
      <c r="K299" s="172">
        <f t="shared" si="397"/>
        <v>0</v>
      </c>
      <c r="L299" s="173">
        <f t="shared" si="397"/>
        <v>0</v>
      </c>
      <c r="M299" s="173">
        <f t="shared" si="392"/>
        <v>0</v>
      </c>
      <c r="N299" s="175"/>
      <c r="O299" s="172">
        <f t="shared" si="398"/>
        <v>0</v>
      </c>
      <c r="P299" s="173">
        <f t="shared" si="398"/>
        <v>0</v>
      </c>
      <c r="Q299" s="173">
        <f t="shared" si="393"/>
        <v>0</v>
      </c>
      <c r="R299" s="175"/>
      <c r="S299" s="172">
        <f t="shared" si="399"/>
        <v>0</v>
      </c>
      <c r="T299" s="173">
        <f t="shared" si="399"/>
        <v>0</v>
      </c>
      <c r="U299" s="173">
        <f t="shared" si="394"/>
        <v>0</v>
      </c>
      <c r="V299" s="176"/>
      <c r="W299" s="227">
        <f t="shared" si="400"/>
        <v>0</v>
      </c>
      <c r="X299" s="173">
        <f t="shared" si="395"/>
        <v>0</v>
      </c>
      <c r="Y299" s="177">
        <f t="shared" si="395"/>
        <v>0</v>
      </c>
    </row>
    <row r="300" spans="1:77" s="83" customFormat="1" x14ac:dyDescent="0.25">
      <c r="A300" s="78"/>
      <c r="B300" s="78" t="s">
        <v>9</v>
      </c>
      <c r="C300" s="228">
        <f>SUM(C296:C299)</f>
        <v>0</v>
      </c>
      <c r="D300" s="125">
        <f>SUM(D296:D299)</f>
        <v>0</v>
      </c>
      <c r="E300" s="125">
        <f>SUM(E296:E299)</f>
        <v>0</v>
      </c>
      <c r="F300" s="81"/>
      <c r="G300" s="79">
        <f>SUM(G296:G299)</f>
        <v>0</v>
      </c>
      <c r="H300" s="80">
        <f>SUM(H296:H299)</f>
        <v>0</v>
      </c>
      <c r="I300" s="80">
        <f>SUM(I296:I299)</f>
        <v>0</v>
      </c>
      <c r="J300" s="81"/>
      <c r="K300" s="79">
        <f>SUM(K296:K299)</f>
        <v>0</v>
      </c>
      <c r="L300" s="80">
        <f>SUM(L296:L299)</f>
        <v>0</v>
      </c>
      <c r="M300" s="80">
        <f>SUM(M296:M299)</f>
        <v>0</v>
      </c>
      <c r="N300" s="81"/>
      <c r="O300" s="79">
        <f>SUM(O296:O299)</f>
        <v>0</v>
      </c>
      <c r="P300" s="80">
        <f>SUM(P296:P299)</f>
        <v>0</v>
      </c>
      <c r="Q300" s="80">
        <f>SUM(Q296:Q299)</f>
        <v>0</v>
      </c>
      <c r="R300" s="81"/>
      <c r="S300" s="79">
        <f>SUM(S296:S299)</f>
        <v>0</v>
      </c>
      <c r="T300" s="80">
        <f>SUM(T296:T299)</f>
        <v>0</v>
      </c>
      <c r="U300" s="80">
        <f>SUM(U296:U299)</f>
        <v>0</v>
      </c>
      <c r="V300" s="82"/>
      <c r="W300" s="228">
        <f t="shared" si="400"/>
        <v>0</v>
      </c>
      <c r="X300" s="80">
        <f t="shared" si="395"/>
        <v>0</v>
      </c>
      <c r="Y300" s="80">
        <f t="shared" si="395"/>
        <v>0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L305" si="401">G302*1.03</f>
        <v>0</v>
      </c>
      <c r="L302" s="57">
        <f t="shared" si="401"/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Y306" si="402">C302+G302+K302+O302+S302</f>
        <v>0</v>
      </c>
      <c r="X302" s="57">
        <f t="shared" si="402"/>
        <v>0</v>
      </c>
      <c r="Y302" s="57">
        <f t="shared" ref="Y302:Y305" si="403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404">SUM(C303:D303)</f>
        <v>0</v>
      </c>
      <c r="F303" s="58"/>
      <c r="G303" s="55">
        <f t="shared" ref="G303:H305" si="405">C303*1.03</f>
        <v>0</v>
      </c>
      <c r="H303" s="57">
        <f t="shared" si="405"/>
        <v>0</v>
      </c>
      <c r="I303" s="57">
        <f t="shared" ref="I303:I305" si="406">SUM(G303:H303)</f>
        <v>0</v>
      </c>
      <c r="J303" s="58"/>
      <c r="K303" s="55">
        <f t="shared" si="401"/>
        <v>0</v>
      </c>
      <c r="L303" s="57">
        <f t="shared" si="401"/>
        <v>0</v>
      </c>
      <c r="M303" s="57">
        <f t="shared" ref="M303:M305" si="407">SUM(K303:L303)</f>
        <v>0</v>
      </c>
      <c r="N303" s="58"/>
      <c r="O303" s="55">
        <f t="shared" ref="O303:P305" si="408">K303*1.03</f>
        <v>0</v>
      </c>
      <c r="P303" s="57">
        <f t="shared" si="408"/>
        <v>0</v>
      </c>
      <c r="Q303" s="57">
        <f t="shared" ref="Q303:Q305" si="409">SUM(O303:P303)</f>
        <v>0</v>
      </c>
      <c r="R303" s="58"/>
      <c r="S303" s="55">
        <f t="shared" ref="S303:T305" si="410">O303*1.03</f>
        <v>0</v>
      </c>
      <c r="T303" s="57">
        <f t="shared" si="410"/>
        <v>0</v>
      </c>
      <c r="U303" s="57">
        <f t="shared" ref="U303:U305" si="411">SUM(S303:T303)</f>
        <v>0</v>
      </c>
      <c r="V303" s="59"/>
      <c r="W303" s="124">
        <f t="shared" si="402"/>
        <v>0</v>
      </c>
      <c r="X303" s="57">
        <f t="shared" si="402"/>
        <v>0</v>
      </c>
      <c r="Y303" s="57">
        <f t="shared" si="403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404"/>
        <v>0</v>
      </c>
      <c r="F304" s="58"/>
      <c r="G304" s="55">
        <f t="shared" si="405"/>
        <v>0</v>
      </c>
      <c r="H304" s="57">
        <f t="shared" si="405"/>
        <v>0</v>
      </c>
      <c r="I304" s="57">
        <f t="shared" si="406"/>
        <v>0</v>
      </c>
      <c r="J304" s="58"/>
      <c r="K304" s="55">
        <f t="shared" si="401"/>
        <v>0</v>
      </c>
      <c r="L304" s="57">
        <f t="shared" si="401"/>
        <v>0</v>
      </c>
      <c r="M304" s="57">
        <f t="shared" si="407"/>
        <v>0</v>
      </c>
      <c r="N304" s="58"/>
      <c r="O304" s="55">
        <f t="shared" si="408"/>
        <v>0</v>
      </c>
      <c r="P304" s="57">
        <f t="shared" si="408"/>
        <v>0</v>
      </c>
      <c r="Q304" s="57">
        <f t="shared" si="409"/>
        <v>0</v>
      </c>
      <c r="R304" s="58"/>
      <c r="S304" s="55">
        <f t="shared" si="410"/>
        <v>0</v>
      </c>
      <c r="T304" s="57">
        <f t="shared" si="410"/>
        <v>0</v>
      </c>
      <c r="U304" s="57">
        <f t="shared" si="411"/>
        <v>0</v>
      </c>
      <c r="V304" s="59"/>
      <c r="W304" s="124">
        <f t="shared" si="402"/>
        <v>0</v>
      </c>
      <c r="X304" s="57">
        <f t="shared" si="402"/>
        <v>0</v>
      </c>
      <c r="Y304" s="57">
        <f t="shared" si="403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404"/>
        <v>0</v>
      </c>
      <c r="F305" s="58"/>
      <c r="G305" s="55">
        <f t="shared" si="405"/>
        <v>0</v>
      </c>
      <c r="H305" s="57">
        <f t="shared" si="405"/>
        <v>0</v>
      </c>
      <c r="I305" s="57">
        <f t="shared" si="406"/>
        <v>0</v>
      </c>
      <c r="J305" s="58"/>
      <c r="K305" s="55">
        <f t="shared" si="401"/>
        <v>0</v>
      </c>
      <c r="L305" s="57">
        <f t="shared" si="401"/>
        <v>0</v>
      </c>
      <c r="M305" s="57">
        <f t="shared" si="407"/>
        <v>0</v>
      </c>
      <c r="N305" s="58"/>
      <c r="O305" s="55">
        <f t="shared" si="408"/>
        <v>0</v>
      </c>
      <c r="P305" s="57">
        <f t="shared" si="408"/>
        <v>0</v>
      </c>
      <c r="Q305" s="57">
        <f t="shared" si="409"/>
        <v>0</v>
      </c>
      <c r="R305" s="58"/>
      <c r="S305" s="55">
        <f t="shared" si="410"/>
        <v>0</v>
      </c>
      <c r="T305" s="57">
        <f t="shared" si="410"/>
        <v>0</v>
      </c>
      <c r="U305" s="57">
        <f t="shared" si="411"/>
        <v>0</v>
      </c>
      <c r="V305" s="59"/>
      <c r="W305" s="124">
        <f t="shared" si="402"/>
        <v>0</v>
      </c>
      <c r="X305" s="57">
        <f t="shared" si="402"/>
        <v>0</v>
      </c>
      <c r="Y305" s="57">
        <f t="shared" si="403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402"/>
        <v>0</v>
      </c>
      <c r="X306" s="80">
        <f t="shared" si="402"/>
        <v>0</v>
      </c>
      <c r="Y306" s="80">
        <f t="shared" si="402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412">C306+C300</f>
        <v>0</v>
      </c>
      <c r="D307" s="248">
        <f t="shared" si="412"/>
        <v>0</v>
      </c>
      <c r="E307" s="248">
        <f t="shared" si="412"/>
        <v>0</v>
      </c>
      <c r="F307" s="248">
        <f t="shared" si="412"/>
        <v>0</v>
      </c>
      <c r="G307" s="248">
        <f t="shared" si="412"/>
        <v>0</v>
      </c>
      <c r="H307" s="248">
        <f t="shared" si="412"/>
        <v>0</v>
      </c>
      <c r="I307" s="248">
        <f t="shared" si="412"/>
        <v>0</v>
      </c>
      <c r="J307" s="248">
        <f t="shared" si="412"/>
        <v>0</v>
      </c>
      <c r="K307" s="248">
        <f t="shared" si="412"/>
        <v>0</v>
      </c>
      <c r="L307" s="248">
        <f t="shared" si="412"/>
        <v>0</v>
      </c>
      <c r="M307" s="248">
        <f t="shared" si="412"/>
        <v>0</v>
      </c>
      <c r="N307" s="248">
        <f t="shared" si="412"/>
        <v>0</v>
      </c>
      <c r="O307" s="248">
        <f t="shared" si="412"/>
        <v>0</v>
      </c>
      <c r="P307" s="248">
        <f t="shared" si="412"/>
        <v>0</v>
      </c>
      <c r="Q307" s="248">
        <f t="shared" si="412"/>
        <v>0</v>
      </c>
      <c r="R307" s="248">
        <f t="shared" si="412"/>
        <v>0</v>
      </c>
      <c r="S307" s="248">
        <f t="shared" si="412"/>
        <v>0</v>
      </c>
      <c r="T307" s="248">
        <f t="shared" si="412"/>
        <v>0</v>
      </c>
      <c r="U307" s="248">
        <f t="shared" si="412"/>
        <v>0</v>
      </c>
      <c r="V307" s="248">
        <f t="shared" si="412"/>
        <v>0</v>
      </c>
      <c r="W307" s="248">
        <f t="shared" si="412"/>
        <v>0</v>
      </c>
      <c r="X307" s="248">
        <f t="shared" si="412"/>
        <v>0</v>
      </c>
      <c r="Y307" s="249">
        <f>E307+I307+M307+Q307+U307</f>
        <v>0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413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414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415">SUM(K309:L309)</f>
        <v>0</v>
      </c>
      <c r="N309" s="58"/>
      <c r="O309" s="124">
        <f>O302*A309*1.03*1.03*1.03*1.03</f>
        <v>0</v>
      </c>
      <c r="P309" s="56">
        <f>P302*A309*1.03*1.03*1.03</f>
        <v>0</v>
      </c>
      <c r="Q309" s="57">
        <f t="shared" ref="Q309:Q311" si="416">SUM(O309:P309)</f>
        <v>0</v>
      </c>
      <c r="R309" s="58"/>
      <c r="S309" s="124">
        <f>S302*A309*1.03*1.03*1.03*1.03*1.03</f>
        <v>0</v>
      </c>
      <c r="T309" s="56">
        <f>T302*A309*1.03*1.03*1.03*1.03</f>
        <v>0</v>
      </c>
      <c r="U309" s="57">
        <f t="shared" ref="U309:U311" si="417">SUM(S309:T309)</f>
        <v>0</v>
      </c>
      <c r="V309" s="59"/>
      <c r="W309" s="124">
        <f t="shared" ref="W309:Y312" si="418">C309+G309+K309+O309+S309</f>
        <v>0</v>
      </c>
      <c r="X309" s="57">
        <f t="shared" si="418"/>
        <v>0</v>
      </c>
      <c r="Y309" s="84">
        <f t="shared" si="418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0.54779999999999995</v>
      </c>
      <c r="B310" s="52" t="s">
        <v>109</v>
      </c>
      <c r="C310" s="124">
        <f>C300*(A310*1.03)</f>
        <v>0</v>
      </c>
      <c r="D310" s="56">
        <f>D300*A310*1.03</f>
        <v>0</v>
      </c>
      <c r="E310" s="56">
        <f t="shared" si="413"/>
        <v>0</v>
      </c>
      <c r="F310" s="58"/>
      <c r="G310" s="124">
        <f>G300*A310*1.03*1.03</f>
        <v>0</v>
      </c>
      <c r="H310" s="56">
        <f>H300*A310*1.03*1.03</f>
        <v>0</v>
      </c>
      <c r="I310" s="57">
        <f t="shared" si="414"/>
        <v>0</v>
      </c>
      <c r="J310" s="58"/>
      <c r="K310" s="124">
        <f>K304*A310*1.03*1.03</f>
        <v>0</v>
      </c>
      <c r="L310" s="56">
        <f>L304*A310*1.03*1.03</f>
        <v>0</v>
      </c>
      <c r="M310" s="57">
        <f t="shared" si="415"/>
        <v>0</v>
      </c>
      <c r="N310" s="58"/>
      <c r="O310" s="124">
        <f>O304*A310*1.03*1.03*1.03</f>
        <v>0</v>
      </c>
      <c r="P310" s="56">
        <f>P304*A310*1.03*1.03*1.03</f>
        <v>0</v>
      </c>
      <c r="Q310" s="57">
        <f t="shared" si="416"/>
        <v>0</v>
      </c>
      <c r="R310" s="58"/>
      <c r="S310" s="124">
        <f>S304*A310*1.03*1.03*1.03*1.03</f>
        <v>0</v>
      </c>
      <c r="T310" s="56">
        <f>T304*A310*1.03*1.03*1.03*1.03</f>
        <v>0</v>
      </c>
      <c r="U310" s="57">
        <f t="shared" si="417"/>
        <v>0</v>
      </c>
      <c r="V310" s="59"/>
      <c r="W310" s="124">
        <f t="shared" si="418"/>
        <v>0</v>
      </c>
      <c r="X310" s="57">
        <f t="shared" si="418"/>
        <v>0</v>
      </c>
      <c r="Y310" s="84">
        <f t="shared" si="418"/>
        <v>0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413"/>
        <v>0</v>
      </c>
      <c r="F311" s="58"/>
      <c r="G311" s="55">
        <f>C311*1.05</f>
        <v>0</v>
      </c>
      <c r="H311" s="57">
        <f>D311*1.05</f>
        <v>0</v>
      </c>
      <c r="I311" s="57">
        <f t="shared" si="414"/>
        <v>0</v>
      </c>
      <c r="J311" s="58"/>
      <c r="K311" s="55">
        <f>K300*A310*1.03*1.03*1.03</f>
        <v>0</v>
      </c>
      <c r="L311" s="56">
        <f>L300*A310*1.03*1.03*1.03</f>
        <v>0</v>
      </c>
      <c r="M311" s="57">
        <f t="shared" si="415"/>
        <v>0</v>
      </c>
      <c r="N311" s="58"/>
      <c r="O311" s="55">
        <f>O300*A310*1.03*1.03*1.03*1.03</f>
        <v>0</v>
      </c>
      <c r="P311" s="56">
        <f>P300*A310*1.03*1.03*1.03*1.03</f>
        <v>0</v>
      </c>
      <c r="Q311" s="57">
        <f t="shared" si="416"/>
        <v>0</v>
      </c>
      <c r="R311" s="58"/>
      <c r="S311" s="55">
        <f>S300*A310*1.03*1.03*1.03*1.03*1.03</f>
        <v>0</v>
      </c>
      <c r="T311" s="56">
        <f>T300*A310*1.03*1.03*1.03*1.03*1.03</f>
        <v>0</v>
      </c>
      <c r="U311" s="57">
        <f t="shared" si="417"/>
        <v>0</v>
      </c>
      <c r="V311" s="59"/>
      <c r="W311" s="124">
        <f t="shared" si="418"/>
        <v>0</v>
      </c>
      <c r="X311" s="57">
        <f t="shared" si="418"/>
        <v>0</v>
      </c>
      <c r="Y311" s="84">
        <f t="shared" si="418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0</v>
      </c>
      <c r="D312" s="125">
        <f>SUM(D309:D311)</f>
        <v>0</v>
      </c>
      <c r="E312" s="125">
        <f>SUM(E309:E311)</f>
        <v>0</v>
      </c>
      <c r="F312" s="81"/>
      <c r="G312" s="79">
        <f>SUM(G309:G311)</f>
        <v>0</v>
      </c>
      <c r="H312" s="80">
        <f>SUM(H309:H311)</f>
        <v>0</v>
      </c>
      <c r="I312" s="80">
        <f>SUM(I309:I311)</f>
        <v>0</v>
      </c>
      <c r="J312" s="81"/>
      <c r="K312" s="79">
        <f>SUM(K309:K311)</f>
        <v>0</v>
      </c>
      <c r="L312" s="80">
        <f>SUM(L309:L311)</f>
        <v>0</v>
      </c>
      <c r="M312" s="80">
        <f>SUM(M309:M311)</f>
        <v>0</v>
      </c>
      <c r="N312" s="81"/>
      <c r="O312" s="79">
        <f>SUM(O309:O311)</f>
        <v>0</v>
      </c>
      <c r="P312" s="80">
        <f>SUM(P309:P311)</f>
        <v>0</v>
      </c>
      <c r="Q312" s="80">
        <f>SUM(Q309:Q311)</f>
        <v>0</v>
      </c>
      <c r="R312" s="81"/>
      <c r="S312" s="79">
        <f>SUM(S309:S311)</f>
        <v>0</v>
      </c>
      <c r="T312" s="80">
        <f>SUM(T309:T311)</f>
        <v>0</v>
      </c>
      <c r="U312" s="80">
        <f>SUM(U309:U311)</f>
        <v>0</v>
      </c>
      <c r="V312" s="82"/>
      <c r="W312" s="228">
        <f t="shared" si="418"/>
        <v>0</v>
      </c>
      <c r="X312" s="80">
        <f t="shared" si="418"/>
        <v>0</v>
      </c>
      <c r="Y312" s="80">
        <f t="shared" si="418"/>
        <v>0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419">C312+C307</f>
        <v>0</v>
      </c>
      <c r="D313" s="248">
        <f t="shared" si="419"/>
        <v>0</v>
      </c>
      <c r="E313" s="248">
        <f t="shared" si="419"/>
        <v>0</v>
      </c>
      <c r="F313" s="248">
        <f t="shared" si="419"/>
        <v>0</v>
      </c>
      <c r="G313" s="248">
        <f t="shared" si="419"/>
        <v>0</v>
      </c>
      <c r="H313" s="248">
        <f t="shared" si="419"/>
        <v>0</v>
      </c>
      <c r="I313" s="248">
        <f t="shared" si="419"/>
        <v>0</v>
      </c>
      <c r="J313" s="248">
        <f t="shared" si="419"/>
        <v>0</v>
      </c>
      <c r="K313" s="248">
        <f t="shared" si="419"/>
        <v>0</v>
      </c>
      <c r="L313" s="248">
        <f t="shared" si="419"/>
        <v>0</v>
      </c>
      <c r="M313" s="248">
        <f t="shared" si="419"/>
        <v>0</v>
      </c>
      <c r="N313" s="248">
        <f t="shared" si="419"/>
        <v>0</v>
      </c>
      <c r="O313" s="248">
        <f t="shared" si="419"/>
        <v>0</v>
      </c>
      <c r="P313" s="248">
        <f t="shared" si="419"/>
        <v>0</v>
      </c>
      <c r="Q313" s="248">
        <f t="shared" si="419"/>
        <v>0</v>
      </c>
      <c r="R313" s="248">
        <f t="shared" si="419"/>
        <v>0</v>
      </c>
      <c r="S313" s="248">
        <f t="shared" si="419"/>
        <v>0</v>
      </c>
      <c r="T313" s="248">
        <f t="shared" si="419"/>
        <v>0</v>
      </c>
      <c r="U313" s="248">
        <f t="shared" si="419"/>
        <v>0</v>
      </c>
      <c r="V313" s="248">
        <f t="shared" si="419"/>
        <v>0</v>
      </c>
      <c r="W313" s="248">
        <f t="shared" si="419"/>
        <v>0</v>
      </c>
      <c r="X313" s="248">
        <f t="shared" si="419"/>
        <v>0</v>
      </c>
      <c r="Y313" s="248">
        <f t="shared" si="419"/>
        <v>0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420">SUM(C315:D315)</f>
        <v>0</v>
      </c>
      <c r="F315" s="58"/>
      <c r="G315" s="55">
        <v>0</v>
      </c>
      <c r="H315" s="57">
        <v>0</v>
      </c>
      <c r="I315" s="57">
        <f t="shared" ref="I315:I317" si="421">SUM(G315:H315)</f>
        <v>0</v>
      </c>
      <c r="J315" s="58"/>
      <c r="K315" s="55">
        <v>0</v>
      </c>
      <c r="L315" s="57">
        <v>0</v>
      </c>
      <c r="M315" s="57">
        <f t="shared" ref="M315:M317" si="422">SUM(K315:L315)</f>
        <v>0</v>
      </c>
      <c r="N315" s="58"/>
      <c r="O315" s="55">
        <v>0</v>
      </c>
      <c r="P315" s="57">
        <v>0</v>
      </c>
      <c r="Q315" s="57">
        <f t="shared" ref="Q315:Q317" si="423">SUM(O315:P315)</f>
        <v>0</v>
      </c>
      <c r="R315" s="58"/>
      <c r="S315" s="55">
        <v>0</v>
      </c>
      <c r="T315" s="57">
        <v>0</v>
      </c>
      <c r="U315" s="57">
        <f t="shared" ref="U315:U317" si="424">SUM(S315:T315)</f>
        <v>0</v>
      </c>
      <c r="V315" s="59"/>
      <c r="W315" s="124">
        <f t="shared" ref="W315:Y318" si="425">C315+G315+K315+O315+S315</f>
        <v>0</v>
      </c>
      <c r="X315" s="57">
        <f t="shared" si="425"/>
        <v>0</v>
      </c>
      <c r="Y315" s="84">
        <f t="shared" si="425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420"/>
        <v>0</v>
      </c>
      <c r="F316" s="58"/>
      <c r="G316" s="55">
        <v>0</v>
      </c>
      <c r="H316" s="57">
        <v>0</v>
      </c>
      <c r="I316" s="57">
        <f t="shared" si="421"/>
        <v>0</v>
      </c>
      <c r="J316" s="58"/>
      <c r="K316" s="55">
        <v>0</v>
      </c>
      <c r="L316" s="57">
        <v>0</v>
      </c>
      <c r="M316" s="57">
        <f t="shared" si="422"/>
        <v>0</v>
      </c>
      <c r="N316" s="58"/>
      <c r="O316" s="55">
        <f>K316</f>
        <v>0</v>
      </c>
      <c r="P316" s="57">
        <v>0</v>
      </c>
      <c r="Q316" s="57">
        <f t="shared" si="423"/>
        <v>0</v>
      </c>
      <c r="R316" s="58"/>
      <c r="S316" s="55">
        <f>O316</f>
        <v>0</v>
      </c>
      <c r="T316" s="57">
        <v>0</v>
      </c>
      <c r="U316" s="57">
        <f t="shared" si="424"/>
        <v>0</v>
      </c>
      <c r="V316" s="59"/>
      <c r="W316" s="124">
        <f t="shared" si="425"/>
        <v>0</v>
      </c>
      <c r="X316" s="57">
        <f t="shared" si="425"/>
        <v>0</v>
      </c>
      <c r="Y316" s="84">
        <f t="shared" si="425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420"/>
        <v>0</v>
      </c>
      <c r="F317" s="58"/>
      <c r="G317" s="55">
        <v>0</v>
      </c>
      <c r="H317" s="57">
        <v>0</v>
      </c>
      <c r="I317" s="57">
        <f t="shared" si="421"/>
        <v>0</v>
      </c>
      <c r="J317" s="58"/>
      <c r="K317" s="55">
        <f>G317</f>
        <v>0</v>
      </c>
      <c r="L317" s="57">
        <v>0</v>
      </c>
      <c r="M317" s="57">
        <f t="shared" si="422"/>
        <v>0</v>
      </c>
      <c r="N317" s="58"/>
      <c r="O317" s="55">
        <v>0</v>
      </c>
      <c r="P317" s="57">
        <v>0</v>
      </c>
      <c r="Q317" s="57">
        <f t="shared" si="423"/>
        <v>0</v>
      </c>
      <c r="R317" s="58"/>
      <c r="S317" s="55">
        <f>O317</f>
        <v>0</v>
      </c>
      <c r="T317" s="57">
        <v>0</v>
      </c>
      <c r="U317" s="57">
        <f t="shared" si="424"/>
        <v>0</v>
      </c>
      <c r="V317" s="59"/>
      <c r="W317" s="124">
        <f t="shared" si="425"/>
        <v>0</v>
      </c>
      <c r="X317" s="57">
        <f t="shared" si="425"/>
        <v>0</v>
      </c>
      <c r="Y317" s="84">
        <f t="shared" si="425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425"/>
        <v>0</v>
      </c>
      <c r="X318" s="80">
        <f t="shared" si="425"/>
        <v>0</v>
      </c>
      <c r="Y318" s="80">
        <f t="shared" si="425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144</v>
      </c>
      <c r="C320" s="124">
        <f>12*800*0.5*0</f>
        <v>0</v>
      </c>
      <c r="D320" s="56">
        <f>12*800*0.5*0</f>
        <v>0</v>
      </c>
      <c r="E320" s="56">
        <f t="shared" ref="E320:E322" si="426">SUM(C320:D320)</f>
        <v>0</v>
      </c>
      <c r="F320" s="58"/>
      <c r="G320" s="55">
        <f>C320</f>
        <v>0</v>
      </c>
      <c r="H320" s="57">
        <f>D320</f>
        <v>0</v>
      </c>
      <c r="I320" s="57">
        <f t="shared" ref="I320:I322" si="427">SUM(G320:H320)</f>
        <v>0</v>
      </c>
      <c r="J320" s="58"/>
      <c r="K320" s="55">
        <f>G320</f>
        <v>0</v>
      </c>
      <c r="L320" s="57">
        <f>H320</f>
        <v>0</v>
      </c>
      <c r="M320" s="57">
        <f t="shared" ref="M320:M322" si="428">SUM(K320:L320)</f>
        <v>0</v>
      </c>
      <c r="N320" s="58"/>
      <c r="O320" s="55">
        <f>K320</f>
        <v>0</v>
      </c>
      <c r="P320" s="57">
        <f>L320</f>
        <v>0</v>
      </c>
      <c r="Q320" s="57">
        <f t="shared" ref="Q320:Q322" si="429">SUM(O320:P320)</f>
        <v>0</v>
      </c>
      <c r="R320" s="58"/>
      <c r="S320" s="55">
        <f>O320</f>
        <v>0</v>
      </c>
      <c r="T320" s="57">
        <f>P320</f>
        <v>0</v>
      </c>
      <c r="U320" s="57">
        <f t="shared" ref="U320:U322" si="430">SUM(S320:T320)</f>
        <v>0</v>
      </c>
      <c r="V320" s="59"/>
      <c r="W320" s="124">
        <f t="shared" ref="W320:Y323" si="431">C320+G320+K320+O320+S320</f>
        <v>0</v>
      </c>
      <c r="X320" s="57">
        <f t="shared" si="431"/>
        <v>0</v>
      </c>
      <c r="Y320" s="84">
        <f t="shared" si="431"/>
        <v>0</v>
      </c>
    </row>
    <row r="321" spans="1:77" s="61" customFormat="1" x14ac:dyDescent="0.25">
      <c r="A321" s="203"/>
      <c r="B321" s="52" t="s">
        <v>57</v>
      </c>
      <c r="C321" s="124">
        <f>2000*5*0.5*0</f>
        <v>0</v>
      </c>
      <c r="D321" s="56">
        <f>2000*5*0.5*0</f>
        <v>0</v>
      </c>
      <c r="E321" s="56">
        <f t="shared" si="426"/>
        <v>0</v>
      </c>
      <c r="F321" s="58"/>
      <c r="G321" s="55">
        <f>C321</f>
        <v>0</v>
      </c>
      <c r="H321" s="57">
        <f>D321</f>
        <v>0</v>
      </c>
      <c r="I321" s="57">
        <f t="shared" si="427"/>
        <v>0</v>
      </c>
      <c r="J321" s="58"/>
      <c r="K321" s="55">
        <f>G321</f>
        <v>0</v>
      </c>
      <c r="L321" s="57">
        <f>H321</f>
        <v>0</v>
      </c>
      <c r="M321" s="57">
        <f t="shared" si="428"/>
        <v>0</v>
      </c>
      <c r="N321" s="58"/>
      <c r="O321" s="55">
        <f>K321</f>
        <v>0</v>
      </c>
      <c r="P321" s="57">
        <f>L321</f>
        <v>0</v>
      </c>
      <c r="Q321" s="57">
        <f t="shared" si="429"/>
        <v>0</v>
      </c>
      <c r="R321" s="58"/>
      <c r="S321" s="55">
        <f>O321</f>
        <v>0</v>
      </c>
      <c r="T321" s="57">
        <f>P321</f>
        <v>0</v>
      </c>
      <c r="U321" s="57">
        <f t="shared" si="430"/>
        <v>0</v>
      </c>
      <c r="V321" s="59"/>
      <c r="W321" s="124">
        <f t="shared" si="431"/>
        <v>0</v>
      </c>
      <c r="X321" s="57">
        <f t="shared" si="431"/>
        <v>0</v>
      </c>
      <c r="Y321" s="84">
        <f t="shared" si="431"/>
        <v>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si="426"/>
        <v>0</v>
      </c>
      <c r="F322" s="58"/>
      <c r="G322" s="55">
        <v>0</v>
      </c>
      <c r="H322" s="57">
        <v>0</v>
      </c>
      <c r="I322" s="57">
        <f t="shared" si="427"/>
        <v>0</v>
      </c>
      <c r="J322" s="58"/>
      <c r="K322" s="55">
        <v>0</v>
      </c>
      <c r="L322" s="57">
        <v>0</v>
      </c>
      <c r="M322" s="57">
        <f t="shared" si="428"/>
        <v>0</v>
      </c>
      <c r="N322" s="58"/>
      <c r="O322" s="55">
        <v>0</v>
      </c>
      <c r="P322" s="57">
        <v>0</v>
      </c>
      <c r="Q322" s="57">
        <f t="shared" si="429"/>
        <v>0</v>
      </c>
      <c r="R322" s="58"/>
      <c r="S322" s="55">
        <v>0</v>
      </c>
      <c r="T322" s="57">
        <v>0</v>
      </c>
      <c r="U322" s="57">
        <f t="shared" si="430"/>
        <v>0</v>
      </c>
      <c r="V322" s="59"/>
      <c r="W322" s="124">
        <f t="shared" si="431"/>
        <v>0</v>
      </c>
      <c r="X322" s="57">
        <f t="shared" si="431"/>
        <v>0</v>
      </c>
      <c r="Y322" s="84">
        <f t="shared" si="431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0</v>
      </c>
      <c r="D323" s="125">
        <f>SUM(D320:D322)</f>
        <v>0</v>
      </c>
      <c r="E323" s="125">
        <f>SUM(E320:E322)</f>
        <v>0</v>
      </c>
      <c r="F323" s="81"/>
      <c r="G323" s="79">
        <f>SUM(G320:G322)</f>
        <v>0</v>
      </c>
      <c r="H323" s="80">
        <f>SUM(H320:H322)</f>
        <v>0</v>
      </c>
      <c r="I323" s="80">
        <f>SUM(I320:I322)</f>
        <v>0</v>
      </c>
      <c r="J323" s="81"/>
      <c r="K323" s="79">
        <f>SUM(K320:K322)</f>
        <v>0</v>
      </c>
      <c r="L323" s="80">
        <f>SUM(L320:L322)</f>
        <v>0</v>
      </c>
      <c r="M323" s="80">
        <f>SUM(M320:M322)</f>
        <v>0</v>
      </c>
      <c r="N323" s="81"/>
      <c r="O323" s="79">
        <f>SUM(O320:O322)</f>
        <v>0</v>
      </c>
      <c r="P323" s="80">
        <f>SUM(P320:P322)</f>
        <v>0</v>
      </c>
      <c r="Q323" s="80">
        <f>SUM(Q320:Q322)</f>
        <v>0</v>
      </c>
      <c r="R323" s="81"/>
      <c r="S323" s="79">
        <f>SUM(S320:S322)</f>
        <v>0</v>
      </c>
      <c r="T323" s="80">
        <f>SUM(T320:T322)</f>
        <v>0</v>
      </c>
      <c r="U323" s="80">
        <f>SUM(U320:U322)</f>
        <v>0</v>
      </c>
      <c r="V323" s="82"/>
      <c r="W323" s="228">
        <f t="shared" si="431"/>
        <v>0</v>
      </c>
      <c r="X323" s="80">
        <f t="shared" si="431"/>
        <v>0</v>
      </c>
      <c r="Y323" s="80">
        <f t="shared" si="431"/>
        <v>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Y327" si="432">C325+G325+K325+O325+S325</f>
        <v>0</v>
      </c>
      <c r="X325" s="57">
        <f t="shared" si="432"/>
        <v>0</v>
      </c>
      <c r="Y325" s="84">
        <f t="shared" si="432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432"/>
        <v>0</v>
      </c>
      <c r="X326" s="56">
        <f t="shared" si="432"/>
        <v>0</v>
      </c>
      <c r="Y326" s="85">
        <f t="shared" si="432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432"/>
        <v>0</v>
      </c>
      <c r="X327" s="80">
        <f t="shared" si="432"/>
        <v>0</v>
      </c>
      <c r="Y327" s="80">
        <f t="shared" si="432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169" customFormat="1" x14ac:dyDescent="0.25">
      <c r="B329" s="169" t="s">
        <v>116</v>
      </c>
      <c r="C329" s="172">
        <v>0</v>
      </c>
      <c r="D329" s="174">
        <v>0</v>
      </c>
      <c r="E329" s="173">
        <f t="shared" ref="E329" si="433">SUM(C329:D329)</f>
        <v>0</v>
      </c>
      <c r="F329" s="175"/>
      <c r="G329" s="172">
        <f>C329</f>
        <v>0</v>
      </c>
      <c r="H329" s="174">
        <v>0</v>
      </c>
      <c r="I329" s="173">
        <f t="shared" ref="I329" si="434">SUM(G329:H329)</f>
        <v>0</v>
      </c>
      <c r="J329" s="175"/>
      <c r="K329" s="172">
        <f>G329</f>
        <v>0</v>
      </c>
      <c r="L329" s="174">
        <v>0</v>
      </c>
      <c r="M329" s="173">
        <f t="shared" ref="M329" si="435">SUM(K329:L329)</f>
        <v>0</v>
      </c>
      <c r="N329" s="175"/>
      <c r="O329" s="172">
        <f>K329</f>
        <v>0</v>
      </c>
      <c r="P329" s="174">
        <v>0</v>
      </c>
      <c r="Q329" s="174">
        <f t="shared" ref="Q329" si="436">SUM(O329:P329)</f>
        <v>0</v>
      </c>
      <c r="R329" s="175"/>
      <c r="S329" s="172">
        <f>O329</f>
        <v>0</v>
      </c>
      <c r="T329" s="174">
        <v>0</v>
      </c>
      <c r="U329" s="173">
        <f t="shared" ref="U329" si="437">SUM(S329:T329)</f>
        <v>0</v>
      </c>
      <c r="V329" s="176"/>
      <c r="W329" s="227">
        <f t="shared" ref="W329:Y333" si="438">C329+G329+K329+O329+S329</f>
        <v>0</v>
      </c>
      <c r="X329" s="173">
        <f t="shared" si="438"/>
        <v>0</v>
      </c>
      <c r="Y329" s="186">
        <f t="shared" si="438"/>
        <v>0</v>
      </c>
    </row>
    <row r="330" spans="1:77" s="61" customFormat="1" x14ac:dyDescent="0.25">
      <c r="A330" s="203"/>
      <c r="B330" s="54" t="s">
        <v>57</v>
      </c>
      <c r="C330" s="124">
        <v>0</v>
      </c>
      <c r="D330" s="56">
        <v>0</v>
      </c>
      <c r="E330" s="56">
        <f t="shared" ref="E330:E332" si="439">SUM(C330:D330)</f>
        <v>0</v>
      </c>
      <c r="F330" s="58"/>
      <c r="G330" s="55">
        <v>0</v>
      </c>
      <c r="H330" s="57">
        <v>0</v>
      </c>
      <c r="I330" s="57">
        <f t="shared" ref="I330:I332" si="440">SUM(G330:H330)</f>
        <v>0</v>
      </c>
      <c r="J330" s="58"/>
      <c r="K330" s="55">
        <v>0</v>
      </c>
      <c r="L330" s="56">
        <v>0</v>
      </c>
      <c r="M330" s="57">
        <f t="shared" ref="M330:M332" si="441">SUM(K330:L330)</f>
        <v>0</v>
      </c>
      <c r="N330" s="58"/>
      <c r="O330" s="55">
        <v>0</v>
      </c>
      <c r="P330" s="57">
        <v>0</v>
      </c>
      <c r="Q330" s="57">
        <f t="shared" ref="Q330:Q332" si="442">SUM(O330:P330)</f>
        <v>0</v>
      </c>
      <c r="R330" s="58"/>
      <c r="S330" s="55">
        <v>0</v>
      </c>
      <c r="T330" s="56">
        <v>0</v>
      </c>
      <c r="U330" s="57">
        <f t="shared" ref="U330:U332" si="443">SUM(S330:T330)</f>
        <v>0</v>
      </c>
      <c r="V330" s="59"/>
      <c r="W330" s="124">
        <f t="shared" si="438"/>
        <v>0</v>
      </c>
      <c r="X330" s="57">
        <f t="shared" si="438"/>
        <v>0</v>
      </c>
      <c r="Y330" s="84">
        <f t="shared" si="438"/>
        <v>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si="439"/>
        <v>0</v>
      </c>
      <c r="F331" s="58"/>
      <c r="G331" s="55">
        <v>0</v>
      </c>
      <c r="H331" s="57"/>
      <c r="I331" s="57">
        <f t="shared" si="440"/>
        <v>0</v>
      </c>
      <c r="J331" s="58"/>
      <c r="K331" s="55">
        <v>0</v>
      </c>
      <c r="L331" s="56">
        <v>0</v>
      </c>
      <c r="M331" s="57">
        <f t="shared" si="441"/>
        <v>0</v>
      </c>
      <c r="N331" s="58"/>
      <c r="O331" s="55">
        <v>0</v>
      </c>
      <c r="P331" s="56">
        <v>0</v>
      </c>
      <c r="Q331" s="56">
        <f t="shared" si="442"/>
        <v>0</v>
      </c>
      <c r="R331" s="58"/>
      <c r="S331" s="55">
        <v>0</v>
      </c>
      <c r="T331" s="56">
        <v>0</v>
      </c>
      <c r="U331" s="57">
        <f t="shared" si="443"/>
        <v>0</v>
      </c>
      <c r="V331" s="59"/>
      <c r="W331" s="124">
        <f t="shared" si="438"/>
        <v>0</v>
      </c>
      <c r="X331" s="57">
        <f t="shared" si="438"/>
        <v>0</v>
      </c>
      <c r="Y331" s="84">
        <f t="shared" si="438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439"/>
        <v>0</v>
      </c>
      <c r="F332" s="58"/>
      <c r="G332" s="55">
        <v>0</v>
      </c>
      <c r="H332" s="57">
        <v>0</v>
      </c>
      <c r="I332" s="57">
        <f t="shared" si="440"/>
        <v>0</v>
      </c>
      <c r="J332" s="58"/>
      <c r="K332" s="55">
        <v>0</v>
      </c>
      <c r="L332" s="57">
        <v>0</v>
      </c>
      <c r="M332" s="57">
        <f t="shared" si="441"/>
        <v>0</v>
      </c>
      <c r="N332" s="58"/>
      <c r="O332" s="55">
        <v>0</v>
      </c>
      <c r="P332" s="57">
        <v>0</v>
      </c>
      <c r="Q332" s="57">
        <f t="shared" si="442"/>
        <v>0</v>
      </c>
      <c r="R332" s="58"/>
      <c r="S332" s="55">
        <v>0</v>
      </c>
      <c r="T332" s="57">
        <v>0</v>
      </c>
      <c r="U332" s="57">
        <f t="shared" si="443"/>
        <v>0</v>
      </c>
      <c r="V332" s="59"/>
      <c r="W332" s="124">
        <f t="shared" si="438"/>
        <v>0</v>
      </c>
      <c r="X332" s="57">
        <f t="shared" si="438"/>
        <v>0</v>
      </c>
      <c r="Y332" s="84">
        <f t="shared" si="438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0</v>
      </c>
      <c r="D333" s="153">
        <f>SUM(D329:D332)</f>
        <v>0</v>
      </c>
      <c r="E333" s="153">
        <f>SUM(E329:E332)</f>
        <v>0</v>
      </c>
      <c r="F333" s="154"/>
      <c r="G333" s="152">
        <f>SUM(G329:G332)</f>
        <v>0</v>
      </c>
      <c r="H333" s="155">
        <f>SUM(H329:H332)</f>
        <v>0</v>
      </c>
      <c r="I333" s="155">
        <f>SUM(I329:I332)</f>
        <v>0</v>
      </c>
      <c r="J333" s="154"/>
      <c r="K333" s="152">
        <f>SUM(K329:K332)</f>
        <v>0</v>
      </c>
      <c r="L333" s="155">
        <f>SUM(L329:L332)</f>
        <v>0</v>
      </c>
      <c r="M333" s="155">
        <f>SUM(M329:M332)</f>
        <v>0</v>
      </c>
      <c r="N333" s="154"/>
      <c r="O333" s="152">
        <f>SUM(O329:O332)</f>
        <v>0</v>
      </c>
      <c r="P333" s="155">
        <f>SUM(P329:P332)</f>
        <v>0</v>
      </c>
      <c r="Q333" s="155">
        <f>SUM(Q329:Q332)</f>
        <v>0</v>
      </c>
      <c r="R333" s="154"/>
      <c r="S333" s="152">
        <f>SUM(S329:S332)</f>
        <v>0</v>
      </c>
      <c r="T333" s="155">
        <f>SUM(T329:T332)</f>
        <v>0</v>
      </c>
      <c r="U333" s="155">
        <f>SUM(U329:U332)</f>
        <v>0</v>
      </c>
      <c r="V333" s="82"/>
      <c r="W333" s="228">
        <f t="shared" si="438"/>
        <v>0</v>
      </c>
      <c r="X333" s="80">
        <f t="shared" si="438"/>
        <v>0</v>
      </c>
      <c r="Y333" s="80">
        <f t="shared" si="438"/>
        <v>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444">SUM(C313+C318+C323+C327+C333)</f>
        <v>0</v>
      </c>
      <c r="D334" s="251">
        <f t="shared" si="444"/>
        <v>0</v>
      </c>
      <c r="E334" s="251">
        <f t="shared" si="444"/>
        <v>0</v>
      </c>
      <c r="F334" s="251">
        <f t="shared" si="444"/>
        <v>0</v>
      </c>
      <c r="G334" s="251">
        <f t="shared" si="444"/>
        <v>0</v>
      </c>
      <c r="H334" s="251">
        <f t="shared" si="444"/>
        <v>0</v>
      </c>
      <c r="I334" s="251">
        <f t="shared" si="444"/>
        <v>0</v>
      </c>
      <c r="J334" s="251">
        <f t="shared" si="444"/>
        <v>0</v>
      </c>
      <c r="K334" s="251">
        <f t="shared" si="444"/>
        <v>0</v>
      </c>
      <c r="L334" s="251">
        <f t="shared" si="444"/>
        <v>0</v>
      </c>
      <c r="M334" s="251">
        <f t="shared" si="444"/>
        <v>0</v>
      </c>
      <c r="N334" s="251">
        <f t="shared" si="444"/>
        <v>0</v>
      </c>
      <c r="O334" s="251">
        <f t="shared" si="444"/>
        <v>0</v>
      </c>
      <c r="P334" s="251">
        <f t="shared" si="444"/>
        <v>0</v>
      </c>
      <c r="Q334" s="251">
        <f t="shared" si="444"/>
        <v>0</v>
      </c>
      <c r="R334" s="251">
        <f t="shared" si="444"/>
        <v>0</v>
      </c>
      <c r="S334" s="251">
        <f t="shared" si="444"/>
        <v>0</v>
      </c>
      <c r="T334" s="251">
        <f t="shared" si="444"/>
        <v>0</v>
      </c>
      <c r="U334" s="251">
        <f t="shared" si="444"/>
        <v>0</v>
      </c>
      <c r="V334" s="251">
        <f t="shared" si="444"/>
        <v>0</v>
      </c>
      <c r="W334" s="251">
        <f t="shared" si="444"/>
        <v>0</v>
      </c>
      <c r="X334" s="251">
        <f t="shared" si="444"/>
        <v>0</v>
      </c>
      <c r="Y334" s="251">
        <f t="shared" si="444"/>
        <v>0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((C307)*0.56)</f>
        <v>0</v>
      </c>
      <c r="D335" s="251">
        <v>0</v>
      </c>
      <c r="E335" s="251">
        <f>C335</f>
        <v>0</v>
      </c>
      <c r="F335" s="251">
        <f>F307*0.47</f>
        <v>0</v>
      </c>
      <c r="G335" s="251">
        <f>((G307)*0.56)</f>
        <v>0</v>
      </c>
      <c r="H335" s="251">
        <v>0</v>
      </c>
      <c r="I335" s="251">
        <f>G335</f>
        <v>0</v>
      </c>
      <c r="J335" s="251">
        <f>J307*0.47</f>
        <v>0</v>
      </c>
      <c r="K335" s="251">
        <f>((K307)*0.56)</f>
        <v>0</v>
      </c>
      <c r="L335" s="251">
        <v>0</v>
      </c>
      <c r="M335" s="251">
        <f>K335</f>
        <v>0</v>
      </c>
      <c r="N335" s="251">
        <f>N307*0.47</f>
        <v>0</v>
      </c>
      <c r="O335" s="251">
        <f>((O307)*0.56)</f>
        <v>0</v>
      </c>
      <c r="P335" s="251">
        <v>0</v>
      </c>
      <c r="Q335" s="251">
        <f>O335</f>
        <v>0</v>
      </c>
      <c r="R335" s="251">
        <f>R307*0.47</f>
        <v>0</v>
      </c>
      <c r="S335" s="251">
        <f>((S307)*0.56)</f>
        <v>0</v>
      </c>
      <c r="T335" s="251">
        <v>0</v>
      </c>
      <c r="U335" s="251">
        <f>S335</f>
        <v>0</v>
      </c>
      <c r="V335" s="251">
        <f>V307*0.47</f>
        <v>0</v>
      </c>
      <c r="W335" s="251">
        <f>((W307)*0.56)</f>
        <v>0</v>
      </c>
      <c r="X335" s="251">
        <v>0</v>
      </c>
      <c r="Y335" s="251">
        <f>W335</f>
        <v>0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0</v>
      </c>
      <c r="D336" s="251">
        <f t="shared" ref="D336:Y336" si="445">SUM(D334:D335)</f>
        <v>0</v>
      </c>
      <c r="E336" s="251">
        <f t="shared" si="445"/>
        <v>0</v>
      </c>
      <c r="F336" s="251">
        <f t="shared" si="445"/>
        <v>0</v>
      </c>
      <c r="G336" s="251">
        <f t="shared" si="445"/>
        <v>0</v>
      </c>
      <c r="H336" s="251">
        <f t="shared" si="445"/>
        <v>0</v>
      </c>
      <c r="I336" s="251">
        <f t="shared" si="445"/>
        <v>0</v>
      </c>
      <c r="J336" s="251">
        <f t="shared" si="445"/>
        <v>0</v>
      </c>
      <c r="K336" s="251">
        <f t="shared" si="445"/>
        <v>0</v>
      </c>
      <c r="L336" s="251">
        <f t="shared" si="445"/>
        <v>0</v>
      </c>
      <c r="M336" s="251">
        <f t="shared" si="445"/>
        <v>0</v>
      </c>
      <c r="N336" s="251">
        <f t="shared" si="445"/>
        <v>0</v>
      </c>
      <c r="O336" s="251">
        <f t="shared" si="445"/>
        <v>0</v>
      </c>
      <c r="P336" s="251">
        <f t="shared" si="445"/>
        <v>0</v>
      </c>
      <c r="Q336" s="251">
        <f t="shared" si="445"/>
        <v>0</v>
      </c>
      <c r="R336" s="251">
        <f t="shared" si="445"/>
        <v>0</v>
      </c>
      <c r="S336" s="251">
        <f t="shared" si="445"/>
        <v>0</v>
      </c>
      <c r="T336" s="251">
        <f t="shared" si="445"/>
        <v>0</v>
      </c>
      <c r="U336" s="251">
        <f t="shared" si="445"/>
        <v>0</v>
      </c>
      <c r="V336" s="251">
        <f t="shared" si="445"/>
        <v>0</v>
      </c>
      <c r="W336" s="251">
        <f t="shared" si="445"/>
        <v>0</v>
      </c>
      <c r="X336" s="251">
        <f t="shared" si="445"/>
        <v>0</v>
      </c>
      <c r="Y336" s="251">
        <f t="shared" si="445"/>
        <v>0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89670.808103499992</v>
      </c>
      <c r="D339" s="121">
        <f t="shared" ref="D339:X339" si="446">D248+D176+D88+D292+D336</f>
        <v>167504.67210239999</v>
      </c>
      <c r="E339" s="121">
        <f t="shared" si="446"/>
        <v>257175.38020589997</v>
      </c>
      <c r="F339" s="121">
        <f t="shared" si="446"/>
        <v>0</v>
      </c>
      <c r="G339" s="121">
        <f t="shared" si="446"/>
        <v>150975.0616580424</v>
      </c>
      <c r="H339" s="121">
        <f t="shared" si="446"/>
        <v>93303.560433877123</v>
      </c>
      <c r="I339" s="121">
        <f t="shared" si="446"/>
        <v>244278.62209191953</v>
      </c>
      <c r="J339" s="121">
        <f t="shared" si="446"/>
        <v>0</v>
      </c>
      <c r="K339" s="121">
        <f t="shared" si="446"/>
        <v>95664.626729487616</v>
      </c>
      <c r="L339" s="121">
        <f t="shared" si="446"/>
        <v>96685.019324364257</v>
      </c>
      <c r="M339" s="121">
        <f t="shared" si="446"/>
        <v>192349.64605385187</v>
      </c>
      <c r="N339" s="121">
        <f t="shared" si="446"/>
        <v>0</v>
      </c>
      <c r="O339" s="121">
        <f t="shared" si="446"/>
        <v>120139.50584577795</v>
      </c>
      <c r="P339" s="121">
        <f t="shared" si="446"/>
        <v>100217.54647308396</v>
      </c>
      <c r="Q339" s="121">
        <f t="shared" si="446"/>
        <v>220357.05231886191</v>
      </c>
      <c r="R339" s="121">
        <f t="shared" si="446"/>
        <v>0</v>
      </c>
      <c r="S339" s="121">
        <f t="shared" si="446"/>
        <v>102140.05486320432</v>
      </c>
      <c r="T339" s="121">
        <f t="shared" si="446"/>
        <v>135723.59474575554</v>
      </c>
      <c r="U339" s="121">
        <f t="shared" si="446"/>
        <v>237863.64960895988</v>
      </c>
      <c r="V339" s="121">
        <f t="shared" si="446"/>
        <v>0</v>
      </c>
      <c r="W339" s="121">
        <f t="shared" si="446"/>
        <v>558589.95720001229</v>
      </c>
      <c r="X339" s="121">
        <f t="shared" si="446"/>
        <v>593434.39307948085</v>
      </c>
      <c r="Y339" s="121">
        <f>Y248+Y176+Y88+Y292+Y336</f>
        <v>1152024.3502794933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4" customFormat="1" x14ac:dyDescent="0.25">
      <c r="V340" s="45"/>
      <c r="W340" s="47"/>
      <c r="X340" s="47"/>
      <c r="Y340" s="46"/>
    </row>
    <row r="341" spans="1:77" s="4" customFormat="1" x14ac:dyDescent="0.25">
      <c r="V341" s="45"/>
      <c r="W341" s="47"/>
      <c r="X341" s="47"/>
      <c r="Y341" s="46"/>
    </row>
    <row r="342" spans="1:77" s="4" customFormat="1" x14ac:dyDescent="0.25">
      <c r="V342" s="45"/>
      <c r="W342" s="47"/>
      <c r="X342" s="47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12"/>
      <c r="X348" s="12"/>
      <c r="Y348" s="46"/>
    </row>
    <row r="349" spans="1:77" s="4" customFormat="1" x14ac:dyDescent="0.25">
      <c r="V349" s="45"/>
      <c r="W349" s="12"/>
      <c r="X349" s="12"/>
      <c r="Y349" s="46"/>
    </row>
    <row r="350" spans="1:77" s="4" customFormat="1" x14ac:dyDescent="0.25">
      <c r="V350" s="45"/>
      <c r="W350" s="12"/>
      <c r="X350" s="12"/>
      <c r="Y350" s="46"/>
    </row>
    <row r="351" spans="1:77" s="4" customFormat="1" x14ac:dyDescent="0.25">
      <c r="V351" s="45"/>
      <c r="W351" s="12"/>
      <c r="X351" s="12"/>
      <c r="Y351" s="46"/>
    </row>
    <row r="352" spans="1:77" s="4" customFormat="1" x14ac:dyDescent="0.25">
      <c r="V352" s="45"/>
      <c r="W352" s="12"/>
      <c r="X352" s="12"/>
      <c r="Y352" s="46"/>
    </row>
    <row r="353" spans="22:25" s="4" customFormat="1" x14ac:dyDescent="0.25">
      <c r="V353" s="45"/>
      <c r="W353" s="12"/>
      <c r="X353" s="12"/>
      <c r="Y353" s="46"/>
    </row>
    <row r="354" spans="22:25" s="4" customFormat="1" x14ac:dyDescent="0.25">
      <c r="V354" s="45"/>
      <c r="W354" s="12"/>
      <c r="X354" s="12"/>
      <c r="Y354" s="46"/>
    </row>
    <row r="355" spans="22:25" s="4" customFormat="1" x14ac:dyDescent="0.25">
      <c r="V355" s="45"/>
      <c r="W355" s="12"/>
      <c r="X355" s="12"/>
      <c r="Y355" s="46"/>
    </row>
    <row r="356" spans="22:25" s="4" customFormat="1" x14ac:dyDescent="0.25">
      <c r="V356" s="45"/>
      <c r="W356" s="12"/>
      <c r="X356" s="12"/>
      <c r="Y356" s="46"/>
    </row>
    <row r="357" spans="22:25" s="4" customFormat="1" x14ac:dyDescent="0.25">
      <c r="V357" s="45"/>
      <c r="W357" s="12"/>
      <c r="X357" s="12"/>
      <c r="Y357" s="46"/>
    </row>
    <row r="358" spans="22:25" s="4" customFormat="1" x14ac:dyDescent="0.25">
      <c r="V358" s="45"/>
      <c r="W358" s="12"/>
      <c r="X358" s="12"/>
      <c r="Y358" s="46"/>
    </row>
    <row r="359" spans="22:25" s="4" customFormat="1" x14ac:dyDescent="0.25">
      <c r="V359" s="45"/>
      <c r="W359" s="12"/>
      <c r="X359" s="12"/>
      <c r="Y359" s="46"/>
    </row>
    <row r="360" spans="22:25" s="4" customFormat="1" x14ac:dyDescent="0.25">
      <c r="V360" s="45"/>
      <c r="W360" s="12"/>
      <c r="X360" s="12"/>
      <c r="Y360" s="46"/>
    </row>
    <row r="361" spans="22:25" s="4" customFormat="1" x14ac:dyDescent="0.25">
      <c r="V361" s="45"/>
      <c r="W361" s="12"/>
      <c r="X361" s="12"/>
      <c r="Y361" s="46"/>
    </row>
    <row r="362" spans="22:25" s="4" customFormat="1" x14ac:dyDescent="0.25">
      <c r="V362" s="45"/>
      <c r="W362" s="12"/>
      <c r="X362" s="12"/>
      <c r="Y362" s="46"/>
    </row>
    <row r="363" spans="22:25" s="4" customFormat="1" x14ac:dyDescent="0.25">
      <c r="V363" s="45"/>
      <c r="W363" s="12"/>
      <c r="X363" s="12"/>
      <c r="Y363" s="46"/>
    </row>
    <row r="364" spans="22:25" s="4" customFormat="1" x14ac:dyDescent="0.25">
      <c r="V364" s="45"/>
      <c r="W364" s="12"/>
      <c r="X364" s="12"/>
      <c r="Y364" s="46"/>
    </row>
    <row r="365" spans="22:25" s="4" customFormat="1" x14ac:dyDescent="0.25">
      <c r="V365" s="45"/>
      <c r="W365" s="12"/>
      <c r="X365" s="12"/>
      <c r="Y365" s="46"/>
    </row>
    <row r="366" spans="22:25" s="4" customFormat="1" x14ac:dyDescent="0.25">
      <c r="V366" s="45"/>
      <c r="W366" s="12"/>
      <c r="X366" s="12"/>
      <c r="Y366" s="46"/>
    </row>
    <row r="367" spans="22:25" s="4" customFormat="1" x14ac:dyDescent="0.25">
      <c r="V367" s="45"/>
      <c r="W367" s="12"/>
      <c r="X367" s="12"/>
      <c r="Y367" s="46"/>
    </row>
    <row r="368" spans="22:25" s="4" customFormat="1" x14ac:dyDescent="0.25">
      <c r="V368" s="45"/>
      <c r="W368" s="12"/>
      <c r="X368" s="12"/>
      <c r="Y368" s="46"/>
    </row>
    <row r="369" spans="22:25" s="4" customFormat="1" x14ac:dyDescent="0.25">
      <c r="V369" s="45"/>
      <c r="W369" s="12"/>
      <c r="X369" s="12"/>
      <c r="Y369" s="46"/>
    </row>
    <row r="370" spans="22:25" s="4" customFormat="1" x14ac:dyDescent="0.25">
      <c r="V370" s="45"/>
      <c r="W370" s="12"/>
      <c r="X370" s="12"/>
      <c r="Y370" s="46"/>
    </row>
    <row r="371" spans="22:25" s="4" customFormat="1" x14ac:dyDescent="0.25">
      <c r="V371" s="45"/>
      <c r="W371" s="12"/>
      <c r="X371" s="12"/>
      <c r="Y371" s="46"/>
    </row>
    <row r="372" spans="22:25" s="4" customFormat="1" x14ac:dyDescent="0.25">
      <c r="V372" s="45"/>
      <c r="W372" s="12"/>
      <c r="X372" s="12"/>
      <c r="Y372" s="46"/>
    </row>
    <row r="373" spans="22:25" s="4" customFormat="1" x14ac:dyDescent="0.25">
      <c r="V373" s="45"/>
      <c r="W373" s="12"/>
      <c r="X373" s="12"/>
      <c r="Y373" s="46"/>
    </row>
    <row r="374" spans="22:25" s="4" customFormat="1" x14ac:dyDescent="0.25">
      <c r="V374" s="45"/>
      <c r="W374" s="12"/>
      <c r="X374" s="12"/>
      <c r="Y374" s="46"/>
    </row>
    <row r="375" spans="22:25" s="4" customFormat="1" x14ac:dyDescent="0.25">
      <c r="V375" s="45"/>
      <c r="W375" s="12"/>
      <c r="X375" s="12"/>
      <c r="Y375" s="46"/>
    </row>
    <row r="376" spans="22:25" s="4" customFormat="1" x14ac:dyDescent="0.25">
      <c r="V376" s="45"/>
      <c r="W376" s="12"/>
      <c r="X376" s="12"/>
      <c r="Y376" s="46"/>
    </row>
    <row r="377" spans="22:25" s="4" customFormat="1" x14ac:dyDescent="0.25">
      <c r="V377" s="45"/>
      <c r="W377" s="12"/>
      <c r="X377" s="12"/>
      <c r="Y377" s="46"/>
    </row>
    <row r="378" spans="22:25" s="4" customFormat="1" x14ac:dyDescent="0.25">
      <c r="V378" s="45"/>
      <c r="W378" s="12"/>
      <c r="X378" s="12"/>
      <c r="Y378" s="46"/>
    </row>
    <row r="379" spans="22:25" s="4" customFormat="1" x14ac:dyDescent="0.25">
      <c r="V379" s="45"/>
      <c r="W379" s="12"/>
      <c r="X379" s="12"/>
      <c r="Y379" s="46"/>
    </row>
    <row r="380" spans="22:25" s="4" customFormat="1" x14ac:dyDescent="0.25">
      <c r="V380" s="45"/>
      <c r="W380" s="12"/>
      <c r="X380" s="12"/>
      <c r="Y380" s="46"/>
    </row>
    <row r="381" spans="22:25" s="4" customFormat="1" x14ac:dyDescent="0.25">
      <c r="V381" s="45"/>
      <c r="W381" s="12"/>
      <c r="X381" s="12"/>
      <c r="Y381" s="46"/>
    </row>
    <row r="382" spans="22:25" s="4" customFormat="1" x14ac:dyDescent="0.25">
      <c r="V382" s="45"/>
      <c r="W382" s="12"/>
      <c r="X382" s="12"/>
      <c r="Y382" s="46"/>
    </row>
    <row r="383" spans="22:25" s="4" customFormat="1" x14ac:dyDescent="0.25">
      <c r="V383" s="45"/>
      <c r="W383" s="12"/>
      <c r="X383" s="12"/>
      <c r="Y383" s="46"/>
    </row>
    <row r="384" spans="22:25" s="4" customFormat="1" x14ac:dyDescent="0.25">
      <c r="V384" s="45"/>
      <c r="W384" s="12"/>
      <c r="X384" s="12"/>
      <c r="Y384" s="46"/>
    </row>
    <row r="385" spans="22:25" s="4" customFormat="1" x14ac:dyDescent="0.25">
      <c r="V385" s="45"/>
      <c r="W385" s="12"/>
      <c r="X385" s="12"/>
      <c r="Y385" s="46"/>
    </row>
    <row r="386" spans="22:25" s="4" customFormat="1" x14ac:dyDescent="0.25">
      <c r="V386" s="45"/>
      <c r="W386" s="12"/>
      <c r="X386" s="12"/>
      <c r="Y386" s="46"/>
    </row>
    <row r="387" spans="22:25" s="4" customFormat="1" x14ac:dyDescent="0.25">
      <c r="V387" s="45"/>
      <c r="W387" s="12"/>
      <c r="X387" s="12"/>
      <c r="Y387" s="46"/>
    </row>
    <row r="388" spans="22:25" s="4" customFormat="1" x14ac:dyDescent="0.25">
      <c r="V388" s="45"/>
      <c r="W388" s="12"/>
      <c r="X388" s="12"/>
      <c r="Y388" s="46"/>
    </row>
    <row r="389" spans="22:25" s="4" customFormat="1" x14ac:dyDescent="0.25">
      <c r="V389" s="45"/>
      <c r="W389" s="12"/>
      <c r="X389" s="12"/>
      <c r="Y389" s="46"/>
    </row>
    <row r="390" spans="22:25" s="4" customFormat="1" x14ac:dyDescent="0.25">
      <c r="V390" s="45"/>
      <c r="W390" s="12"/>
      <c r="X390" s="12"/>
      <c r="Y390" s="46"/>
    </row>
    <row r="391" spans="22:25" s="4" customFormat="1" x14ac:dyDescent="0.25">
      <c r="V391" s="45"/>
      <c r="W391" s="12"/>
      <c r="X391" s="12"/>
      <c r="Y391" s="46"/>
    </row>
    <row r="392" spans="22:25" s="4" customFormat="1" x14ac:dyDescent="0.25">
      <c r="V392" s="45"/>
      <c r="W392" s="12"/>
      <c r="X392" s="12"/>
      <c r="Y392" s="46"/>
    </row>
    <row r="393" spans="22:25" s="4" customFormat="1" x14ac:dyDescent="0.25">
      <c r="V393" s="45"/>
      <c r="W393" s="12"/>
      <c r="X393" s="12"/>
      <c r="Y393" s="46"/>
    </row>
    <row r="394" spans="22:25" s="4" customFormat="1" x14ac:dyDescent="0.25">
      <c r="V394" s="45"/>
      <c r="W394" s="12"/>
      <c r="X394" s="12"/>
      <c r="Y394" s="46"/>
    </row>
    <row r="395" spans="22:25" s="4" customFormat="1" x14ac:dyDescent="0.25">
      <c r="V395" s="45"/>
      <c r="W395" s="12"/>
      <c r="X395" s="12"/>
      <c r="Y395" s="46"/>
    </row>
    <row r="396" spans="22:25" s="4" customFormat="1" x14ac:dyDescent="0.25">
      <c r="V396" s="45"/>
      <c r="W396" s="12"/>
      <c r="X396" s="12"/>
      <c r="Y396" s="46"/>
    </row>
    <row r="397" spans="22:25" s="4" customFormat="1" x14ac:dyDescent="0.25">
      <c r="V397" s="45"/>
      <c r="W397" s="12"/>
      <c r="X397" s="12"/>
      <c r="Y397" s="46"/>
    </row>
    <row r="398" spans="22:25" s="4" customFormat="1" x14ac:dyDescent="0.25">
      <c r="V398" s="45"/>
      <c r="W398" s="12"/>
      <c r="X398" s="12"/>
      <c r="Y398" s="46"/>
    </row>
    <row r="399" spans="22:25" s="4" customFormat="1" x14ac:dyDescent="0.25">
      <c r="V399" s="45"/>
      <c r="W399" s="12"/>
      <c r="X399" s="12"/>
      <c r="Y399" s="46"/>
    </row>
    <row r="400" spans="22:25" s="4" customFormat="1" x14ac:dyDescent="0.25">
      <c r="V400" s="45"/>
      <c r="W400" s="12"/>
      <c r="X400" s="12"/>
      <c r="Y400" s="46"/>
    </row>
    <row r="401" spans="22:25" s="4" customFormat="1" x14ac:dyDescent="0.25">
      <c r="V401" s="45"/>
      <c r="W401" s="12"/>
      <c r="X401" s="12"/>
      <c r="Y401" s="46"/>
    </row>
    <row r="402" spans="22:25" s="4" customFormat="1" x14ac:dyDescent="0.25">
      <c r="V402" s="45"/>
      <c r="W402" s="12"/>
      <c r="X402" s="12"/>
      <c r="Y402" s="46"/>
    </row>
    <row r="403" spans="22:25" s="4" customFormat="1" x14ac:dyDescent="0.25">
      <c r="V403" s="45"/>
      <c r="W403" s="12"/>
      <c r="X403" s="12"/>
      <c r="Y403" s="46"/>
    </row>
    <row r="404" spans="22:25" s="4" customFormat="1" x14ac:dyDescent="0.25">
      <c r="V404" s="45"/>
      <c r="W404" s="12"/>
      <c r="X404" s="12"/>
      <c r="Y404" s="46"/>
    </row>
    <row r="405" spans="22:25" s="4" customFormat="1" x14ac:dyDescent="0.25">
      <c r="V405" s="45"/>
      <c r="W405" s="12"/>
      <c r="X405" s="12"/>
      <c r="Y405" s="46"/>
    </row>
    <row r="406" spans="22:25" s="4" customFormat="1" x14ac:dyDescent="0.25">
      <c r="V406" s="45"/>
      <c r="W406" s="12"/>
      <c r="X406" s="12"/>
      <c r="Y406" s="46"/>
    </row>
    <row r="407" spans="22:25" s="4" customFormat="1" x14ac:dyDescent="0.25">
      <c r="V407" s="45"/>
      <c r="W407" s="12"/>
      <c r="X407" s="12"/>
      <c r="Y407" s="46"/>
    </row>
    <row r="408" spans="22:25" s="4" customFormat="1" x14ac:dyDescent="0.25">
      <c r="V408" s="45"/>
      <c r="W408" s="12"/>
      <c r="X408" s="12"/>
      <c r="Y408" s="46"/>
    </row>
    <row r="409" spans="22:25" s="4" customFormat="1" x14ac:dyDescent="0.25">
      <c r="V409" s="45"/>
      <c r="W409" s="12"/>
      <c r="X409" s="12"/>
      <c r="Y409" s="46"/>
    </row>
    <row r="410" spans="22:25" s="4" customFormat="1" x14ac:dyDescent="0.25">
      <c r="V410" s="45"/>
      <c r="W410" s="12"/>
      <c r="X410" s="12"/>
      <c r="Y410" s="46"/>
    </row>
    <row r="411" spans="22:25" s="4" customFormat="1" x14ac:dyDescent="0.25">
      <c r="V411" s="45"/>
      <c r="W411" s="12"/>
      <c r="X411" s="12"/>
      <c r="Y411" s="46"/>
    </row>
    <row r="412" spans="22:25" s="4" customFormat="1" x14ac:dyDescent="0.25">
      <c r="V412" s="45"/>
      <c r="W412" s="12"/>
      <c r="X412" s="12"/>
      <c r="Y412" s="46"/>
    </row>
    <row r="413" spans="22:25" s="4" customFormat="1" x14ac:dyDescent="0.25">
      <c r="V413" s="45"/>
      <c r="W413" s="12"/>
      <c r="X413" s="12"/>
      <c r="Y413" s="46"/>
    </row>
    <row r="414" spans="22:25" s="4" customFormat="1" x14ac:dyDescent="0.25">
      <c r="V414" s="45"/>
      <c r="W414" s="12"/>
      <c r="X414" s="12"/>
      <c r="Y414" s="46"/>
    </row>
    <row r="415" spans="22:25" s="4" customFormat="1" x14ac:dyDescent="0.25">
      <c r="V415" s="45"/>
      <c r="W415" s="12"/>
      <c r="X415" s="12"/>
      <c r="Y415" s="46"/>
    </row>
    <row r="416" spans="22:25" s="4" customFormat="1" x14ac:dyDescent="0.25">
      <c r="V416" s="45"/>
      <c r="W416" s="12"/>
      <c r="X416" s="12"/>
      <c r="Y416" s="46"/>
    </row>
    <row r="417" spans="22:25" s="4" customFormat="1" x14ac:dyDescent="0.25">
      <c r="V417" s="45"/>
      <c r="W417" s="12"/>
      <c r="X417" s="12"/>
      <c r="Y417" s="46"/>
    </row>
    <row r="418" spans="22:25" s="4" customFormat="1" x14ac:dyDescent="0.25">
      <c r="V418" s="45"/>
      <c r="W418" s="12"/>
      <c r="X418" s="12"/>
      <c r="Y418" s="46"/>
    </row>
    <row r="419" spans="22:25" s="4" customFormat="1" x14ac:dyDescent="0.25">
      <c r="V419" s="45"/>
      <c r="W419" s="12"/>
      <c r="X419" s="12"/>
      <c r="Y419" s="46"/>
    </row>
    <row r="420" spans="22:25" s="4" customFormat="1" x14ac:dyDescent="0.25">
      <c r="V420" s="45"/>
      <c r="W420" s="12"/>
      <c r="X420" s="12"/>
      <c r="Y420" s="46"/>
    </row>
    <row r="421" spans="22:25" s="4" customFormat="1" x14ac:dyDescent="0.25">
      <c r="V421" s="45"/>
      <c r="W421" s="12"/>
      <c r="X421" s="12"/>
      <c r="Y421" s="46"/>
    </row>
    <row r="422" spans="22:25" s="4" customFormat="1" x14ac:dyDescent="0.25">
      <c r="V422" s="45"/>
      <c r="W422" s="12"/>
      <c r="X422" s="12"/>
      <c r="Y422" s="46"/>
    </row>
    <row r="423" spans="22:25" s="4" customFormat="1" x14ac:dyDescent="0.25">
      <c r="V423" s="45"/>
      <c r="W423" s="12"/>
      <c r="X423" s="12"/>
      <c r="Y423" s="46"/>
    </row>
    <row r="424" spans="22:25" s="4" customFormat="1" x14ac:dyDescent="0.25">
      <c r="V424" s="45"/>
      <c r="W424" s="12"/>
      <c r="X424" s="12"/>
      <c r="Y424" s="46"/>
    </row>
    <row r="425" spans="22:25" s="4" customFormat="1" x14ac:dyDescent="0.25">
      <c r="V425" s="45"/>
      <c r="W425" s="12"/>
      <c r="X425" s="12"/>
      <c r="Y425" s="46"/>
    </row>
    <row r="426" spans="22:25" s="4" customFormat="1" x14ac:dyDescent="0.25">
      <c r="V426" s="45"/>
      <c r="W426" s="12"/>
      <c r="X426" s="12"/>
      <c r="Y426" s="46"/>
    </row>
    <row r="427" spans="22:25" s="4" customFormat="1" x14ac:dyDescent="0.25">
      <c r="V427" s="45"/>
      <c r="W427" s="12"/>
      <c r="X427" s="12"/>
      <c r="Y427" s="46"/>
    </row>
    <row r="428" spans="22:25" s="4" customFormat="1" x14ac:dyDescent="0.25">
      <c r="V428" s="45"/>
      <c r="W428" s="12"/>
      <c r="X428" s="12"/>
      <c r="Y428" s="46"/>
    </row>
    <row r="429" spans="22:25" s="4" customFormat="1" x14ac:dyDescent="0.25">
      <c r="V429" s="45"/>
      <c r="W429" s="12"/>
      <c r="X429" s="12"/>
      <c r="Y429" s="46"/>
    </row>
    <row r="430" spans="22:25" s="4" customFormat="1" x14ac:dyDescent="0.25">
      <c r="V430" s="45"/>
      <c r="W430" s="12"/>
      <c r="X430" s="12"/>
      <c r="Y430" s="46"/>
    </row>
    <row r="431" spans="22:25" s="4" customFormat="1" x14ac:dyDescent="0.25">
      <c r="V431" s="45"/>
      <c r="W431" s="12"/>
      <c r="X431" s="12"/>
      <c r="Y431" s="46"/>
    </row>
    <row r="432" spans="22:25" s="4" customFormat="1" x14ac:dyDescent="0.25">
      <c r="V432" s="45"/>
      <c r="W432" s="12"/>
      <c r="X432" s="12"/>
      <c r="Y432" s="46"/>
    </row>
    <row r="433" spans="22:25" s="4" customFormat="1" x14ac:dyDescent="0.25">
      <c r="V433" s="45"/>
      <c r="W433" s="12"/>
      <c r="X433" s="12"/>
      <c r="Y433" s="46"/>
    </row>
    <row r="434" spans="22:25" s="4" customFormat="1" x14ac:dyDescent="0.25">
      <c r="V434" s="45"/>
      <c r="W434" s="12"/>
      <c r="X434" s="12"/>
      <c r="Y434" s="46"/>
    </row>
    <row r="435" spans="22:25" s="4" customFormat="1" x14ac:dyDescent="0.25">
      <c r="V435" s="45"/>
      <c r="W435" s="12"/>
      <c r="X435" s="12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</sheetData>
  <sheetProtection sort="0"/>
  <mergeCells count="13">
    <mergeCell ref="A250:Y250"/>
    <mergeCell ref="A294:Y294"/>
    <mergeCell ref="A178:Y178"/>
    <mergeCell ref="A4:Y4"/>
    <mergeCell ref="A90:Y90"/>
    <mergeCell ref="A1:Y1"/>
    <mergeCell ref="A2:B2"/>
    <mergeCell ref="C2:E2"/>
    <mergeCell ref="G2:I2"/>
    <mergeCell ref="K2:M2"/>
    <mergeCell ref="O2:Q2"/>
    <mergeCell ref="S2:U2"/>
    <mergeCell ref="W2:Y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Y451"/>
  <sheetViews>
    <sheetView zoomScaleNormal="100" workbookViewId="0">
      <pane xSplit="2" ySplit="4" topLeftCell="C56" activePane="bottomRight" state="frozen"/>
      <selection pane="topRight" activeCell="C1" sqref="C1"/>
      <selection pane="bottomLeft" activeCell="A5" sqref="A5"/>
      <selection pane="bottomRight" activeCell="G67" sqref="G67"/>
    </sheetView>
  </sheetViews>
  <sheetFormatPr defaultColWidth="8.88671875" defaultRowHeight="13.2" x14ac:dyDescent="0.25"/>
  <cols>
    <col min="1" max="1" width="9.88671875" style="7" customWidth="1"/>
    <col min="2" max="2" width="69.6640625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5.10937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5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25" s="61" customFormat="1" x14ac:dyDescent="0.25">
      <c r="A1" s="316" t="s">
        <v>97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25" s="61" customFormat="1" x14ac:dyDescent="0.25">
      <c r="A2" s="319">
        <v>44778</v>
      </c>
      <c r="B2" s="320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25" s="72" customFormat="1" ht="25.5" customHeight="1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25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25" s="77" customForma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25" s="61" customFormat="1" x14ac:dyDescent="0.25">
      <c r="A6" s="53" t="s">
        <v>57</v>
      </c>
      <c r="B6" s="54" t="s">
        <v>57</v>
      </c>
      <c r="C6" s="124">
        <v>0</v>
      </c>
      <c r="D6" s="56">
        <v>0</v>
      </c>
      <c r="E6" s="56">
        <f t="shared" ref="E6:E14" si="0">SUM(C6:D6)</f>
        <v>0</v>
      </c>
      <c r="F6" s="58"/>
      <c r="G6" s="55">
        <f>C6*1.05</f>
        <v>0</v>
      </c>
      <c r="H6" s="57">
        <f>D6*1.05</f>
        <v>0</v>
      </c>
      <c r="I6" s="57">
        <f t="shared" ref="I6:I14" si="1">SUM(G6:H6)</f>
        <v>0</v>
      </c>
      <c r="J6" s="58"/>
      <c r="K6" s="55">
        <v>0</v>
      </c>
      <c r="L6" s="57">
        <f t="shared" ref="L6:L14" si="2">H6*1.05</f>
        <v>0</v>
      </c>
      <c r="M6" s="57">
        <f t="shared" ref="M6:M14" si="3">SUM(K6:L6)</f>
        <v>0</v>
      </c>
      <c r="N6" s="58"/>
      <c r="O6" s="55"/>
      <c r="P6" s="57">
        <f t="shared" ref="P6:P14" si="4">L6*1.05</f>
        <v>0</v>
      </c>
      <c r="Q6" s="57">
        <f t="shared" ref="Q6:Q14" si="5">SUM(O6:P6)</f>
        <v>0</v>
      </c>
      <c r="R6" s="58"/>
      <c r="S6" s="55">
        <f>O6*1.05</f>
        <v>0</v>
      </c>
      <c r="T6" s="57">
        <f>P6*1.05</f>
        <v>0</v>
      </c>
      <c r="U6" s="57">
        <f t="shared" ref="U6:U14" si="6">SUM(S6:T6)</f>
        <v>0</v>
      </c>
      <c r="V6" s="59"/>
      <c r="W6" s="124">
        <f t="shared" ref="W6:W15" si="7">C6+G6+K6+O6+S6</f>
        <v>0</v>
      </c>
      <c r="X6" s="57">
        <f t="shared" ref="X6:X15" si="8">D6+H6+L6+P6+T6</f>
        <v>0</v>
      </c>
      <c r="Y6" s="60">
        <f t="shared" ref="Y6:Y15" si="9">E6+I6+M6+Q6+U6</f>
        <v>0</v>
      </c>
    </row>
    <row r="7" spans="1:25" s="61" customFormat="1" x14ac:dyDescent="0.25">
      <c r="A7" s="53" t="s">
        <v>57</v>
      </c>
      <c r="B7" s="54" t="s">
        <v>57</v>
      </c>
      <c r="C7" s="124">
        <v>0</v>
      </c>
      <c r="D7" s="56">
        <v>0</v>
      </c>
      <c r="E7" s="56">
        <f t="shared" si="0"/>
        <v>0</v>
      </c>
      <c r="F7" s="58"/>
      <c r="G7" s="55">
        <v>0</v>
      </c>
      <c r="H7" s="57">
        <f t="shared" ref="H7:H14" si="10">D7*1.05</f>
        <v>0</v>
      </c>
      <c r="I7" s="57">
        <f t="shared" si="1"/>
        <v>0</v>
      </c>
      <c r="J7" s="58"/>
      <c r="K7" s="55">
        <f t="shared" ref="K7:K14" si="11">G7*1.05</f>
        <v>0</v>
      </c>
      <c r="L7" s="57">
        <f t="shared" si="2"/>
        <v>0</v>
      </c>
      <c r="M7" s="57">
        <f t="shared" si="3"/>
        <v>0</v>
      </c>
      <c r="N7" s="58"/>
      <c r="O7" s="55"/>
      <c r="P7" s="57">
        <f t="shared" si="4"/>
        <v>0</v>
      </c>
      <c r="Q7" s="57">
        <f t="shared" si="5"/>
        <v>0</v>
      </c>
      <c r="R7" s="58"/>
      <c r="S7" s="55">
        <f>O7*1.05</f>
        <v>0</v>
      </c>
      <c r="T7" s="57">
        <f>P7*1.05</f>
        <v>0</v>
      </c>
      <c r="U7" s="57">
        <f t="shared" si="6"/>
        <v>0</v>
      </c>
      <c r="V7" s="59"/>
      <c r="W7" s="124">
        <f t="shared" si="7"/>
        <v>0</v>
      </c>
      <c r="X7" s="57">
        <f t="shared" si="8"/>
        <v>0</v>
      </c>
      <c r="Y7" s="60">
        <f t="shared" si="9"/>
        <v>0</v>
      </c>
    </row>
    <row r="8" spans="1:25" s="61" customFormat="1" x14ac:dyDescent="0.25">
      <c r="A8" s="53" t="s">
        <v>57</v>
      </c>
      <c r="B8" s="54" t="s">
        <v>57</v>
      </c>
      <c r="C8" s="124">
        <v>0</v>
      </c>
      <c r="D8" s="56">
        <v>0</v>
      </c>
      <c r="E8" s="56">
        <f t="shared" si="0"/>
        <v>0</v>
      </c>
      <c r="F8" s="58"/>
      <c r="G8" s="55">
        <v>0</v>
      </c>
      <c r="H8" s="57">
        <f t="shared" si="10"/>
        <v>0</v>
      </c>
      <c r="I8" s="57">
        <f t="shared" si="1"/>
        <v>0</v>
      </c>
      <c r="J8" s="58"/>
      <c r="K8" s="55">
        <f t="shared" si="11"/>
        <v>0</v>
      </c>
      <c r="L8" s="57">
        <f t="shared" si="2"/>
        <v>0</v>
      </c>
      <c r="M8" s="57">
        <f t="shared" si="3"/>
        <v>0</v>
      </c>
      <c r="N8" s="58"/>
      <c r="O8" s="55">
        <v>0</v>
      </c>
      <c r="P8" s="57">
        <f t="shared" si="4"/>
        <v>0</v>
      </c>
      <c r="Q8" s="57">
        <f t="shared" si="5"/>
        <v>0</v>
      </c>
      <c r="R8" s="58"/>
      <c r="S8" s="55">
        <v>0</v>
      </c>
      <c r="T8" s="57">
        <f t="shared" ref="T8:T14" si="12">P8*1.05</f>
        <v>0</v>
      </c>
      <c r="U8" s="57">
        <f t="shared" si="6"/>
        <v>0</v>
      </c>
      <c r="V8" s="59"/>
      <c r="W8" s="124">
        <f t="shared" si="7"/>
        <v>0</v>
      </c>
      <c r="X8" s="57">
        <f t="shared" si="8"/>
        <v>0</v>
      </c>
      <c r="Y8" s="60">
        <f t="shared" si="9"/>
        <v>0</v>
      </c>
    </row>
    <row r="9" spans="1:25" s="169" customFormat="1" x14ac:dyDescent="0.25">
      <c r="A9" s="170" t="s">
        <v>57</v>
      </c>
      <c r="B9" s="171" t="s">
        <v>57</v>
      </c>
      <c r="C9" s="227">
        <v>0</v>
      </c>
      <c r="D9" s="174">
        <v>0</v>
      </c>
      <c r="E9" s="174">
        <f t="shared" si="0"/>
        <v>0</v>
      </c>
      <c r="F9" s="175"/>
      <c r="G9" s="172">
        <f t="shared" ref="G9:G14" si="13">C9*1.05</f>
        <v>0</v>
      </c>
      <c r="H9" s="173">
        <f t="shared" si="10"/>
        <v>0</v>
      </c>
      <c r="I9" s="173">
        <f t="shared" si="1"/>
        <v>0</v>
      </c>
      <c r="J9" s="175"/>
      <c r="K9" s="172">
        <f t="shared" si="11"/>
        <v>0</v>
      </c>
      <c r="L9" s="173">
        <f t="shared" si="2"/>
        <v>0</v>
      </c>
      <c r="M9" s="173">
        <f t="shared" si="3"/>
        <v>0</v>
      </c>
      <c r="N9" s="175"/>
      <c r="O9" s="172">
        <f>K9*1.05</f>
        <v>0</v>
      </c>
      <c r="P9" s="173">
        <f t="shared" si="4"/>
        <v>0</v>
      </c>
      <c r="Q9" s="173">
        <f t="shared" si="5"/>
        <v>0</v>
      </c>
      <c r="R9" s="175"/>
      <c r="S9" s="172">
        <f t="shared" ref="S9:S14" si="14">O9*1.05</f>
        <v>0</v>
      </c>
      <c r="T9" s="173">
        <f t="shared" si="12"/>
        <v>0</v>
      </c>
      <c r="U9" s="173">
        <f t="shared" si="6"/>
        <v>0</v>
      </c>
      <c r="V9" s="176"/>
      <c r="W9" s="227">
        <f t="shared" si="7"/>
        <v>0</v>
      </c>
      <c r="X9" s="173">
        <f t="shared" si="8"/>
        <v>0</v>
      </c>
      <c r="Y9" s="177">
        <f t="shared" si="9"/>
        <v>0</v>
      </c>
    </row>
    <row r="10" spans="1:25" s="61" customFormat="1" x14ac:dyDescent="0.25">
      <c r="A10" s="53"/>
      <c r="B10" s="54"/>
      <c r="C10" s="124">
        <v>0</v>
      </c>
      <c r="D10" s="56">
        <v>0</v>
      </c>
      <c r="E10" s="56">
        <f t="shared" si="0"/>
        <v>0</v>
      </c>
      <c r="F10" s="58"/>
      <c r="G10" s="55">
        <f t="shared" si="13"/>
        <v>0</v>
      </c>
      <c r="H10" s="57">
        <f t="shared" si="10"/>
        <v>0</v>
      </c>
      <c r="I10" s="57">
        <f t="shared" si="1"/>
        <v>0</v>
      </c>
      <c r="J10" s="58"/>
      <c r="K10" s="55">
        <f t="shared" si="11"/>
        <v>0</v>
      </c>
      <c r="L10" s="57">
        <f t="shared" si="2"/>
        <v>0</v>
      </c>
      <c r="M10" s="57">
        <f t="shared" si="3"/>
        <v>0</v>
      </c>
      <c r="N10" s="58"/>
      <c r="O10" s="55"/>
      <c r="P10" s="57">
        <f t="shared" si="4"/>
        <v>0</v>
      </c>
      <c r="Q10" s="57">
        <f t="shared" si="5"/>
        <v>0</v>
      </c>
      <c r="R10" s="58"/>
      <c r="S10" s="55">
        <f t="shared" si="14"/>
        <v>0</v>
      </c>
      <c r="T10" s="57">
        <f t="shared" si="12"/>
        <v>0</v>
      </c>
      <c r="U10" s="57">
        <f t="shared" si="6"/>
        <v>0</v>
      </c>
      <c r="V10" s="59"/>
      <c r="W10" s="124">
        <f t="shared" si="7"/>
        <v>0</v>
      </c>
      <c r="X10" s="57">
        <f t="shared" si="8"/>
        <v>0</v>
      </c>
      <c r="Y10" s="60">
        <f t="shared" si="9"/>
        <v>0</v>
      </c>
    </row>
    <row r="11" spans="1:25" s="61" customFormat="1" x14ac:dyDescent="0.25">
      <c r="A11" s="53"/>
      <c r="B11" s="54"/>
      <c r="C11" s="124">
        <v>0</v>
      </c>
      <c r="D11" s="56">
        <v>0</v>
      </c>
      <c r="E11" s="56">
        <f t="shared" si="0"/>
        <v>0</v>
      </c>
      <c r="F11" s="58"/>
      <c r="G11" s="55">
        <f t="shared" si="13"/>
        <v>0</v>
      </c>
      <c r="H11" s="57">
        <f t="shared" si="10"/>
        <v>0</v>
      </c>
      <c r="I11" s="57">
        <f t="shared" si="1"/>
        <v>0</v>
      </c>
      <c r="J11" s="58"/>
      <c r="K11" s="55">
        <f t="shared" si="11"/>
        <v>0</v>
      </c>
      <c r="L11" s="57">
        <f t="shared" si="2"/>
        <v>0</v>
      </c>
      <c r="M11" s="57">
        <f t="shared" si="3"/>
        <v>0</v>
      </c>
      <c r="N11" s="58"/>
      <c r="O11" s="55">
        <f>K11*1.05</f>
        <v>0</v>
      </c>
      <c r="P11" s="57">
        <f t="shared" si="4"/>
        <v>0</v>
      </c>
      <c r="Q11" s="57">
        <f t="shared" si="5"/>
        <v>0</v>
      </c>
      <c r="R11" s="58"/>
      <c r="S11" s="55">
        <f t="shared" si="14"/>
        <v>0</v>
      </c>
      <c r="T11" s="57">
        <f t="shared" si="12"/>
        <v>0</v>
      </c>
      <c r="U11" s="57">
        <f t="shared" si="6"/>
        <v>0</v>
      </c>
      <c r="V11" s="59"/>
      <c r="W11" s="124">
        <f t="shared" si="7"/>
        <v>0</v>
      </c>
      <c r="X11" s="57">
        <f t="shared" si="8"/>
        <v>0</v>
      </c>
      <c r="Y11" s="60">
        <f t="shared" si="9"/>
        <v>0</v>
      </c>
    </row>
    <row r="12" spans="1:25" s="61" customFormat="1" x14ac:dyDescent="0.25">
      <c r="A12" s="52"/>
      <c r="B12" s="54"/>
      <c r="C12" s="124">
        <v>0</v>
      </c>
      <c r="D12" s="56">
        <v>0</v>
      </c>
      <c r="E12" s="56">
        <f t="shared" si="0"/>
        <v>0</v>
      </c>
      <c r="F12" s="58"/>
      <c r="G12" s="55">
        <f t="shared" si="13"/>
        <v>0</v>
      </c>
      <c r="H12" s="57">
        <f t="shared" si="10"/>
        <v>0</v>
      </c>
      <c r="I12" s="57">
        <f t="shared" si="1"/>
        <v>0</v>
      </c>
      <c r="J12" s="58"/>
      <c r="K12" s="55">
        <f t="shared" si="11"/>
        <v>0</v>
      </c>
      <c r="L12" s="57">
        <f t="shared" si="2"/>
        <v>0</v>
      </c>
      <c r="M12" s="57">
        <f t="shared" si="3"/>
        <v>0</v>
      </c>
      <c r="N12" s="58"/>
      <c r="O12" s="55">
        <f>K12*1.05</f>
        <v>0</v>
      </c>
      <c r="P12" s="57">
        <f t="shared" si="4"/>
        <v>0</v>
      </c>
      <c r="Q12" s="57">
        <f t="shared" si="5"/>
        <v>0</v>
      </c>
      <c r="R12" s="58"/>
      <c r="S12" s="55">
        <f t="shared" si="14"/>
        <v>0</v>
      </c>
      <c r="T12" s="57">
        <f t="shared" si="12"/>
        <v>0</v>
      </c>
      <c r="U12" s="57">
        <f t="shared" si="6"/>
        <v>0</v>
      </c>
      <c r="V12" s="59"/>
      <c r="W12" s="124">
        <f t="shared" si="7"/>
        <v>0</v>
      </c>
      <c r="X12" s="57">
        <f t="shared" si="8"/>
        <v>0</v>
      </c>
      <c r="Y12" s="84">
        <f t="shared" si="9"/>
        <v>0</v>
      </c>
    </row>
    <row r="13" spans="1:25" s="61" customFormat="1" x14ac:dyDescent="0.25">
      <c r="A13" s="52"/>
      <c r="B13" s="54"/>
      <c r="C13" s="124">
        <v>0</v>
      </c>
      <c r="D13" s="56">
        <v>0</v>
      </c>
      <c r="E13" s="56">
        <f t="shared" si="0"/>
        <v>0</v>
      </c>
      <c r="F13" s="58"/>
      <c r="G13" s="55">
        <f t="shared" si="13"/>
        <v>0</v>
      </c>
      <c r="H13" s="57">
        <f t="shared" si="10"/>
        <v>0</v>
      </c>
      <c r="I13" s="57">
        <f t="shared" si="1"/>
        <v>0</v>
      </c>
      <c r="J13" s="58"/>
      <c r="K13" s="55">
        <f t="shared" si="11"/>
        <v>0</v>
      </c>
      <c r="L13" s="57">
        <f t="shared" si="2"/>
        <v>0</v>
      </c>
      <c r="M13" s="57">
        <f t="shared" si="3"/>
        <v>0</v>
      </c>
      <c r="N13" s="58"/>
      <c r="O13" s="55">
        <f>K13*1.05</f>
        <v>0</v>
      </c>
      <c r="P13" s="57">
        <f t="shared" si="4"/>
        <v>0</v>
      </c>
      <c r="Q13" s="57">
        <f t="shared" si="5"/>
        <v>0</v>
      </c>
      <c r="R13" s="58"/>
      <c r="S13" s="55">
        <f t="shared" si="14"/>
        <v>0</v>
      </c>
      <c r="T13" s="57">
        <f t="shared" si="12"/>
        <v>0</v>
      </c>
      <c r="U13" s="57">
        <f t="shared" si="6"/>
        <v>0</v>
      </c>
      <c r="V13" s="59"/>
      <c r="W13" s="124">
        <f t="shared" si="7"/>
        <v>0</v>
      </c>
      <c r="X13" s="57">
        <f t="shared" si="8"/>
        <v>0</v>
      </c>
      <c r="Y13" s="84">
        <f t="shared" si="9"/>
        <v>0</v>
      </c>
    </row>
    <row r="14" spans="1:25" s="61" customFormat="1" x14ac:dyDescent="0.25">
      <c r="A14" s="52"/>
      <c r="B14" s="54"/>
      <c r="C14" s="124">
        <v>0</v>
      </c>
      <c r="D14" s="56">
        <v>0</v>
      </c>
      <c r="E14" s="56">
        <f t="shared" si="0"/>
        <v>0</v>
      </c>
      <c r="F14" s="58"/>
      <c r="G14" s="55">
        <f t="shared" si="13"/>
        <v>0</v>
      </c>
      <c r="H14" s="57">
        <f t="shared" si="10"/>
        <v>0</v>
      </c>
      <c r="I14" s="57">
        <f t="shared" si="1"/>
        <v>0</v>
      </c>
      <c r="J14" s="58"/>
      <c r="K14" s="55">
        <f t="shared" si="11"/>
        <v>0</v>
      </c>
      <c r="L14" s="57">
        <f t="shared" si="2"/>
        <v>0</v>
      </c>
      <c r="M14" s="57">
        <f t="shared" si="3"/>
        <v>0</v>
      </c>
      <c r="N14" s="58"/>
      <c r="O14" s="55">
        <f>K14*1.05</f>
        <v>0</v>
      </c>
      <c r="P14" s="57">
        <f t="shared" si="4"/>
        <v>0</v>
      </c>
      <c r="Q14" s="57">
        <f t="shared" si="5"/>
        <v>0</v>
      </c>
      <c r="R14" s="58"/>
      <c r="S14" s="55">
        <f t="shared" si="14"/>
        <v>0</v>
      </c>
      <c r="T14" s="57">
        <f t="shared" si="12"/>
        <v>0</v>
      </c>
      <c r="U14" s="57">
        <f t="shared" si="6"/>
        <v>0</v>
      </c>
      <c r="V14" s="59"/>
      <c r="W14" s="124">
        <f t="shared" si="7"/>
        <v>0</v>
      </c>
      <c r="X14" s="57">
        <f t="shared" si="8"/>
        <v>0</v>
      </c>
      <c r="Y14" s="84">
        <f t="shared" si="9"/>
        <v>0</v>
      </c>
    </row>
    <row r="15" spans="1:25" s="83" customFormat="1" x14ac:dyDescent="0.25">
      <c r="A15" s="78"/>
      <c r="B15" s="78" t="s">
        <v>9</v>
      </c>
      <c r="C15" s="228">
        <f>SUM(C6:C14)</f>
        <v>0</v>
      </c>
      <c r="D15" s="125">
        <f>SUM(D6:D14)</f>
        <v>0</v>
      </c>
      <c r="E15" s="125">
        <f>SUM(E6:E14)</f>
        <v>0</v>
      </c>
      <c r="F15" s="81"/>
      <c r="G15" s="79">
        <f>SUM(G6:G14)</f>
        <v>0</v>
      </c>
      <c r="H15" s="80">
        <f>SUM(H6:H14)</f>
        <v>0</v>
      </c>
      <c r="I15" s="80">
        <f>SUM(I6:I14)</f>
        <v>0</v>
      </c>
      <c r="J15" s="81"/>
      <c r="K15" s="79">
        <f>SUM(K6:K14)</f>
        <v>0</v>
      </c>
      <c r="L15" s="80">
        <f>SUM(L6:L14)</f>
        <v>0</v>
      </c>
      <c r="M15" s="80">
        <f>SUM(M6:M14)</f>
        <v>0</v>
      </c>
      <c r="N15" s="81"/>
      <c r="O15" s="79">
        <f>SUM(O6:O14)</f>
        <v>0</v>
      </c>
      <c r="P15" s="80">
        <f>SUM(P6:P14)</f>
        <v>0</v>
      </c>
      <c r="Q15" s="80">
        <f>SUM(Q6:Q14)</f>
        <v>0</v>
      </c>
      <c r="R15" s="81"/>
      <c r="S15" s="79">
        <f>SUM(S6:S14)</f>
        <v>0</v>
      </c>
      <c r="T15" s="80">
        <f>SUM(T6:T14)</f>
        <v>0</v>
      </c>
      <c r="U15" s="80">
        <f>SUM(U6:U14)</f>
        <v>0</v>
      </c>
      <c r="V15" s="82"/>
      <c r="W15" s="228">
        <f t="shared" si="7"/>
        <v>0</v>
      </c>
      <c r="X15" s="80">
        <f t="shared" si="8"/>
        <v>0</v>
      </c>
      <c r="Y15" s="80">
        <f t="shared" si="9"/>
        <v>0</v>
      </c>
    </row>
    <row r="16" spans="1:25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169" customFormat="1" x14ac:dyDescent="0.25">
      <c r="A17" s="178"/>
      <c r="B17" s="171" t="s">
        <v>57</v>
      </c>
      <c r="C17" s="227">
        <v>0</v>
      </c>
      <c r="D17" s="174">
        <v>0</v>
      </c>
      <c r="E17" s="174">
        <f t="shared" ref="E17:E25" si="15">SUM(C17:D17)</f>
        <v>0</v>
      </c>
      <c r="F17" s="175"/>
      <c r="G17" s="172">
        <f>C17*1.05</f>
        <v>0</v>
      </c>
      <c r="H17" s="173">
        <f>D17*1.05</f>
        <v>0</v>
      </c>
      <c r="I17" s="173">
        <f t="shared" ref="I17:I25" si="16">SUM(G17:H17)</f>
        <v>0</v>
      </c>
      <c r="J17" s="175"/>
      <c r="K17" s="172">
        <f t="shared" ref="K17:K25" si="17">G17*1.05</f>
        <v>0</v>
      </c>
      <c r="L17" s="173">
        <f t="shared" ref="L17:L25" si="18">H17*1.05</f>
        <v>0</v>
      </c>
      <c r="M17" s="173">
        <f t="shared" ref="M17:M25" si="19">SUM(K17:L17)</f>
        <v>0</v>
      </c>
      <c r="N17" s="175"/>
      <c r="O17" s="172">
        <f t="shared" ref="O17:P19" si="20">K17*1.05</f>
        <v>0</v>
      </c>
      <c r="P17" s="173">
        <f t="shared" si="20"/>
        <v>0</v>
      </c>
      <c r="Q17" s="173">
        <f t="shared" ref="Q17:Q25" si="21">SUM(O17:P17)</f>
        <v>0</v>
      </c>
      <c r="R17" s="175"/>
      <c r="S17" s="172">
        <f t="shared" ref="S17:T19" si="22">O17*1.05</f>
        <v>0</v>
      </c>
      <c r="T17" s="173">
        <f t="shared" si="22"/>
        <v>0</v>
      </c>
      <c r="U17" s="173">
        <f t="shared" ref="U17:U25" si="23">SUM(S17:T17)</f>
        <v>0</v>
      </c>
      <c r="V17" s="176"/>
      <c r="W17" s="227">
        <f t="shared" ref="W17:W26" si="24">C17+G17+K17+O17+S17</f>
        <v>0</v>
      </c>
      <c r="X17" s="173">
        <f t="shared" ref="X17:X26" si="25">D17+H17+L17+P17+T17</f>
        <v>0</v>
      </c>
      <c r="Y17" s="179">
        <f t="shared" ref="Y17:Y26" si="26">E17+I17+M17+Q17+U17</f>
        <v>0</v>
      </c>
    </row>
    <row r="18" spans="1:77" s="169" customFormat="1" x14ac:dyDescent="0.25">
      <c r="A18" s="180"/>
      <c r="B18" s="171" t="s">
        <v>57</v>
      </c>
      <c r="C18" s="227">
        <v>0</v>
      </c>
      <c r="D18" s="174">
        <v>0</v>
      </c>
      <c r="E18" s="174">
        <f t="shared" si="15"/>
        <v>0</v>
      </c>
      <c r="F18" s="175"/>
      <c r="G18" s="172">
        <v>0</v>
      </c>
      <c r="H18" s="173">
        <f t="shared" ref="H18:H25" si="27">D18*1.05</f>
        <v>0</v>
      </c>
      <c r="I18" s="173">
        <f t="shared" si="16"/>
        <v>0</v>
      </c>
      <c r="J18" s="175"/>
      <c r="K18" s="172">
        <f t="shared" si="17"/>
        <v>0</v>
      </c>
      <c r="L18" s="173">
        <f t="shared" si="18"/>
        <v>0</v>
      </c>
      <c r="M18" s="173">
        <f t="shared" si="19"/>
        <v>0</v>
      </c>
      <c r="N18" s="175"/>
      <c r="O18" s="172">
        <f t="shared" si="20"/>
        <v>0</v>
      </c>
      <c r="P18" s="173">
        <f t="shared" si="20"/>
        <v>0</v>
      </c>
      <c r="Q18" s="173">
        <f t="shared" si="21"/>
        <v>0</v>
      </c>
      <c r="R18" s="175"/>
      <c r="S18" s="172">
        <f t="shared" si="22"/>
        <v>0</v>
      </c>
      <c r="T18" s="173">
        <f t="shared" si="22"/>
        <v>0</v>
      </c>
      <c r="U18" s="173">
        <f t="shared" si="23"/>
        <v>0</v>
      </c>
      <c r="V18" s="176"/>
      <c r="W18" s="227">
        <f t="shared" si="24"/>
        <v>0</v>
      </c>
      <c r="X18" s="173">
        <f t="shared" si="25"/>
        <v>0</v>
      </c>
      <c r="Y18" s="179">
        <f t="shared" si="26"/>
        <v>0</v>
      </c>
    </row>
    <row r="19" spans="1:77" s="61" customFormat="1" x14ac:dyDescent="0.25">
      <c r="A19" s="52"/>
      <c r="B19" s="52"/>
      <c r="C19" s="124">
        <v>0</v>
      </c>
      <c r="D19" s="56">
        <v>0</v>
      </c>
      <c r="E19" s="56">
        <f t="shared" si="15"/>
        <v>0</v>
      </c>
      <c r="F19" s="58"/>
      <c r="G19" s="55">
        <f t="shared" ref="G19:G25" si="28">C19*1.05</f>
        <v>0</v>
      </c>
      <c r="H19" s="57">
        <f t="shared" si="27"/>
        <v>0</v>
      </c>
      <c r="I19" s="57">
        <f t="shared" si="16"/>
        <v>0</v>
      </c>
      <c r="J19" s="58"/>
      <c r="K19" s="55">
        <f t="shared" si="17"/>
        <v>0</v>
      </c>
      <c r="L19" s="57">
        <f t="shared" si="18"/>
        <v>0</v>
      </c>
      <c r="M19" s="57">
        <f t="shared" si="19"/>
        <v>0</v>
      </c>
      <c r="N19" s="58"/>
      <c r="O19" s="55">
        <f t="shared" si="20"/>
        <v>0</v>
      </c>
      <c r="P19" s="57">
        <f t="shared" si="20"/>
        <v>0</v>
      </c>
      <c r="Q19" s="57">
        <f t="shared" si="21"/>
        <v>0</v>
      </c>
      <c r="R19" s="58"/>
      <c r="S19" s="55">
        <f t="shared" si="22"/>
        <v>0</v>
      </c>
      <c r="T19" s="57">
        <f t="shared" si="22"/>
        <v>0</v>
      </c>
      <c r="U19" s="57">
        <f t="shared" si="23"/>
        <v>0</v>
      </c>
      <c r="V19" s="59"/>
      <c r="W19" s="124">
        <f t="shared" si="24"/>
        <v>0</v>
      </c>
      <c r="X19" s="57">
        <f t="shared" si="25"/>
        <v>0</v>
      </c>
      <c r="Y19" s="84">
        <f t="shared" si="26"/>
        <v>0</v>
      </c>
    </row>
    <row r="20" spans="1:77" s="61" customFormat="1" x14ac:dyDescent="0.25">
      <c r="A20" s="52"/>
      <c r="B20" s="54" t="s">
        <v>57</v>
      </c>
      <c r="C20" s="124">
        <v>0</v>
      </c>
      <c r="D20" s="56">
        <v>0</v>
      </c>
      <c r="E20" s="56">
        <f t="shared" si="15"/>
        <v>0</v>
      </c>
      <c r="F20" s="58"/>
      <c r="G20" s="55">
        <f t="shared" si="28"/>
        <v>0</v>
      </c>
      <c r="H20" s="57">
        <f t="shared" si="27"/>
        <v>0</v>
      </c>
      <c r="I20" s="57">
        <f t="shared" si="16"/>
        <v>0</v>
      </c>
      <c r="J20" s="58"/>
      <c r="K20" s="55">
        <f t="shared" si="17"/>
        <v>0</v>
      </c>
      <c r="L20" s="57">
        <f t="shared" si="18"/>
        <v>0</v>
      </c>
      <c r="M20" s="57">
        <f t="shared" si="19"/>
        <v>0</v>
      </c>
      <c r="N20" s="58"/>
      <c r="O20" s="55">
        <f t="shared" ref="O20:O25" si="29">K20*1.05</f>
        <v>0</v>
      </c>
      <c r="P20" s="56">
        <v>0</v>
      </c>
      <c r="Q20" s="57">
        <f t="shared" si="21"/>
        <v>0</v>
      </c>
      <c r="R20" s="58"/>
      <c r="S20" s="55">
        <f t="shared" ref="S20:S25" si="30">O20*1.05</f>
        <v>0</v>
      </c>
      <c r="T20" s="57">
        <v>0</v>
      </c>
      <c r="U20" s="57">
        <f t="shared" si="23"/>
        <v>0</v>
      </c>
      <c r="V20" s="59"/>
      <c r="W20" s="124">
        <f t="shared" si="24"/>
        <v>0</v>
      </c>
      <c r="X20" s="57">
        <f t="shared" si="25"/>
        <v>0</v>
      </c>
      <c r="Y20" s="84">
        <f t="shared" si="26"/>
        <v>0</v>
      </c>
    </row>
    <row r="21" spans="1:77" s="61" customFormat="1" x14ac:dyDescent="0.25">
      <c r="A21" s="87"/>
      <c r="B21" s="54"/>
      <c r="C21" s="124">
        <v>0</v>
      </c>
      <c r="D21" s="56">
        <v>0</v>
      </c>
      <c r="E21" s="56">
        <f t="shared" si="15"/>
        <v>0</v>
      </c>
      <c r="F21" s="58"/>
      <c r="G21" s="55">
        <f t="shared" si="28"/>
        <v>0</v>
      </c>
      <c r="H21" s="57">
        <f t="shared" si="27"/>
        <v>0</v>
      </c>
      <c r="I21" s="57">
        <f t="shared" si="16"/>
        <v>0</v>
      </c>
      <c r="J21" s="58"/>
      <c r="K21" s="55">
        <f t="shared" si="17"/>
        <v>0</v>
      </c>
      <c r="L21" s="57">
        <f t="shared" si="18"/>
        <v>0</v>
      </c>
      <c r="M21" s="57">
        <f t="shared" si="19"/>
        <v>0</v>
      </c>
      <c r="N21" s="58"/>
      <c r="O21" s="55">
        <f t="shared" si="29"/>
        <v>0</v>
      </c>
      <c r="P21" s="57">
        <f>L21*1.05</f>
        <v>0</v>
      </c>
      <c r="Q21" s="57">
        <f t="shared" si="21"/>
        <v>0</v>
      </c>
      <c r="R21" s="58"/>
      <c r="S21" s="55">
        <f t="shared" si="30"/>
        <v>0</v>
      </c>
      <c r="T21" s="57">
        <f>P21*1.05</f>
        <v>0</v>
      </c>
      <c r="U21" s="57">
        <f t="shared" si="23"/>
        <v>0</v>
      </c>
      <c r="V21" s="59"/>
      <c r="W21" s="124">
        <f t="shared" si="24"/>
        <v>0</v>
      </c>
      <c r="X21" s="57">
        <f t="shared" si="25"/>
        <v>0</v>
      </c>
      <c r="Y21" s="84">
        <f t="shared" si="26"/>
        <v>0</v>
      </c>
    </row>
    <row r="22" spans="1:77" s="61" customFormat="1" x14ac:dyDescent="0.25">
      <c r="A22" s="87"/>
      <c r="B22" s="54"/>
      <c r="C22" s="124">
        <v>0</v>
      </c>
      <c r="D22" s="56">
        <v>0</v>
      </c>
      <c r="E22" s="56">
        <f t="shared" si="15"/>
        <v>0</v>
      </c>
      <c r="F22" s="58"/>
      <c r="G22" s="55">
        <f t="shared" si="28"/>
        <v>0</v>
      </c>
      <c r="H22" s="57">
        <f t="shared" si="27"/>
        <v>0</v>
      </c>
      <c r="I22" s="57">
        <f t="shared" si="16"/>
        <v>0</v>
      </c>
      <c r="J22" s="58"/>
      <c r="K22" s="55">
        <f t="shared" si="17"/>
        <v>0</v>
      </c>
      <c r="L22" s="57">
        <f t="shared" si="18"/>
        <v>0</v>
      </c>
      <c r="M22" s="57">
        <f t="shared" si="19"/>
        <v>0</v>
      </c>
      <c r="N22" s="58"/>
      <c r="O22" s="55">
        <f t="shared" si="29"/>
        <v>0</v>
      </c>
      <c r="P22" s="57">
        <f>L22*1.05</f>
        <v>0</v>
      </c>
      <c r="Q22" s="57">
        <f t="shared" si="21"/>
        <v>0</v>
      </c>
      <c r="R22" s="58"/>
      <c r="S22" s="55">
        <f t="shared" si="30"/>
        <v>0</v>
      </c>
      <c r="T22" s="57">
        <f>P22*1.05</f>
        <v>0</v>
      </c>
      <c r="U22" s="57">
        <f t="shared" si="23"/>
        <v>0</v>
      </c>
      <c r="V22" s="59"/>
      <c r="W22" s="124">
        <f t="shared" si="24"/>
        <v>0</v>
      </c>
      <c r="X22" s="57">
        <f t="shared" si="25"/>
        <v>0</v>
      </c>
      <c r="Y22" s="84">
        <f t="shared" si="26"/>
        <v>0</v>
      </c>
    </row>
    <row r="23" spans="1:77" s="61" customFormat="1" x14ac:dyDescent="0.25">
      <c r="A23" s="52"/>
      <c r="B23" s="54"/>
      <c r="C23" s="124">
        <v>0</v>
      </c>
      <c r="D23" s="56">
        <v>0</v>
      </c>
      <c r="E23" s="56">
        <f t="shared" si="15"/>
        <v>0</v>
      </c>
      <c r="F23" s="58"/>
      <c r="G23" s="55">
        <f t="shared" si="28"/>
        <v>0</v>
      </c>
      <c r="H23" s="57">
        <f t="shared" si="27"/>
        <v>0</v>
      </c>
      <c r="I23" s="57">
        <f t="shared" si="16"/>
        <v>0</v>
      </c>
      <c r="J23" s="58"/>
      <c r="K23" s="55">
        <f t="shared" si="17"/>
        <v>0</v>
      </c>
      <c r="L23" s="57">
        <f t="shared" si="18"/>
        <v>0</v>
      </c>
      <c r="M23" s="57">
        <f t="shared" si="19"/>
        <v>0</v>
      </c>
      <c r="N23" s="58"/>
      <c r="O23" s="55">
        <f t="shared" si="29"/>
        <v>0</v>
      </c>
      <c r="P23" s="57">
        <f>L23*1.05</f>
        <v>0</v>
      </c>
      <c r="Q23" s="57">
        <f t="shared" si="21"/>
        <v>0</v>
      </c>
      <c r="R23" s="58"/>
      <c r="S23" s="55">
        <f t="shared" si="30"/>
        <v>0</v>
      </c>
      <c r="T23" s="57">
        <f>P23*1.05</f>
        <v>0</v>
      </c>
      <c r="U23" s="57">
        <f t="shared" si="23"/>
        <v>0</v>
      </c>
      <c r="V23" s="59"/>
      <c r="W23" s="124">
        <f t="shared" si="24"/>
        <v>0</v>
      </c>
      <c r="X23" s="57">
        <f t="shared" si="25"/>
        <v>0</v>
      </c>
      <c r="Y23" s="84">
        <f t="shared" si="26"/>
        <v>0</v>
      </c>
    </row>
    <row r="24" spans="1:77" s="61" customFormat="1" x14ac:dyDescent="0.25">
      <c r="A24" s="52"/>
      <c r="B24" s="54"/>
      <c r="C24" s="124">
        <v>0</v>
      </c>
      <c r="D24" s="56">
        <v>0</v>
      </c>
      <c r="E24" s="56">
        <f t="shared" si="15"/>
        <v>0</v>
      </c>
      <c r="F24" s="58"/>
      <c r="G24" s="55">
        <f t="shared" si="28"/>
        <v>0</v>
      </c>
      <c r="H24" s="57">
        <f t="shared" si="27"/>
        <v>0</v>
      </c>
      <c r="I24" s="57">
        <f t="shared" si="16"/>
        <v>0</v>
      </c>
      <c r="J24" s="58"/>
      <c r="K24" s="55">
        <f t="shared" si="17"/>
        <v>0</v>
      </c>
      <c r="L24" s="57">
        <f t="shared" si="18"/>
        <v>0</v>
      </c>
      <c r="M24" s="57">
        <f t="shared" si="19"/>
        <v>0</v>
      </c>
      <c r="N24" s="58"/>
      <c r="O24" s="55">
        <f t="shared" si="29"/>
        <v>0</v>
      </c>
      <c r="P24" s="57">
        <f>L24*1.05</f>
        <v>0</v>
      </c>
      <c r="Q24" s="57">
        <f t="shared" si="21"/>
        <v>0</v>
      </c>
      <c r="R24" s="58"/>
      <c r="S24" s="55">
        <f t="shared" si="30"/>
        <v>0</v>
      </c>
      <c r="T24" s="57">
        <f>P24*1.05</f>
        <v>0</v>
      </c>
      <c r="U24" s="57">
        <f t="shared" si="23"/>
        <v>0</v>
      </c>
      <c r="V24" s="59"/>
      <c r="W24" s="124">
        <f t="shared" si="24"/>
        <v>0</v>
      </c>
      <c r="X24" s="57">
        <f t="shared" si="25"/>
        <v>0</v>
      </c>
      <c r="Y24" s="84">
        <f t="shared" si="26"/>
        <v>0</v>
      </c>
    </row>
    <row r="25" spans="1:77" s="61" customFormat="1" x14ac:dyDescent="0.25">
      <c r="A25" s="52"/>
      <c r="B25" s="54"/>
      <c r="C25" s="124">
        <v>0</v>
      </c>
      <c r="D25" s="56">
        <v>0</v>
      </c>
      <c r="E25" s="56">
        <f t="shared" si="15"/>
        <v>0</v>
      </c>
      <c r="F25" s="58"/>
      <c r="G25" s="55">
        <f t="shared" si="28"/>
        <v>0</v>
      </c>
      <c r="H25" s="57">
        <f t="shared" si="27"/>
        <v>0</v>
      </c>
      <c r="I25" s="57">
        <f t="shared" si="16"/>
        <v>0</v>
      </c>
      <c r="J25" s="58"/>
      <c r="K25" s="55">
        <f t="shared" si="17"/>
        <v>0</v>
      </c>
      <c r="L25" s="57">
        <f t="shared" si="18"/>
        <v>0</v>
      </c>
      <c r="M25" s="57">
        <f t="shared" si="19"/>
        <v>0</v>
      </c>
      <c r="N25" s="58"/>
      <c r="O25" s="55">
        <f t="shared" si="29"/>
        <v>0</v>
      </c>
      <c r="P25" s="57">
        <f>L25*1.05</f>
        <v>0</v>
      </c>
      <c r="Q25" s="57">
        <f t="shared" si="21"/>
        <v>0</v>
      </c>
      <c r="R25" s="58"/>
      <c r="S25" s="55">
        <f t="shared" si="30"/>
        <v>0</v>
      </c>
      <c r="T25" s="57">
        <f>P25*1.05</f>
        <v>0</v>
      </c>
      <c r="U25" s="57">
        <f t="shared" si="23"/>
        <v>0</v>
      </c>
      <c r="V25" s="59"/>
      <c r="W25" s="124">
        <f t="shared" si="24"/>
        <v>0</v>
      </c>
      <c r="X25" s="57">
        <f t="shared" si="25"/>
        <v>0</v>
      </c>
      <c r="Y25" s="84">
        <f t="shared" si="26"/>
        <v>0</v>
      </c>
    </row>
    <row r="26" spans="1:77" s="83" customFormat="1" x14ac:dyDescent="0.25">
      <c r="A26" s="78"/>
      <c r="B26" s="78" t="s">
        <v>9</v>
      </c>
      <c r="C26" s="228">
        <f>SUM(C17:C25)</f>
        <v>0</v>
      </c>
      <c r="D26" s="125">
        <f>SUM(D17:D25)</f>
        <v>0</v>
      </c>
      <c r="E26" s="125">
        <f>SUM(E17:E25)</f>
        <v>0</v>
      </c>
      <c r="F26" s="81"/>
      <c r="G26" s="79">
        <f>SUM(G17:G25)</f>
        <v>0</v>
      </c>
      <c r="H26" s="80">
        <f>SUM(H17:H25)</f>
        <v>0</v>
      </c>
      <c r="I26" s="80">
        <f>SUM(I17:I25)</f>
        <v>0</v>
      </c>
      <c r="J26" s="81"/>
      <c r="K26" s="79">
        <f>SUM(K17:K25)</f>
        <v>0</v>
      </c>
      <c r="L26" s="80">
        <f>SUM(L17:L25)</f>
        <v>0</v>
      </c>
      <c r="M26" s="80">
        <f>SUM(M17:M25)</f>
        <v>0</v>
      </c>
      <c r="N26" s="81"/>
      <c r="O26" s="79">
        <f>SUM(O17:O25)</f>
        <v>0</v>
      </c>
      <c r="P26" s="80">
        <f>SUM(P17:P25)</f>
        <v>0</v>
      </c>
      <c r="Q26" s="80">
        <f>SUM(Q17:Q25)</f>
        <v>0</v>
      </c>
      <c r="R26" s="81"/>
      <c r="S26" s="79">
        <f>SUM(S17:S25)</f>
        <v>0</v>
      </c>
      <c r="T26" s="80">
        <f>SUM(T17:T25)</f>
        <v>0</v>
      </c>
      <c r="U26" s="80">
        <f>SUM(U17:U25)</f>
        <v>0</v>
      </c>
      <c r="V26" s="82"/>
      <c r="W26" s="228">
        <f t="shared" si="24"/>
        <v>0</v>
      </c>
      <c r="X26" s="80">
        <f t="shared" si="25"/>
        <v>0</v>
      </c>
      <c r="Y26" s="80">
        <f t="shared" si="26"/>
        <v>0</v>
      </c>
    </row>
    <row r="27" spans="1:77" s="92" customFormat="1" x14ac:dyDescent="0.25">
      <c r="A27" s="89" t="s">
        <v>16</v>
      </c>
      <c r="B27" s="89"/>
      <c r="C27" s="90">
        <f>C26+C15</f>
        <v>0</v>
      </c>
      <c r="D27" s="90">
        <f t="shared" ref="D27:Y27" si="31">D26+D15</f>
        <v>0</v>
      </c>
      <c r="E27" s="90">
        <f t="shared" si="31"/>
        <v>0</v>
      </c>
      <c r="F27" s="90">
        <f t="shared" si="31"/>
        <v>0</v>
      </c>
      <c r="G27" s="90">
        <f t="shared" si="31"/>
        <v>0</v>
      </c>
      <c r="H27" s="90">
        <f t="shared" si="31"/>
        <v>0</v>
      </c>
      <c r="I27" s="90">
        <f t="shared" si="31"/>
        <v>0</v>
      </c>
      <c r="J27" s="90">
        <f t="shared" si="31"/>
        <v>0</v>
      </c>
      <c r="K27" s="90">
        <f t="shared" si="31"/>
        <v>0</v>
      </c>
      <c r="L27" s="90">
        <f t="shared" si="31"/>
        <v>0</v>
      </c>
      <c r="M27" s="90">
        <f t="shared" si="31"/>
        <v>0</v>
      </c>
      <c r="N27" s="90">
        <f t="shared" si="31"/>
        <v>0</v>
      </c>
      <c r="O27" s="90">
        <f t="shared" si="31"/>
        <v>0</v>
      </c>
      <c r="P27" s="90">
        <f t="shared" si="31"/>
        <v>0</v>
      </c>
      <c r="Q27" s="90">
        <f t="shared" si="31"/>
        <v>0</v>
      </c>
      <c r="R27" s="90">
        <f t="shared" si="31"/>
        <v>0</v>
      </c>
      <c r="S27" s="90">
        <f t="shared" si="31"/>
        <v>0</v>
      </c>
      <c r="T27" s="90">
        <f t="shared" si="31"/>
        <v>0</v>
      </c>
      <c r="U27" s="90">
        <f t="shared" si="31"/>
        <v>0</v>
      </c>
      <c r="V27" s="90">
        <f t="shared" si="31"/>
        <v>0</v>
      </c>
      <c r="W27" s="90">
        <f t="shared" si="31"/>
        <v>0</v>
      </c>
      <c r="X27" s="90">
        <f t="shared" si="31"/>
        <v>0</v>
      </c>
      <c r="Y27" s="90">
        <f t="shared" si="31"/>
        <v>0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/>
      <c r="D29" s="56">
        <v>0</v>
      </c>
      <c r="E29" s="56">
        <f t="shared" ref="E29:E35" si="32">SUM(C29:D29)</f>
        <v>0</v>
      </c>
      <c r="F29" s="58"/>
      <c r="G29" s="55"/>
      <c r="H29" s="57">
        <v>0</v>
      </c>
      <c r="I29" s="57">
        <f t="shared" ref="I29:I35" si="33">SUM(G29:H29)</f>
        <v>0</v>
      </c>
      <c r="J29" s="58"/>
      <c r="K29" s="55"/>
      <c r="L29" s="57">
        <v>0</v>
      </c>
      <c r="M29" s="57">
        <f t="shared" ref="M29:M35" si="34">SUM(K29:L29)</f>
        <v>0</v>
      </c>
      <c r="N29" s="58"/>
      <c r="O29" s="55"/>
      <c r="P29" s="57">
        <v>0</v>
      </c>
      <c r="Q29" s="57">
        <f t="shared" ref="Q29:Q35" si="35">SUM(O29:P29)</f>
        <v>0</v>
      </c>
      <c r="R29" s="58"/>
      <c r="S29" s="55"/>
      <c r="T29" s="57">
        <v>0</v>
      </c>
      <c r="U29" s="57">
        <f t="shared" ref="U29:U35" si="36">SUM(S29:T29)</f>
        <v>0</v>
      </c>
      <c r="V29" s="59"/>
      <c r="W29" s="124">
        <v>0</v>
      </c>
      <c r="X29" s="57">
        <v>0</v>
      </c>
      <c r="Y29" s="84">
        <f t="shared" ref="Y29:Y36" si="37">E29+I29+M29+Q29+U29</f>
        <v>0</v>
      </c>
    </row>
    <row r="30" spans="1:77" s="169" customFormat="1" x14ac:dyDescent="0.25">
      <c r="A30" s="234">
        <v>3.5999999999999997E-2</v>
      </c>
      <c r="B30" s="52" t="s">
        <v>40</v>
      </c>
      <c r="C30" s="227">
        <f>C18*A30</f>
        <v>0</v>
      </c>
      <c r="D30" s="174">
        <v>0</v>
      </c>
      <c r="E30" s="174">
        <f t="shared" si="32"/>
        <v>0</v>
      </c>
      <c r="F30" s="175"/>
      <c r="G30" s="172">
        <f t="shared" ref="G30:G32" si="38">(G14+G17)*A30*1.05</f>
        <v>0</v>
      </c>
      <c r="H30" s="173">
        <f t="shared" ref="H30:H31" si="39">H13*A30*1.05</f>
        <v>0</v>
      </c>
      <c r="I30" s="173">
        <f t="shared" si="33"/>
        <v>0</v>
      </c>
      <c r="J30" s="175"/>
      <c r="K30" s="172">
        <f t="shared" ref="K30:K32" si="40">(K14+K17)*A30*1.05</f>
        <v>0</v>
      </c>
      <c r="L30" s="173">
        <f t="shared" ref="L30:L31" si="41">L13*A30*1.05</f>
        <v>0</v>
      </c>
      <c r="M30" s="173">
        <f t="shared" si="34"/>
        <v>0</v>
      </c>
      <c r="N30" s="175"/>
      <c r="O30" s="172">
        <f t="shared" ref="O30:O32" si="42">(O14+O17)*A30*1.05</f>
        <v>0</v>
      </c>
      <c r="P30" s="173">
        <f t="shared" ref="P30:P31" si="43">P13*A30*1.05</f>
        <v>0</v>
      </c>
      <c r="Q30" s="173">
        <f t="shared" si="35"/>
        <v>0</v>
      </c>
      <c r="R30" s="175"/>
      <c r="S30" s="172">
        <f t="shared" ref="S30:S32" si="44">(S14+S17)*A30*1.05</f>
        <v>0</v>
      </c>
      <c r="T30" s="173">
        <f t="shared" ref="T30:T31" si="45">T13*A30*1.05</f>
        <v>0</v>
      </c>
      <c r="U30" s="173">
        <f t="shared" si="36"/>
        <v>0</v>
      </c>
      <c r="V30" s="176"/>
      <c r="W30" s="227">
        <f t="shared" ref="W30:X36" si="46">C30+G30+K30+O30+S30</f>
        <v>0</v>
      </c>
      <c r="X30" s="173">
        <f t="shared" si="46"/>
        <v>0</v>
      </c>
      <c r="Y30" s="179">
        <f t="shared" si="37"/>
        <v>0</v>
      </c>
    </row>
    <row r="31" spans="1:77" s="169" customFormat="1" x14ac:dyDescent="0.25">
      <c r="A31" s="234">
        <v>8.6999999999999994E-2</v>
      </c>
      <c r="B31" s="52" t="s">
        <v>51</v>
      </c>
      <c r="C31" s="227">
        <v>0</v>
      </c>
      <c r="D31" s="174">
        <v>0</v>
      </c>
      <c r="E31" s="174">
        <f t="shared" si="32"/>
        <v>0</v>
      </c>
      <c r="F31" s="175"/>
      <c r="G31" s="172">
        <f t="shared" si="38"/>
        <v>0</v>
      </c>
      <c r="H31" s="173">
        <f t="shared" si="39"/>
        <v>0</v>
      </c>
      <c r="I31" s="173">
        <f t="shared" si="33"/>
        <v>0</v>
      </c>
      <c r="J31" s="175"/>
      <c r="K31" s="172">
        <f t="shared" si="40"/>
        <v>0</v>
      </c>
      <c r="L31" s="173">
        <f t="shared" si="41"/>
        <v>0</v>
      </c>
      <c r="M31" s="173">
        <f t="shared" si="34"/>
        <v>0</v>
      </c>
      <c r="N31" s="175"/>
      <c r="O31" s="172">
        <f t="shared" si="42"/>
        <v>0</v>
      </c>
      <c r="P31" s="173">
        <f t="shared" si="43"/>
        <v>0</v>
      </c>
      <c r="Q31" s="173">
        <f t="shared" si="35"/>
        <v>0</v>
      </c>
      <c r="R31" s="175"/>
      <c r="S31" s="172">
        <f t="shared" si="44"/>
        <v>0</v>
      </c>
      <c r="T31" s="173">
        <f t="shared" si="45"/>
        <v>0</v>
      </c>
      <c r="U31" s="173">
        <f t="shared" si="36"/>
        <v>0</v>
      </c>
      <c r="V31" s="176"/>
      <c r="W31" s="227">
        <f t="shared" si="46"/>
        <v>0</v>
      </c>
      <c r="X31" s="173">
        <f t="shared" si="46"/>
        <v>0</v>
      </c>
      <c r="Y31" s="179">
        <f t="shared" si="37"/>
        <v>0</v>
      </c>
    </row>
    <row r="32" spans="1:77" s="169" customFormat="1" x14ac:dyDescent="0.25">
      <c r="A32" s="234">
        <v>0.30099999999999999</v>
      </c>
      <c r="B32" s="54" t="s">
        <v>52</v>
      </c>
      <c r="C32" s="227">
        <v>0</v>
      </c>
      <c r="D32" s="174">
        <f>D15*A32</f>
        <v>0</v>
      </c>
      <c r="E32" s="174">
        <f t="shared" si="32"/>
        <v>0</v>
      </c>
      <c r="F32" s="175"/>
      <c r="G32" s="172">
        <f t="shared" si="38"/>
        <v>0</v>
      </c>
      <c r="H32" s="173">
        <f>H15*A32*1.05</f>
        <v>0</v>
      </c>
      <c r="I32" s="173">
        <f t="shared" si="33"/>
        <v>0</v>
      </c>
      <c r="J32" s="175"/>
      <c r="K32" s="172">
        <f t="shared" si="40"/>
        <v>0</v>
      </c>
      <c r="L32" s="173">
        <f>L15*A32*1.05</f>
        <v>0</v>
      </c>
      <c r="M32" s="173">
        <f t="shared" si="34"/>
        <v>0</v>
      </c>
      <c r="N32" s="175"/>
      <c r="O32" s="172">
        <f t="shared" si="42"/>
        <v>0</v>
      </c>
      <c r="P32" s="173">
        <f>P15*A32*1.05</f>
        <v>0</v>
      </c>
      <c r="Q32" s="173">
        <f t="shared" si="35"/>
        <v>0</v>
      </c>
      <c r="R32" s="175"/>
      <c r="S32" s="172">
        <f t="shared" si="44"/>
        <v>0</v>
      </c>
      <c r="T32" s="173">
        <f>T15*A32*1.05</f>
        <v>0</v>
      </c>
      <c r="U32" s="173">
        <f t="shared" si="36"/>
        <v>0</v>
      </c>
      <c r="V32" s="176"/>
      <c r="W32" s="227">
        <f t="shared" si="46"/>
        <v>0</v>
      </c>
      <c r="X32" s="173">
        <f t="shared" si="46"/>
        <v>0</v>
      </c>
      <c r="Y32" s="179">
        <f t="shared" si="37"/>
        <v>0</v>
      </c>
    </row>
    <row r="33" spans="1:77" s="169" customFormat="1" x14ac:dyDescent="0.25">
      <c r="A33" s="234">
        <v>0.42</v>
      </c>
      <c r="B33" s="54" t="s">
        <v>53</v>
      </c>
      <c r="C33" s="227">
        <f>(C17+C20)*A33</f>
        <v>0</v>
      </c>
      <c r="D33" s="174">
        <v>0</v>
      </c>
      <c r="E33" s="174">
        <f t="shared" si="32"/>
        <v>0</v>
      </c>
      <c r="F33" s="175"/>
      <c r="G33" s="172">
        <f>(G17+G20)*A33*1.05</f>
        <v>0</v>
      </c>
      <c r="H33" s="173">
        <f t="shared" ref="H33:H35" si="47">H16*A33*1.05</f>
        <v>0</v>
      </c>
      <c r="I33" s="173">
        <f t="shared" si="33"/>
        <v>0</v>
      </c>
      <c r="J33" s="175"/>
      <c r="K33" s="172">
        <f>(K17+K20)*A33*1.05</f>
        <v>0</v>
      </c>
      <c r="L33" s="173">
        <f t="shared" ref="L33:L35" si="48">L16*A33*1.05</f>
        <v>0</v>
      </c>
      <c r="M33" s="173">
        <f t="shared" si="34"/>
        <v>0</v>
      </c>
      <c r="N33" s="175"/>
      <c r="O33" s="172">
        <f>(O17+O20)*A33*1.05</f>
        <v>0</v>
      </c>
      <c r="P33" s="173">
        <f t="shared" ref="P33:P35" si="49">P16*A33*1.05</f>
        <v>0</v>
      </c>
      <c r="Q33" s="173">
        <f t="shared" si="35"/>
        <v>0</v>
      </c>
      <c r="R33" s="175"/>
      <c r="S33" s="172">
        <f>(S17+S20)*A33*1.05</f>
        <v>0</v>
      </c>
      <c r="T33" s="173">
        <f t="shared" ref="T33:T35" si="50">T16*A33*1.05</f>
        <v>0</v>
      </c>
      <c r="U33" s="173">
        <f t="shared" si="36"/>
        <v>0</v>
      </c>
      <c r="V33" s="176"/>
      <c r="W33" s="227">
        <f t="shared" si="46"/>
        <v>0</v>
      </c>
      <c r="X33" s="173">
        <f t="shared" si="46"/>
        <v>0</v>
      </c>
      <c r="Y33" s="179">
        <f t="shared" si="37"/>
        <v>0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32"/>
        <v>0</v>
      </c>
      <c r="F34" s="58"/>
      <c r="G34" s="172">
        <f t="shared" ref="G34:G35" si="51">(G18+G21)*A34*1.05</f>
        <v>0</v>
      </c>
      <c r="H34" s="173">
        <f t="shared" si="47"/>
        <v>0</v>
      </c>
      <c r="I34" s="57">
        <f t="shared" si="33"/>
        <v>0</v>
      </c>
      <c r="J34" s="58"/>
      <c r="K34" s="172">
        <f t="shared" ref="K34:K35" si="52">(K18+K21)*A34*1.05</f>
        <v>0</v>
      </c>
      <c r="L34" s="173">
        <f t="shared" si="48"/>
        <v>0</v>
      </c>
      <c r="M34" s="57">
        <f t="shared" si="34"/>
        <v>0</v>
      </c>
      <c r="N34" s="58"/>
      <c r="O34" s="172">
        <f t="shared" ref="O34:O35" si="53">(O18+O21)*A34*1.05</f>
        <v>0</v>
      </c>
      <c r="P34" s="173">
        <f t="shared" si="49"/>
        <v>0</v>
      </c>
      <c r="Q34" s="57">
        <f t="shared" si="35"/>
        <v>0</v>
      </c>
      <c r="R34" s="58"/>
      <c r="S34" s="172">
        <f t="shared" ref="S34:S35" si="54">(S18+S21)*A34*1.05</f>
        <v>0</v>
      </c>
      <c r="T34" s="173">
        <f t="shared" si="50"/>
        <v>0</v>
      </c>
      <c r="U34" s="57">
        <f t="shared" si="36"/>
        <v>0</v>
      </c>
      <c r="V34" s="59"/>
      <c r="W34" s="124">
        <f t="shared" si="46"/>
        <v>0</v>
      </c>
      <c r="X34" s="57">
        <f t="shared" si="46"/>
        <v>0</v>
      </c>
      <c r="Y34" s="84">
        <f t="shared" si="37"/>
        <v>0</v>
      </c>
    </row>
    <row r="35" spans="1:77" s="61" customFormat="1" x14ac:dyDescent="0.25">
      <c r="A35" s="6"/>
      <c r="B35" s="52"/>
      <c r="C35" s="124">
        <v>0</v>
      </c>
      <c r="D35" s="56">
        <v>0</v>
      </c>
      <c r="E35" s="56">
        <f t="shared" si="32"/>
        <v>0</v>
      </c>
      <c r="F35" s="58"/>
      <c r="G35" s="172">
        <f t="shared" si="51"/>
        <v>0</v>
      </c>
      <c r="H35" s="173">
        <f t="shared" si="47"/>
        <v>0</v>
      </c>
      <c r="I35" s="57">
        <f t="shared" si="33"/>
        <v>0</v>
      </c>
      <c r="J35" s="58"/>
      <c r="K35" s="172">
        <f t="shared" si="52"/>
        <v>0</v>
      </c>
      <c r="L35" s="173">
        <f t="shared" si="48"/>
        <v>0</v>
      </c>
      <c r="M35" s="57">
        <f t="shared" si="34"/>
        <v>0</v>
      </c>
      <c r="N35" s="58"/>
      <c r="O35" s="172">
        <f t="shared" si="53"/>
        <v>0</v>
      </c>
      <c r="P35" s="173">
        <f t="shared" si="49"/>
        <v>0</v>
      </c>
      <c r="Q35" s="57">
        <f t="shared" si="35"/>
        <v>0</v>
      </c>
      <c r="R35" s="58"/>
      <c r="S35" s="172">
        <f t="shared" si="54"/>
        <v>0</v>
      </c>
      <c r="T35" s="173">
        <f t="shared" si="50"/>
        <v>0</v>
      </c>
      <c r="U35" s="57">
        <f t="shared" si="36"/>
        <v>0</v>
      </c>
      <c r="V35" s="59"/>
      <c r="W35" s="124">
        <f t="shared" si="46"/>
        <v>0</v>
      </c>
      <c r="X35" s="57">
        <f t="shared" si="46"/>
        <v>0</v>
      </c>
      <c r="Y35" s="84">
        <f t="shared" si="37"/>
        <v>0</v>
      </c>
    </row>
    <row r="36" spans="1:77" s="83" customFormat="1" x14ac:dyDescent="0.25">
      <c r="A36" s="78"/>
      <c r="B36" s="78" t="s">
        <v>9</v>
      </c>
      <c r="C36" s="228">
        <f>SUM(C29:C35)</f>
        <v>0</v>
      </c>
      <c r="D36" s="125">
        <f>SUM(D29:D35)</f>
        <v>0</v>
      </c>
      <c r="E36" s="125">
        <f>SUM(E29:E35)</f>
        <v>0</v>
      </c>
      <c r="F36" s="81"/>
      <c r="G36" s="79">
        <f>SUM(G29:G35)</f>
        <v>0</v>
      </c>
      <c r="H36" s="80">
        <f>SUM(H29:H35)</f>
        <v>0</v>
      </c>
      <c r="I36" s="80">
        <f>SUM(I29:I35)</f>
        <v>0</v>
      </c>
      <c r="J36" s="81"/>
      <c r="K36" s="79">
        <f>SUM(K29:K35)</f>
        <v>0</v>
      </c>
      <c r="L36" s="80">
        <f>SUM(L29:L35)</f>
        <v>0</v>
      </c>
      <c r="M36" s="80">
        <f>SUM(M29:M35)</f>
        <v>0</v>
      </c>
      <c r="N36" s="81"/>
      <c r="O36" s="79">
        <f>SUM(O29:O35)</f>
        <v>0</v>
      </c>
      <c r="P36" s="80">
        <f>SUM(P29:P35)</f>
        <v>0</v>
      </c>
      <c r="Q36" s="80">
        <f>SUM(Q29:Q35)</f>
        <v>0</v>
      </c>
      <c r="R36" s="81"/>
      <c r="S36" s="79">
        <f>SUM(S29:S35)</f>
        <v>0</v>
      </c>
      <c r="T36" s="80">
        <f>SUM(T29:T35)</f>
        <v>0</v>
      </c>
      <c r="U36" s="80">
        <f>SUM(U29:U35)</f>
        <v>0</v>
      </c>
      <c r="V36" s="82"/>
      <c r="W36" s="228">
        <f t="shared" si="46"/>
        <v>0</v>
      </c>
      <c r="X36" s="80">
        <f t="shared" si="46"/>
        <v>0</v>
      </c>
      <c r="Y36" s="80">
        <f t="shared" si="37"/>
        <v>0</v>
      </c>
    </row>
    <row r="37" spans="1:77" s="94" customFormat="1" x14ac:dyDescent="0.25">
      <c r="A37" s="89" t="s">
        <v>17</v>
      </c>
      <c r="B37" s="89"/>
      <c r="C37" s="90">
        <f t="shared" ref="C37:Y37" si="55">C36+C27</f>
        <v>0</v>
      </c>
      <c r="D37" s="90">
        <f t="shared" si="55"/>
        <v>0</v>
      </c>
      <c r="E37" s="90">
        <f t="shared" si="55"/>
        <v>0</v>
      </c>
      <c r="F37" s="90">
        <f t="shared" si="55"/>
        <v>0</v>
      </c>
      <c r="G37" s="90">
        <f t="shared" si="55"/>
        <v>0</v>
      </c>
      <c r="H37" s="90">
        <f t="shared" si="55"/>
        <v>0</v>
      </c>
      <c r="I37" s="90">
        <f t="shared" si="55"/>
        <v>0</v>
      </c>
      <c r="J37" s="90">
        <f t="shared" si="55"/>
        <v>0</v>
      </c>
      <c r="K37" s="90">
        <f t="shared" si="55"/>
        <v>0</v>
      </c>
      <c r="L37" s="90">
        <f t="shared" si="55"/>
        <v>0</v>
      </c>
      <c r="M37" s="90">
        <f t="shared" si="55"/>
        <v>0</v>
      </c>
      <c r="N37" s="90">
        <f t="shared" si="55"/>
        <v>0</v>
      </c>
      <c r="O37" s="90">
        <f t="shared" si="55"/>
        <v>0</v>
      </c>
      <c r="P37" s="90">
        <f t="shared" si="55"/>
        <v>0</v>
      </c>
      <c r="Q37" s="90">
        <f t="shared" si="55"/>
        <v>0</v>
      </c>
      <c r="R37" s="90">
        <f t="shared" si="55"/>
        <v>0</v>
      </c>
      <c r="S37" s="90">
        <f t="shared" si="55"/>
        <v>0</v>
      </c>
      <c r="T37" s="90">
        <f t="shared" si="55"/>
        <v>0</v>
      </c>
      <c r="U37" s="90">
        <f t="shared" si="55"/>
        <v>0</v>
      </c>
      <c r="V37" s="90">
        <f t="shared" si="55"/>
        <v>0</v>
      </c>
      <c r="W37" s="90">
        <f t="shared" si="55"/>
        <v>0</v>
      </c>
      <c r="X37" s="90">
        <f t="shared" si="55"/>
        <v>0</v>
      </c>
      <c r="Y37" s="90">
        <f t="shared" si="55"/>
        <v>0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2"/>
      <c r="B39" s="52"/>
      <c r="C39" s="124">
        <v>0</v>
      </c>
      <c r="D39" s="56">
        <v>0</v>
      </c>
      <c r="E39" s="56">
        <f t="shared" ref="E39:E48" si="56">SUM(C39:D39)</f>
        <v>0</v>
      </c>
      <c r="F39" s="58"/>
      <c r="G39" s="55">
        <v>0</v>
      </c>
      <c r="H39" s="57">
        <v>0</v>
      </c>
      <c r="I39" s="57">
        <f t="shared" ref="I39:I48" si="57">SUM(G39:H39)</f>
        <v>0</v>
      </c>
      <c r="J39" s="58"/>
      <c r="K39" s="55">
        <v>0</v>
      </c>
      <c r="L39" s="57">
        <v>0</v>
      </c>
      <c r="M39" s="57">
        <f t="shared" ref="M39:M48" si="58">SUM(K39:L39)</f>
        <v>0</v>
      </c>
      <c r="N39" s="58"/>
      <c r="O39" s="55">
        <v>0</v>
      </c>
      <c r="P39" s="57">
        <v>0</v>
      </c>
      <c r="Q39" s="57">
        <f t="shared" ref="Q39:Q48" si="59">SUM(O39:P39)</f>
        <v>0</v>
      </c>
      <c r="R39" s="58"/>
      <c r="S39" s="55">
        <v>0</v>
      </c>
      <c r="T39" s="57">
        <v>0</v>
      </c>
      <c r="U39" s="57">
        <f t="shared" ref="U39:U48" si="60">SUM(S39:T39)</f>
        <v>0</v>
      </c>
      <c r="V39" s="59"/>
      <c r="W39" s="124">
        <f t="shared" ref="W39:W49" si="61">C39+G39+K39+O39+S39</f>
        <v>0</v>
      </c>
      <c r="X39" s="57">
        <f t="shared" ref="X39:X49" si="62">D39+H39+L39+P39+T39</f>
        <v>0</v>
      </c>
      <c r="Y39" s="84">
        <f t="shared" ref="Y39:Y49" si="63">E39+I39+M39+Q39+U39</f>
        <v>0</v>
      </c>
    </row>
    <row r="40" spans="1:77" s="61" customFormat="1" x14ac:dyDescent="0.25">
      <c r="A40" s="52"/>
      <c r="B40" s="52"/>
      <c r="C40" s="124">
        <v>0</v>
      </c>
      <c r="D40" s="56">
        <v>0</v>
      </c>
      <c r="E40" s="56">
        <f t="shared" si="56"/>
        <v>0</v>
      </c>
      <c r="F40" s="58"/>
      <c r="G40" s="55">
        <v>0</v>
      </c>
      <c r="H40" s="57">
        <v>0</v>
      </c>
      <c r="I40" s="57">
        <f t="shared" si="57"/>
        <v>0</v>
      </c>
      <c r="J40" s="58"/>
      <c r="K40" s="55">
        <v>0</v>
      </c>
      <c r="L40" s="57">
        <v>0</v>
      </c>
      <c r="M40" s="57">
        <f t="shared" si="58"/>
        <v>0</v>
      </c>
      <c r="N40" s="58"/>
      <c r="O40" s="55">
        <v>0</v>
      </c>
      <c r="P40" s="57">
        <v>0</v>
      </c>
      <c r="Q40" s="57">
        <f t="shared" si="59"/>
        <v>0</v>
      </c>
      <c r="R40" s="58"/>
      <c r="S40" s="55">
        <v>0</v>
      </c>
      <c r="T40" s="57">
        <v>0</v>
      </c>
      <c r="U40" s="57">
        <f t="shared" si="60"/>
        <v>0</v>
      </c>
      <c r="V40" s="59"/>
      <c r="W40" s="124">
        <f t="shared" si="61"/>
        <v>0</v>
      </c>
      <c r="X40" s="57">
        <f t="shared" si="62"/>
        <v>0</v>
      </c>
      <c r="Y40" s="84">
        <f t="shared" si="63"/>
        <v>0</v>
      </c>
    </row>
    <row r="41" spans="1:77" s="61" customFormat="1" x14ac:dyDescent="0.25">
      <c r="A41" s="52"/>
      <c r="B41" s="54"/>
      <c r="C41" s="124">
        <v>0</v>
      </c>
      <c r="D41" s="56">
        <v>0</v>
      </c>
      <c r="E41" s="56">
        <f t="shared" si="56"/>
        <v>0</v>
      </c>
      <c r="F41" s="58"/>
      <c r="G41" s="55">
        <v>0</v>
      </c>
      <c r="H41" s="57">
        <v>0</v>
      </c>
      <c r="I41" s="57">
        <f t="shared" si="57"/>
        <v>0</v>
      </c>
      <c r="J41" s="58"/>
      <c r="K41" s="55">
        <v>0</v>
      </c>
      <c r="L41" s="57">
        <v>0</v>
      </c>
      <c r="M41" s="57">
        <f t="shared" si="58"/>
        <v>0</v>
      </c>
      <c r="N41" s="58"/>
      <c r="O41" s="55">
        <v>0</v>
      </c>
      <c r="P41" s="57">
        <v>0</v>
      </c>
      <c r="Q41" s="57">
        <f t="shared" si="59"/>
        <v>0</v>
      </c>
      <c r="R41" s="58"/>
      <c r="S41" s="55">
        <v>0</v>
      </c>
      <c r="T41" s="57">
        <v>0</v>
      </c>
      <c r="U41" s="57">
        <f t="shared" si="60"/>
        <v>0</v>
      </c>
      <c r="V41" s="59"/>
      <c r="W41" s="124">
        <f t="shared" si="61"/>
        <v>0</v>
      </c>
      <c r="X41" s="57">
        <f t="shared" si="62"/>
        <v>0</v>
      </c>
      <c r="Y41" s="84">
        <f t="shared" si="63"/>
        <v>0</v>
      </c>
    </row>
    <row r="42" spans="1:77" s="61" customFormat="1" x14ac:dyDescent="0.25">
      <c r="A42" s="52"/>
      <c r="B42" s="52"/>
      <c r="C42" s="124">
        <v>0</v>
      </c>
      <c r="D42" s="56">
        <v>0</v>
      </c>
      <c r="E42" s="56">
        <f t="shared" si="56"/>
        <v>0</v>
      </c>
      <c r="F42" s="58"/>
      <c r="G42" s="55">
        <v>0</v>
      </c>
      <c r="H42" s="57">
        <v>0</v>
      </c>
      <c r="I42" s="57">
        <f t="shared" si="57"/>
        <v>0</v>
      </c>
      <c r="J42" s="58"/>
      <c r="K42" s="55">
        <v>0</v>
      </c>
      <c r="L42" s="57">
        <v>0</v>
      </c>
      <c r="M42" s="57">
        <f t="shared" si="58"/>
        <v>0</v>
      </c>
      <c r="N42" s="58"/>
      <c r="O42" s="55">
        <v>0</v>
      </c>
      <c r="P42" s="57">
        <v>0</v>
      </c>
      <c r="Q42" s="57">
        <f t="shared" si="59"/>
        <v>0</v>
      </c>
      <c r="R42" s="58"/>
      <c r="S42" s="55">
        <v>0</v>
      </c>
      <c r="T42" s="57">
        <v>0</v>
      </c>
      <c r="U42" s="57">
        <f t="shared" si="60"/>
        <v>0</v>
      </c>
      <c r="V42" s="59"/>
      <c r="W42" s="124">
        <f t="shared" si="61"/>
        <v>0</v>
      </c>
      <c r="X42" s="57">
        <f t="shared" si="62"/>
        <v>0</v>
      </c>
      <c r="Y42" s="84">
        <f t="shared" si="63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56"/>
        <v>0</v>
      </c>
      <c r="F43" s="58"/>
      <c r="G43" s="55">
        <v>0</v>
      </c>
      <c r="H43" s="57">
        <v>0</v>
      </c>
      <c r="I43" s="57">
        <f t="shared" si="57"/>
        <v>0</v>
      </c>
      <c r="J43" s="58"/>
      <c r="K43" s="55">
        <v>0</v>
      </c>
      <c r="L43" s="57">
        <v>0</v>
      </c>
      <c r="M43" s="57">
        <f t="shared" si="58"/>
        <v>0</v>
      </c>
      <c r="N43" s="58"/>
      <c r="O43" s="55">
        <v>0</v>
      </c>
      <c r="P43" s="57">
        <v>0</v>
      </c>
      <c r="Q43" s="57">
        <f t="shared" si="59"/>
        <v>0</v>
      </c>
      <c r="R43" s="58"/>
      <c r="S43" s="55">
        <v>0</v>
      </c>
      <c r="T43" s="57">
        <v>0</v>
      </c>
      <c r="U43" s="57">
        <f t="shared" si="60"/>
        <v>0</v>
      </c>
      <c r="V43" s="59"/>
      <c r="W43" s="124">
        <f t="shared" si="61"/>
        <v>0</v>
      </c>
      <c r="X43" s="57">
        <f t="shared" si="62"/>
        <v>0</v>
      </c>
      <c r="Y43" s="84">
        <f t="shared" si="63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56"/>
        <v>0</v>
      </c>
      <c r="F44" s="58"/>
      <c r="G44" s="55">
        <v>0</v>
      </c>
      <c r="H44" s="57">
        <v>0</v>
      </c>
      <c r="I44" s="57">
        <f t="shared" si="57"/>
        <v>0</v>
      </c>
      <c r="J44" s="58"/>
      <c r="K44" s="55">
        <v>0</v>
      </c>
      <c r="L44" s="57">
        <v>0</v>
      </c>
      <c r="M44" s="57">
        <f t="shared" si="58"/>
        <v>0</v>
      </c>
      <c r="N44" s="58"/>
      <c r="O44" s="55">
        <v>0</v>
      </c>
      <c r="P44" s="57">
        <v>0</v>
      </c>
      <c r="Q44" s="57">
        <f t="shared" si="59"/>
        <v>0</v>
      </c>
      <c r="R44" s="58"/>
      <c r="S44" s="55">
        <v>0</v>
      </c>
      <c r="T44" s="57">
        <v>0</v>
      </c>
      <c r="U44" s="57">
        <f t="shared" si="60"/>
        <v>0</v>
      </c>
      <c r="V44" s="59"/>
      <c r="W44" s="124">
        <f t="shared" si="61"/>
        <v>0</v>
      </c>
      <c r="X44" s="57">
        <f t="shared" si="62"/>
        <v>0</v>
      </c>
      <c r="Y44" s="84">
        <f t="shared" si="63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56"/>
        <v>0</v>
      </c>
      <c r="F45" s="58"/>
      <c r="G45" s="55">
        <v>0</v>
      </c>
      <c r="H45" s="57">
        <v>0</v>
      </c>
      <c r="I45" s="57">
        <f t="shared" si="57"/>
        <v>0</v>
      </c>
      <c r="J45" s="58"/>
      <c r="K45" s="55">
        <v>0</v>
      </c>
      <c r="L45" s="57">
        <v>0</v>
      </c>
      <c r="M45" s="57">
        <f t="shared" si="58"/>
        <v>0</v>
      </c>
      <c r="N45" s="58"/>
      <c r="O45" s="55">
        <v>0</v>
      </c>
      <c r="P45" s="57">
        <v>0</v>
      </c>
      <c r="Q45" s="57">
        <f t="shared" si="59"/>
        <v>0</v>
      </c>
      <c r="R45" s="58"/>
      <c r="S45" s="55">
        <v>0</v>
      </c>
      <c r="T45" s="57">
        <v>0</v>
      </c>
      <c r="U45" s="57">
        <f t="shared" si="60"/>
        <v>0</v>
      </c>
      <c r="V45" s="59"/>
      <c r="W45" s="124">
        <f t="shared" si="61"/>
        <v>0</v>
      </c>
      <c r="X45" s="57">
        <f t="shared" si="62"/>
        <v>0</v>
      </c>
      <c r="Y45" s="84">
        <f t="shared" si="63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56"/>
        <v>0</v>
      </c>
      <c r="F46" s="58"/>
      <c r="G46" s="55">
        <v>0</v>
      </c>
      <c r="H46" s="57">
        <v>0</v>
      </c>
      <c r="I46" s="57">
        <f t="shared" si="57"/>
        <v>0</v>
      </c>
      <c r="J46" s="58"/>
      <c r="K46" s="55">
        <v>0</v>
      </c>
      <c r="L46" s="57">
        <v>0</v>
      </c>
      <c r="M46" s="57">
        <f t="shared" si="58"/>
        <v>0</v>
      </c>
      <c r="N46" s="58"/>
      <c r="O46" s="55">
        <v>0</v>
      </c>
      <c r="P46" s="57">
        <v>0</v>
      </c>
      <c r="Q46" s="57">
        <f t="shared" si="59"/>
        <v>0</v>
      </c>
      <c r="R46" s="58"/>
      <c r="S46" s="55">
        <v>0</v>
      </c>
      <c r="T46" s="57">
        <v>0</v>
      </c>
      <c r="U46" s="57">
        <f t="shared" si="60"/>
        <v>0</v>
      </c>
      <c r="V46" s="59"/>
      <c r="W46" s="124">
        <f t="shared" si="61"/>
        <v>0</v>
      </c>
      <c r="X46" s="57">
        <f t="shared" si="62"/>
        <v>0</v>
      </c>
      <c r="Y46" s="84">
        <f t="shared" si="63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56"/>
        <v>0</v>
      </c>
      <c r="F47" s="58"/>
      <c r="G47" s="55">
        <v>0</v>
      </c>
      <c r="H47" s="57">
        <v>0</v>
      </c>
      <c r="I47" s="57">
        <f t="shared" si="57"/>
        <v>0</v>
      </c>
      <c r="J47" s="58"/>
      <c r="K47" s="55">
        <v>0</v>
      </c>
      <c r="L47" s="57">
        <v>0</v>
      </c>
      <c r="M47" s="57">
        <f t="shared" si="58"/>
        <v>0</v>
      </c>
      <c r="N47" s="58"/>
      <c r="O47" s="55">
        <v>0</v>
      </c>
      <c r="P47" s="57">
        <v>0</v>
      </c>
      <c r="Q47" s="57">
        <f t="shared" si="59"/>
        <v>0</v>
      </c>
      <c r="R47" s="58"/>
      <c r="S47" s="55">
        <v>0</v>
      </c>
      <c r="T47" s="57">
        <v>0</v>
      </c>
      <c r="U47" s="57">
        <f t="shared" si="60"/>
        <v>0</v>
      </c>
      <c r="V47" s="59"/>
      <c r="W47" s="124">
        <f t="shared" si="61"/>
        <v>0</v>
      </c>
      <c r="X47" s="57">
        <f t="shared" si="62"/>
        <v>0</v>
      </c>
      <c r="Y47" s="84">
        <f t="shared" si="63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56"/>
        <v>0</v>
      </c>
      <c r="F48" s="58"/>
      <c r="G48" s="55">
        <v>0</v>
      </c>
      <c r="H48" s="57">
        <v>0</v>
      </c>
      <c r="I48" s="57">
        <f t="shared" si="57"/>
        <v>0</v>
      </c>
      <c r="J48" s="58"/>
      <c r="K48" s="55">
        <v>0</v>
      </c>
      <c r="L48" s="57">
        <v>0</v>
      </c>
      <c r="M48" s="57">
        <f t="shared" si="58"/>
        <v>0</v>
      </c>
      <c r="N48" s="58"/>
      <c r="O48" s="55">
        <v>0</v>
      </c>
      <c r="P48" s="57">
        <v>0</v>
      </c>
      <c r="Q48" s="57">
        <f t="shared" si="59"/>
        <v>0</v>
      </c>
      <c r="R48" s="58"/>
      <c r="S48" s="55">
        <v>0</v>
      </c>
      <c r="T48" s="57">
        <v>0</v>
      </c>
      <c r="U48" s="57">
        <f t="shared" si="60"/>
        <v>0</v>
      </c>
      <c r="V48" s="59"/>
      <c r="W48" s="124">
        <f t="shared" si="61"/>
        <v>0</v>
      </c>
      <c r="X48" s="57">
        <f t="shared" si="62"/>
        <v>0</v>
      </c>
      <c r="Y48" s="84">
        <f t="shared" si="63"/>
        <v>0</v>
      </c>
    </row>
    <row r="49" spans="1:25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0</v>
      </c>
      <c r="E49" s="125">
        <f>SUM(E39:E48)</f>
        <v>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61"/>
        <v>0</v>
      </c>
      <c r="X49" s="80">
        <f t="shared" si="62"/>
        <v>0</v>
      </c>
      <c r="Y49" s="80">
        <f t="shared" si="63"/>
        <v>0</v>
      </c>
    </row>
    <row r="50" spans="1:25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25" s="169" customFormat="1" x14ac:dyDescent="0.25">
      <c r="A51" s="178"/>
      <c r="B51" s="178" t="s">
        <v>57</v>
      </c>
      <c r="C51" s="227">
        <v>0</v>
      </c>
      <c r="D51" s="174">
        <v>0</v>
      </c>
      <c r="E51" s="174">
        <f t="shared" ref="E51:E56" si="64">SUM(C51:D51)</f>
        <v>0</v>
      </c>
      <c r="F51" s="175"/>
      <c r="G51" s="172">
        <v>0</v>
      </c>
      <c r="H51" s="173">
        <v>0</v>
      </c>
      <c r="I51" s="173">
        <f t="shared" ref="I51:I56" si="65">SUM(G51:H51)</f>
        <v>0</v>
      </c>
      <c r="J51" s="175"/>
      <c r="K51" s="172">
        <v>0</v>
      </c>
      <c r="L51" s="173">
        <v>0</v>
      </c>
      <c r="M51" s="173">
        <f t="shared" ref="M51:M56" si="66">SUM(K51:L51)</f>
        <v>0</v>
      </c>
      <c r="N51" s="175"/>
      <c r="O51" s="172">
        <f>K51</f>
        <v>0</v>
      </c>
      <c r="P51" s="173">
        <v>0</v>
      </c>
      <c r="Q51" s="173">
        <f t="shared" ref="Q51:Q56" si="67">SUM(O51:P51)</f>
        <v>0</v>
      </c>
      <c r="R51" s="175"/>
      <c r="S51" s="172">
        <f>O51</f>
        <v>0</v>
      </c>
      <c r="T51" s="173">
        <v>0</v>
      </c>
      <c r="U51" s="173">
        <f t="shared" ref="U51:U56" si="68">SUM(S51:T51)</f>
        <v>0</v>
      </c>
      <c r="V51" s="176"/>
      <c r="W51" s="227">
        <f t="shared" ref="W51:Y57" si="69">C51+G51+K51+O51+S51</f>
        <v>0</v>
      </c>
      <c r="X51" s="173">
        <f t="shared" si="69"/>
        <v>0</v>
      </c>
      <c r="Y51" s="179">
        <f t="shared" si="69"/>
        <v>0</v>
      </c>
    </row>
    <row r="52" spans="1:25" s="61" customFormat="1" x14ac:dyDescent="0.25">
      <c r="A52" s="87"/>
      <c r="B52" s="52"/>
      <c r="C52" s="124">
        <v>0</v>
      </c>
      <c r="D52" s="56">
        <v>0</v>
      </c>
      <c r="E52" s="56">
        <f t="shared" si="64"/>
        <v>0</v>
      </c>
      <c r="F52" s="58"/>
      <c r="G52" s="55">
        <v>0</v>
      </c>
      <c r="H52" s="57">
        <v>0</v>
      </c>
      <c r="I52" s="57">
        <f t="shared" si="65"/>
        <v>0</v>
      </c>
      <c r="J52" s="58"/>
      <c r="K52" s="55">
        <v>0</v>
      </c>
      <c r="L52" s="57">
        <v>0</v>
      </c>
      <c r="M52" s="57">
        <f t="shared" si="66"/>
        <v>0</v>
      </c>
      <c r="N52" s="58"/>
      <c r="O52" s="55">
        <v>0</v>
      </c>
      <c r="P52" s="57">
        <v>0</v>
      </c>
      <c r="Q52" s="57">
        <f t="shared" si="67"/>
        <v>0</v>
      </c>
      <c r="R52" s="58"/>
      <c r="S52" s="55">
        <v>0</v>
      </c>
      <c r="T52" s="57">
        <v>0</v>
      </c>
      <c r="U52" s="57">
        <f t="shared" si="68"/>
        <v>0</v>
      </c>
      <c r="V52" s="59"/>
      <c r="W52" s="124">
        <f t="shared" si="69"/>
        <v>0</v>
      </c>
      <c r="X52" s="57">
        <f t="shared" si="69"/>
        <v>0</v>
      </c>
      <c r="Y52" s="84">
        <f t="shared" si="69"/>
        <v>0</v>
      </c>
    </row>
    <row r="53" spans="1:25" s="61" customFormat="1" x14ac:dyDescent="0.25">
      <c r="A53" s="87"/>
      <c r="B53" s="52"/>
      <c r="C53" s="124">
        <v>0</v>
      </c>
      <c r="D53" s="56">
        <v>0</v>
      </c>
      <c r="E53" s="56">
        <f t="shared" si="64"/>
        <v>0</v>
      </c>
      <c r="F53" s="58"/>
      <c r="G53" s="55">
        <v>0</v>
      </c>
      <c r="H53" s="57">
        <v>0</v>
      </c>
      <c r="I53" s="57">
        <f t="shared" si="65"/>
        <v>0</v>
      </c>
      <c r="J53" s="58"/>
      <c r="K53" s="55">
        <v>0</v>
      </c>
      <c r="L53" s="57">
        <v>0</v>
      </c>
      <c r="M53" s="57">
        <f t="shared" si="66"/>
        <v>0</v>
      </c>
      <c r="N53" s="58"/>
      <c r="O53" s="55">
        <v>0</v>
      </c>
      <c r="P53" s="57">
        <v>0</v>
      </c>
      <c r="Q53" s="57">
        <f t="shared" si="67"/>
        <v>0</v>
      </c>
      <c r="R53" s="58"/>
      <c r="S53" s="55">
        <v>0</v>
      </c>
      <c r="T53" s="57">
        <v>0</v>
      </c>
      <c r="U53" s="57">
        <f t="shared" si="68"/>
        <v>0</v>
      </c>
      <c r="V53" s="59"/>
      <c r="W53" s="124">
        <f t="shared" si="69"/>
        <v>0</v>
      </c>
      <c r="X53" s="57">
        <f t="shared" si="69"/>
        <v>0</v>
      </c>
      <c r="Y53" s="84">
        <f t="shared" si="69"/>
        <v>0</v>
      </c>
    </row>
    <row r="54" spans="1:25" s="61" customFormat="1" x14ac:dyDescent="0.25">
      <c r="A54" s="52"/>
      <c r="B54" s="52"/>
      <c r="C54" s="124">
        <v>0</v>
      </c>
      <c r="D54" s="56">
        <v>0</v>
      </c>
      <c r="E54" s="56">
        <f t="shared" si="64"/>
        <v>0</v>
      </c>
      <c r="F54" s="58"/>
      <c r="G54" s="55">
        <v>0</v>
      </c>
      <c r="H54" s="57">
        <v>0</v>
      </c>
      <c r="I54" s="57">
        <f t="shared" si="65"/>
        <v>0</v>
      </c>
      <c r="J54" s="58"/>
      <c r="K54" s="55">
        <v>0</v>
      </c>
      <c r="L54" s="57">
        <v>0</v>
      </c>
      <c r="M54" s="57">
        <f t="shared" si="66"/>
        <v>0</v>
      </c>
      <c r="N54" s="58"/>
      <c r="O54" s="55">
        <v>0</v>
      </c>
      <c r="P54" s="57">
        <v>0</v>
      </c>
      <c r="Q54" s="57">
        <f t="shared" si="67"/>
        <v>0</v>
      </c>
      <c r="R54" s="58"/>
      <c r="S54" s="55">
        <v>0</v>
      </c>
      <c r="T54" s="57">
        <v>0</v>
      </c>
      <c r="U54" s="57">
        <f t="shared" si="68"/>
        <v>0</v>
      </c>
      <c r="V54" s="59"/>
      <c r="W54" s="124">
        <f t="shared" si="69"/>
        <v>0</v>
      </c>
      <c r="X54" s="57">
        <f t="shared" si="69"/>
        <v>0</v>
      </c>
      <c r="Y54" s="84">
        <f t="shared" si="69"/>
        <v>0</v>
      </c>
    </row>
    <row r="55" spans="1:25" s="61" customFormat="1" x14ac:dyDescent="0.25">
      <c r="A55" s="52"/>
      <c r="B55" s="52"/>
      <c r="C55" s="124">
        <v>0</v>
      </c>
      <c r="D55" s="56">
        <v>0</v>
      </c>
      <c r="E55" s="56">
        <f t="shared" si="64"/>
        <v>0</v>
      </c>
      <c r="F55" s="58"/>
      <c r="G55" s="55">
        <v>0</v>
      </c>
      <c r="H55" s="57">
        <v>0</v>
      </c>
      <c r="I55" s="57">
        <f t="shared" si="65"/>
        <v>0</v>
      </c>
      <c r="J55" s="58"/>
      <c r="K55" s="55">
        <v>0</v>
      </c>
      <c r="L55" s="57">
        <v>0</v>
      </c>
      <c r="M55" s="57">
        <f t="shared" si="66"/>
        <v>0</v>
      </c>
      <c r="N55" s="58"/>
      <c r="O55" s="55">
        <v>0</v>
      </c>
      <c r="P55" s="57">
        <v>0</v>
      </c>
      <c r="Q55" s="57">
        <f t="shared" si="67"/>
        <v>0</v>
      </c>
      <c r="R55" s="58"/>
      <c r="S55" s="55">
        <v>0</v>
      </c>
      <c r="T55" s="57">
        <v>0</v>
      </c>
      <c r="U55" s="57">
        <f t="shared" si="68"/>
        <v>0</v>
      </c>
      <c r="V55" s="59"/>
      <c r="W55" s="124">
        <f t="shared" si="69"/>
        <v>0</v>
      </c>
      <c r="X55" s="57">
        <f t="shared" si="69"/>
        <v>0</v>
      </c>
      <c r="Y55" s="84">
        <f t="shared" si="69"/>
        <v>0</v>
      </c>
    </row>
    <row r="56" spans="1:25" s="61" customFormat="1" x14ac:dyDescent="0.25">
      <c r="A56" s="52"/>
      <c r="B56" s="52"/>
      <c r="C56" s="124">
        <v>0</v>
      </c>
      <c r="D56" s="56">
        <v>0</v>
      </c>
      <c r="E56" s="56">
        <f t="shared" si="64"/>
        <v>0</v>
      </c>
      <c r="F56" s="58"/>
      <c r="G56" s="55">
        <v>0</v>
      </c>
      <c r="H56" s="57">
        <v>0</v>
      </c>
      <c r="I56" s="57">
        <f t="shared" si="65"/>
        <v>0</v>
      </c>
      <c r="J56" s="58"/>
      <c r="K56" s="55">
        <v>0</v>
      </c>
      <c r="L56" s="57">
        <v>0</v>
      </c>
      <c r="M56" s="57">
        <f t="shared" si="66"/>
        <v>0</v>
      </c>
      <c r="N56" s="58"/>
      <c r="O56" s="55">
        <v>0</v>
      </c>
      <c r="P56" s="57">
        <v>0</v>
      </c>
      <c r="Q56" s="57">
        <f t="shared" si="67"/>
        <v>0</v>
      </c>
      <c r="R56" s="58"/>
      <c r="S56" s="55">
        <v>0</v>
      </c>
      <c r="T56" s="57">
        <v>0</v>
      </c>
      <c r="U56" s="57">
        <f t="shared" si="68"/>
        <v>0</v>
      </c>
      <c r="V56" s="59"/>
      <c r="W56" s="124">
        <f t="shared" si="69"/>
        <v>0</v>
      </c>
      <c r="X56" s="57">
        <f t="shared" si="69"/>
        <v>0</v>
      </c>
      <c r="Y56" s="84">
        <f t="shared" si="69"/>
        <v>0</v>
      </c>
    </row>
    <row r="57" spans="1:25" s="83" customFormat="1" x14ac:dyDescent="0.25">
      <c r="A57" s="78"/>
      <c r="B57" s="78" t="s">
        <v>9</v>
      </c>
      <c r="C57" s="228">
        <f>SUM(C51:C56)</f>
        <v>0</v>
      </c>
      <c r="D57" s="125">
        <f>SUM(D51:D56)</f>
        <v>0</v>
      </c>
      <c r="E57" s="125">
        <f>SUM(E51:E56)</f>
        <v>0</v>
      </c>
      <c r="F57" s="81"/>
      <c r="G57" s="79">
        <f>SUM(G51:G56)</f>
        <v>0</v>
      </c>
      <c r="H57" s="80">
        <f>SUM(H51:H56)</f>
        <v>0</v>
      </c>
      <c r="I57" s="80">
        <f>SUM(I51:I56)</f>
        <v>0</v>
      </c>
      <c r="J57" s="81"/>
      <c r="K57" s="79">
        <f>SUM(K51:K56)</f>
        <v>0</v>
      </c>
      <c r="L57" s="80">
        <f>SUM(L51:L56)</f>
        <v>0</v>
      </c>
      <c r="M57" s="80">
        <f>SUM(M51:M56)</f>
        <v>0</v>
      </c>
      <c r="N57" s="81"/>
      <c r="O57" s="79">
        <f>SUM(O51:O56)</f>
        <v>0</v>
      </c>
      <c r="P57" s="80">
        <f>SUM(P51:P56)</f>
        <v>0</v>
      </c>
      <c r="Q57" s="80">
        <f>SUM(Q51:Q56)</f>
        <v>0</v>
      </c>
      <c r="R57" s="81"/>
      <c r="S57" s="79">
        <f>SUM(S51:S56)</f>
        <v>0</v>
      </c>
      <c r="T57" s="80">
        <f>SUM(T51:T56)</f>
        <v>0</v>
      </c>
      <c r="U57" s="80">
        <f>SUM(U51:U56)</f>
        <v>0</v>
      </c>
      <c r="V57" s="82"/>
      <c r="W57" s="228">
        <f t="shared" si="69"/>
        <v>0</v>
      </c>
      <c r="X57" s="80">
        <f t="shared" si="69"/>
        <v>0</v>
      </c>
      <c r="Y57" s="80">
        <f t="shared" si="69"/>
        <v>0</v>
      </c>
    </row>
    <row r="58" spans="1:25" s="77" customFormat="1" x14ac:dyDescent="0.25">
      <c r="A58" s="74" t="s">
        <v>14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25" s="61" customFormat="1" x14ac:dyDescent="0.25">
      <c r="A59" s="52"/>
      <c r="B59" s="52"/>
      <c r="C59" s="124">
        <v>0</v>
      </c>
      <c r="D59" s="56">
        <v>0</v>
      </c>
      <c r="E59" s="56">
        <f>SUM(C59:D59)</f>
        <v>0</v>
      </c>
      <c r="F59" s="58"/>
      <c r="G59" s="55">
        <v>0</v>
      </c>
      <c r="H59" s="57">
        <v>0</v>
      </c>
      <c r="I59" s="57">
        <f>SUM(G59:H59)</f>
        <v>0</v>
      </c>
      <c r="J59" s="58"/>
      <c r="K59" s="55">
        <v>0</v>
      </c>
      <c r="L59" s="57">
        <v>0</v>
      </c>
      <c r="M59" s="57">
        <f>SUM(K59:L59)</f>
        <v>0</v>
      </c>
      <c r="N59" s="58"/>
      <c r="O59" s="55">
        <v>0</v>
      </c>
      <c r="P59" s="57">
        <v>0</v>
      </c>
      <c r="Q59" s="57">
        <f>SUM(O59:P59)</f>
        <v>0</v>
      </c>
      <c r="R59" s="58"/>
      <c r="S59" s="55">
        <v>0</v>
      </c>
      <c r="T59" s="57">
        <v>0</v>
      </c>
      <c r="U59" s="57">
        <f>SUM(S59:T59)</f>
        <v>0</v>
      </c>
      <c r="V59" s="59"/>
      <c r="W59" s="124">
        <f t="shared" ref="W59:Y63" si="70">C59+G59+K59+O59+S59</f>
        <v>0</v>
      </c>
      <c r="X59" s="57">
        <f t="shared" si="70"/>
        <v>0</v>
      </c>
      <c r="Y59" s="84">
        <f t="shared" si="70"/>
        <v>0</v>
      </c>
    </row>
    <row r="60" spans="1:25" s="61" customFormat="1" x14ac:dyDescent="0.25">
      <c r="A60" s="52"/>
      <c r="B60" s="52"/>
      <c r="C60" s="124">
        <v>0</v>
      </c>
      <c r="D60" s="56">
        <v>0</v>
      </c>
      <c r="E60" s="56">
        <f>SUM(C60:D60)</f>
        <v>0</v>
      </c>
      <c r="F60" s="58"/>
      <c r="G60" s="55">
        <v>0</v>
      </c>
      <c r="H60" s="57">
        <v>0</v>
      </c>
      <c r="I60" s="57">
        <f>SUM(G60:H60)</f>
        <v>0</v>
      </c>
      <c r="J60" s="58"/>
      <c r="K60" s="55">
        <v>0</v>
      </c>
      <c r="L60" s="57">
        <v>0</v>
      </c>
      <c r="M60" s="57">
        <f>SUM(K60:L60)</f>
        <v>0</v>
      </c>
      <c r="N60" s="58"/>
      <c r="O60" s="55">
        <v>0</v>
      </c>
      <c r="P60" s="57">
        <v>0</v>
      </c>
      <c r="Q60" s="57">
        <f>SUM(O60:P60)</f>
        <v>0</v>
      </c>
      <c r="R60" s="58"/>
      <c r="S60" s="55">
        <v>0</v>
      </c>
      <c r="T60" s="57">
        <v>0</v>
      </c>
      <c r="U60" s="57">
        <f>SUM(S60:T60)</f>
        <v>0</v>
      </c>
      <c r="V60" s="59"/>
      <c r="W60" s="124">
        <f t="shared" si="70"/>
        <v>0</v>
      </c>
      <c r="X60" s="57">
        <f t="shared" si="70"/>
        <v>0</v>
      </c>
      <c r="Y60" s="84">
        <f t="shared" si="70"/>
        <v>0</v>
      </c>
    </row>
    <row r="61" spans="1:25" s="61" customFormat="1" x14ac:dyDescent="0.25">
      <c r="A61" s="52"/>
      <c r="B61" s="54"/>
      <c r="C61" s="124">
        <v>0</v>
      </c>
      <c r="D61" s="56">
        <v>0</v>
      </c>
      <c r="E61" s="56">
        <f>SUM(C61:D61)</f>
        <v>0</v>
      </c>
      <c r="F61" s="58"/>
      <c r="G61" s="55">
        <v>0</v>
      </c>
      <c r="H61" s="57">
        <v>0</v>
      </c>
      <c r="I61" s="57">
        <f>SUM(G61:H61)</f>
        <v>0</v>
      </c>
      <c r="J61" s="58"/>
      <c r="K61" s="55">
        <v>0</v>
      </c>
      <c r="L61" s="57">
        <v>0</v>
      </c>
      <c r="M61" s="57">
        <f>SUM(K61:L61)</f>
        <v>0</v>
      </c>
      <c r="N61" s="58"/>
      <c r="O61" s="55">
        <v>0</v>
      </c>
      <c r="P61" s="57">
        <v>0</v>
      </c>
      <c r="Q61" s="57">
        <f>SUM(O61:P61)</f>
        <v>0</v>
      </c>
      <c r="R61" s="58"/>
      <c r="S61" s="55">
        <v>0</v>
      </c>
      <c r="T61" s="57">
        <v>0</v>
      </c>
      <c r="U61" s="57">
        <f>SUM(S61:T61)</f>
        <v>0</v>
      </c>
      <c r="V61" s="59"/>
      <c r="W61" s="124">
        <f t="shared" si="70"/>
        <v>0</v>
      </c>
      <c r="X61" s="57">
        <f t="shared" si="70"/>
        <v>0</v>
      </c>
      <c r="Y61" s="84">
        <f t="shared" si="70"/>
        <v>0</v>
      </c>
    </row>
    <row r="62" spans="1:25" s="169" customFormat="1" x14ac:dyDescent="0.25">
      <c r="A62" s="178"/>
      <c r="B62" s="171" t="s">
        <v>57</v>
      </c>
      <c r="C62" s="227">
        <v>0</v>
      </c>
      <c r="D62" s="174">
        <v>0</v>
      </c>
      <c r="E62" s="174">
        <f>SUM(C62:D62)</f>
        <v>0</v>
      </c>
      <c r="F62" s="175"/>
      <c r="G62" s="172">
        <f>(C62*1.1)*2</f>
        <v>0</v>
      </c>
      <c r="H62" s="173">
        <v>0</v>
      </c>
      <c r="I62" s="173">
        <f>SUM(G62:H62)</f>
        <v>0</v>
      </c>
      <c r="J62" s="175"/>
      <c r="K62" s="172">
        <f>G62*1.1</f>
        <v>0</v>
      </c>
      <c r="L62" s="173">
        <v>0</v>
      </c>
      <c r="M62" s="173">
        <f>SUM(K62:L62)</f>
        <v>0</v>
      </c>
      <c r="N62" s="175"/>
      <c r="O62" s="172">
        <f>K62*1.1</f>
        <v>0</v>
      </c>
      <c r="P62" s="173">
        <v>0</v>
      </c>
      <c r="Q62" s="173">
        <f>SUM(O62:P62)</f>
        <v>0</v>
      </c>
      <c r="R62" s="175"/>
      <c r="S62" s="172">
        <f>O62*1.1</f>
        <v>0</v>
      </c>
      <c r="T62" s="173">
        <v>0</v>
      </c>
      <c r="U62" s="173">
        <f>SUM(S62:T62)</f>
        <v>0</v>
      </c>
      <c r="V62" s="176"/>
      <c r="W62" s="227">
        <f t="shared" si="70"/>
        <v>0</v>
      </c>
      <c r="X62" s="173">
        <f t="shared" si="70"/>
        <v>0</v>
      </c>
      <c r="Y62" s="179">
        <f t="shared" si="70"/>
        <v>0</v>
      </c>
    </row>
    <row r="63" spans="1:25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0</v>
      </c>
      <c r="H63" s="125">
        <f>SUM(H59:H62)</f>
        <v>0</v>
      </c>
      <c r="I63" s="125">
        <f>SUM(I59:I62)</f>
        <v>0</v>
      </c>
      <c r="J63" s="81"/>
      <c r="K63" s="79">
        <f>SUM(K59:K62)</f>
        <v>0</v>
      </c>
      <c r="L63" s="125">
        <f>SUM(L59:L62)</f>
        <v>0</v>
      </c>
      <c r="M63" s="125">
        <f>SUM(M59:M62)</f>
        <v>0</v>
      </c>
      <c r="N63" s="81"/>
      <c r="O63" s="79">
        <f>SUM(O59:O62)</f>
        <v>0</v>
      </c>
      <c r="P63" s="125">
        <f>SUM(P59:P62)</f>
        <v>0</v>
      </c>
      <c r="Q63" s="125">
        <f>SUM(Q59:Q62)</f>
        <v>0</v>
      </c>
      <c r="R63" s="81"/>
      <c r="S63" s="79">
        <f>SUM(S59:S62)</f>
        <v>0</v>
      </c>
      <c r="T63" s="125">
        <f>SUM(T59:T62)</f>
        <v>0</v>
      </c>
      <c r="U63" s="125">
        <f>SUM(U59:U62)</f>
        <v>0</v>
      </c>
      <c r="V63" s="82"/>
      <c r="W63" s="228">
        <f t="shared" si="70"/>
        <v>0</v>
      </c>
      <c r="X63" s="80">
        <f t="shared" si="70"/>
        <v>0</v>
      </c>
      <c r="Y63" s="159">
        <f t="shared" si="70"/>
        <v>0</v>
      </c>
    </row>
    <row r="64" spans="1:25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77" s="61" customFormat="1" x14ac:dyDescent="0.25">
      <c r="A65" s="53" t="s">
        <v>57</v>
      </c>
      <c r="B65" s="52" t="s">
        <v>57</v>
      </c>
      <c r="C65" s="124">
        <v>0</v>
      </c>
      <c r="D65" s="56">
        <v>0</v>
      </c>
      <c r="E65" s="56">
        <f t="shared" ref="E65:E84" si="71">SUM(C65:D65)</f>
        <v>0</v>
      </c>
      <c r="F65" s="58"/>
      <c r="G65" s="55">
        <v>0</v>
      </c>
      <c r="H65" s="57">
        <v>0</v>
      </c>
      <c r="I65" s="57">
        <f t="shared" ref="I65:I84" si="72">SUM(G65:H65)</f>
        <v>0</v>
      </c>
      <c r="J65" s="58"/>
      <c r="K65" s="55">
        <v>0</v>
      </c>
      <c r="L65" s="57">
        <v>0</v>
      </c>
      <c r="M65" s="57">
        <f t="shared" ref="M65:M84" si="73">SUM(K65:L65)</f>
        <v>0</v>
      </c>
      <c r="N65" s="58"/>
      <c r="O65" s="55">
        <v>0</v>
      </c>
      <c r="P65" s="57">
        <v>0</v>
      </c>
      <c r="Q65" s="57">
        <f t="shared" ref="Q65:Q84" si="74">SUM(O65:P65)</f>
        <v>0</v>
      </c>
      <c r="R65" s="58"/>
      <c r="S65" s="55">
        <v>0</v>
      </c>
      <c r="T65" s="57">
        <v>0</v>
      </c>
      <c r="U65" s="57">
        <f t="shared" ref="U65:U84" si="75">SUM(S65:T65)</f>
        <v>0</v>
      </c>
      <c r="V65" s="59"/>
      <c r="W65" s="124">
        <f t="shared" ref="W65:W85" si="76">C65+G65+K65+O65+S65</f>
        <v>0</v>
      </c>
      <c r="X65" s="57">
        <f t="shared" ref="X65:X85" si="77">D65+H65+L65+P65+T65</f>
        <v>0</v>
      </c>
      <c r="Y65" s="84">
        <f t="shared" ref="Y65:Y85" si="78">E65+I65+M65+Q65+U65</f>
        <v>0</v>
      </c>
    </row>
    <row r="66" spans="1:77" s="61" customFormat="1" x14ac:dyDescent="0.25">
      <c r="A66" s="53" t="s">
        <v>57</v>
      </c>
      <c r="B66" s="195" t="s">
        <v>251</v>
      </c>
      <c r="C66" s="124">
        <f>(60000*2)+43333-18421+705</f>
        <v>145617</v>
      </c>
      <c r="D66" s="56">
        <v>0</v>
      </c>
      <c r="E66" s="56">
        <f t="shared" si="71"/>
        <v>145617</v>
      </c>
      <c r="F66" s="58"/>
      <c r="G66" s="55">
        <f>(60000*3)+30000</f>
        <v>210000</v>
      </c>
      <c r="H66" s="57">
        <v>0</v>
      </c>
      <c r="I66" s="57">
        <f t="shared" si="72"/>
        <v>210000</v>
      </c>
      <c r="J66" s="58"/>
      <c r="K66" s="55">
        <f>60000*3</f>
        <v>180000</v>
      </c>
      <c r="L66" s="57">
        <v>0</v>
      </c>
      <c r="M66" s="57">
        <f t="shared" si="73"/>
        <v>180000</v>
      </c>
      <c r="N66" s="58"/>
      <c r="O66" s="55">
        <f>55000*3</f>
        <v>165000</v>
      </c>
      <c r="P66" s="56">
        <v>0</v>
      </c>
      <c r="Q66" s="56">
        <f t="shared" si="74"/>
        <v>165000</v>
      </c>
      <c r="R66" s="58"/>
      <c r="S66" s="55">
        <v>110000</v>
      </c>
      <c r="T66" s="57">
        <v>0</v>
      </c>
      <c r="U66" s="57">
        <f t="shared" si="75"/>
        <v>110000</v>
      </c>
      <c r="V66" s="59"/>
      <c r="W66" s="124">
        <f t="shared" si="76"/>
        <v>810617</v>
      </c>
      <c r="X66" s="196">
        <f t="shared" si="77"/>
        <v>0</v>
      </c>
      <c r="Y66" s="194">
        <f t="shared" si="78"/>
        <v>810617</v>
      </c>
    </row>
    <row r="67" spans="1:77" s="61" customFormat="1" x14ac:dyDescent="0.25">
      <c r="A67" s="53" t="s">
        <v>57</v>
      </c>
      <c r="B67" s="195" t="s">
        <v>252</v>
      </c>
      <c r="C67" s="124">
        <v>0</v>
      </c>
      <c r="D67" s="56">
        <v>0</v>
      </c>
      <c r="E67" s="56">
        <f t="shared" si="71"/>
        <v>0</v>
      </c>
      <c r="F67" s="58"/>
      <c r="G67" s="55">
        <f>170000</f>
        <v>170000</v>
      </c>
      <c r="H67" s="57">
        <v>0</v>
      </c>
      <c r="I67" s="57">
        <f t="shared" si="72"/>
        <v>170000</v>
      </c>
      <c r="J67" s="58"/>
      <c r="K67" s="55">
        <f>170000*1</f>
        <v>170000</v>
      </c>
      <c r="L67" s="56">
        <v>0</v>
      </c>
      <c r="M67" s="57">
        <f t="shared" si="73"/>
        <v>170000</v>
      </c>
      <c r="N67" s="58"/>
      <c r="O67" s="55">
        <f>165000*1</f>
        <v>165000</v>
      </c>
      <c r="P67" s="56">
        <v>0</v>
      </c>
      <c r="Q67" s="56">
        <f t="shared" si="74"/>
        <v>165000</v>
      </c>
      <c r="R67" s="58"/>
      <c r="S67" s="55">
        <v>0</v>
      </c>
      <c r="T67" s="57">
        <v>0</v>
      </c>
      <c r="U67" s="57">
        <f t="shared" si="75"/>
        <v>0</v>
      </c>
      <c r="V67" s="59"/>
      <c r="W67" s="124">
        <f t="shared" si="76"/>
        <v>505000</v>
      </c>
      <c r="X67" s="196">
        <f t="shared" si="77"/>
        <v>0</v>
      </c>
      <c r="Y67" s="194">
        <f t="shared" si="78"/>
        <v>505000</v>
      </c>
    </row>
    <row r="68" spans="1:77" s="61" customFormat="1" x14ac:dyDescent="0.25">
      <c r="A68" s="203"/>
      <c r="B68" s="54"/>
      <c r="C68" s="124">
        <f>(15000-5000)*3*0</f>
        <v>0</v>
      </c>
      <c r="D68" s="56">
        <v>0</v>
      </c>
      <c r="E68" s="56">
        <f t="shared" si="71"/>
        <v>0</v>
      </c>
      <c r="F68" s="58"/>
      <c r="G68" s="55">
        <v>0</v>
      </c>
      <c r="H68" s="57">
        <v>0</v>
      </c>
      <c r="I68" s="57">
        <f t="shared" si="72"/>
        <v>0</v>
      </c>
      <c r="J68" s="58"/>
      <c r="K68" s="55">
        <v>0</v>
      </c>
      <c r="L68" s="57">
        <v>0</v>
      </c>
      <c r="M68" s="57">
        <f t="shared" si="73"/>
        <v>0</v>
      </c>
      <c r="N68" s="58"/>
      <c r="O68" s="55">
        <f>K68</f>
        <v>0</v>
      </c>
      <c r="P68" s="57">
        <v>0</v>
      </c>
      <c r="Q68" s="57">
        <f t="shared" si="74"/>
        <v>0</v>
      </c>
      <c r="R68" s="58"/>
      <c r="S68" s="55">
        <f>O68</f>
        <v>0</v>
      </c>
      <c r="T68" s="57">
        <v>0</v>
      </c>
      <c r="U68" s="57">
        <f t="shared" si="75"/>
        <v>0</v>
      </c>
      <c r="V68" s="59"/>
      <c r="W68" s="124">
        <f t="shared" si="76"/>
        <v>0</v>
      </c>
      <c r="X68" s="57">
        <f t="shared" ref="X68" si="79">D68+H68+L68+P68+T68</f>
        <v>0</v>
      </c>
      <c r="Y68" s="84">
        <f t="shared" ref="Y68" si="80">E68+I68+M68+Q68+U68</f>
        <v>0</v>
      </c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</row>
    <row r="69" spans="1:77" s="61" customFormat="1" x14ac:dyDescent="0.25">
      <c r="A69" s="53"/>
      <c r="B69" s="54"/>
      <c r="C69" s="124">
        <v>0</v>
      </c>
      <c r="D69" s="56">
        <v>0</v>
      </c>
      <c r="E69" s="56">
        <f t="shared" si="71"/>
        <v>0</v>
      </c>
      <c r="F69" s="58"/>
      <c r="G69" s="55">
        <v>0</v>
      </c>
      <c r="H69" s="57">
        <v>0</v>
      </c>
      <c r="I69" s="57">
        <f t="shared" si="72"/>
        <v>0</v>
      </c>
      <c r="J69" s="58"/>
      <c r="K69" s="55">
        <v>0</v>
      </c>
      <c r="L69" s="56">
        <v>0</v>
      </c>
      <c r="M69" s="57">
        <f t="shared" si="73"/>
        <v>0</v>
      </c>
      <c r="N69" s="58"/>
      <c r="O69" s="55">
        <v>0</v>
      </c>
      <c r="P69" s="56">
        <v>0</v>
      </c>
      <c r="Q69" s="56">
        <f t="shared" si="74"/>
        <v>0</v>
      </c>
      <c r="R69" s="58"/>
      <c r="S69" s="55">
        <v>0</v>
      </c>
      <c r="T69" s="57">
        <v>0</v>
      </c>
      <c r="U69" s="57">
        <f t="shared" si="75"/>
        <v>0</v>
      </c>
      <c r="V69" s="59"/>
      <c r="W69" s="124">
        <f t="shared" si="76"/>
        <v>0</v>
      </c>
      <c r="X69" s="57">
        <f t="shared" si="77"/>
        <v>0</v>
      </c>
      <c r="Y69" s="84">
        <f t="shared" si="78"/>
        <v>0</v>
      </c>
    </row>
    <row r="70" spans="1:77" s="61" customFormat="1" x14ac:dyDescent="0.25">
      <c r="A70" s="52"/>
      <c r="B70" s="54" t="s">
        <v>57</v>
      </c>
      <c r="C70" s="124">
        <v>0</v>
      </c>
      <c r="D70" s="56">
        <v>0</v>
      </c>
      <c r="E70" s="56">
        <f t="shared" si="71"/>
        <v>0</v>
      </c>
      <c r="F70" s="58"/>
      <c r="G70" s="55">
        <v>0</v>
      </c>
      <c r="H70" s="57">
        <v>0</v>
      </c>
      <c r="I70" s="57">
        <f t="shared" si="72"/>
        <v>0</v>
      </c>
      <c r="J70" s="58"/>
      <c r="K70" s="55">
        <v>0</v>
      </c>
      <c r="L70" s="56"/>
      <c r="M70" s="57">
        <f t="shared" si="73"/>
        <v>0</v>
      </c>
      <c r="N70" s="58"/>
      <c r="O70" s="55">
        <v>0</v>
      </c>
      <c r="P70" s="56">
        <v>0</v>
      </c>
      <c r="Q70" s="56">
        <f t="shared" si="74"/>
        <v>0</v>
      </c>
      <c r="R70" s="58"/>
      <c r="S70" s="55">
        <v>0</v>
      </c>
      <c r="T70" s="56">
        <v>0</v>
      </c>
      <c r="U70" s="57">
        <f t="shared" si="75"/>
        <v>0</v>
      </c>
      <c r="V70" s="59"/>
      <c r="W70" s="124">
        <f t="shared" si="76"/>
        <v>0</v>
      </c>
      <c r="X70" s="57">
        <f t="shared" si="77"/>
        <v>0</v>
      </c>
      <c r="Y70" s="84">
        <f t="shared" si="78"/>
        <v>0</v>
      </c>
    </row>
    <row r="71" spans="1:77" s="169" customFormat="1" x14ac:dyDescent="0.25">
      <c r="A71" s="178"/>
      <c r="B71" s="171" t="s">
        <v>57</v>
      </c>
      <c r="C71" s="227">
        <v>0</v>
      </c>
      <c r="D71" s="174">
        <v>0</v>
      </c>
      <c r="E71" s="174">
        <f t="shared" si="71"/>
        <v>0</v>
      </c>
      <c r="F71" s="175"/>
      <c r="G71" s="172">
        <f>C71</f>
        <v>0</v>
      </c>
      <c r="H71" s="173">
        <v>0</v>
      </c>
      <c r="I71" s="173">
        <f t="shared" si="72"/>
        <v>0</v>
      </c>
      <c r="J71" s="175"/>
      <c r="K71" s="172">
        <f>G71</f>
        <v>0</v>
      </c>
      <c r="L71" s="174">
        <v>0</v>
      </c>
      <c r="M71" s="173">
        <f t="shared" si="73"/>
        <v>0</v>
      </c>
      <c r="N71" s="175"/>
      <c r="O71" s="172">
        <f>K71</f>
        <v>0</v>
      </c>
      <c r="P71" s="174">
        <v>0</v>
      </c>
      <c r="Q71" s="174">
        <f t="shared" si="74"/>
        <v>0</v>
      </c>
      <c r="R71" s="175"/>
      <c r="S71" s="172">
        <f>O71</f>
        <v>0</v>
      </c>
      <c r="T71" s="174">
        <v>0</v>
      </c>
      <c r="U71" s="173">
        <f t="shared" si="75"/>
        <v>0</v>
      </c>
      <c r="V71" s="176"/>
      <c r="W71" s="227">
        <f t="shared" si="76"/>
        <v>0</v>
      </c>
      <c r="X71" s="173">
        <f t="shared" si="77"/>
        <v>0</v>
      </c>
      <c r="Y71" s="179">
        <f t="shared" si="78"/>
        <v>0</v>
      </c>
    </row>
    <row r="72" spans="1:77" s="61" customFormat="1" x14ac:dyDescent="0.25">
      <c r="A72" s="87"/>
      <c r="B72" s="54" t="s">
        <v>57</v>
      </c>
      <c r="C72" s="124">
        <v>0</v>
      </c>
      <c r="D72" s="56">
        <v>0</v>
      </c>
      <c r="E72" s="56">
        <f t="shared" si="71"/>
        <v>0</v>
      </c>
      <c r="F72" s="58"/>
      <c r="G72" s="55">
        <v>0</v>
      </c>
      <c r="H72" s="57">
        <v>0</v>
      </c>
      <c r="I72" s="57">
        <f t="shared" si="72"/>
        <v>0</v>
      </c>
      <c r="J72" s="58"/>
      <c r="K72" s="55">
        <v>0</v>
      </c>
      <c r="L72" s="56">
        <v>0</v>
      </c>
      <c r="M72" s="57">
        <f t="shared" si="73"/>
        <v>0</v>
      </c>
      <c r="N72" s="58"/>
      <c r="O72" s="55">
        <v>0</v>
      </c>
      <c r="P72" s="56">
        <v>0</v>
      </c>
      <c r="Q72" s="56">
        <f t="shared" si="74"/>
        <v>0</v>
      </c>
      <c r="R72" s="58"/>
      <c r="S72" s="55">
        <v>0</v>
      </c>
      <c r="T72" s="56">
        <v>0</v>
      </c>
      <c r="U72" s="57">
        <f t="shared" si="75"/>
        <v>0</v>
      </c>
      <c r="V72" s="59"/>
      <c r="W72" s="124">
        <f t="shared" si="76"/>
        <v>0</v>
      </c>
      <c r="X72" s="57">
        <f t="shared" si="77"/>
        <v>0</v>
      </c>
      <c r="Y72" s="84">
        <f t="shared" si="78"/>
        <v>0</v>
      </c>
    </row>
    <row r="73" spans="1:77" s="61" customFormat="1" x14ac:dyDescent="0.25">
      <c r="A73" s="87"/>
      <c r="B73" s="54" t="s">
        <v>57</v>
      </c>
      <c r="C73" s="124">
        <v>0</v>
      </c>
      <c r="D73" s="56">
        <v>0</v>
      </c>
      <c r="E73" s="56">
        <f t="shared" si="71"/>
        <v>0</v>
      </c>
      <c r="F73" s="58"/>
      <c r="G73" s="55">
        <v>0</v>
      </c>
      <c r="H73" s="57">
        <v>0</v>
      </c>
      <c r="I73" s="57">
        <f t="shared" si="72"/>
        <v>0</v>
      </c>
      <c r="J73" s="58"/>
      <c r="K73" s="55">
        <v>0</v>
      </c>
      <c r="L73" s="56">
        <v>0</v>
      </c>
      <c r="M73" s="57">
        <f t="shared" si="73"/>
        <v>0</v>
      </c>
      <c r="N73" s="58"/>
      <c r="O73" s="55">
        <v>0</v>
      </c>
      <c r="P73" s="56">
        <v>0</v>
      </c>
      <c r="Q73" s="56">
        <f t="shared" si="74"/>
        <v>0</v>
      </c>
      <c r="R73" s="58"/>
      <c r="S73" s="55">
        <v>0</v>
      </c>
      <c r="T73" s="56">
        <v>0</v>
      </c>
      <c r="U73" s="57">
        <f t="shared" si="75"/>
        <v>0</v>
      </c>
      <c r="V73" s="59"/>
      <c r="W73" s="124">
        <f t="shared" si="76"/>
        <v>0</v>
      </c>
      <c r="X73" s="57">
        <f t="shared" si="77"/>
        <v>0</v>
      </c>
      <c r="Y73" s="84">
        <f t="shared" si="78"/>
        <v>0</v>
      </c>
    </row>
    <row r="74" spans="1:77" s="61" customFormat="1" x14ac:dyDescent="0.25">
      <c r="A74" s="87"/>
      <c r="B74" s="54" t="s">
        <v>57</v>
      </c>
      <c r="C74" s="124">
        <v>0</v>
      </c>
      <c r="D74" s="56">
        <v>0</v>
      </c>
      <c r="E74" s="56">
        <f t="shared" si="71"/>
        <v>0</v>
      </c>
      <c r="F74" s="58"/>
      <c r="G74" s="55"/>
      <c r="H74" s="57">
        <v>0</v>
      </c>
      <c r="I74" s="57">
        <f t="shared" si="72"/>
        <v>0</v>
      </c>
      <c r="J74" s="58"/>
      <c r="K74" s="55"/>
      <c r="L74" s="56">
        <v>0</v>
      </c>
      <c r="M74" s="57">
        <f t="shared" si="73"/>
        <v>0</v>
      </c>
      <c r="N74" s="58"/>
      <c r="O74" s="55">
        <v>0</v>
      </c>
      <c r="P74" s="56">
        <v>0</v>
      </c>
      <c r="Q74" s="56">
        <f t="shared" si="74"/>
        <v>0</v>
      </c>
      <c r="R74" s="58"/>
      <c r="S74" s="55">
        <v>0</v>
      </c>
      <c r="T74" s="56">
        <v>0</v>
      </c>
      <c r="U74" s="57">
        <f t="shared" si="75"/>
        <v>0</v>
      </c>
      <c r="V74" s="59"/>
      <c r="W74" s="124">
        <f t="shared" si="76"/>
        <v>0</v>
      </c>
      <c r="X74" s="57">
        <f t="shared" si="77"/>
        <v>0</v>
      </c>
      <c r="Y74" s="84">
        <f t="shared" si="78"/>
        <v>0</v>
      </c>
    </row>
    <row r="75" spans="1:77" s="61" customFormat="1" x14ac:dyDescent="0.25">
      <c r="A75" s="87"/>
      <c r="B75" s="54"/>
      <c r="C75" s="124">
        <v>0</v>
      </c>
      <c r="D75" s="56">
        <v>0</v>
      </c>
      <c r="E75" s="56">
        <f t="shared" si="71"/>
        <v>0</v>
      </c>
      <c r="F75" s="58"/>
      <c r="G75" s="55">
        <v>0</v>
      </c>
      <c r="H75" s="57">
        <v>0</v>
      </c>
      <c r="I75" s="57">
        <f t="shared" si="72"/>
        <v>0</v>
      </c>
      <c r="J75" s="58"/>
      <c r="K75" s="55">
        <v>0</v>
      </c>
      <c r="L75" s="56">
        <v>0</v>
      </c>
      <c r="M75" s="57">
        <f t="shared" si="73"/>
        <v>0</v>
      </c>
      <c r="N75" s="58"/>
      <c r="O75" s="55">
        <v>0</v>
      </c>
      <c r="P75" s="57">
        <v>0</v>
      </c>
      <c r="Q75" s="57">
        <f t="shared" si="74"/>
        <v>0</v>
      </c>
      <c r="R75" s="58"/>
      <c r="S75" s="55">
        <v>0</v>
      </c>
      <c r="T75" s="56">
        <v>0</v>
      </c>
      <c r="U75" s="57">
        <f t="shared" si="75"/>
        <v>0</v>
      </c>
      <c r="V75" s="59"/>
      <c r="W75" s="124">
        <f t="shared" si="76"/>
        <v>0</v>
      </c>
      <c r="X75" s="57">
        <f t="shared" si="77"/>
        <v>0</v>
      </c>
      <c r="Y75" s="84">
        <f t="shared" si="78"/>
        <v>0</v>
      </c>
    </row>
    <row r="76" spans="1:77" s="61" customFormat="1" x14ac:dyDescent="0.25">
      <c r="A76" s="87"/>
      <c r="B76" s="54"/>
      <c r="C76" s="124">
        <v>0</v>
      </c>
      <c r="D76" s="56">
        <v>0</v>
      </c>
      <c r="E76" s="56">
        <f t="shared" si="71"/>
        <v>0</v>
      </c>
      <c r="F76" s="58"/>
      <c r="G76" s="55">
        <v>0</v>
      </c>
      <c r="H76" s="57">
        <v>0</v>
      </c>
      <c r="I76" s="57">
        <f t="shared" si="72"/>
        <v>0</v>
      </c>
      <c r="J76" s="58"/>
      <c r="K76" s="55">
        <v>0</v>
      </c>
      <c r="L76" s="57">
        <v>0</v>
      </c>
      <c r="M76" s="57">
        <f t="shared" si="73"/>
        <v>0</v>
      </c>
      <c r="N76" s="58"/>
      <c r="O76" s="55">
        <v>0</v>
      </c>
      <c r="P76" s="57">
        <v>0</v>
      </c>
      <c r="Q76" s="57">
        <f t="shared" si="74"/>
        <v>0</v>
      </c>
      <c r="R76" s="58"/>
      <c r="S76" s="55">
        <v>0</v>
      </c>
      <c r="T76" s="57">
        <v>0</v>
      </c>
      <c r="U76" s="57">
        <f t="shared" si="75"/>
        <v>0</v>
      </c>
      <c r="V76" s="59"/>
      <c r="W76" s="124">
        <f t="shared" si="76"/>
        <v>0</v>
      </c>
      <c r="X76" s="57">
        <f t="shared" si="77"/>
        <v>0</v>
      </c>
      <c r="Y76" s="84">
        <f t="shared" si="78"/>
        <v>0</v>
      </c>
    </row>
    <row r="77" spans="1:77" s="61" customFormat="1" x14ac:dyDescent="0.25">
      <c r="A77" s="87"/>
      <c r="B77" s="54"/>
      <c r="C77" s="124">
        <v>0</v>
      </c>
      <c r="D77" s="56">
        <v>0</v>
      </c>
      <c r="E77" s="56">
        <f t="shared" si="71"/>
        <v>0</v>
      </c>
      <c r="F77" s="58"/>
      <c r="G77" s="55">
        <v>0</v>
      </c>
      <c r="H77" s="57">
        <v>0</v>
      </c>
      <c r="I77" s="57">
        <f t="shared" si="72"/>
        <v>0</v>
      </c>
      <c r="J77" s="58"/>
      <c r="K77" s="55">
        <v>0</v>
      </c>
      <c r="L77" s="57">
        <v>0</v>
      </c>
      <c r="M77" s="57">
        <f t="shared" si="73"/>
        <v>0</v>
      </c>
      <c r="N77" s="58"/>
      <c r="O77" s="55">
        <v>0</v>
      </c>
      <c r="P77" s="57">
        <v>0</v>
      </c>
      <c r="Q77" s="57">
        <f t="shared" si="74"/>
        <v>0</v>
      </c>
      <c r="R77" s="58"/>
      <c r="S77" s="55">
        <v>0</v>
      </c>
      <c r="T77" s="57">
        <v>0</v>
      </c>
      <c r="U77" s="57">
        <f t="shared" si="75"/>
        <v>0</v>
      </c>
      <c r="V77" s="59"/>
      <c r="W77" s="124">
        <f t="shared" si="76"/>
        <v>0</v>
      </c>
      <c r="X77" s="57">
        <f t="shared" si="77"/>
        <v>0</v>
      </c>
      <c r="Y77" s="84">
        <f t="shared" si="78"/>
        <v>0</v>
      </c>
    </row>
    <row r="78" spans="1:77" s="61" customFormat="1" x14ac:dyDescent="0.25">
      <c r="A78" s="87"/>
      <c r="B78" s="54"/>
      <c r="C78" s="124">
        <v>0</v>
      </c>
      <c r="D78" s="56">
        <v>0</v>
      </c>
      <c r="E78" s="56">
        <f t="shared" si="71"/>
        <v>0</v>
      </c>
      <c r="F78" s="58"/>
      <c r="G78" s="55">
        <v>0</v>
      </c>
      <c r="H78" s="57">
        <v>0</v>
      </c>
      <c r="I78" s="57">
        <f t="shared" si="72"/>
        <v>0</v>
      </c>
      <c r="J78" s="58"/>
      <c r="K78" s="55">
        <v>0</v>
      </c>
      <c r="L78" s="57">
        <v>0</v>
      </c>
      <c r="M78" s="57">
        <f t="shared" si="73"/>
        <v>0</v>
      </c>
      <c r="N78" s="58"/>
      <c r="O78" s="55">
        <v>0</v>
      </c>
      <c r="P78" s="57">
        <v>0</v>
      </c>
      <c r="Q78" s="57">
        <f t="shared" si="74"/>
        <v>0</v>
      </c>
      <c r="R78" s="58"/>
      <c r="S78" s="55">
        <v>0</v>
      </c>
      <c r="T78" s="57">
        <v>0</v>
      </c>
      <c r="U78" s="57">
        <f t="shared" si="75"/>
        <v>0</v>
      </c>
      <c r="V78" s="59"/>
      <c r="W78" s="124">
        <f t="shared" si="76"/>
        <v>0</v>
      </c>
      <c r="X78" s="57">
        <f t="shared" si="77"/>
        <v>0</v>
      </c>
      <c r="Y78" s="84">
        <f t="shared" si="78"/>
        <v>0</v>
      </c>
    </row>
    <row r="79" spans="1:77" s="61" customFormat="1" x14ac:dyDescent="0.25">
      <c r="A79" s="87"/>
      <c r="B79" s="54"/>
      <c r="C79" s="124">
        <v>0</v>
      </c>
      <c r="D79" s="56">
        <v>0</v>
      </c>
      <c r="E79" s="56">
        <f t="shared" si="71"/>
        <v>0</v>
      </c>
      <c r="F79" s="58"/>
      <c r="G79" s="55">
        <v>0</v>
      </c>
      <c r="H79" s="57">
        <v>0</v>
      </c>
      <c r="I79" s="57">
        <f t="shared" si="72"/>
        <v>0</v>
      </c>
      <c r="J79" s="58"/>
      <c r="K79" s="55">
        <v>0</v>
      </c>
      <c r="L79" s="57">
        <v>0</v>
      </c>
      <c r="M79" s="57">
        <f t="shared" si="73"/>
        <v>0</v>
      </c>
      <c r="N79" s="58"/>
      <c r="O79" s="55">
        <v>0</v>
      </c>
      <c r="P79" s="57">
        <v>0</v>
      </c>
      <c r="Q79" s="57">
        <f t="shared" si="74"/>
        <v>0</v>
      </c>
      <c r="R79" s="58"/>
      <c r="S79" s="55">
        <v>0</v>
      </c>
      <c r="T79" s="57">
        <v>0</v>
      </c>
      <c r="U79" s="57">
        <f t="shared" si="75"/>
        <v>0</v>
      </c>
      <c r="V79" s="59"/>
      <c r="W79" s="124">
        <f t="shared" si="76"/>
        <v>0</v>
      </c>
      <c r="X79" s="57">
        <f t="shared" si="77"/>
        <v>0</v>
      </c>
      <c r="Y79" s="84">
        <f t="shared" si="78"/>
        <v>0</v>
      </c>
    </row>
    <row r="80" spans="1:77" s="61" customFormat="1" x14ac:dyDescent="0.25">
      <c r="A80" s="52"/>
      <c r="B80" s="52"/>
      <c r="C80" s="124">
        <v>0</v>
      </c>
      <c r="D80" s="56">
        <v>0</v>
      </c>
      <c r="E80" s="56">
        <f t="shared" si="71"/>
        <v>0</v>
      </c>
      <c r="F80" s="58"/>
      <c r="G80" s="55">
        <v>0</v>
      </c>
      <c r="H80" s="57">
        <v>0</v>
      </c>
      <c r="I80" s="57">
        <f t="shared" si="72"/>
        <v>0</v>
      </c>
      <c r="J80" s="58"/>
      <c r="K80" s="55">
        <v>0</v>
      </c>
      <c r="L80" s="57">
        <v>0</v>
      </c>
      <c r="M80" s="57">
        <f t="shared" si="73"/>
        <v>0</v>
      </c>
      <c r="N80" s="58"/>
      <c r="O80" s="55">
        <v>0</v>
      </c>
      <c r="P80" s="57">
        <v>0</v>
      </c>
      <c r="Q80" s="57">
        <f t="shared" si="74"/>
        <v>0</v>
      </c>
      <c r="R80" s="58"/>
      <c r="S80" s="55">
        <v>0</v>
      </c>
      <c r="T80" s="57">
        <v>0</v>
      </c>
      <c r="U80" s="57">
        <f t="shared" si="75"/>
        <v>0</v>
      </c>
      <c r="V80" s="59"/>
      <c r="W80" s="124">
        <f t="shared" si="76"/>
        <v>0</v>
      </c>
      <c r="X80" s="57">
        <f t="shared" si="77"/>
        <v>0</v>
      </c>
      <c r="Y80" s="84">
        <f t="shared" si="78"/>
        <v>0</v>
      </c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71"/>
        <v>0</v>
      </c>
      <c r="F81" s="58"/>
      <c r="G81" s="55">
        <v>0</v>
      </c>
      <c r="H81" s="57">
        <v>0</v>
      </c>
      <c r="I81" s="57">
        <f t="shared" si="72"/>
        <v>0</v>
      </c>
      <c r="J81" s="58"/>
      <c r="K81" s="55">
        <v>0</v>
      </c>
      <c r="L81" s="57">
        <v>0</v>
      </c>
      <c r="M81" s="57">
        <f t="shared" si="73"/>
        <v>0</v>
      </c>
      <c r="N81" s="58"/>
      <c r="O81" s="55">
        <v>0</v>
      </c>
      <c r="P81" s="57">
        <v>0</v>
      </c>
      <c r="Q81" s="57">
        <f t="shared" si="74"/>
        <v>0</v>
      </c>
      <c r="R81" s="58"/>
      <c r="S81" s="55">
        <v>0</v>
      </c>
      <c r="T81" s="57">
        <v>0</v>
      </c>
      <c r="U81" s="57">
        <f t="shared" si="75"/>
        <v>0</v>
      </c>
      <c r="V81" s="59"/>
      <c r="W81" s="124">
        <f t="shared" si="76"/>
        <v>0</v>
      </c>
      <c r="X81" s="57">
        <f t="shared" si="77"/>
        <v>0</v>
      </c>
      <c r="Y81" s="84">
        <f t="shared" si="78"/>
        <v>0</v>
      </c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71"/>
        <v>0</v>
      </c>
      <c r="F82" s="58"/>
      <c r="G82" s="55">
        <v>0</v>
      </c>
      <c r="H82" s="57">
        <v>0</v>
      </c>
      <c r="I82" s="57">
        <f t="shared" si="72"/>
        <v>0</v>
      </c>
      <c r="J82" s="58"/>
      <c r="K82" s="55">
        <v>0</v>
      </c>
      <c r="L82" s="57">
        <v>0</v>
      </c>
      <c r="M82" s="57">
        <f t="shared" si="73"/>
        <v>0</v>
      </c>
      <c r="N82" s="58"/>
      <c r="O82" s="55">
        <v>0</v>
      </c>
      <c r="P82" s="57">
        <v>0</v>
      </c>
      <c r="Q82" s="57">
        <f t="shared" si="74"/>
        <v>0</v>
      </c>
      <c r="R82" s="58"/>
      <c r="S82" s="55">
        <v>0</v>
      </c>
      <c r="T82" s="57">
        <v>0</v>
      </c>
      <c r="U82" s="57">
        <f t="shared" si="75"/>
        <v>0</v>
      </c>
      <c r="V82" s="59"/>
      <c r="W82" s="124">
        <f t="shared" si="76"/>
        <v>0</v>
      </c>
      <c r="X82" s="57">
        <f t="shared" si="77"/>
        <v>0</v>
      </c>
      <c r="Y82" s="84">
        <f t="shared" si="78"/>
        <v>0</v>
      </c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71"/>
        <v>0</v>
      </c>
      <c r="F83" s="58"/>
      <c r="G83" s="55">
        <v>0</v>
      </c>
      <c r="H83" s="57">
        <v>0</v>
      </c>
      <c r="I83" s="57">
        <f t="shared" si="72"/>
        <v>0</v>
      </c>
      <c r="J83" s="58"/>
      <c r="K83" s="55">
        <v>0</v>
      </c>
      <c r="L83" s="57">
        <v>0</v>
      </c>
      <c r="M83" s="57">
        <f t="shared" si="73"/>
        <v>0</v>
      </c>
      <c r="N83" s="58"/>
      <c r="O83" s="55">
        <v>0</v>
      </c>
      <c r="P83" s="57">
        <v>0</v>
      </c>
      <c r="Q83" s="57">
        <f t="shared" si="74"/>
        <v>0</v>
      </c>
      <c r="R83" s="58"/>
      <c r="S83" s="55">
        <v>0</v>
      </c>
      <c r="T83" s="57">
        <v>0</v>
      </c>
      <c r="U83" s="57">
        <f t="shared" si="75"/>
        <v>0</v>
      </c>
      <c r="V83" s="59"/>
      <c r="W83" s="124">
        <f t="shared" si="76"/>
        <v>0</v>
      </c>
      <c r="X83" s="57">
        <f t="shared" si="77"/>
        <v>0</v>
      </c>
      <c r="Y83" s="84">
        <f t="shared" si="78"/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71"/>
        <v>0</v>
      </c>
      <c r="F84" s="58"/>
      <c r="G84" s="55">
        <v>0</v>
      </c>
      <c r="H84" s="57">
        <v>0</v>
      </c>
      <c r="I84" s="57">
        <f t="shared" si="72"/>
        <v>0</v>
      </c>
      <c r="J84" s="58"/>
      <c r="K84" s="55">
        <v>0</v>
      </c>
      <c r="L84" s="57">
        <v>0</v>
      </c>
      <c r="M84" s="57">
        <f t="shared" si="73"/>
        <v>0</v>
      </c>
      <c r="N84" s="58"/>
      <c r="O84" s="55">
        <v>0</v>
      </c>
      <c r="P84" s="57">
        <v>0</v>
      </c>
      <c r="Q84" s="57">
        <f t="shared" si="74"/>
        <v>0</v>
      </c>
      <c r="R84" s="58"/>
      <c r="S84" s="55">
        <v>0</v>
      </c>
      <c r="T84" s="57">
        <v>0</v>
      </c>
      <c r="U84" s="57">
        <f t="shared" si="75"/>
        <v>0</v>
      </c>
      <c r="V84" s="59"/>
      <c r="W84" s="124">
        <f t="shared" si="76"/>
        <v>0</v>
      </c>
      <c r="X84" s="57">
        <f t="shared" si="77"/>
        <v>0</v>
      </c>
      <c r="Y84" s="84">
        <f t="shared" si="78"/>
        <v>0</v>
      </c>
    </row>
    <row r="85" spans="1:77" s="83" customFormat="1" x14ac:dyDescent="0.25">
      <c r="A85" s="78"/>
      <c r="B85" s="78" t="s">
        <v>9</v>
      </c>
      <c r="C85" s="229">
        <f>SUM(C65:C84)</f>
        <v>145617</v>
      </c>
      <c r="D85" s="153">
        <f>SUM(D65:D84)</f>
        <v>0</v>
      </c>
      <c r="E85" s="153">
        <f>SUM(E65:E84)</f>
        <v>145617</v>
      </c>
      <c r="F85" s="154"/>
      <c r="G85" s="152">
        <f>SUM(G65:G84)</f>
        <v>380000</v>
      </c>
      <c r="H85" s="153">
        <f>SUM(H65:H84)</f>
        <v>0</v>
      </c>
      <c r="I85" s="153">
        <f>SUM(I65:I84)</f>
        <v>380000</v>
      </c>
      <c r="J85" s="154"/>
      <c r="K85" s="152">
        <f>SUM(K65:K84)</f>
        <v>350000</v>
      </c>
      <c r="L85" s="153">
        <f>SUM(L65:L84)</f>
        <v>0</v>
      </c>
      <c r="M85" s="153">
        <f>SUM(M65:M84)</f>
        <v>350000</v>
      </c>
      <c r="N85" s="154"/>
      <c r="O85" s="152">
        <f>SUM(O65:O84)</f>
        <v>330000</v>
      </c>
      <c r="P85" s="153">
        <f>SUM(P65:P84)</f>
        <v>0</v>
      </c>
      <c r="Q85" s="153">
        <f>SUM(Q65:Q84)</f>
        <v>330000</v>
      </c>
      <c r="R85" s="154"/>
      <c r="S85" s="152">
        <f>SUM(S65:S84)</f>
        <v>110000</v>
      </c>
      <c r="T85" s="153">
        <f>SUM(T65:T84)</f>
        <v>0</v>
      </c>
      <c r="U85" s="153">
        <f>SUM(U65:U84)</f>
        <v>110000</v>
      </c>
      <c r="V85" s="82"/>
      <c r="W85" s="228">
        <f t="shared" si="76"/>
        <v>1315617</v>
      </c>
      <c r="X85" s="80">
        <f t="shared" si="77"/>
        <v>0</v>
      </c>
      <c r="Y85" s="80">
        <f t="shared" si="78"/>
        <v>1315617</v>
      </c>
    </row>
    <row r="86" spans="1:77" s="97" customFormat="1" x14ac:dyDescent="0.25">
      <c r="A86" s="89" t="s">
        <v>28</v>
      </c>
      <c r="B86" s="89"/>
      <c r="C86" s="95">
        <f>C85+C63+C57+C49+C37</f>
        <v>145617</v>
      </c>
      <c r="D86" s="95">
        <f>D85+D63+D57+D49+D37</f>
        <v>0</v>
      </c>
      <c r="E86" s="95">
        <f>SUM(C86:D86)</f>
        <v>145617</v>
      </c>
      <c r="F86" s="95"/>
      <c r="G86" s="95">
        <f>G85+G63+G57+G49+G37</f>
        <v>380000</v>
      </c>
      <c r="H86" s="95">
        <f>H85+H63+H57+H49+H37</f>
        <v>0</v>
      </c>
      <c r="I86" s="95">
        <f>SUM(G86:H86)</f>
        <v>380000</v>
      </c>
      <c r="J86" s="95"/>
      <c r="K86" s="95">
        <f>K85+K63+K57+K49+K37</f>
        <v>350000</v>
      </c>
      <c r="L86" s="95">
        <f>L85+L63+L57+L49+L37</f>
        <v>0</v>
      </c>
      <c r="M86" s="95">
        <f>SUM(K86:L86)</f>
        <v>350000</v>
      </c>
      <c r="N86" s="95"/>
      <c r="O86" s="95">
        <f>O85+O63+O57+O49+O37</f>
        <v>330000</v>
      </c>
      <c r="P86" s="95">
        <f>P85+P63+P57+P49+P37</f>
        <v>0</v>
      </c>
      <c r="Q86" s="95">
        <f>SUM(O86:P86)</f>
        <v>330000</v>
      </c>
      <c r="R86" s="95"/>
      <c r="S86" s="95">
        <f>S85+S63+S57+S49+S37</f>
        <v>110000</v>
      </c>
      <c r="T86" s="95">
        <f>T85+T63+T57+T49+T37</f>
        <v>0</v>
      </c>
      <c r="U86" s="95">
        <f>SUM(S86:T86)</f>
        <v>110000</v>
      </c>
      <c r="V86" s="95"/>
      <c r="W86" s="95">
        <f>W85+W63+W57+W49+W37</f>
        <v>1315617</v>
      </c>
      <c r="X86" s="95">
        <f>X85+X63+X57+X49+X37</f>
        <v>0</v>
      </c>
      <c r="Y86" s="95">
        <f>SUM(W86:X86)</f>
        <v>1315617</v>
      </c>
      <c r="Z86" s="96"/>
      <c r="AA86" s="96">
        <f>Y86-W86</f>
        <v>0</v>
      </c>
    </row>
    <row r="87" spans="1:77" s="97" customFormat="1" x14ac:dyDescent="0.25">
      <c r="A87" s="89" t="s">
        <v>27</v>
      </c>
      <c r="B87" s="89"/>
      <c r="C87" s="95">
        <f>(C37+C57+C85)*0.5</f>
        <v>72808.5</v>
      </c>
      <c r="D87" s="95">
        <v>0</v>
      </c>
      <c r="E87" s="95">
        <f>SUM(C87:D87)</f>
        <v>72808.5</v>
      </c>
      <c r="F87" s="95"/>
      <c r="G87" s="95">
        <f>(G37+G57+G85)*0.5</f>
        <v>190000</v>
      </c>
      <c r="H87" s="95">
        <v>0</v>
      </c>
      <c r="I87" s="95">
        <f>SUM(G87:H87)</f>
        <v>190000</v>
      </c>
      <c r="J87" s="95"/>
      <c r="K87" s="95">
        <f>(K37+K57+K85)*0.5</f>
        <v>175000</v>
      </c>
      <c r="L87" s="95">
        <v>0</v>
      </c>
      <c r="M87" s="95">
        <f>SUM(K87:L87)</f>
        <v>175000</v>
      </c>
      <c r="N87" s="95"/>
      <c r="O87" s="95">
        <f>(O37+O57+O85)*0.5</f>
        <v>165000</v>
      </c>
      <c r="P87" s="95">
        <v>0</v>
      </c>
      <c r="Q87" s="95">
        <f>SUM(O87:P87)</f>
        <v>165000</v>
      </c>
      <c r="R87" s="95"/>
      <c r="S87" s="95">
        <f>(S37+S57+S85)*0.5</f>
        <v>55000</v>
      </c>
      <c r="T87" s="95">
        <v>0</v>
      </c>
      <c r="U87" s="95">
        <f>SUM(S87:T87)</f>
        <v>55000</v>
      </c>
      <c r="V87" s="95"/>
      <c r="W87" s="95">
        <f>(W37+W57+W85)*0.5</f>
        <v>657808.5</v>
      </c>
      <c r="X87" s="95">
        <v>0</v>
      </c>
      <c r="Y87" s="95">
        <f>SUM(W87:X87)</f>
        <v>657808.5</v>
      </c>
      <c r="Z87" s="96"/>
      <c r="AA87" s="96"/>
    </row>
    <row r="88" spans="1:77" s="97" customFormat="1" x14ac:dyDescent="0.25">
      <c r="A88" s="89" t="s">
        <v>29</v>
      </c>
      <c r="B88" s="89"/>
      <c r="C88" s="95">
        <f>SUM(C86:C87)</f>
        <v>218425.5</v>
      </c>
      <c r="D88" s="95">
        <f t="shared" ref="D88:X88" si="81">SUM(D86:D87)</f>
        <v>0</v>
      </c>
      <c r="E88" s="95">
        <f>SUM(C88:D88)</f>
        <v>218425.5</v>
      </c>
      <c r="F88" s="95"/>
      <c r="G88" s="95">
        <f t="shared" si="81"/>
        <v>570000</v>
      </c>
      <c r="H88" s="95">
        <f t="shared" si="81"/>
        <v>0</v>
      </c>
      <c r="I88" s="95">
        <f>SUM(G88:H88)</f>
        <v>570000</v>
      </c>
      <c r="J88" s="95"/>
      <c r="K88" s="95">
        <f t="shared" si="81"/>
        <v>525000</v>
      </c>
      <c r="L88" s="95">
        <f t="shared" si="81"/>
        <v>0</v>
      </c>
      <c r="M88" s="95">
        <f>SUM(K88:L88)</f>
        <v>525000</v>
      </c>
      <c r="N88" s="95"/>
      <c r="O88" s="95">
        <f t="shared" si="81"/>
        <v>495000</v>
      </c>
      <c r="P88" s="95">
        <f t="shared" si="81"/>
        <v>0</v>
      </c>
      <c r="Q88" s="95">
        <f>SUM(O88:P88)</f>
        <v>495000</v>
      </c>
      <c r="R88" s="95"/>
      <c r="S88" s="95">
        <f t="shared" si="81"/>
        <v>165000</v>
      </c>
      <c r="T88" s="95">
        <f t="shared" si="81"/>
        <v>0</v>
      </c>
      <c r="U88" s="95">
        <f>SUM(S88:T88)</f>
        <v>165000</v>
      </c>
      <c r="V88" s="95"/>
      <c r="W88" s="95">
        <f t="shared" si="81"/>
        <v>1973425.5</v>
      </c>
      <c r="X88" s="95">
        <f t="shared" si="81"/>
        <v>0</v>
      </c>
      <c r="Y88" s="95">
        <f>SUM(W88:X88)</f>
        <v>1973425.5</v>
      </c>
      <c r="Z88" s="96"/>
      <c r="AA88" s="96"/>
    </row>
    <row r="89" spans="1:77" s="158" customFormat="1" x14ac:dyDescent="0.25">
      <c r="A89" s="91"/>
      <c r="B89" s="91"/>
      <c r="C89" s="156"/>
      <c r="D89" s="156"/>
      <c r="E89" s="105"/>
      <c r="F89" s="91"/>
      <c r="G89" s="156"/>
      <c r="H89" s="156"/>
      <c r="I89" s="105"/>
      <c r="J89" s="91"/>
      <c r="K89" s="156"/>
      <c r="L89" s="156"/>
      <c r="M89" s="105"/>
      <c r="N89" s="91"/>
      <c r="O89" s="156"/>
      <c r="P89" s="156"/>
      <c r="Q89" s="105"/>
      <c r="R89" s="91"/>
      <c r="S89" s="156"/>
      <c r="T89" s="156"/>
      <c r="U89" s="105"/>
      <c r="V89" s="157"/>
      <c r="W89" s="105"/>
      <c r="X89" s="105"/>
      <c r="Y89" s="156"/>
      <c r="Z89" s="105"/>
      <c r="AA89" s="105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s="61" customFormat="1" x14ac:dyDescent="0.25">
      <c r="A92" s="52" t="s">
        <v>57</v>
      </c>
      <c r="B92" s="52" t="s">
        <v>57</v>
      </c>
      <c r="C92" s="124">
        <v>0</v>
      </c>
      <c r="D92" s="56">
        <v>0</v>
      </c>
      <c r="E92" s="56">
        <f t="shared" ref="E92:E98" si="82">SUM(C92:D92)</f>
        <v>0</v>
      </c>
      <c r="F92" s="58"/>
      <c r="G92" s="55">
        <f>C92*1.05</f>
        <v>0</v>
      </c>
      <c r="H92" s="57">
        <f>D92*1.05</f>
        <v>0</v>
      </c>
      <c r="I92" s="57">
        <f t="shared" ref="I92:I98" si="83">SUM(G92:H92)</f>
        <v>0</v>
      </c>
      <c r="J92" s="58"/>
      <c r="K92" s="55">
        <f>G92*1.05/4</f>
        <v>0</v>
      </c>
      <c r="L92" s="57">
        <f>H92*1.05/4</f>
        <v>0</v>
      </c>
      <c r="M92" s="57">
        <f t="shared" ref="M92:M98" si="84">SUM(K92:L92)</f>
        <v>0</v>
      </c>
      <c r="N92" s="58"/>
      <c r="O92" s="55">
        <v>0</v>
      </c>
      <c r="P92" s="57">
        <v>0</v>
      </c>
      <c r="Q92" s="57">
        <f t="shared" ref="Q92:Q98" si="85">SUM(O92:P92)</f>
        <v>0</v>
      </c>
      <c r="R92" s="58"/>
      <c r="S92" s="55">
        <f>O92*1.05</f>
        <v>0</v>
      </c>
      <c r="T92" s="57">
        <f>P92*1.05</f>
        <v>0</v>
      </c>
      <c r="U92" s="57">
        <f t="shared" ref="U92:U98" si="86">SUM(S92:T92)</f>
        <v>0</v>
      </c>
      <c r="V92" s="59"/>
      <c r="W92" s="124">
        <f t="shared" ref="W92:Y99" si="87">C92+G92+K92+O92+S92</f>
        <v>0</v>
      </c>
      <c r="X92" s="57">
        <f t="shared" si="87"/>
        <v>0</v>
      </c>
      <c r="Y92" s="84">
        <f t="shared" si="87"/>
        <v>0</v>
      </c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</row>
    <row r="93" spans="1:77" s="61" customFormat="1" x14ac:dyDescent="0.25">
      <c r="A93" s="52" t="s">
        <v>57</v>
      </c>
      <c r="B93" s="84" t="s">
        <v>57</v>
      </c>
      <c r="C93" s="124">
        <v>0</v>
      </c>
      <c r="D93" s="56">
        <v>0</v>
      </c>
      <c r="E93" s="56">
        <f t="shared" si="82"/>
        <v>0</v>
      </c>
      <c r="F93" s="58"/>
      <c r="G93" s="55">
        <f>C93*1.05</f>
        <v>0</v>
      </c>
      <c r="H93" s="57">
        <f>D93*1.05</f>
        <v>0</v>
      </c>
      <c r="I93" s="57">
        <f t="shared" si="83"/>
        <v>0</v>
      </c>
      <c r="J93" s="58"/>
      <c r="K93" s="55">
        <f>G93*1.05/4</f>
        <v>0</v>
      </c>
      <c r="L93" s="57">
        <f>H93*1.05/4</f>
        <v>0</v>
      </c>
      <c r="M93" s="57">
        <f t="shared" si="84"/>
        <v>0</v>
      </c>
      <c r="N93" s="58"/>
      <c r="O93" s="55">
        <v>0</v>
      </c>
      <c r="P93" s="57">
        <v>0</v>
      </c>
      <c r="Q93" s="57">
        <f t="shared" si="85"/>
        <v>0</v>
      </c>
      <c r="R93" s="58"/>
      <c r="S93" s="55">
        <f>O93*1.05</f>
        <v>0</v>
      </c>
      <c r="T93" s="57">
        <f>P93*1.05</f>
        <v>0</v>
      </c>
      <c r="U93" s="57">
        <f t="shared" si="86"/>
        <v>0</v>
      </c>
      <c r="V93" s="59"/>
      <c r="W93" s="124">
        <f t="shared" si="87"/>
        <v>0</v>
      </c>
      <c r="X93" s="57">
        <f t="shared" si="87"/>
        <v>0</v>
      </c>
      <c r="Y93" s="84">
        <f t="shared" si="87"/>
        <v>0</v>
      </c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</row>
    <row r="94" spans="1:77" s="61" customFormat="1" x14ac:dyDescent="0.25">
      <c r="A94" s="52" t="s">
        <v>57</v>
      </c>
      <c r="B94" s="52" t="s">
        <v>57</v>
      </c>
      <c r="C94" s="124">
        <v>0</v>
      </c>
      <c r="D94" s="56">
        <v>0</v>
      </c>
      <c r="E94" s="56">
        <f t="shared" si="82"/>
        <v>0</v>
      </c>
      <c r="F94" s="58"/>
      <c r="G94" s="55">
        <v>0</v>
      </c>
      <c r="H94" s="57">
        <f>D94*1.05</f>
        <v>0</v>
      </c>
      <c r="I94" s="57">
        <f t="shared" si="83"/>
        <v>0</v>
      </c>
      <c r="J94" s="58"/>
      <c r="K94" s="55">
        <v>0</v>
      </c>
      <c r="L94" s="57">
        <v>0</v>
      </c>
      <c r="M94" s="57">
        <f t="shared" si="84"/>
        <v>0</v>
      </c>
      <c r="N94" s="58"/>
      <c r="O94" s="55">
        <f t="shared" ref="O94:P98" si="88">K94*1.05</f>
        <v>0</v>
      </c>
      <c r="P94" s="57">
        <f t="shared" si="88"/>
        <v>0</v>
      </c>
      <c r="Q94" s="57">
        <f t="shared" si="85"/>
        <v>0</v>
      </c>
      <c r="R94" s="58"/>
      <c r="S94" s="55">
        <f>O94*1.05/4</f>
        <v>0</v>
      </c>
      <c r="T94" s="57">
        <f>P94*1.05/4</f>
        <v>0</v>
      </c>
      <c r="U94" s="57">
        <f t="shared" si="86"/>
        <v>0</v>
      </c>
      <c r="V94" s="59"/>
      <c r="W94" s="124">
        <f t="shared" si="87"/>
        <v>0</v>
      </c>
      <c r="X94" s="57">
        <f t="shared" si="87"/>
        <v>0</v>
      </c>
      <c r="Y94" s="84">
        <f t="shared" si="87"/>
        <v>0</v>
      </c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</row>
    <row r="95" spans="1:77" s="61" customFormat="1" x14ac:dyDescent="0.25">
      <c r="A95" s="52" t="s">
        <v>57</v>
      </c>
      <c r="B95" s="52" t="s">
        <v>57</v>
      </c>
      <c r="C95" s="124">
        <v>0</v>
      </c>
      <c r="D95" s="56">
        <v>0</v>
      </c>
      <c r="E95" s="56">
        <f t="shared" si="82"/>
        <v>0</v>
      </c>
      <c r="F95" s="58"/>
      <c r="G95" s="55">
        <v>0</v>
      </c>
      <c r="H95" s="57">
        <f>D95*1.05</f>
        <v>0</v>
      </c>
      <c r="I95" s="57">
        <f t="shared" si="83"/>
        <v>0</v>
      </c>
      <c r="J95" s="58"/>
      <c r="K95" s="55">
        <v>0</v>
      </c>
      <c r="L95" s="57">
        <v>0</v>
      </c>
      <c r="M95" s="57">
        <f t="shared" si="84"/>
        <v>0</v>
      </c>
      <c r="N95" s="58"/>
      <c r="O95" s="55">
        <f t="shared" si="88"/>
        <v>0</v>
      </c>
      <c r="P95" s="57">
        <f t="shared" si="88"/>
        <v>0</v>
      </c>
      <c r="Q95" s="57">
        <f t="shared" si="85"/>
        <v>0</v>
      </c>
      <c r="R95" s="58"/>
      <c r="S95" s="55">
        <f>O95*1.05/4</f>
        <v>0</v>
      </c>
      <c r="T95" s="57">
        <f>P95*1.05/4</f>
        <v>0</v>
      </c>
      <c r="U95" s="57">
        <f t="shared" si="86"/>
        <v>0</v>
      </c>
      <c r="V95" s="59"/>
      <c r="W95" s="124">
        <f t="shared" si="87"/>
        <v>0</v>
      </c>
      <c r="X95" s="57">
        <f t="shared" si="87"/>
        <v>0</v>
      </c>
      <c r="Y95" s="84">
        <f t="shared" si="87"/>
        <v>0</v>
      </c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</row>
    <row r="96" spans="1:77" s="61" customFormat="1" x14ac:dyDescent="0.25">
      <c r="A96" s="52"/>
      <c r="B96" s="52"/>
      <c r="C96" s="124">
        <v>0</v>
      </c>
      <c r="D96" s="56">
        <v>0</v>
      </c>
      <c r="E96" s="56">
        <f t="shared" si="82"/>
        <v>0</v>
      </c>
      <c r="F96" s="58"/>
      <c r="G96" s="55">
        <f>C96*1.05</f>
        <v>0</v>
      </c>
      <c r="H96" s="57">
        <f>D96*1.05</f>
        <v>0</v>
      </c>
      <c r="I96" s="57">
        <f t="shared" si="83"/>
        <v>0</v>
      </c>
      <c r="J96" s="58"/>
      <c r="K96" s="55">
        <f t="shared" ref="K96:L98" si="89">G96*1.05</f>
        <v>0</v>
      </c>
      <c r="L96" s="57">
        <f t="shared" si="89"/>
        <v>0</v>
      </c>
      <c r="M96" s="57">
        <f t="shared" si="84"/>
        <v>0</v>
      </c>
      <c r="N96" s="58"/>
      <c r="O96" s="55">
        <f t="shared" si="88"/>
        <v>0</v>
      </c>
      <c r="P96" s="57">
        <f t="shared" si="88"/>
        <v>0</v>
      </c>
      <c r="Q96" s="57">
        <f t="shared" si="85"/>
        <v>0</v>
      </c>
      <c r="R96" s="58"/>
      <c r="S96" s="55">
        <f t="shared" ref="S96:T98" si="90">O96*1.05</f>
        <v>0</v>
      </c>
      <c r="T96" s="57">
        <f t="shared" si="90"/>
        <v>0</v>
      </c>
      <c r="U96" s="57">
        <f t="shared" si="86"/>
        <v>0</v>
      </c>
      <c r="V96" s="59"/>
      <c r="W96" s="124">
        <f t="shared" si="87"/>
        <v>0</v>
      </c>
      <c r="X96" s="57">
        <f t="shared" si="87"/>
        <v>0</v>
      </c>
      <c r="Y96" s="84">
        <f t="shared" si="87"/>
        <v>0</v>
      </c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</row>
    <row r="97" spans="1:77" s="61" customFormat="1" x14ac:dyDescent="0.25">
      <c r="A97" s="52"/>
      <c r="B97" s="52"/>
      <c r="C97" s="124">
        <v>0</v>
      </c>
      <c r="D97" s="56">
        <v>0</v>
      </c>
      <c r="E97" s="56">
        <f t="shared" si="82"/>
        <v>0</v>
      </c>
      <c r="F97" s="58"/>
      <c r="G97" s="55">
        <f>C97*1.05</f>
        <v>0</v>
      </c>
      <c r="H97" s="57">
        <f>D97*1.05</f>
        <v>0</v>
      </c>
      <c r="I97" s="57">
        <f t="shared" si="83"/>
        <v>0</v>
      </c>
      <c r="J97" s="58"/>
      <c r="K97" s="55">
        <f t="shared" si="89"/>
        <v>0</v>
      </c>
      <c r="L97" s="57">
        <f t="shared" si="89"/>
        <v>0</v>
      </c>
      <c r="M97" s="57">
        <f t="shared" si="84"/>
        <v>0</v>
      </c>
      <c r="N97" s="58"/>
      <c r="O97" s="55">
        <f t="shared" si="88"/>
        <v>0</v>
      </c>
      <c r="P97" s="57">
        <f t="shared" si="88"/>
        <v>0</v>
      </c>
      <c r="Q97" s="57">
        <f t="shared" si="85"/>
        <v>0</v>
      </c>
      <c r="R97" s="58"/>
      <c r="S97" s="55">
        <f t="shared" si="90"/>
        <v>0</v>
      </c>
      <c r="T97" s="57">
        <f t="shared" si="90"/>
        <v>0</v>
      </c>
      <c r="U97" s="57">
        <f t="shared" si="86"/>
        <v>0</v>
      </c>
      <c r="V97" s="59"/>
      <c r="W97" s="124">
        <f t="shared" si="87"/>
        <v>0</v>
      </c>
      <c r="X97" s="57">
        <f t="shared" si="87"/>
        <v>0</v>
      </c>
      <c r="Y97" s="84">
        <f t="shared" si="87"/>
        <v>0</v>
      </c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</row>
    <row r="98" spans="1:77" s="61" customFormat="1" x14ac:dyDescent="0.25">
      <c r="A98" s="52"/>
      <c r="B98" s="52"/>
      <c r="C98" s="124">
        <v>0</v>
      </c>
      <c r="D98" s="56">
        <v>0</v>
      </c>
      <c r="E98" s="56">
        <f t="shared" si="82"/>
        <v>0</v>
      </c>
      <c r="F98" s="58"/>
      <c r="G98" s="55">
        <f>C98*1.05</f>
        <v>0</v>
      </c>
      <c r="H98" s="57">
        <f>D98*1.05</f>
        <v>0</v>
      </c>
      <c r="I98" s="57">
        <f t="shared" si="83"/>
        <v>0</v>
      </c>
      <c r="J98" s="58"/>
      <c r="K98" s="55">
        <f t="shared" si="89"/>
        <v>0</v>
      </c>
      <c r="L98" s="57">
        <f t="shared" si="89"/>
        <v>0</v>
      </c>
      <c r="M98" s="57">
        <f t="shared" si="84"/>
        <v>0</v>
      </c>
      <c r="N98" s="58"/>
      <c r="O98" s="55">
        <f t="shared" si="88"/>
        <v>0</v>
      </c>
      <c r="P98" s="57">
        <f t="shared" si="88"/>
        <v>0</v>
      </c>
      <c r="Q98" s="57">
        <f t="shared" si="85"/>
        <v>0</v>
      </c>
      <c r="R98" s="58"/>
      <c r="S98" s="55">
        <f t="shared" si="90"/>
        <v>0</v>
      </c>
      <c r="T98" s="57">
        <f t="shared" si="90"/>
        <v>0</v>
      </c>
      <c r="U98" s="57">
        <f t="shared" si="86"/>
        <v>0</v>
      </c>
      <c r="V98" s="59"/>
      <c r="W98" s="124">
        <f t="shared" si="87"/>
        <v>0</v>
      </c>
      <c r="X98" s="57">
        <f t="shared" si="87"/>
        <v>0</v>
      </c>
      <c r="Y98" s="84">
        <f t="shared" si="87"/>
        <v>0</v>
      </c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</row>
    <row r="99" spans="1:77" s="83" customFormat="1" x14ac:dyDescent="0.25">
      <c r="A99" s="78"/>
      <c r="B99" s="78" t="s">
        <v>9</v>
      </c>
      <c r="C99" s="228">
        <f>SUM(C92:C98)</f>
        <v>0</v>
      </c>
      <c r="D99" s="125">
        <f>SUM(D92:D98)</f>
        <v>0</v>
      </c>
      <c r="E99" s="125">
        <f>SUM(E92:E98)</f>
        <v>0</v>
      </c>
      <c r="F99" s="81"/>
      <c r="G99" s="79">
        <f>SUM(G92:G98)</f>
        <v>0</v>
      </c>
      <c r="H99" s="80">
        <f>SUM(H92:H98)</f>
        <v>0</v>
      </c>
      <c r="I99" s="80">
        <f>SUM(I92:I98)</f>
        <v>0</v>
      </c>
      <c r="J99" s="81"/>
      <c r="K99" s="79">
        <f>SUM(K92:K98)</f>
        <v>0</v>
      </c>
      <c r="L99" s="80">
        <f>SUM(L92:L98)</f>
        <v>0</v>
      </c>
      <c r="M99" s="80">
        <f>SUM(M92:M98)</f>
        <v>0</v>
      </c>
      <c r="N99" s="81"/>
      <c r="O99" s="79">
        <f>SUM(O92:O98)</f>
        <v>0</v>
      </c>
      <c r="P99" s="80">
        <f>SUM(P92:P98)</f>
        <v>0</v>
      </c>
      <c r="Q99" s="80">
        <f>SUM(Q92:Q98)</f>
        <v>0</v>
      </c>
      <c r="R99" s="81"/>
      <c r="S99" s="79">
        <f>SUM(S92:S98)</f>
        <v>0</v>
      </c>
      <c r="T99" s="80">
        <f>SUM(T92:T98)</f>
        <v>0</v>
      </c>
      <c r="U99" s="80">
        <f>SUM(U92:U98)</f>
        <v>0</v>
      </c>
      <c r="V99" s="82"/>
      <c r="W99" s="228">
        <f t="shared" si="87"/>
        <v>0</v>
      </c>
      <c r="X99" s="80">
        <f t="shared" si="87"/>
        <v>0</v>
      </c>
      <c r="Y99" s="80">
        <f t="shared" si="87"/>
        <v>0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s="61" customFormat="1" x14ac:dyDescent="0.25">
      <c r="A101" s="52"/>
      <c r="B101" s="52"/>
      <c r="C101" s="124">
        <v>0</v>
      </c>
      <c r="D101" s="56">
        <v>0</v>
      </c>
      <c r="E101" s="56">
        <f t="shared" ref="E101:E111" si="91">SUM(C101:D101)</f>
        <v>0</v>
      </c>
      <c r="F101" s="58"/>
      <c r="G101" s="55">
        <f>C101*1.05</f>
        <v>0</v>
      </c>
      <c r="H101" s="57">
        <f>D101*1.05</f>
        <v>0</v>
      </c>
      <c r="I101" s="57">
        <f t="shared" ref="I101:I111" si="92">SUM(G101:H101)</f>
        <v>0</v>
      </c>
      <c r="J101" s="58"/>
      <c r="K101" s="55">
        <f t="shared" ref="K101:K111" si="93">G101*1.05</f>
        <v>0</v>
      </c>
      <c r="L101" s="57">
        <f t="shared" ref="L101:L111" si="94">H101*1.05</f>
        <v>0</v>
      </c>
      <c r="M101" s="57">
        <f t="shared" ref="M101:M111" si="95">SUM(K101:L101)</f>
        <v>0</v>
      </c>
      <c r="N101" s="58"/>
      <c r="O101" s="55">
        <f t="shared" ref="O101:O111" si="96">K101*1.05</f>
        <v>0</v>
      </c>
      <c r="P101" s="57">
        <f t="shared" ref="P101:P111" si="97">L101*1.05</f>
        <v>0</v>
      </c>
      <c r="Q101" s="57">
        <f t="shared" ref="Q101:Q111" si="98">SUM(O101:P101)</f>
        <v>0</v>
      </c>
      <c r="R101" s="58"/>
      <c r="S101" s="55">
        <f t="shared" ref="S101:S111" si="99">O101*1.05</f>
        <v>0</v>
      </c>
      <c r="T101" s="57">
        <f t="shared" ref="T101:T111" si="100">P101*1.05</f>
        <v>0</v>
      </c>
      <c r="U101" s="57">
        <f t="shared" ref="U101:U111" si="101">SUM(S101:T101)</f>
        <v>0</v>
      </c>
      <c r="V101" s="59"/>
      <c r="W101" s="124">
        <f t="shared" ref="W101:W112" si="102">C101+G101+K101+O101+S101</f>
        <v>0</v>
      </c>
      <c r="X101" s="57">
        <f t="shared" ref="X101:X112" si="103">D101+H101+L101+P101+T101</f>
        <v>0</v>
      </c>
      <c r="Y101" s="84">
        <f t="shared" ref="Y101:Y112" si="104">E101+I101+M101+Q101+U101</f>
        <v>0</v>
      </c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</row>
    <row r="102" spans="1:77" s="61" customFormat="1" x14ac:dyDescent="0.25">
      <c r="A102" s="87"/>
      <c r="B102" s="54"/>
      <c r="C102" s="124">
        <v>0</v>
      </c>
      <c r="D102" s="56">
        <v>0</v>
      </c>
      <c r="E102" s="56">
        <f t="shared" si="91"/>
        <v>0</v>
      </c>
      <c r="F102" s="58"/>
      <c r="G102" s="55">
        <v>0</v>
      </c>
      <c r="H102" s="57">
        <f t="shared" ref="H102:H111" si="105">D102*1.05</f>
        <v>0</v>
      </c>
      <c r="I102" s="57">
        <f t="shared" si="92"/>
        <v>0</v>
      </c>
      <c r="J102" s="58"/>
      <c r="K102" s="55">
        <f t="shared" si="93"/>
        <v>0</v>
      </c>
      <c r="L102" s="57">
        <f t="shared" si="94"/>
        <v>0</v>
      </c>
      <c r="M102" s="57">
        <f t="shared" si="95"/>
        <v>0</v>
      </c>
      <c r="N102" s="58"/>
      <c r="O102" s="55">
        <f t="shared" si="96"/>
        <v>0</v>
      </c>
      <c r="P102" s="57">
        <f t="shared" si="97"/>
        <v>0</v>
      </c>
      <c r="Q102" s="57">
        <f t="shared" si="98"/>
        <v>0</v>
      </c>
      <c r="R102" s="58"/>
      <c r="S102" s="55">
        <f t="shared" si="99"/>
        <v>0</v>
      </c>
      <c r="T102" s="57">
        <f t="shared" si="100"/>
        <v>0</v>
      </c>
      <c r="U102" s="57">
        <f t="shared" si="101"/>
        <v>0</v>
      </c>
      <c r="V102" s="59"/>
      <c r="W102" s="124">
        <f t="shared" si="102"/>
        <v>0</v>
      </c>
      <c r="X102" s="57">
        <f t="shared" si="103"/>
        <v>0</v>
      </c>
      <c r="Y102" s="84">
        <f t="shared" si="104"/>
        <v>0</v>
      </c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</row>
    <row r="103" spans="1:77" s="61" customFormat="1" x14ac:dyDescent="0.25">
      <c r="A103" s="52"/>
      <c r="B103" s="54"/>
      <c r="C103" s="124">
        <v>0</v>
      </c>
      <c r="D103" s="56">
        <v>0</v>
      </c>
      <c r="E103" s="56">
        <f t="shared" si="91"/>
        <v>0</v>
      </c>
      <c r="F103" s="58"/>
      <c r="G103" s="55">
        <f t="shared" ref="G103:G111" si="106">C103*1.05</f>
        <v>0</v>
      </c>
      <c r="H103" s="57">
        <f t="shared" si="105"/>
        <v>0</v>
      </c>
      <c r="I103" s="57">
        <f t="shared" si="92"/>
        <v>0</v>
      </c>
      <c r="J103" s="58"/>
      <c r="K103" s="55">
        <f t="shared" si="93"/>
        <v>0</v>
      </c>
      <c r="L103" s="57">
        <f t="shared" si="94"/>
        <v>0</v>
      </c>
      <c r="M103" s="57">
        <f t="shared" si="95"/>
        <v>0</v>
      </c>
      <c r="N103" s="58"/>
      <c r="O103" s="55">
        <f t="shared" si="96"/>
        <v>0</v>
      </c>
      <c r="P103" s="57">
        <f t="shared" si="97"/>
        <v>0</v>
      </c>
      <c r="Q103" s="57">
        <f t="shared" si="98"/>
        <v>0</v>
      </c>
      <c r="R103" s="58"/>
      <c r="S103" s="55">
        <f t="shared" si="99"/>
        <v>0</v>
      </c>
      <c r="T103" s="57">
        <f t="shared" si="100"/>
        <v>0</v>
      </c>
      <c r="U103" s="57">
        <f t="shared" si="101"/>
        <v>0</v>
      </c>
      <c r="V103" s="59"/>
      <c r="W103" s="124">
        <f t="shared" si="102"/>
        <v>0</v>
      </c>
      <c r="X103" s="57">
        <f t="shared" si="103"/>
        <v>0</v>
      </c>
      <c r="Y103" s="84">
        <f t="shared" si="104"/>
        <v>0</v>
      </c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</row>
    <row r="104" spans="1:77" s="61" customFormat="1" x14ac:dyDescent="0.25">
      <c r="A104" s="52"/>
      <c r="B104" s="52"/>
      <c r="C104" s="124">
        <v>0</v>
      </c>
      <c r="D104" s="56">
        <v>0</v>
      </c>
      <c r="E104" s="56">
        <f t="shared" si="91"/>
        <v>0</v>
      </c>
      <c r="F104" s="58"/>
      <c r="G104" s="55">
        <f t="shared" si="106"/>
        <v>0</v>
      </c>
      <c r="H104" s="57">
        <f t="shared" si="105"/>
        <v>0</v>
      </c>
      <c r="I104" s="57">
        <f t="shared" si="92"/>
        <v>0</v>
      </c>
      <c r="J104" s="58"/>
      <c r="K104" s="55">
        <f t="shared" si="93"/>
        <v>0</v>
      </c>
      <c r="L104" s="57">
        <f t="shared" si="94"/>
        <v>0</v>
      </c>
      <c r="M104" s="57">
        <f t="shared" si="95"/>
        <v>0</v>
      </c>
      <c r="N104" s="58"/>
      <c r="O104" s="55">
        <f t="shared" si="96"/>
        <v>0</v>
      </c>
      <c r="P104" s="57">
        <f t="shared" si="97"/>
        <v>0</v>
      </c>
      <c r="Q104" s="57">
        <f t="shared" si="98"/>
        <v>0</v>
      </c>
      <c r="R104" s="58"/>
      <c r="S104" s="55">
        <f t="shared" si="99"/>
        <v>0</v>
      </c>
      <c r="T104" s="57">
        <f t="shared" si="100"/>
        <v>0</v>
      </c>
      <c r="U104" s="57">
        <f t="shared" si="101"/>
        <v>0</v>
      </c>
      <c r="V104" s="59"/>
      <c r="W104" s="124">
        <f t="shared" si="102"/>
        <v>0</v>
      </c>
      <c r="X104" s="57">
        <f t="shared" si="103"/>
        <v>0</v>
      </c>
      <c r="Y104" s="84">
        <f t="shared" si="104"/>
        <v>0</v>
      </c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s="61" customFormat="1" x14ac:dyDescent="0.25">
      <c r="A105" s="87"/>
      <c r="B105" s="52"/>
      <c r="C105" s="124">
        <v>0</v>
      </c>
      <c r="D105" s="56">
        <v>0</v>
      </c>
      <c r="E105" s="56">
        <f t="shared" si="91"/>
        <v>0</v>
      </c>
      <c r="F105" s="58"/>
      <c r="G105" s="55">
        <f t="shared" si="106"/>
        <v>0</v>
      </c>
      <c r="H105" s="57">
        <f t="shared" si="105"/>
        <v>0</v>
      </c>
      <c r="I105" s="57">
        <f t="shared" si="92"/>
        <v>0</v>
      </c>
      <c r="J105" s="58"/>
      <c r="K105" s="55">
        <f t="shared" si="93"/>
        <v>0</v>
      </c>
      <c r="L105" s="57">
        <f t="shared" si="94"/>
        <v>0</v>
      </c>
      <c r="M105" s="57">
        <f t="shared" si="95"/>
        <v>0</v>
      </c>
      <c r="N105" s="58"/>
      <c r="O105" s="55">
        <f t="shared" si="96"/>
        <v>0</v>
      </c>
      <c r="P105" s="57">
        <f t="shared" si="97"/>
        <v>0</v>
      </c>
      <c r="Q105" s="57">
        <f t="shared" si="98"/>
        <v>0</v>
      </c>
      <c r="R105" s="58"/>
      <c r="S105" s="55">
        <f t="shared" si="99"/>
        <v>0</v>
      </c>
      <c r="T105" s="57">
        <f t="shared" si="100"/>
        <v>0</v>
      </c>
      <c r="U105" s="57">
        <f t="shared" si="101"/>
        <v>0</v>
      </c>
      <c r="V105" s="59"/>
      <c r="W105" s="124">
        <f t="shared" si="102"/>
        <v>0</v>
      </c>
      <c r="X105" s="57">
        <f t="shared" si="103"/>
        <v>0</v>
      </c>
      <c r="Y105" s="84">
        <f t="shared" si="104"/>
        <v>0</v>
      </c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s="61" customFormat="1" x14ac:dyDescent="0.25">
      <c r="A106" s="87"/>
      <c r="B106" s="52"/>
      <c r="C106" s="124">
        <v>0</v>
      </c>
      <c r="D106" s="56">
        <v>0</v>
      </c>
      <c r="E106" s="56">
        <f t="shared" si="91"/>
        <v>0</v>
      </c>
      <c r="F106" s="58"/>
      <c r="G106" s="55">
        <f t="shared" si="106"/>
        <v>0</v>
      </c>
      <c r="H106" s="57">
        <f t="shared" si="105"/>
        <v>0</v>
      </c>
      <c r="I106" s="57">
        <f t="shared" si="92"/>
        <v>0</v>
      </c>
      <c r="J106" s="58"/>
      <c r="K106" s="55">
        <f t="shared" si="93"/>
        <v>0</v>
      </c>
      <c r="L106" s="57">
        <f t="shared" si="94"/>
        <v>0</v>
      </c>
      <c r="M106" s="57">
        <f t="shared" si="95"/>
        <v>0</v>
      </c>
      <c r="N106" s="58"/>
      <c r="O106" s="55">
        <f t="shared" si="96"/>
        <v>0</v>
      </c>
      <c r="P106" s="57">
        <f t="shared" si="97"/>
        <v>0</v>
      </c>
      <c r="Q106" s="57">
        <f t="shared" si="98"/>
        <v>0</v>
      </c>
      <c r="R106" s="58"/>
      <c r="S106" s="55">
        <f t="shared" si="99"/>
        <v>0</v>
      </c>
      <c r="T106" s="57">
        <f t="shared" si="100"/>
        <v>0</v>
      </c>
      <c r="U106" s="57">
        <f t="shared" si="101"/>
        <v>0</v>
      </c>
      <c r="V106" s="59"/>
      <c r="W106" s="124">
        <f t="shared" si="102"/>
        <v>0</v>
      </c>
      <c r="X106" s="57">
        <f t="shared" si="103"/>
        <v>0</v>
      </c>
      <c r="Y106" s="84">
        <f t="shared" si="104"/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2"/>
      <c r="C107" s="124">
        <v>0</v>
      </c>
      <c r="D107" s="56">
        <v>0</v>
      </c>
      <c r="E107" s="56">
        <f t="shared" si="91"/>
        <v>0</v>
      </c>
      <c r="F107" s="58"/>
      <c r="G107" s="55">
        <f t="shared" si="106"/>
        <v>0</v>
      </c>
      <c r="H107" s="57">
        <f t="shared" si="105"/>
        <v>0</v>
      </c>
      <c r="I107" s="57">
        <f t="shared" si="92"/>
        <v>0</v>
      </c>
      <c r="J107" s="58"/>
      <c r="K107" s="55">
        <f t="shared" si="93"/>
        <v>0</v>
      </c>
      <c r="L107" s="57">
        <f t="shared" si="94"/>
        <v>0</v>
      </c>
      <c r="M107" s="57">
        <f t="shared" si="95"/>
        <v>0</v>
      </c>
      <c r="N107" s="58"/>
      <c r="O107" s="55">
        <f t="shared" si="96"/>
        <v>0</v>
      </c>
      <c r="P107" s="57">
        <f t="shared" si="97"/>
        <v>0</v>
      </c>
      <c r="Q107" s="57">
        <f t="shared" si="98"/>
        <v>0</v>
      </c>
      <c r="R107" s="58"/>
      <c r="S107" s="55">
        <f t="shared" si="99"/>
        <v>0</v>
      </c>
      <c r="T107" s="57">
        <f t="shared" si="100"/>
        <v>0</v>
      </c>
      <c r="U107" s="57">
        <f t="shared" si="101"/>
        <v>0</v>
      </c>
      <c r="V107" s="59"/>
      <c r="W107" s="124">
        <f t="shared" si="102"/>
        <v>0</v>
      </c>
      <c r="X107" s="57">
        <f t="shared" si="103"/>
        <v>0</v>
      </c>
      <c r="Y107" s="84">
        <f t="shared" si="104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52"/>
      <c r="B108" s="54"/>
      <c r="C108" s="124">
        <v>0</v>
      </c>
      <c r="D108" s="56">
        <v>0</v>
      </c>
      <c r="E108" s="56">
        <f t="shared" si="91"/>
        <v>0</v>
      </c>
      <c r="F108" s="58"/>
      <c r="G108" s="55">
        <f t="shared" si="106"/>
        <v>0</v>
      </c>
      <c r="H108" s="57">
        <f t="shared" si="105"/>
        <v>0</v>
      </c>
      <c r="I108" s="57">
        <f t="shared" si="92"/>
        <v>0</v>
      </c>
      <c r="J108" s="58"/>
      <c r="K108" s="55">
        <f t="shared" si="93"/>
        <v>0</v>
      </c>
      <c r="L108" s="57">
        <f t="shared" si="94"/>
        <v>0</v>
      </c>
      <c r="M108" s="57">
        <f t="shared" si="95"/>
        <v>0</v>
      </c>
      <c r="N108" s="58"/>
      <c r="O108" s="55">
        <f t="shared" si="96"/>
        <v>0</v>
      </c>
      <c r="P108" s="57">
        <f t="shared" si="97"/>
        <v>0</v>
      </c>
      <c r="Q108" s="57">
        <f t="shared" si="98"/>
        <v>0</v>
      </c>
      <c r="R108" s="58"/>
      <c r="S108" s="55">
        <f t="shared" si="99"/>
        <v>0</v>
      </c>
      <c r="T108" s="57">
        <f t="shared" si="100"/>
        <v>0</v>
      </c>
      <c r="U108" s="57">
        <f t="shared" si="101"/>
        <v>0</v>
      </c>
      <c r="V108" s="59"/>
      <c r="W108" s="124">
        <f t="shared" si="102"/>
        <v>0</v>
      </c>
      <c r="X108" s="57">
        <f t="shared" si="103"/>
        <v>0</v>
      </c>
      <c r="Y108" s="84">
        <f t="shared" si="104"/>
        <v>0</v>
      </c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91"/>
        <v>0</v>
      </c>
      <c r="F109" s="74"/>
      <c r="G109" s="55">
        <f t="shared" si="106"/>
        <v>0</v>
      </c>
      <c r="H109" s="57">
        <f t="shared" si="105"/>
        <v>0</v>
      </c>
      <c r="I109" s="57">
        <f t="shared" si="92"/>
        <v>0</v>
      </c>
      <c r="J109" s="74"/>
      <c r="K109" s="55">
        <f t="shared" si="93"/>
        <v>0</v>
      </c>
      <c r="L109" s="57">
        <f t="shared" si="94"/>
        <v>0</v>
      </c>
      <c r="M109" s="57">
        <f t="shared" si="95"/>
        <v>0</v>
      </c>
      <c r="N109" s="74"/>
      <c r="O109" s="55">
        <f t="shared" si="96"/>
        <v>0</v>
      </c>
      <c r="P109" s="57">
        <f t="shared" si="97"/>
        <v>0</v>
      </c>
      <c r="Q109" s="57">
        <f t="shared" si="98"/>
        <v>0</v>
      </c>
      <c r="R109" s="74"/>
      <c r="S109" s="55">
        <f t="shared" si="99"/>
        <v>0</v>
      </c>
      <c r="T109" s="57">
        <f t="shared" si="100"/>
        <v>0</v>
      </c>
      <c r="U109" s="57">
        <f t="shared" si="101"/>
        <v>0</v>
      </c>
      <c r="V109" s="59"/>
      <c r="W109" s="124">
        <f t="shared" si="102"/>
        <v>0</v>
      </c>
      <c r="X109" s="57">
        <f t="shared" si="103"/>
        <v>0</v>
      </c>
      <c r="Y109" s="84">
        <f t="shared" si="104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91"/>
        <v>0</v>
      </c>
      <c r="F110" s="74"/>
      <c r="G110" s="55">
        <f t="shared" si="106"/>
        <v>0</v>
      </c>
      <c r="H110" s="57">
        <f t="shared" si="105"/>
        <v>0</v>
      </c>
      <c r="I110" s="57">
        <f t="shared" si="92"/>
        <v>0</v>
      </c>
      <c r="J110" s="74"/>
      <c r="K110" s="55">
        <f t="shared" si="93"/>
        <v>0</v>
      </c>
      <c r="L110" s="57">
        <f t="shared" si="94"/>
        <v>0</v>
      </c>
      <c r="M110" s="57">
        <f t="shared" si="95"/>
        <v>0</v>
      </c>
      <c r="N110" s="74"/>
      <c r="O110" s="55">
        <f t="shared" si="96"/>
        <v>0</v>
      </c>
      <c r="P110" s="57">
        <f t="shared" si="97"/>
        <v>0</v>
      </c>
      <c r="Q110" s="57">
        <f t="shared" si="98"/>
        <v>0</v>
      </c>
      <c r="R110" s="74"/>
      <c r="S110" s="55">
        <f t="shared" si="99"/>
        <v>0</v>
      </c>
      <c r="T110" s="57">
        <f t="shared" si="100"/>
        <v>0</v>
      </c>
      <c r="U110" s="57">
        <f t="shared" si="101"/>
        <v>0</v>
      </c>
      <c r="V110" s="59"/>
      <c r="W110" s="124">
        <f t="shared" si="102"/>
        <v>0</v>
      </c>
      <c r="X110" s="57">
        <f t="shared" si="103"/>
        <v>0</v>
      </c>
      <c r="Y110" s="84">
        <f t="shared" si="104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91"/>
        <v>0</v>
      </c>
      <c r="F111" s="74"/>
      <c r="G111" s="55">
        <f t="shared" si="106"/>
        <v>0</v>
      </c>
      <c r="H111" s="57">
        <f t="shared" si="105"/>
        <v>0</v>
      </c>
      <c r="I111" s="57">
        <f t="shared" si="92"/>
        <v>0</v>
      </c>
      <c r="J111" s="74"/>
      <c r="K111" s="55">
        <f t="shared" si="93"/>
        <v>0</v>
      </c>
      <c r="L111" s="57">
        <f t="shared" si="94"/>
        <v>0</v>
      </c>
      <c r="M111" s="57">
        <f t="shared" si="95"/>
        <v>0</v>
      </c>
      <c r="N111" s="74"/>
      <c r="O111" s="55">
        <f t="shared" si="96"/>
        <v>0</v>
      </c>
      <c r="P111" s="57">
        <f t="shared" si="97"/>
        <v>0</v>
      </c>
      <c r="Q111" s="57">
        <f t="shared" si="98"/>
        <v>0</v>
      </c>
      <c r="R111" s="74"/>
      <c r="S111" s="55">
        <f t="shared" si="99"/>
        <v>0</v>
      </c>
      <c r="T111" s="57">
        <f t="shared" si="100"/>
        <v>0</v>
      </c>
      <c r="U111" s="57">
        <f t="shared" si="101"/>
        <v>0</v>
      </c>
      <c r="V111" s="59"/>
      <c r="W111" s="124">
        <f t="shared" si="102"/>
        <v>0</v>
      </c>
      <c r="X111" s="57">
        <f t="shared" si="103"/>
        <v>0</v>
      </c>
      <c r="Y111" s="84">
        <f t="shared" si="104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0</v>
      </c>
      <c r="D112" s="125">
        <f>SUM(D101:D111)</f>
        <v>0</v>
      </c>
      <c r="E112" s="125">
        <f>SUM(E101:E111)</f>
        <v>0</v>
      </c>
      <c r="F112" s="81"/>
      <c r="G112" s="79">
        <f>SUM(G101:G111)</f>
        <v>0</v>
      </c>
      <c r="H112" s="80">
        <f>SUM(H101:H111)</f>
        <v>0</v>
      </c>
      <c r="I112" s="80">
        <f>SUM(I101:I111)</f>
        <v>0</v>
      </c>
      <c r="J112" s="81"/>
      <c r="K112" s="79">
        <f>SUM(K101:K111)</f>
        <v>0</v>
      </c>
      <c r="L112" s="80">
        <f>SUM(L101:L111)</f>
        <v>0</v>
      </c>
      <c r="M112" s="80">
        <f>SUM(M101:M111)</f>
        <v>0</v>
      </c>
      <c r="N112" s="81"/>
      <c r="O112" s="79">
        <f>SUM(O101:O111)</f>
        <v>0</v>
      </c>
      <c r="P112" s="80">
        <f>SUM(P101:P111)</f>
        <v>0</v>
      </c>
      <c r="Q112" s="80">
        <f>SUM(Q101:Q111)</f>
        <v>0</v>
      </c>
      <c r="R112" s="81"/>
      <c r="S112" s="79">
        <f>SUM(S101:S111)</f>
        <v>0</v>
      </c>
      <c r="T112" s="80">
        <f>SUM(T101:T111)</f>
        <v>0</v>
      </c>
      <c r="U112" s="80">
        <f>SUM(U101:U111)</f>
        <v>0</v>
      </c>
      <c r="V112" s="82"/>
      <c r="W112" s="228">
        <f t="shared" si="102"/>
        <v>0</v>
      </c>
      <c r="X112" s="80">
        <f t="shared" si="103"/>
        <v>0</v>
      </c>
      <c r="Y112" s="80">
        <f t="shared" si="104"/>
        <v>0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>C112+C99</f>
        <v>0</v>
      </c>
      <c r="D113" s="101">
        <f t="shared" ref="D113:Y113" si="107">D112+D99</f>
        <v>0</v>
      </c>
      <c r="E113" s="101">
        <f t="shared" si="107"/>
        <v>0</v>
      </c>
      <c r="F113" s="101">
        <f t="shared" si="107"/>
        <v>0</v>
      </c>
      <c r="G113" s="101">
        <f t="shared" si="107"/>
        <v>0</v>
      </c>
      <c r="H113" s="101">
        <f t="shared" si="107"/>
        <v>0</v>
      </c>
      <c r="I113" s="101">
        <f t="shared" si="107"/>
        <v>0</v>
      </c>
      <c r="J113" s="101">
        <f t="shared" si="107"/>
        <v>0</v>
      </c>
      <c r="K113" s="101">
        <f t="shared" si="107"/>
        <v>0</v>
      </c>
      <c r="L113" s="101">
        <f t="shared" si="107"/>
        <v>0</v>
      </c>
      <c r="M113" s="101">
        <f t="shared" si="107"/>
        <v>0</v>
      </c>
      <c r="N113" s="101">
        <f t="shared" si="107"/>
        <v>0</v>
      </c>
      <c r="O113" s="101">
        <f t="shared" si="107"/>
        <v>0</v>
      </c>
      <c r="P113" s="101">
        <f t="shared" si="107"/>
        <v>0</v>
      </c>
      <c r="Q113" s="101">
        <f t="shared" si="107"/>
        <v>0</v>
      </c>
      <c r="R113" s="101">
        <f t="shared" si="107"/>
        <v>0</v>
      </c>
      <c r="S113" s="101">
        <f t="shared" si="107"/>
        <v>0</v>
      </c>
      <c r="T113" s="101">
        <f t="shared" si="107"/>
        <v>0</v>
      </c>
      <c r="U113" s="101">
        <f t="shared" si="107"/>
        <v>0</v>
      </c>
      <c r="V113" s="101">
        <f t="shared" si="107"/>
        <v>0</v>
      </c>
      <c r="W113" s="101">
        <f t="shared" si="107"/>
        <v>0</v>
      </c>
      <c r="X113" s="101">
        <f t="shared" si="107"/>
        <v>0</v>
      </c>
      <c r="Y113" s="101">
        <f t="shared" si="107"/>
        <v>0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v>0</v>
      </c>
      <c r="D115" s="56">
        <v>0</v>
      </c>
      <c r="E115" s="56">
        <f t="shared" ref="E115:E121" si="108">SUM(C115:D115)</f>
        <v>0</v>
      </c>
      <c r="F115" s="58"/>
      <c r="G115" s="55">
        <v>0</v>
      </c>
      <c r="H115" s="57">
        <v>0</v>
      </c>
      <c r="I115" s="57">
        <f t="shared" ref="I115:I121" si="109">SUM(G115:H115)</f>
        <v>0</v>
      </c>
      <c r="J115" s="58"/>
      <c r="K115" s="55">
        <v>0</v>
      </c>
      <c r="L115" s="57">
        <v>0</v>
      </c>
      <c r="M115" s="57">
        <f t="shared" ref="M115:M121" si="110">SUM(K115:L115)</f>
        <v>0</v>
      </c>
      <c r="N115" s="58"/>
      <c r="O115" s="55">
        <f>O92*0.35</f>
        <v>0</v>
      </c>
      <c r="P115" s="57">
        <v>0</v>
      </c>
      <c r="Q115" s="57">
        <f t="shared" ref="Q115:Q121" si="111">SUM(O115:P115)</f>
        <v>0</v>
      </c>
      <c r="R115" s="58"/>
      <c r="S115" s="55">
        <f>S92*0.35</f>
        <v>0</v>
      </c>
      <c r="T115" s="57">
        <v>0</v>
      </c>
      <c r="U115" s="57">
        <f t="shared" ref="U115:U121" si="112">SUM(S115:T115)</f>
        <v>0</v>
      </c>
      <c r="V115" s="59"/>
      <c r="W115" s="124">
        <f t="shared" ref="W115:Y121" si="113">C115+G115+K115+O115+S115</f>
        <v>0</v>
      </c>
      <c r="X115" s="57">
        <f t="shared" si="113"/>
        <v>0</v>
      </c>
      <c r="Y115" s="84">
        <f t="shared" si="113"/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s="61" customFormat="1" x14ac:dyDescent="0.25">
      <c r="A116" s="3">
        <v>0.04</v>
      </c>
      <c r="B116" s="52" t="s">
        <v>37</v>
      </c>
      <c r="C116" s="124">
        <f>C102*A116</f>
        <v>0</v>
      </c>
      <c r="D116" s="56">
        <v>0</v>
      </c>
      <c r="E116" s="56">
        <f t="shared" si="108"/>
        <v>0</v>
      </c>
      <c r="F116" s="58"/>
      <c r="G116" s="55">
        <v>0</v>
      </c>
      <c r="H116" s="57">
        <f t="shared" ref="H116:H121" si="114">D116*1.05</f>
        <v>0</v>
      </c>
      <c r="I116" s="57">
        <f t="shared" si="109"/>
        <v>0</v>
      </c>
      <c r="J116" s="58"/>
      <c r="K116" s="55">
        <f t="shared" ref="K116:L121" si="115">G116*1.05</f>
        <v>0</v>
      </c>
      <c r="L116" s="57">
        <f t="shared" si="115"/>
        <v>0</v>
      </c>
      <c r="M116" s="57">
        <f t="shared" si="110"/>
        <v>0</v>
      </c>
      <c r="N116" s="58"/>
      <c r="O116" s="55">
        <f t="shared" ref="O116:P120" si="116">K116*1.05</f>
        <v>0</v>
      </c>
      <c r="P116" s="57">
        <f t="shared" si="116"/>
        <v>0</v>
      </c>
      <c r="Q116" s="57">
        <f t="shared" si="111"/>
        <v>0</v>
      </c>
      <c r="R116" s="58"/>
      <c r="S116" s="55">
        <f t="shared" ref="S116:T119" si="117">O116*1.05</f>
        <v>0</v>
      </c>
      <c r="T116" s="57">
        <f t="shared" si="117"/>
        <v>0</v>
      </c>
      <c r="U116" s="57">
        <f t="shared" si="112"/>
        <v>0</v>
      </c>
      <c r="V116" s="59"/>
      <c r="W116" s="124">
        <f t="shared" si="113"/>
        <v>0</v>
      </c>
      <c r="X116" s="57">
        <f t="shared" si="113"/>
        <v>0</v>
      </c>
      <c r="Y116" s="84">
        <f t="shared" si="113"/>
        <v>0</v>
      </c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</row>
    <row r="117" spans="1:77" s="61" customFormat="1" x14ac:dyDescent="0.25">
      <c r="A117" s="3">
        <v>0.09</v>
      </c>
      <c r="B117" s="52" t="s">
        <v>38</v>
      </c>
      <c r="C117" s="124">
        <v>0</v>
      </c>
      <c r="D117" s="56">
        <v>0</v>
      </c>
      <c r="E117" s="56">
        <f t="shared" si="108"/>
        <v>0</v>
      </c>
      <c r="F117" s="58"/>
      <c r="G117" s="55">
        <v>0</v>
      </c>
      <c r="H117" s="57">
        <f t="shared" si="114"/>
        <v>0</v>
      </c>
      <c r="I117" s="57">
        <f t="shared" si="109"/>
        <v>0</v>
      </c>
      <c r="J117" s="58"/>
      <c r="K117" s="55">
        <f t="shared" si="115"/>
        <v>0</v>
      </c>
      <c r="L117" s="57">
        <f t="shared" si="115"/>
        <v>0</v>
      </c>
      <c r="M117" s="57">
        <f t="shared" si="110"/>
        <v>0</v>
      </c>
      <c r="N117" s="58"/>
      <c r="O117" s="55">
        <f t="shared" si="116"/>
        <v>0</v>
      </c>
      <c r="P117" s="57">
        <f t="shared" si="116"/>
        <v>0</v>
      </c>
      <c r="Q117" s="57">
        <f t="shared" si="111"/>
        <v>0</v>
      </c>
      <c r="R117" s="58"/>
      <c r="S117" s="55">
        <f t="shared" si="117"/>
        <v>0</v>
      </c>
      <c r="T117" s="57">
        <f t="shared" si="117"/>
        <v>0</v>
      </c>
      <c r="U117" s="57">
        <f t="shared" si="112"/>
        <v>0</v>
      </c>
      <c r="V117" s="59"/>
      <c r="W117" s="124">
        <f t="shared" si="113"/>
        <v>0</v>
      </c>
      <c r="X117" s="57">
        <f t="shared" si="113"/>
        <v>0</v>
      </c>
      <c r="Y117" s="84">
        <f t="shared" si="113"/>
        <v>0</v>
      </c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</row>
    <row r="118" spans="1:77" s="61" customFormat="1" x14ac:dyDescent="0.25">
      <c r="A118" s="3">
        <v>0.09</v>
      </c>
      <c r="B118" s="52" t="s">
        <v>39</v>
      </c>
      <c r="C118" s="124">
        <f>C103*0.43</f>
        <v>0</v>
      </c>
      <c r="D118" s="56">
        <f>D108*0.29</f>
        <v>0</v>
      </c>
      <c r="E118" s="56">
        <f t="shared" si="108"/>
        <v>0</v>
      </c>
      <c r="F118" s="58"/>
      <c r="G118" s="55">
        <f>C118*1.05</f>
        <v>0</v>
      </c>
      <c r="H118" s="57">
        <f t="shared" si="114"/>
        <v>0</v>
      </c>
      <c r="I118" s="57">
        <f t="shared" si="109"/>
        <v>0</v>
      </c>
      <c r="J118" s="58"/>
      <c r="K118" s="55">
        <f t="shared" si="115"/>
        <v>0</v>
      </c>
      <c r="L118" s="57">
        <f t="shared" si="115"/>
        <v>0</v>
      </c>
      <c r="M118" s="57">
        <f t="shared" si="110"/>
        <v>0</v>
      </c>
      <c r="N118" s="58"/>
      <c r="O118" s="55">
        <f t="shared" si="116"/>
        <v>0</v>
      </c>
      <c r="P118" s="57">
        <f t="shared" si="116"/>
        <v>0</v>
      </c>
      <c r="Q118" s="57">
        <f t="shared" si="111"/>
        <v>0</v>
      </c>
      <c r="R118" s="58"/>
      <c r="S118" s="55">
        <f t="shared" si="117"/>
        <v>0</v>
      </c>
      <c r="T118" s="57">
        <f t="shared" si="117"/>
        <v>0</v>
      </c>
      <c r="U118" s="57">
        <f t="shared" si="112"/>
        <v>0</v>
      </c>
      <c r="V118" s="59"/>
      <c r="W118" s="124">
        <f t="shared" si="113"/>
        <v>0</v>
      </c>
      <c r="X118" s="57">
        <f t="shared" si="113"/>
        <v>0</v>
      </c>
      <c r="Y118" s="84">
        <f t="shared" si="113"/>
        <v>0</v>
      </c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</row>
    <row r="119" spans="1:77" s="61" customFormat="1" x14ac:dyDescent="0.25">
      <c r="A119" s="3">
        <v>0.19689999999999999</v>
      </c>
      <c r="B119" s="52" t="s">
        <v>55</v>
      </c>
      <c r="C119" s="124">
        <f>C104*0.03</f>
        <v>0</v>
      </c>
      <c r="D119" s="56">
        <v>0</v>
      </c>
      <c r="E119" s="56">
        <f t="shared" si="108"/>
        <v>0</v>
      </c>
      <c r="F119" s="58"/>
      <c r="G119" s="55">
        <f>C119*1.05</f>
        <v>0</v>
      </c>
      <c r="H119" s="57">
        <f t="shared" si="114"/>
        <v>0</v>
      </c>
      <c r="I119" s="57">
        <f t="shared" si="109"/>
        <v>0</v>
      </c>
      <c r="J119" s="58"/>
      <c r="K119" s="55">
        <f t="shared" si="115"/>
        <v>0</v>
      </c>
      <c r="L119" s="57">
        <f t="shared" si="115"/>
        <v>0</v>
      </c>
      <c r="M119" s="57">
        <f t="shared" si="110"/>
        <v>0</v>
      </c>
      <c r="N119" s="58"/>
      <c r="O119" s="55">
        <f t="shared" si="116"/>
        <v>0</v>
      </c>
      <c r="P119" s="57">
        <f t="shared" si="116"/>
        <v>0</v>
      </c>
      <c r="Q119" s="57">
        <f t="shared" si="111"/>
        <v>0</v>
      </c>
      <c r="R119" s="58"/>
      <c r="S119" s="55">
        <f t="shared" si="117"/>
        <v>0</v>
      </c>
      <c r="T119" s="57">
        <f t="shared" si="117"/>
        <v>0</v>
      </c>
      <c r="U119" s="57">
        <f t="shared" si="112"/>
        <v>0</v>
      </c>
      <c r="V119" s="59"/>
      <c r="W119" s="124">
        <f t="shared" si="113"/>
        <v>0</v>
      </c>
      <c r="X119" s="57">
        <f t="shared" si="113"/>
        <v>0</v>
      </c>
      <c r="Y119" s="84">
        <f t="shared" si="113"/>
        <v>0</v>
      </c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</row>
    <row r="120" spans="1:77" s="61" customFormat="1" x14ac:dyDescent="0.25">
      <c r="A120" s="3">
        <v>0.2079</v>
      </c>
      <c r="B120" s="52" t="s">
        <v>56</v>
      </c>
      <c r="C120" s="124">
        <f>C107*0.06</f>
        <v>0</v>
      </c>
      <c r="D120" s="56">
        <v>0</v>
      </c>
      <c r="E120" s="56">
        <f t="shared" si="108"/>
        <v>0</v>
      </c>
      <c r="F120" s="58"/>
      <c r="G120" s="55">
        <f>C120*1.05</f>
        <v>0</v>
      </c>
      <c r="H120" s="57">
        <f t="shared" si="114"/>
        <v>0</v>
      </c>
      <c r="I120" s="57">
        <f t="shared" si="109"/>
        <v>0</v>
      </c>
      <c r="J120" s="58"/>
      <c r="K120" s="55">
        <f t="shared" si="115"/>
        <v>0</v>
      </c>
      <c r="L120" s="57">
        <f t="shared" si="115"/>
        <v>0</v>
      </c>
      <c r="M120" s="57">
        <f t="shared" si="110"/>
        <v>0</v>
      </c>
      <c r="N120" s="58"/>
      <c r="O120" s="55">
        <f t="shared" si="116"/>
        <v>0</v>
      </c>
      <c r="P120" s="57">
        <f t="shared" si="116"/>
        <v>0</v>
      </c>
      <c r="Q120" s="57">
        <f t="shared" si="111"/>
        <v>0</v>
      </c>
      <c r="R120" s="58"/>
      <c r="S120" s="55">
        <f>(S94+S95)*A120</f>
        <v>0</v>
      </c>
      <c r="T120" s="56">
        <f>(T94+T95)*A120</f>
        <v>0</v>
      </c>
      <c r="U120" s="57">
        <f t="shared" si="112"/>
        <v>0</v>
      </c>
      <c r="V120" s="59"/>
      <c r="W120" s="124">
        <f t="shared" si="113"/>
        <v>0</v>
      </c>
      <c r="X120" s="57">
        <f t="shared" si="113"/>
        <v>0</v>
      </c>
      <c r="Y120" s="84">
        <f t="shared" si="113"/>
        <v>0</v>
      </c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</row>
    <row r="121" spans="1:77" s="61" customFormat="1" x14ac:dyDescent="0.25">
      <c r="A121" s="51">
        <v>12500</v>
      </c>
      <c r="B121" s="52" t="s">
        <v>36</v>
      </c>
      <c r="C121" s="124">
        <f>C108*0.06</f>
        <v>0</v>
      </c>
      <c r="D121" s="56">
        <v>0</v>
      </c>
      <c r="E121" s="56">
        <f t="shared" si="108"/>
        <v>0</v>
      </c>
      <c r="F121" s="58"/>
      <c r="G121" s="55">
        <f>C121*1.05</f>
        <v>0</v>
      </c>
      <c r="H121" s="57">
        <f t="shared" si="114"/>
        <v>0</v>
      </c>
      <c r="I121" s="57">
        <f t="shared" si="109"/>
        <v>0</v>
      </c>
      <c r="J121" s="58"/>
      <c r="K121" s="55">
        <f t="shared" si="115"/>
        <v>0</v>
      </c>
      <c r="L121" s="57">
        <f t="shared" si="115"/>
        <v>0</v>
      </c>
      <c r="M121" s="57">
        <f t="shared" si="110"/>
        <v>0</v>
      </c>
      <c r="N121" s="58"/>
      <c r="O121" s="55">
        <f>(O94+O95)*A121</f>
        <v>0</v>
      </c>
      <c r="P121" s="56">
        <f>(P94+P95)*A121</f>
        <v>0</v>
      </c>
      <c r="Q121" s="57">
        <f t="shared" si="111"/>
        <v>0</v>
      </c>
      <c r="R121" s="58"/>
      <c r="S121" s="55">
        <v>0</v>
      </c>
      <c r="T121" s="57">
        <v>0</v>
      </c>
      <c r="U121" s="57">
        <f t="shared" si="112"/>
        <v>0</v>
      </c>
      <c r="V121" s="59"/>
      <c r="W121" s="124">
        <f t="shared" si="113"/>
        <v>0</v>
      </c>
      <c r="X121" s="57">
        <f t="shared" si="113"/>
        <v>0</v>
      </c>
      <c r="Y121" s="84">
        <f t="shared" si="113"/>
        <v>0</v>
      </c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</row>
    <row r="122" spans="1:77" s="61" customFormat="1" x14ac:dyDescent="0.25">
      <c r="A122" s="51"/>
      <c r="B122" s="52"/>
      <c r="C122" s="124"/>
      <c r="D122" s="56"/>
      <c r="E122" s="56"/>
      <c r="F122" s="58"/>
      <c r="G122" s="55"/>
      <c r="H122" s="57"/>
      <c r="I122" s="57"/>
      <c r="J122" s="58"/>
      <c r="K122" s="55"/>
      <c r="L122" s="57"/>
      <c r="M122" s="57"/>
      <c r="N122" s="58"/>
      <c r="O122" s="55"/>
      <c r="P122" s="56"/>
      <c r="Q122" s="57"/>
      <c r="R122" s="58"/>
      <c r="S122" s="55"/>
      <c r="T122" s="57"/>
      <c r="U122" s="57"/>
      <c r="V122" s="59"/>
      <c r="W122" s="124"/>
      <c r="X122" s="57"/>
      <c r="Y122" s="8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</row>
    <row r="123" spans="1:77" s="61" customFormat="1" x14ac:dyDescent="0.25">
      <c r="A123" s="51"/>
      <c r="B123" s="52"/>
      <c r="C123" s="124"/>
      <c r="D123" s="56"/>
      <c r="E123" s="56"/>
      <c r="F123" s="58"/>
      <c r="G123" s="55"/>
      <c r="H123" s="57"/>
      <c r="I123" s="57"/>
      <c r="J123" s="58"/>
      <c r="K123" s="55"/>
      <c r="L123" s="57"/>
      <c r="M123" s="57"/>
      <c r="N123" s="58"/>
      <c r="O123" s="55"/>
      <c r="P123" s="56"/>
      <c r="Q123" s="57"/>
      <c r="R123" s="58"/>
      <c r="S123" s="55"/>
      <c r="T123" s="57"/>
      <c r="U123" s="57"/>
      <c r="V123" s="59"/>
      <c r="W123" s="124"/>
      <c r="X123" s="57"/>
      <c r="Y123" s="8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0</v>
      </c>
      <c r="D124" s="125">
        <f>SUM(D115:D123)</f>
        <v>0</v>
      </c>
      <c r="E124" s="125">
        <f>SUM(E115:E123)</f>
        <v>0</v>
      </c>
      <c r="F124" s="81"/>
      <c r="G124" s="79">
        <f>SUM(G115:G123)</f>
        <v>0</v>
      </c>
      <c r="H124" s="80">
        <f>SUM(H115:H123)</f>
        <v>0</v>
      </c>
      <c r="I124" s="80">
        <f>SUM(I115:I123)</f>
        <v>0</v>
      </c>
      <c r="J124" s="81"/>
      <c r="K124" s="79">
        <f>SUM(K115:K123)</f>
        <v>0</v>
      </c>
      <c r="L124" s="80">
        <f>SUM(L115:L123)</f>
        <v>0</v>
      </c>
      <c r="M124" s="80">
        <f>SUM(M115:M123)</f>
        <v>0</v>
      </c>
      <c r="N124" s="81"/>
      <c r="O124" s="79">
        <f>SUM(O115:O123)</f>
        <v>0</v>
      </c>
      <c r="P124" s="80">
        <f>SUM(P115:P123)</f>
        <v>0</v>
      </c>
      <c r="Q124" s="80">
        <f>SUM(Q115:Q123)</f>
        <v>0</v>
      </c>
      <c r="R124" s="81"/>
      <c r="S124" s="79">
        <f>SUM(S115:S123)</f>
        <v>0</v>
      </c>
      <c r="T124" s="80">
        <f>SUM(T115:T123)</f>
        <v>0</v>
      </c>
      <c r="U124" s="80">
        <f>SUM(U115:U123)</f>
        <v>0</v>
      </c>
      <c r="V124" s="82"/>
      <c r="W124" s="228">
        <f>C124+G124+K124+O124+S124</f>
        <v>0</v>
      </c>
      <c r="X124" s="80">
        <f>D124+H124+L124+P124+T124</f>
        <v>0</v>
      </c>
      <c r="Y124" s="84">
        <f>E124+I124+M124+Q124+U124</f>
        <v>0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118">C124+C113</f>
        <v>0</v>
      </c>
      <c r="D125" s="101">
        <f t="shared" si="118"/>
        <v>0</v>
      </c>
      <c r="E125" s="101">
        <f t="shared" si="118"/>
        <v>0</v>
      </c>
      <c r="F125" s="101">
        <f t="shared" si="118"/>
        <v>0</v>
      </c>
      <c r="G125" s="101">
        <f t="shared" si="118"/>
        <v>0</v>
      </c>
      <c r="H125" s="101">
        <f t="shared" si="118"/>
        <v>0</v>
      </c>
      <c r="I125" s="101">
        <f t="shared" si="118"/>
        <v>0</v>
      </c>
      <c r="J125" s="101">
        <f t="shared" si="118"/>
        <v>0</v>
      </c>
      <c r="K125" s="101">
        <f t="shared" si="118"/>
        <v>0</v>
      </c>
      <c r="L125" s="101">
        <f t="shared" si="118"/>
        <v>0</v>
      </c>
      <c r="M125" s="101">
        <f t="shared" si="118"/>
        <v>0</v>
      </c>
      <c r="N125" s="101">
        <f t="shared" si="118"/>
        <v>0</v>
      </c>
      <c r="O125" s="101">
        <f t="shared" si="118"/>
        <v>0</v>
      </c>
      <c r="P125" s="101">
        <f t="shared" si="118"/>
        <v>0</v>
      </c>
      <c r="Q125" s="101">
        <f t="shared" si="118"/>
        <v>0</v>
      </c>
      <c r="R125" s="101">
        <f t="shared" si="118"/>
        <v>0</v>
      </c>
      <c r="S125" s="101">
        <f t="shared" si="118"/>
        <v>0</v>
      </c>
      <c r="T125" s="101">
        <f t="shared" si="118"/>
        <v>0</v>
      </c>
      <c r="U125" s="101">
        <f t="shared" si="118"/>
        <v>0</v>
      </c>
      <c r="V125" s="101">
        <f t="shared" si="118"/>
        <v>0</v>
      </c>
      <c r="W125" s="101">
        <f t="shared" si="118"/>
        <v>0</v>
      </c>
      <c r="X125" s="101">
        <f t="shared" si="118"/>
        <v>0</v>
      </c>
      <c r="Y125" s="101">
        <f t="shared" si="118"/>
        <v>0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x14ac:dyDescent="0.25">
      <c r="A127" s="52"/>
      <c r="B127" s="52"/>
      <c r="C127" s="124">
        <v>0</v>
      </c>
      <c r="D127" s="56">
        <v>0</v>
      </c>
      <c r="E127" s="56">
        <f t="shared" ref="E127:E140" si="119">SUM(C127:D127)</f>
        <v>0</v>
      </c>
      <c r="F127" s="58"/>
      <c r="G127" s="55">
        <v>0</v>
      </c>
      <c r="H127" s="57">
        <v>0</v>
      </c>
      <c r="I127" s="57">
        <f t="shared" ref="I127:I140" si="120">SUM(G127:H127)</f>
        <v>0</v>
      </c>
      <c r="J127" s="58"/>
      <c r="K127" s="55">
        <v>0</v>
      </c>
      <c r="L127" s="57">
        <v>0</v>
      </c>
      <c r="M127" s="57">
        <f t="shared" ref="M127:M140" si="121">SUM(K127:L127)</f>
        <v>0</v>
      </c>
      <c r="N127" s="58"/>
      <c r="O127" s="55">
        <v>0</v>
      </c>
      <c r="P127" s="57">
        <v>0</v>
      </c>
      <c r="Q127" s="57">
        <f t="shared" ref="Q127:Q140" si="122">SUM(O127:P127)</f>
        <v>0</v>
      </c>
      <c r="R127" s="58"/>
      <c r="S127" s="55">
        <v>0</v>
      </c>
      <c r="T127" s="57">
        <v>0</v>
      </c>
      <c r="U127" s="57">
        <f t="shared" ref="U127:U140" si="123">SUM(S127:T127)</f>
        <v>0</v>
      </c>
      <c r="V127" s="59"/>
      <c r="W127" s="124">
        <f t="shared" ref="W127:W141" si="124">C127+G127+K127+O127+S127</f>
        <v>0</v>
      </c>
      <c r="X127" s="57">
        <f t="shared" ref="X127:X141" si="125">D127+H127+L127+P127+T127</f>
        <v>0</v>
      </c>
      <c r="Y127" s="84">
        <f t="shared" ref="Y127:Y141" si="126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x14ac:dyDescent="0.25">
      <c r="A128" s="52"/>
      <c r="B128" s="52" t="s">
        <v>57</v>
      </c>
      <c r="C128" s="124">
        <v>0</v>
      </c>
      <c r="D128" s="56">
        <v>0</v>
      </c>
      <c r="E128" s="56">
        <f t="shared" si="119"/>
        <v>0</v>
      </c>
      <c r="F128" s="58"/>
      <c r="G128" s="55">
        <v>0</v>
      </c>
      <c r="H128" s="57">
        <v>0</v>
      </c>
      <c r="I128" s="57">
        <f t="shared" si="120"/>
        <v>0</v>
      </c>
      <c r="J128" s="58"/>
      <c r="K128" s="55">
        <v>0</v>
      </c>
      <c r="L128" s="57">
        <v>0</v>
      </c>
      <c r="M128" s="57">
        <f t="shared" si="121"/>
        <v>0</v>
      </c>
      <c r="N128" s="58"/>
      <c r="O128" s="55">
        <v>0</v>
      </c>
      <c r="P128" s="57">
        <v>0</v>
      </c>
      <c r="Q128" s="57">
        <f t="shared" si="122"/>
        <v>0</v>
      </c>
      <c r="R128" s="58"/>
      <c r="S128" s="55">
        <v>0</v>
      </c>
      <c r="T128" s="57">
        <v>0</v>
      </c>
      <c r="U128" s="57">
        <f t="shared" si="123"/>
        <v>0</v>
      </c>
      <c r="V128" s="59"/>
      <c r="W128" s="124">
        <f t="shared" si="124"/>
        <v>0</v>
      </c>
      <c r="X128" s="57">
        <f t="shared" si="125"/>
        <v>0</v>
      </c>
      <c r="Y128" s="84">
        <f t="shared" si="126"/>
        <v>0</v>
      </c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</row>
    <row r="129" spans="1:77" s="61" customFormat="1" x14ac:dyDescent="0.25">
      <c r="A129" s="52"/>
      <c r="B129" s="52"/>
      <c r="C129" s="124">
        <v>0</v>
      </c>
      <c r="D129" s="56">
        <v>0</v>
      </c>
      <c r="E129" s="56">
        <f t="shared" si="119"/>
        <v>0</v>
      </c>
      <c r="F129" s="58"/>
      <c r="G129" s="55">
        <v>0</v>
      </c>
      <c r="H129" s="57">
        <v>0</v>
      </c>
      <c r="I129" s="57">
        <f t="shared" si="120"/>
        <v>0</v>
      </c>
      <c r="J129" s="58"/>
      <c r="K129" s="55">
        <v>0</v>
      </c>
      <c r="L129" s="57">
        <v>0</v>
      </c>
      <c r="M129" s="57">
        <f t="shared" si="121"/>
        <v>0</v>
      </c>
      <c r="N129" s="58"/>
      <c r="O129" s="55">
        <v>0</v>
      </c>
      <c r="P129" s="57">
        <v>0</v>
      </c>
      <c r="Q129" s="57">
        <f t="shared" si="122"/>
        <v>0</v>
      </c>
      <c r="R129" s="58"/>
      <c r="S129" s="55">
        <v>0</v>
      </c>
      <c r="T129" s="57">
        <v>0</v>
      </c>
      <c r="U129" s="57">
        <f t="shared" si="123"/>
        <v>0</v>
      </c>
      <c r="V129" s="59"/>
      <c r="W129" s="124">
        <f t="shared" si="124"/>
        <v>0</v>
      </c>
      <c r="X129" s="57">
        <f t="shared" si="125"/>
        <v>0</v>
      </c>
      <c r="Y129" s="84">
        <f t="shared" si="126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119"/>
        <v>0</v>
      </c>
      <c r="F130" s="58"/>
      <c r="G130" s="55">
        <v>0</v>
      </c>
      <c r="H130" s="57">
        <v>0</v>
      </c>
      <c r="I130" s="57">
        <f t="shared" si="120"/>
        <v>0</v>
      </c>
      <c r="J130" s="58"/>
      <c r="K130" s="55">
        <v>0</v>
      </c>
      <c r="L130" s="57">
        <v>0</v>
      </c>
      <c r="M130" s="57">
        <f t="shared" si="121"/>
        <v>0</v>
      </c>
      <c r="N130" s="58"/>
      <c r="O130" s="55">
        <v>0</v>
      </c>
      <c r="P130" s="57">
        <v>0</v>
      </c>
      <c r="Q130" s="57">
        <f t="shared" si="122"/>
        <v>0</v>
      </c>
      <c r="R130" s="58"/>
      <c r="S130" s="55">
        <v>0</v>
      </c>
      <c r="T130" s="57">
        <v>0</v>
      </c>
      <c r="U130" s="57">
        <f t="shared" si="123"/>
        <v>0</v>
      </c>
      <c r="V130" s="59"/>
      <c r="W130" s="124">
        <f t="shared" si="124"/>
        <v>0</v>
      </c>
      <c r="X130" s="57">
        <f t="shared" si="125"/>
        <v>0</v>
      </c>
      <c r="Y130" s="84">
        <f t="shared" si="126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119"/>
        <v>0</v>
      </c>
      <c r="F131" s="58"/>
      <c r="G131" s="55">
        <v>0</v>
      </c>
      <c r="H131" s="57">
        <v>0</v>
      </c>
      <c r="I131" s="57">
        <f t="shared" si="120"/>
        <v>0</v>
      </c>
      <c r="J131" s="58"/>
      <c r="K131" s="55">
        <v>0</v>
      </c>
      <c r="L131" s="57">
        <v>0</v>
      </c>
      <c r="M131" s="57">
        <f t="shared" si="121"/>
        <v>0</v>
      </c>
      <c r="N131" s="58"/>
      <c r="O131" s="55">
        <v>0</v>
      </c>
      <c r="P131" s="57">
        <v>0</v>
      </c>
      <c r="Q131" s="57">
        <f t="shared" si="122"/>
        <v>0</v>
      </c>
      <c r="R131" s="58"/>
      <c r="S131" s="55">
        <v>0</v>
      </c>
      <c r="T131" s="57">
        <v>0</v>
      </c>
      <c r="U131" s="57">
        <f t="shared" si="123"/>
        <v>0</v>
      </c>
      <c r="V131" s="59"/>
      <c r="W131" s="124">
        <f t="shared" si="124"/>
        <v>0</v>
      </c>
      <c r="X131" s="57">
        <f t="shared" si="125"/>
        <v>0</v>
      </c>
      <c r="Y131" s="84">
        <f t="shared" si="126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119"/>
        <v>0</v>
      </c>
      <c r="F132" s="58"/>
      <c r="G132" s="55">
        <v>0</v>
      </c>
      <c r="H132" s="57">
        <v>0</v>
      </c>
      <c r="I132" s="57">
        <f t="shared" si="120"/>
        <v>0</v>
      </c>
      <c r="J132" s="58"/>
      <c r="K132" s="55">
        <v>0</v>
      </c>
      <c r="L132" s="57">
        <v>0</v>
      </c>
      <c r="M132" s="57">
        <f t="shared" si="121"/>
        <v>0</v>
      </c>
      <c r="N132" s="58"/>
      <c r="O132" s="55">
        <v>0</v>
      </c>
      <c r="P132" s="57">
        <v>0</v>
      </c>
      <c r="Q132" s="57">
        <f t="shared" si="122"/>
        <v>0</v>
      </c>
      <c r="R132" s="58"/>
      <c r="S132" s="55">
        <v>0</v>
      </c>
      <c r="T132" s="57">
        <v>0</v>
      </c>
      <c r="U132" s="57">
        <f t="shared" si="123"/>
        <v>0</v>
      </c>
      <c r="V132" s="59"/>
      <c r="W132" s="124">
        <f t="shared" si="124"/>
        <v>0</v>
      </c>
      <c r="X132" s="57">
        <f t="shared" si="125"/>
        <v>0</v>
      </c>
      <c r="Y132" s="84">
        <f t="shared" si="126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119"/>
        <v>0</v>
      </c>
      <c r="F133" s="58"/>
      <c r="G133" s="55">
        <v>0</v>
      </c>
      <c r="H133" s="57">
        <v>0</v>
      </c>
      <c r="I133" s="57">
        <f t="shared" si="120"/>
        <v>0</v>
      </c>
      <c r="J133" s="58"/>
      <c r="K133" s="55">
        <v>0</v>
      </c>
      <c r="L133" s="57">
        <v>0</v>
      </c>
      <c r="M133" s="57">
        <f t="shared" si="121"/>
        <v>0</v>
      </c>
      <c r="N133" s="58"/>
      <c r="O133" s="55">
        <v>0</v>
      </c>
      <c r="P133" s="57">
        <v>0</v>
      </c>
      <c r="Q133" s="57">
        <f t="shared" si="122"/>
        <v>0</v>
      </c>
      <c r="R133" s="58"/>
      <c r="S133" s="55">
        <v>0</v>
      </c>
      <c r="T133" s="57">
        <v>0</v>
      </c>
      <c r="U133" s="57">
        <f t="shared" si="123"/>
        <v>0</v>
      </c>
      <c r="V133" s="59"/>
      <c r="W133" s="124">
        <f t="shared" si="124"/>
        <v>0</v>
      </c>
      <c r="X133" s="57">
        <f t="shared" si="125"/>
        <v>0</v>
      </c>
      <c r="Y133" s="84">
        <f t="shared" si="126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119"/>
        <v>0</v>
      </c>
      <c r="F134" s="58"/>
      <c r="G134" s="55">
        <v>0</v>
      </c>
      <c r="H134" s="57">
        <v>0</v>
      </c>
      <c r="I134" s="57">
        <f t="shared" si="120"/>
        <v>0</v>
      </c>
      <c r="J134" s="58"/>
      <c r="K134" s="55">
        <v>0</v>
      </c>
      <c r="L134" s="57">
        <v>0</v>
      </c>
      <c r="M134" s="57">
        <f t="shared" si="121"/>
        <v>0</v>
      </c>
      <c r="N134" s="58"/>
      <c r="O134" s="55">
        <v>0</v>
      </c>
      <c r="P134" s="57">
        <v>0</v>
      </c>
      <c r="Q134" s="57">
        <f t="shared" si="122"/>
        <v>0</v>
      </c>
      <c r="R134" s="58"/>
      <c r="S134" s="55">
        <v>0</v>
      </c>
      <c r="T134" s="57">
        <v>0</v>
      </c>
      <c r="U134" s="57">
        <f t="shared" si="123"/>
        <v>0</v>
      </c>
      <c r="V134" s="59"/>
      <c r="W134" s="124">
        <f t="shared" si="124"/>
        <v>0</v>
      </c>
      <c r="X134" s="57">
        <f t="shared" si="125"/>
        <v>0</v>
      </c>
      <c r="Y134" s="84">
        <f t="shared" si="126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119"/>
        <v>0</v>
      </c>
      <c r="F135" s="58"/>
      <c r="G135" s="55">
        <v>0</v>
      </c>
      <c r="H135" s="57">
        <v>0</v>
      </c>
      <c r="I135" s="57">
        <f t="shared" si="120"/>
        <v>0</v>
      </c>
      <c r="J135" s="58"/>
      <c r="K135" s="55">
        <v>0</v>
      </c>
      <c r="L135" s="57">
        <v>0</v>
      </c>
      <c r="M135" s="57">
        <f t="shared" si="121"/>
        <v>0</v>
      </c>
      <c r="N135" s="58"/>
      <c r="O135" s="55">
        <v>0</v>
      </c>
      <c r="P135" s="57">
        <v>0</v>
      </c>
      <c r="Q135" s="57">
        <f t="shared" si="122"/>
        <v>0</v>
      </c>
      <c r="R135" s="58"/>
      <c r="S135" s="55">
        <v>0</v>
      </c>
      <c r="T135" s="57">
        <v>0</v>
      </c>
      <c r="U135" s="57">
        <f t="shared" si="123"/>
        <v>0</v>
      </c>
      <c r="V135" s="59"/>
      <c r="W135" s="124">
        <f t="shared" si="124"/>
        <v>0</v>
      </c>
      <c r="X135" s="57">
        <f t="shared" si="125"/>
        <v>0</v>
      </c>
      <c r="Y135" s="84">
        <f t="shared" si="126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119"/>
        <v>0</v>
      </c>
      <c r="F136" s="58"/>
      <c r="G136" s="55">
        <v>0</v>
      </c>
      <c r="H136" s="57">
        <v>0</v>
      </c>
      <c r="I136" s="57">
        <f t="shared" si="120"/>
        <v>0</v>
      </c>
      <c r="J136" s="58"/>
      <c r="K136" s="55">
        <v>0</v>
      </c>
      <c r="L136" s="57">
        <v>0</v>
      </c>
      <c r="M136" s="57">
        <f t="shared" si="121"/>
        <v>0</v>
      </c>
      <c r="N136" s="58"/>
      <c r="O136" s="55">
        <v>0</v>
      </c>
      <c r="P136" s="57">
        <v>0</v>
      </c>
      <c r="Q136" s="57">
        <f t="shared" si="122"/>
        <v>0</v>
      </c>
      <c r="R136" s="58"/>
      <c r="S136" s="55">
        <v>0</v>
      </c>
      <c r="T136" s="57">
        <v>0</v>
      </c>
      <c r="U136" s="57">
        <f t="shared" si="123"/>
        <v>0</v>
      </c>
      <c r="V136" s="59"/>
      <c r="W136" s="124">
        <f t="shared" si="124"/>
        <v>0</v>
      </c>
      <c r="X136" s="57">
        <f t="shared" si="125"/>
        <v>0</v>
      </c>
      <c r="Y136" s="84">
        <f t="shared" si="126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119"/>
        <v>0</v>
      </c>
      <c r="F137" s="58"/>
      <c r="G137" s="55">
        <v>0</v>
      </c>
      <c r="H137" s="57">
        <v>0</v>
      </c>
      <c r="I137" s="57">
        <f t="shared" si="120"/>
        <v>0</v>
      </c>
      <c r="J137" s="58"/>
      <c r="K137" s="55">
        <v>0</v>
      </c>
      <c r="L137" s="57">
        <v>0</v>
      </c>
      <c r="M137" s="57">
        <f t="shared" si="121"/>
        <v>0</v>
      </c>
      <c r="N137" s="58"/>
      <c r="O137" s="55">
        <v>0</v>
      </c>
      <c r="P137" s="57">
        <v>0</v>
      </c>
      <c r="Q137" s="57">
        <f t="shared" si="122"/>
        <v>0</v>
      </c>
      <c r="R137" s="58"/>
      <c r="S137" s="55">
        <v>0</v>
      </c>
      <c r="T137" s="57">
        <v>0</v>
      </c>
      <c r="U137" s="57">
        <f t="shared" si="123"/>
        <v>0</v>
      </c>
      <c r="V137" s="59"/>
      <c r="W137" s="124">
        <f t="shared" si="124"/>
        <v>0</v>
      </c>
      <c r="X137" s="57">
        <f t="shared" si="125"/>
        <v>0</v>
      </c>
      <c r="Y137" s="84">
        <f t="shared" si="126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119"/>
        <v>0</v>
      </c>
      <c r="F138" s="58"/>
      <c r="G138" s="55">
        <v>0</v>
      </c>
      <c r="H138" s="57">
        <v>0</v>
      </c>
      <c r="I138" s="57">
        <f t="shared" si="120"/>
        <v>0</v>
      </c>
      <c r="J138" s="58"/>
      <c r="K138" s="55">
        <v>0</v>
      </c>
      <c r="L138" s="57">
        <v>0</v>
      </c>
      <c r="M138" s="57">
        <f t="shared" si="121"/>
        <v>0</v>
      </c>
      <c r="N138" s="58"/>
      <c r="O138" s="55">
        <v>0</v>
      </c>
      <c r="P138" s="57">
        <v>0</v>
      </c>
      <c r="Q138" s="57">
        <f t="shared" si="122"/>
        <v>0</v>
      </c>
      <c r="R138" s="58"/>
      <c r="S138" s="55">
        <v>0</v>
      </c>
      <c r="T138" s="57">
        <v>0</v>
      </c>
      <c r="U138" s="57">
        <f t="shared" si="123"/>
        <v>0</v>
      </c>
      <c r="V138" s="59"/>
      <c r="W138" s="124">
        <f t="shared" si="124"/>
        <v>0</v>
      </c>
      <c r="X138" s="57">
        <f t="shared" si="125"/>
        <v>0</v>
      </c>
      <c r="Y138" s="84">
        <f t="shared" si="126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119"/>
        <v>0</v>
      </c>
      <c r="F139" s="58"/>
      <c r="G139" s="55">
        <v>0</v>
      </c>
      <c r="H139" s="57">
        <v>0</v>
      </c>
      <c r="I139" s="57">
        <f t="shared" si="120"/>
        <v>0</v>
      </c>
      <c r="J139" s="58"/>
      <c r="K139" s="55">
        <v>0</v>
      </c>
      <c r="L139" s="57">
        <v>0</v>
      </c>
      <c r="M139" s="57">
        <f t="shared" si="121"/>
        <v>0</v>
      </c>
      <c r="N139" s="58"/>
      <c r="O139" s="55">
        <v>0</v>
      </c>
      <c r="P139" s="57">
        <v>0</v>
      </c>
      <c r="Q139" s="57">
        <f t="shared" si="122"/>
        <v>0</v>
      </c>
      <c r="R139" s="58"/>
      <c r="S139" s="55">
        <v>0</v>
      </c>
      <c r="T139" s="57">
        <v>0</v>
      </c>
      <c r="U139" s="57">
        <f t="shared" si="123"/>
        <v>0</v>
      </c>
      <c r="V139" s="59"/>
      <c r="W139" s="124">
        <f t="shared" si="124"/>
        <v>0</v>
      </c>
      <c r="X139" s="57">
        <f t="shared" si="125"/>
        <v>0</v>
      </c>
      <c r="Y139" s="84">
        <f t="shared" si="126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119"/>
        <v>0</v>
      </c>
      <c r="F140" s="58"/>
      <c r="G140" s="55">
        <v>0</v>
      </c>
      <c r="H140" s="57">
        <v>0</v>
      </c>
      <c r="I140" s="57">
        <f t="shared" si="120"/>
        <v>0</v>
      </c>
      <c r="J140" s="58"/>
      <c r="K140" s="55">
        <v>0</v>
      </c>
      <c r="L140" s="57">
        <v>0</v>
      </c>
      <c r="M140" s="57">
        <f t="shared" si="121"/>
        <v>0</v>
      </c>
      <c r="N140" s="58"/>
      <c r="O140" s="55">
        <v>0</v>
      </c>
      <c r="P140" s="57">
        <v>0</v>
      </c>
      <c r="Q140" s="57">
        <f t="shared" si="122"/>
        <v>0</v>
      </c>
      <c r="R140" s="58"/>
      <c r="S140" s="55">
        <v>0</v>
      </c>
      <c r="T140" s="57">
        <v>0</v>
      </c>
      <c r="U140" s="57">
        <f t="shared" si="123"/>
        <v>0</v>
      </c>
      <c r="V140" s="59"/>
      <c r="W140" s="124">
        <f t="shared" si="124"/>
        <v>0</v>
      </c>
      <c r="X140" s="57">
        <f t="shared" si="125"/>
        <v>0</v>
      </c>
      <c r="Y140" s="84">
        <f t="shared" si="126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124"/>
        <v>0</v>
      </c>
      <c r="X141" s="80">
        <f t="shared" si="125"/>
        <v>0</v>
      </c>
      <c r="Y141" s="80">
        <f t="shared" si="126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s="61" customFormat="1" x14ac:dyDescent="0.25">
      <c r="A143" s="52"/>
      <c r="B143" s="52" t="s">
        <v>57</v>
      </c>
      <c r="C143" s="124">
        <v>0</v>
      </c>
      <c r="D143" s="56">
        <v>0</v>
      </c>
      <c r="E143" s="56">
        <f t="shared" ref="E143:E148" si="127">SUM(C143:D143)</f>
        <v>0</v>
      </c>
      <c r="F143" s="58"/>
      <c r="G143" s="55">
        <v>0</v>
      </c>
      <c r="H143" s="57">
        <v>0</v>
      </c>
      <c r="I143" s="57">
        <f t="shared" ref="I143:I148" si="128">SUM(G143:H143)</f>
        <v>0</v>
      </c>
      <c r="J143" s="58"/>
      <c r="K143" s="55">
        <v>0</v>
      </c>
      <c r="L143" s="57">
        <v>0</v>
      </c>
      <c r="M143" s="57">
        <f t="shared" ref="M143:M148" si="129">SUM(K143:L143)</f>
        <v>0</v>
      </c>
      <c r="N143" s="58"/>
      <c r="O143" s="55">
        <v>0</v>
      </c>
      <c r="P143" s="57">
        <v>0</v>
      </c>
      <c r="Q143" s="57">
        <f t="shared" ref="Q143:Q148" si="130">SUM(O143:P143)</f>
        <v>0</v>
      </c>
      <c r="R143" s="58"/>
      <c r="S143" s="55">
        <v>0</v>
      </c>
      <c r="T143" s="57">
        <v>0</v>
      </c>
      <c r="U143" s="57">
        <f t="shared" ref="U143:U148" si="131">SUM(S143:T143)</f>
        <v>0</v>
      </c>
      <c r="V143" s="59"/>
      <c r="W143" s="124">
        <f t="shared" ref="W143:Y149" si="132">C143+G143+K143+O143+S143</f>
        <v>0</v>
      </c>
      <c r="X143" s="57">
        <f t="shared" si="132"/>
        <v>0</v>
      </c>
      <c r="Y143" s="84">
        <f t="shared" si="132"/>
        <v>0</v>
      </c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</row>
    <row r="144" spans="1:77" s="61" customFormat="1" x14ac:dyDescent="0.25">
      <c r="A144" s="52"/>
      <c r="B144" s="52"/>
      <c r="C144" s="124">
        <v>0</v>
      </c>
      <c r="D144" s="56">
        <v>0</v>
      </c>
      <c r="E144" s="56">
        <f t="shared" si="127"/>
        <v>0</v>
      </c>
      <c r="F144" s="58"/>
      <c r="G144" s="55">
        <v>0</v>
      </c>
      <c r="H144" s="57">
        <v>0</v>
      </c>
      <c r="I144" s="57">
        <f t="shared" si="128"/>
        <v>0</v>
      </c>
      <c r="J144" s="58"/>
      <c r="K144" s="55">
        <v>0</v>
      </c>
      <c r="L144" s="57">
        <v>0</v>
      </c>
      <c r="M144" s="57">
        <f t="shared" si="129"/>
        <v>0</v>
      </c>
      <c r="N144" s="58"/>
      <c r="O144" s="55">
        <v>0</v>
      </c>
      <c r="P144" s="57">
        <v>0</v>
      </c>
      <c r="Q144" s="57">
        <f t="shared" si="130"/>
        <v>0</v>
      </c>
      <c r="R144" s="58"/>
      <c r="S144" s="55">
        <v>0</v>
      </c>
      <c r="T144" s="57">
        <v>0</v>
      </c>
      <c r="U144" s="57">
        <f t="shared" si="131"/>
        <v>0</v>
      </c>
      <c r="V144" s="59"/>
      <c r="W144" s="124">
        <f t="shared" si="132"/>
        <v>0</v>
      </c>
      <c r="X144" s="57">
        <f t="shared" si="132"/>
        <v>0</v>
      </c>
      <c r="Y144" s="84">
        <f t="shared" si="132"/>
        <v>0</v>
      </c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</row>
    <row r="145" spans="1:77" s="61" customFormat="1" x14ac:dyDescent="0.25">
      <c r="A145" s="52"/>
      <c r="B145" s="52"/>
      <c r="C145" s="124">
        <v>0</v>
      </c>
      <c r="D145" s="56">
        <v>0</v>
      </c>
      <c r="E145" s="56">
        <f t="shared" si="127"/>
        <v>0</v>
      </c>
      <c r="F145" s="58"/>
      <c r="G145" s="55">
        <v>0</v>
      </c>
      <c r="H145" s="57">
        <v>0</v>
      </c>
      <c r="I145" s="57">
        <f t="shared" si="128"/>
        <v>0</v>
      </c>
      <c r="J145" s="58"/>
      <c r="K145" s="55">
        <v>0</v>
      </c>
      <c r="L145" s="57">
        <v>0</v>
      </c>
      <c r="M145" s="57">
        <f t="shared" si="129"/>
        <v>0</v>
      </c>
      <c r="N145" s="58"/>
      <c r="O145" s="55">
        <v>0</v>
      </c>
      <c r="P145" s="57">
        <v>0</v>
      </c>
      <c r="Q145" s="57">
        <f t="shared" si="130"/>
        <v>0</v>
      </c>
      <c r="R145" s="58"/>
      <c r="S145" s="55">
        <v>0</v>
      </c>
      <c r="T145" s="57">
        <v>0</v>
      </c>
      <c r="U145" s="57">
        <f t="shared" si="131"/>
        <v>0</v>
      </c>
      <c r="V145" s="59"/>
      <c r="W145" s="124">
        <f t="shared" si="132"/>
        <v>0</v>
      </c>
      <c r="X145" s="57">
        <f t="shared" si="132"/>
        <v>0</v>
      </c>
      <c r="Y145" s="84">
        <f t="shared" si="132"/>
        <v>0</v>
      </c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127"/>
        <v>0</v>
      </c>
      <c r="F146" s="58"/>
      <c r="G146" s="55">
        <v>0</v>
      </c>
      <c r="H146" s="57">
        <v>0</v>
      </c>
      <c r="I146" s="57">
        <f t="shared" si="128"/>
        <v>0</v>
      </c>
      <c r="J146" s="58"/>
      <c r="K146" s="55">
        <v>0</v>
      </c>
      <c r="L146" s="57">
        <v>0</v>
      </c>
      <c r="M146" s="57">
        <f t="shared" si="129"/>
        <v>0</v>
      </c>
      <c r="N146" s="58"/>
      <c r="O146" s="55">
        <v>0</v>
      </c>
      <c r="P146" s="57">
        <v>0</v>
      </c>
      <c r="Q146" s="57">
        <f t="shared" si="130"/>
        <v>0</v>
      </c>
      <c r="R146" s="58"/>
      <c r="S146" s="55">
        <v>0</v>
      </c>
      <c r="T146" s="57">
        <v>0</v>
      </c>
      <c r="U146" s="57">
        <f t="shared" si="131"/>
        <v>0</v>
      </c>
      <c r="V146" s="59"/>
      <c r="W146" s="124">
        <f t="shared" si="132"/>
        <v>0</v>
      </c>
      <c r="X146" s="57">
        <f t="shared" si="132"/>
        <v>0</v>
      </c>
      <c r="Y146" s="84">
        <f t="shared" si="132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127"/>
        <v>0</v>
      </c>
      <c r="F147" s="58"/>
      <c r="G147" s="55">
        <v>0</v>
      </c>
      <c r="H147" s="57">
        <v>0</v>
      </c>
      <c r="I147" s="57">
        <f t="shared" si="128"/>
        <v>0</v>
      </c>
      <c r="J147" s="58"/>
      <c r="K147" s="55">
        <v>0</v>
      </c>
      <c r="L147" s="57">
        <v>0</v>
      </c>
      <c r="M147" s="57">
        <f t="shared" si="129"/>
        <v>0</v>
      </c>
      <c r="N147" s="58"/>
      <c r="O147" s="55">
        <v>0</v>
      </c>
      <c r="P147" s="57">
        <v>0</v>
      </c>
      <c r="Q147" s="57">
        <f t="shared" si="130"/>
        <v>0</v>
      </c>
      <c r="R147" s="58"/>
      <c r="S147" s="55">
        <v>0</v>
      </c>
      <c r="T147" s="57">
        <v>0</v>
      </c>
      <c r="U147" s="57">
        <f t="shared" si="131"/>
        <v>0</v>
      </c>
      <c r="V147" s="59"/>
      <c r="W147" s="124">
        <f t="shared" si="132"/>
        <v>0</v>
      </c>
      <c r="X147" s="57">
        <f t="shared" si="132"/>
        <v>0</v>
      </c>
      <c r="Y147" s="84">
        <f t="shared" si="132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127"/>
        <v>0</v>
      </c>
      <c r="F148" s="58"/>
      <c r="G148" s="55">
        <v>0</v>
      </c>
      <c r="H148" s="57">
        <v>0</v>
      </c>
      <c r="I148" s="57">
        <f t="shared" si="128"/>
        <v>0</v>
      </c>
      <c r="J148" s="58"/>
      <c r="K148" s="55">
        <v>0</v>
      </c>
      <c r="L148" s="57">
        <v>0</v>
      </c>
      <c r="M148" s="57">
        <f t="shared" si="129"/>
        <v>0</v>
      </c>
      <c r="N148" s="58"/>
      <c r="O148" s="55">
        <v>0</v>
      </c>
      <c r="P148" s="57">
        <v>0</v>
      </c>
      <c r="Q148" s="57">
        <f t="shared" si="130"/>
        <v>0</v>
      </c>
      <c r="R148" s="58"/>
      <c r="S148" s="55">
        <v>0</v>
      </c>
      <c r="T148" s="57">
        <v>0</v>
      </c>
      <c r="U148" s="57">
        <f t="shared" si="131"/>
        <v>0</v>
      </c>
      <c r="V148" s="59"/>
      <c r="W148" s="124">
        <f t="shared" si="132"/>
        <v>0</v>
      </c>
      <c r="X148" s="57">
        <f t="shared" si="132"/>
        <v>0</v>
      </c>
      <c r="Y148" s="84">
        <f t="shared" si="132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0</v>
      </c>
      <c r="D149" s="125">
        <f>SUM(D143:D148)</f>
        <v>0</v>
      </c>
      <c r="E149" s="125">
        <f>SUM(E143:E148)</f>
        <v>0</v>
      </c>
      <c r="F149" s="81"/>
      <c r="G149" s="79">
        <f>SUM(G143:G148)</f>
        <v>0</v>
      </c>
      <c r="H149" s="80">
        <f>SUM(H143:H148)</f>
        <v>0</v>
      </c>
      <c r="I149" s="80">
        <f>SUM(I143:I148)</f>
        <v>0</v>
      </c>
      <c r="J149" s="81"/>
      <c r="K149" s="79">
        <f>SUM(K143:K148)</f>
        <v>0</v>
      </c>
      <c r="L149" s="80">
        <f>SUM(L143:L148)</f>
        <v>0</v>
      </c>
      <c r="M149" s="80">
        <f>SUM(M143:M148)</f>
        <v>0</v>
      </c>
      <c r="N149" s="81"/>
      <c r="O149" s="79">
        <f>SUM(O143:O148)</f>
        <v>0</v>
      </c>
      <c r="P149" s="80">
        <f>SUM(P143:P148)</f>
        <v>0</v>
      </c>
      <c r="Q149" s="80">
        <f>SUM(Q143:Q148)</f>
        <v>0</v>
      </c>
      <c r="R149" s="81"/>
      <c r="S149" s="79">
        <f>SUM(S143:S148)</f>
        <v>0</v>
      </c>
      <c r="T149" s="80">
        <f>SUM(T143:T148)</f>
        <v>0</v>
      </c>
      <c r="U149" s="80">
        <f>SUM(U143:U148)</f>
        <v>0</v>
      </c>
      <c r="V149" s="82"/>
      <c r="W149" s="228">
        <f t="shared" si="132"/>
        <v>0</v>
      </c>
      <c r="X149" s="80">
        <f t="shared" si="132"/>
        <v>0</v>
      </c>
      <c r="Y149" s="80">
        <f t="shared" si="132"/>
        <v>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/>
      <c r="B151" s="54"/>
      <c r="C151" s="124">
        <v>0</v>
      </c>
      <c r="D151" s="56">
        <v>0</v>
      </c>
      <c r="E151" s="56">
        <f>SUM(C151:D151)</f>
        <v>0</v>
      </c>
      <c r="F151" s="58"/>
      <c r="G151" s="55">
        <v>0</v>
      </c>
      <c r="H151" s="56">
        <v>0</v>
      </c>
      <c r="I151" s="56">
        <f>SUM(G151:H151)</f>
        <v>0</v>
      </c>
      <c r="J151" s="58"/>
      <c r="K151" s="55">
        <v>0</v>
      </c>
      <c r="L151" s="56">
        <v>0</v>
      </c>
      <c r="M151" s="56">
        <f>SUM(K151:L151)</f>
        <v>0</v>
      </c>
      <c r="N151" s="58"/>
      <c r="O151" s="55">
        <v>0</v>
      </c>
      <c r="P151" s="56">
        <v>0</v>
      </c>
      <c r="Q151" s="56">
        <f>SUM(O151:P151)</f>
        <v>0</v>
      </c>
      <c r="R151" s="58"/>
      <c r="S151" s="55">
        <v>0</v>
      </c>
      <c r="T151" s="56">
        <v>0</v>
      </c>
      <c r="U151" s="56">
        <f>SUM(S151:T151)</f>
        <v>0</v>
      </c>
      <c r="V151" s="59"/>
      <c r="W151" s="124">
        <f t="shared" ref="W151:Y155" si="133">C151+G151+K151+O151+S151</f>
        <v>0</v>
      </c>
      <c r="X151" s="57">
        <f t="shared" si="133"/>
        <v>0</v>
      </c>
      <c r="Y151" s="84">
        <f t="shared" si="133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77" customFormat="1" x14ac:dyDescent="0.25">
      <c r="A152" s="54"/>
      <c r="B152" s="54"/>
      <c r="C152" s="124">
        <v>0</v>
      </c>
      <c r="D152" s="56">
        <v>0</v>
      </c>
      <c r="E152" s="56">
        <f>SUM(C152:D152)</f>
        <v>0</v>
      </c>
      <c r="F152" s="58"/>
      <c r="G152" s="55">
        <v>0</v>
      </c>
      <c r="H152" s="56">
        <v>0</v>
      </c>
      <c r="I152" s="56">
        <f>SUM(G152:H152)</f>
        <v>0</v>
      </c>
      <c r="J152" s="58"/>
      <c r="K152" s="55">
        <v>0</v>
      </c>
      <c r="L152" s="56">
        <v>0</v>
      </c>
      <c r="M152" s="56">
        <f>SUM(K152:L152)</f>
        <v>0</v>
      </c>
      <c r="N152" s="58"/>
      <c r="O152" s="55">
        <v>0</v>
      </c>
      <c r="P152" s="56">
        <v>0</v>
      </c>
      <c r="Q152" s="56">
        <f>SUM(O152:P152)</f>
        <v>0</v>
      </c>
      <c r="R152" s="58"/>
      <c r="S152" s="55">
        <v>0</v>
      </c>
      <c r="T152" s="56">
        <v>0</v>
      </c>
      <c r="U152" s="56">
        <f>SUM(S152:T152)</f>
        <v>0</v>
      </c>
      <c r="V152" s="59"/>
      <c r="W152" s="124">
        <f t="shared" si="133"/>
        <v>0</v>
      </c>
      <c r="X152" s="57">
        <f t="shared" si="133"/>
        <v>0</v>
      </c>
      <c r="Y152" s="84">
        <f t="shared" si="133"/>
        <v>0</v>
      </c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</row>
    <row r="153" spans="1:77" s="77" customFormat="1" x14ac:dyDescent="0.25">
      <c r="A153" s="54"/>
      <c r="B153" s="54"/>
      <c r="C153" s="124">
        <v>0</v>
      </c>
      <c r="D153" s="56">
        <v>0</v>
      </c>
      <c r="E153" s="56">
        <f>SUM(C153:D153)</f>
        <v>0</v>
      </c>
      <c r="F153" s="58"/>
      <c r="G153" s="55">
        <v>0</v>
      </c>
      <c r="H153" s="56">
        <v>0</v>
      </c>
      <c r="I153" s="56">
        <f>SUM(G153:H153)</f>
        <v>0</v>
      </c>
      <c r="J153" s="58"/>
      <c r="K153" s="55">
        <v>0</v>
      </c>
      <c r="L153" s="56">
        <v>0</v>
      </c>
      <c r="M153" s="56">
        <f>SUM(K153:L153)</f>
        <v>0</v>
      </c>
      <c r="N153" s="58"/>
      <c r="O153" s="55">
        <v>0</v>
      </c>
      <c r="P153" s="56">
        <v>0</v>
      </c>
      <c r="Q153" s="56">
        <f>SUM(O153:P153)</f>
        <v>0</v>
      </c>
      <c r="R153" s="58"/>
      <c r="S153" s="55">
        <v>0</v>
      </c>
      <c r="T153" s="56">
        <v>0</v>
      </c>
      <c r="U153" s="56">
        <f>SUM(S153:T153)</f>
        <v>0</v>
      </c>
      <c r="V153" s="59"/>
      <c r="W153" s="124">
        <f t="shared" si="133"/>
        <v>0</v>
      </c>
      <c r="X153" s="57">
        <f t="shared" si="133"/>
        <v>0</v>
      </c>
      <c r="Y153" s="84">
        <f t="shared" si="133"/>
        <v>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s="61" customFormat="1" x14ac:dyDescent="0.25">
      <c r="A154" s="54"/>
      <c r="B154" s="54"/>
      <c r="C154" s="124">
        <v>0</v>
      </c>
      <c r="D154" s="56">
        <v>0</v>
      </c>
      <c r="E154" s="56">
        <f>SUM(C154:D154)</f>
        <v>0</v>
      </c>
      <c r="F154" s="58"/>
      <c r="G154" s="55">
        <v>0</v>
      </c>
      <c r="H154" s="56">
        <v>0</v>
      </c>
      <c r="I154" s="56">
        <f>SUM(G154:H154)</f>
        <v>0</v>
      </c>
      <c r="J154" s="58"/>
      <c r="K154" s="55">
        <v>0</v>
      </c>
      <c r="L154" s="56">
        <v>0</v>
      </c>
      <c r="M154" s="56">
        <f>SUM(K154:L154)</f>
        <v>0</v>
      </c>
      <c r="N154" s="58"/>
      <c r="O154" s="55">
        <v>0</v>
      </c>
      <c r="P154" s="56">
        <v>0</v>
      </c>
      <c r="Q154" s="56">
        <f>SUM(O154:P154)</f>
        <v>0</v>
      </c>
      <c r="R154" s="58"/>
      <c r="S154" s="55">
        <v>0</v>
      </c>
      <c r="T154" s="56">
        <v>0</v>
      </c>
      <c r="U154" s="56">
        <f>SUM(S154:T154)</f>
        <v>0</v>
      </c>
      <c r="V154" s="59"/>
      <c r="W154" s="124">
        <f t="shared" si="133"/>
        <v>0</v>
      </c>
      <c r="X154" s="57">
        <f t="shared" si="133"/>
        <v>0</v>
      </c>
      <c r="Y154" s="84">
        <f t="shared" si="133"/>
        <v>0</v>
      </c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0</v>
      </c>
      <c r="H155" s="80">
        <f>SUM(H151:H154)</f>
        <v>0</v>
      </c>
      <c r="I155" s="80">
        <f>SUM(I151:I154)</f>
        <v>0</v>
      </c>
      <c r="J155" s="81"/>
      <c r="K155" s="79">
        <f>SUM(K151:K154)</f>
        <v>0</v>
      </c>
      <c r="L155" s="80">
        <f>SUM(L151:L154)</f>
        <v>0</v>
      </c>
      <c r="M155" s="80">
        <f>SUM(M151:M154)</f>
        <v>0</v>
      </c>
      <c r="N155" s="81"/>
      <c r="O155" s="79">
        <f>SUM(O151:O154)</f>
        <v>0</v>
      </c>
      <c r="P155" s="80">
        <f>SUM(P151:P154)</f>
        <v>0</v>
      </c>
      <c r="Q155" s="80">
        <f>SUM(Q151:Q154)</f>
        <v>0</v>
      </c>
      <c r="R155" s="81"/>
      <c r="S155" s="79">
        <f>SUM(S151:S154)</f>
        <v>0</v>
      </c>
      <c r="T155" s="80">
        <f>SUM(T151:T154)</f>
        <v>0</v>
      </c>
      <c r="U155" s="80">
        <f>SUM(U151:U154)</f>
        <v>0</v>
      </c>
      <c r="V155" s="82"/>
      <c r="W155" s="228">
        <f t="shared" si="133"/>
        <v>0</v>
      </c>
      <c r="X155" s="80">
        <f t="shared" si="133"/>
        <v>0</v>
      </c>
      <c r="Y155" s="80">
        <f t="shared" si="133"/>
        <v>0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2" t="s">
        <v>57</v>
      </c>
      <c r="B157" s="52" t="s">
        <v>57</v>
      </c>
      <c r="C157" s="124">
        <v>0</v>
      </c>
      <c r="D157" s="56">
        <v>0</v>
      </c>
      <c r="E157" s="56">
        <f t="shared" ref="E157:E172" si="134">SUM(C157:D157)</f>
        <v>0</v>
      </c>
      <c r="F157" s="58"/>
      <c r="G157" s="55">
        <v>0</v>
      </c>
      <c r="H157" s="56">
        <v>0</v>
      </c>
      <c r="I157" s="57">
        <f t="shared" ref="I157:I172" si="135">SUM(G157:H157)</f>
        <v>0</v>
      </c>
      <c r="J157" s="58"/>
      <c r="K157" s="55">
        <v>0</v>
      </c>
      <c r="L157" s="57">
        <v>0</v>
      </c>
      <c r="M157" s="57">
        <f t="shared" ref="M157:M172" si="136">SUM(K157:L157)</f>
        <v>0</v>
      </c>
      <c r="N157" s="58"/>
      <c r="O157" s="55">
        <v>0</v>
      </c>
      <c r="P157" s="57">
        <v>0</v>
      </c>
      <c r="Q157" s="57">
        <f t="shared" ref="Q157:Q172" si="137">SUM(O157:P157)</f>
        <v>0</v>
      </c>
      <c r="R157" s="58"/>
      <c r="S157" s="55">
        <v>0</v>
      </c>
      <c r="T157" s="57">
        <v>0</v>
      </c>
      <c r="U157" s="57">
        <f t="shared" ref="U157:U172" si="138">SUM(S157:T157)</f>
        <v>0</v>
      </c>
      <c r="V157" s="59"/>
      <c r="W157" s="124">
        <f t="shared" ref="W157:W173" si="139">C157+G157+K157+O157+S157</f>
        <v>0</v>
      </c>
      <c r="X157" s="57">
        <f t="shared" ref="X157:X173" si="140">D157+H157+L157+P157+T157</f>
        <v>0</v>
      </c>
      <c r="Y157" s="84">
        <f t="shared" ref="Y157:Y173" si="141">E157+I157+M157+Q157+U157</f>
        <v>0</v>
      </c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</row>
    <row r="158" spans="1:77" s="61" customFormat="1" x14ac:dyDescent="0.25">
      <c r="A158" s="52" t="s">
        <v>57</v>
      </c>
      <c r="B158" s="84" t="s">
        <v>57</v>
      </c>
      <c r="C158" s="124">
        <v>0</v>
      </c>
      <c r="D158" s="56">
        <v>0</v>
      </c>
      <c r="E158" s="56">
        <f t="shared" si="134"/>
        <v>0</v>
      </c>
      <c r="F158" s="58"/>
      <c r="G158" s="55">
        <v>0</v>
      </c>
      <c r="H158" s="57">
        <v>0</v>
      </c>
      <c r="I158" s="57">
        <f t="shared" si="135"/>
        <v>0</v>
      </c>
      <c r="J158" s="58"/>
      <c r="K158" s="55">
        <v>0</v>
      </c>
      <c r="L158" s="57">
        <v>0</v>
      </c>
      <c r="M158" s="57">
        <f t="shared" si="136"/>
        <v>0</v>
      </c>
      <c r="N158" s="58"/>
      <c r="O158" s="55">
        <v>0</v>
      </c>
      <c r="P158" s="57">
        <v>0</v>
      </c>
      <c r="Q158" s="57">
        <f t="shared" si="137"/>
        <v>0</v>
      </c>
      <c r="R158" s="58"/>
      <c r="S158" s="55">
        <v>0</v>
      </c>
      <c r="T158" s="57">
        <v>0</v>
      </c>
      <c r="U158" s="57">
        <f t="shared" si="138"/>
        <v>0</v>
      </c>
      <c r="V158" s="59"/>
      <c r="W158" s="124">
        <f t="shared" si="139"/>
        <v>0</v>
      </c>
      <c r="X158" s="57">
        <f t="shared" si="140"/>
        <v>0</v>
      </c>
      <c r="Y158" s="84">
        <f t="shared" si="141"/>
        <v>0</v>
      </c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</row>
    <row r="159" spans="1:77" s="61" customFormat="1" x14ac:dyDescent="0.25">
      <c r="A159" s="52" t="s">
        <v>57</v>
      </c>
      <c r="B159" s="52" t="s">
        <v>57</v>
      </c>
      <c r="C159" s="124">
        <v>0</v>
      </c>
      <c r="D159" s="56">
        <v>0</v>
      </c>
      <c r="E159" s="56">
        <f t="shared" si="134"/>
        <v>0</v>
      </c>
      <c r="F159" s="58"/>
      <c r="G159" s="55">
        <v>0</v>
      </c>
      <c r="H159" s="57">
        <v>0</v>
      </c>
      <c r="I159" s="57">
        <f t="shared" si="135"/>
        <v>0</v>
      </c>
      <c r="J159" s="58"/>
      <c r="K159" s="55">
        <v>0</v>
      </c>
      <c r="L159" s="56">
        <v>0</v>
      </c>
      <c r="M159" s="57">
        <f t="shared" si="136"/>
        <v>0</v>
      </c>
      <c r="N159" s="58"/>
      <c r="O159" s="55">
        <v>0</v>
      </c>
      <c r="P159" s="56">
        <v>0</v>
      </c>
      <c r="Q159" s="57">
        <f t="shared" si="137"/>
        <v>0</v>
      </c>
      <c r="R159" s="58"/>
      <c r="S159" s="55">
        <v>0</v>
      </c>
      <c r="T159" s="56">
        <v>0</v>
      </c>
      <c r="U159" s="57">
        <f t="shared" si="138"/>
        <v>0</v>
      </c>
      <c r="V159" s="59"/>
      <c r="W159" s="124">
        <f t="shared" si="139"/>
        <v>0</v>
      </c>
      <c r="X159" s="57">
        <f t="shared" si="140"/>
        <v>0</v>
      </c>
      <c r="Y159" s="84">
        <f t="shared" si="141"/>
        <v>0</v>
      </c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</row>
    <row r="160" spans="1:77" s="61" customFormat="1" x14ac:dyDescent="0.25">
      <c r="A160" s="52" t="s">
        <v>57</v>
      </c>
      <c r="B160" s="52" t="s">
        <v>57</v>
      </c>
      <c r="C160" s="124">
        <v>0</v>
      </c>
      <c r="D160" s="56">
        <v>0</v>
      </c>
      <c r="E160" s="56">
        <f t="shared" si="134"/>
        <v>0</v>
      </c>
      <c r="F160" s="58"/>
      <c r="G160" s="55">
        <v>0</v>
      </c>
      <c r="H160" s="57">
        <v>0</v>
      </c>
      <c r="I160" s="57">
        <f t="shared" si="135"/>
        <v>0</v>
      </c>
      <c r="J160" s="58"/>
      <c r="K160" s="55">
        <v>0</v>
      </c>
      <c r="L160" s="56">
        <v>0</v>
      </c>
      <c r="M160" s="57">
        <f t="shared" si="136"/>
        <v>0</v>
      </c>
      <c r="N160" s="58"/>
      <c r="O160" s="55">
        <v>0</v>
      </c>
      <c r="P160" s="56">
        <v>0</v>
      </c>
      <c r="Q160" s="57">
        <f t="shared" si="137"/>
        <v>0</v>
      </c>
      <c r="R160" s="58"/>
      <c r="S160" s="55">
        <v>0</v>
      </c>
      <c r="T160" s="56">
        <v>0</v>
      </c>
      <c r="U160" s="57">
        <f t="shared" si="138"/>
        <v>0</v>
      </c>
      <c r="V160" s="59"/>
      <c r="W160" s="124">
        <f t="shared" si="139"/>
        <v>0</v>
      </c>
      <c r="X160" s="57">
        <f t="shared" si="140"/>
        <v>0</v>
      </c>
      <c r="Y160" s="84">
        <f t="shared" si="141"/>
        <v>0</v>
      </c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</row>
    <row r="161" spans="1:77" s="61" customFormat="1" x14ac:dyDescent="0.25">
      <c r="A161" s="52"/>
      <c r="B161" s="52"/>
      <c r="C161" s="124">
        <v>0</v>
      </c>
      <c r="D161" s="56">
        <v>0</v>
      </c>
      <c r="E161" s="56">
        <f t="shared" si="134"/>
        <v>0</v>
      </c>
      <c r="F161" s="58"/>
      <c r="G161" s="55">
        <v>0</v>
      </c>
      <c r="H161" s="57">
        <v>0</v>
      </c>
      <c r="I161" s="57">
        <f t="shared" si="135"/>
        <v>0</v>
      </c>
      <c r="J161" s="58"/>
      <c r="K161" s="55">
        <v>0</v>
      </c>
      <c r="L161" s="56">
        <v>0</v>
      </c>
      <c r="M161" s="57">
        <f t="shared" si="136"/>
        <v>0</v>
      </c>
      <c r="N161" s="58"/>
      <c r="O161" s="55">
        <v>0</v>
      </c>
      <c r="P161" s="56">
        <v>0</v>
      </c>
      <c r="Q161" s="57">
        <f t="shared" si="137"/>
        <v>0</v>
      </c>
      <c r="R161" s="58"/>
      <c r="S161" s="55">
        <v>0</v>
      </c>
      <c r="T161" s="57">
        <v>0</v>
      </c>
      <c r="U161" s="57">
        <f t="shared" si="138"/>
        <v>0</v>
      </c>
      <c r="V161" s="59"/>
      <c r="W161" s="124">
        <f t="shared" si="139"/>
        <v>0</v>
      </c>
      <c r="X161" s="57">
        <f t="shared" si="140"/>
        <v>0</v>
      </c>
      <c r="Y161" s="84">
        <f t="shared" si="141"/>
        <v>0</v>
      </c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1" customFormat="1" x14ac:dyDescent="0.25">
      <c r="A162" s="52"/>
      <c r="B162" s="52" t="s">
        <v>57</v>
      </c>
      <c r="C162" s="124">
        <v>0</v>
      </c>
      <c r="D162" s="56">
        <v>0</v>
      </c>
      <c r="E162" s="56">
        <f t="shared" si="134"/>
        <v>0</v>
      </c>
      <c r="F162" s="58"/>
      <c r="G162" s="55">
        <v>0</v>
      </c>
      <c r="H162" s="57">
        <v>0</v>
      </c>
      <c r="I162" s="57">
        <f t="shared" si="135"/>
        <v>0</v>
      </c>
      <c r="J162" s="58"/>
      <c r="K162" s="55">
        <v>0</v>
      </c>
      <c r="L162" s="56">
        <v>0</v>
      </c>
      <c r="M162" s="57">
        <f t="shared" si="136"/>
        <v>0</v>
      </c>
      <c r="N162" s="58"/>
      <c r="O162" s="55">
        <v>0</v>
      </c>
      <c r="P162" s="56">
        <v>0</v>
      </c>
      <c r="Q162" s="57">
        <f t="shared" si="137"/>
        <v>0</v>
      </c>
      <c r="R162" s="58"/>
      <c r="S162" s="55">
        <v>0</v>
      </c>
      <c r="T162" s="57">
        <v>0</v>
      </c>
      <c r="U162" s="57">
        <f t="shared" si="138"/>
        <v>0</v>
      </c>
      <c r="V162" s="59"/>
      <c r="W162" s="124">
        <f t="shared" si="139"/>
        <v>0</v>
      </c>
      <c r="X162" s="57">
        <f t="shared" si="140"/>
        <v>0</v>
      </c>
      <c r="Y162" s="84">
        <f t="shared" si="141"/>
        <v>0</v>
      </c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</row>
    <row r="163" spans="1:77" s="61" customFormat="1" x14ac:dyDescent="0.25">
      <c r="A163" s="87"/>
      <c r="B163" s="52"/>
      <c r="C163" s="124">
        <v>0</v>
      </c>
      <c r="D163" s="56">
        <v>0</v>
      </c>
      <c r="E163" s="56">
        <f t="shared" si="134"/>
        <v>0</v>
      </c>
      <c r="F163" s="58"/>
      <c r="G163" s="55">
        <v>0</v>
      </c>
      <c r="H163" s="57">
        <v>0</v>
      </c>
      <c r="I163" s="57">
        <f t="shared" si="135"/>
        <v>0</v>
      </c>
      <c r="J163" s="58"/>
      <c r="K163" s="55">
        <v>0</v>
      </c>
      <c r="L163" s="56">
        <v>0</v>
      </c>
      <c r="M163" s="57">
        <f t="shared" si="136"/>
        <v>0</v>
      </c>
      <c r="N163" s="58"/>
      <c r="O163" s="55">
        <v>0</v>
      </c>
      <c r="P163" s="56">
        <v>0</v>
      </c>
      <c r="Q163" s="57">
        <f t="shared" si="137"/>
        <v>0</v>
      </c>
      <c r="R163" s="58"/>
      <c r="S163" s="55">
        <v>0</v>
      </c>
      <c r="T163" s="57">
        <v>0</v>
      </c>
      <c r="U163" s="57">
        <f t="shared" si="138"/>
        <v>0</v>
      </c>
      <c r="V163" s="59"/>
      <c r="W163" s="124">
        <f t="shared" si="139"/>
        <v>0</v>
      </c>
      <c r="X163" s="57">
        <f t="shared" si="140"/>
        <v>0</v>
      </c>
      <c r="Y163" s="84">
        <f t="shared" si="141"/>
        <v>0</v>
      </c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s="61" customFormat="1" x14ac:dyDescent="0.25">
      <c r="A164" s="52"/>
      <c r="B164" s="54" t="s">
        <v>57</v>
      </c>
      <c r="C164" s="124">
        <v>0</v>
      </c>
      <c r="D164" s="56">
        <v>0</v>
      </c>
      <c r="E164" s="56">
        <f t="shared" si="134"/>
        <v>0</v>
      </c>
      <c r="F164" s="58"/>
      <c r="G164" s="55">
        <v>0</v>
      </c>
      <c r="H164" s="57">
        <v>0</v>
      </c>
      <c r="I164" s="57">
        <f t="shared" si="135"/>
        <v>0</v>
      </c>
      <c r="J164" s="58"/>
      <c r="K164" s="55">
        <v>0</v>
      </c>
      <c r="L164" s="56">
        <v>0</v>
      </c>
      <c r="M164" s="57">
        <f t="shared" si="136"/>
        <v>0</v>
      </c>
      <c r="N164" s="58"/>
      <c r="O164" s="55">
        <v>0</v>
      </c>
      <c r="P164" s="56">
        <v>0</v>
      </c>
      <c r="Q164" s="57">
        <f t="shared" si="137"/>
        <v>0</v>
      </c>
      <c r="R164" s="58"/>
      <c r="S164" s="55">
        <v>0</v>
      </c>
      <c r="T164" s="57">
        <v>0</v>
      </c>
      <c r="U164" s="57">
        <f t="shared" si="138"/>
        <v>0</v>
      </c>
      <c r="V164" s="59"/>
      <c r="W164" s="124">
        <f t="shared" si="139"/>
        <v>0</v>
      </c>
      <c r="X164" s="57">
        <f t="shared" si="140"/>
        <v>0</v>
      </c>
      <c r="Y164" s="84">
        <f t="shared" si="141"/>
        <v>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/>
      <c r="C165" s="124">
        <v>0</v>
      </c>
      <c r="D165" s="56">
        <v>0</v>
      </c>
      <c r="E165" s="56">
        <f t="shared" si="134"/>
        <v>0</v>
      </c>
      <c r="F165" s="58"/>
      <c r="G165" s="55">
        <v>0</v>
      </c>
      <c r="H165" s="57">
        <v>0</v>
      </c>
      <c r="I165" s="57">
        <f t="shared" si="135"/>
        <v>0</v>
      </c>
      <c r="J165" s="58"/>
      <c r="K165" s="55">
        <v>0</v>
      </c>
      <c r="L165" s="56">
        <v>0</v>
      </c>
      <c r="M165" s="57">
        <f t="shared" si="136"/>
        <v>0</v>
      </c>
      <c r="N165" s="58"/>
      <c r="O165" s="55">
        <v>0</v>
      </c>
      <c r="P165" s="56">
        <v>0</v>
      </c>
      <c r="Q165" s="57">
        <f t="shared" si="137"/>
        <v>0</v>
      </c>
      <c r="R165" s="58"/>
      <c r="S165" s="55">
        <v>0</v>
      </c>
      <c r="T165" s="57">
        <v>0</v>
      </c>
      <c r="U165" s="57">
        <f t="shared" si="138"/>
        <v>0</v>
      </c>
      <c r="V165" s="59"/>
      <c r="W165" s="124">
        <f t="shared" si="139"/>
        <v>0</v>
      </c>
      <c r="X165" s="57">
        <f t="shared" si="140"/>
        <v>0</v>
      </c>
      <c r="Y165" s="84">
        <f t="shared" si="141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2"/>
      <c r="C166" s="124">
        <v>0</v>
      </c>
      <c r="D166" s="56">
        <v>0</v>
      </c>
      <c r="E166" s="56">
        <f t="shared" si="134"/>
        <v>0</v>
      </c>
      <c r="F166" s="58"/>
      <c r="G166" s="55">
        <v>0</v>
      </c>
      <c r="H166" s="57">
        <v>0</v>
      </c>
      <c r="I166" s="57">
        <f t="shared" si="135"/>
        <v>0</v>
      </c>
      <c r="J166" s="58"/>
      <c r="K166" s="55">
        <v>0</v>
      </c>
      <c r="L166" s="56">
        <v>0</v>
      </c>
      <c r="M166" s="57">
        <f t="shared" si="136"/>
        <v>0</v>
      </c>
      <c r="N166" s="58"/>
      <c r="O166" s="55">
        <v>0</v>
      </c>
      <c r="P166" s="56">
        <v>0</v>
      </c>
      <c r="Q166" s="57">
        <f t="shared" si="137"/>
        <v>0</v>
      </c>
      <c r="R166" s="58"/>
      <c r="S166" s="55">
        <v>0</v>
      </c>
      <c r="T166" s="57">
        <v>0</v>
      </c>
      <c r="U166" s="57">
        <f t="shared" si="138"/>
        <v>0</v>
      </c>
      <c r="V166" s="59"/>
      <c r="W166" s="124">
        <f t="shared" si="139"/>
        <v>0</v>
      </c>
      <c r="X166" s="57">
        <f t="shared" si="140"/>
        <v>0</v>
      </c>
      <c r="Y166" s="84">
        <f t="shared" si="141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134"/>
        <v>0</v>
      </c>
      <c r="F167" s="58"/>
      <c r="G167" s="55">
        <v>0</v>
      </c>
      <c r="H167" s="57">
        <v>0</v>
      </c>
      <c r="I167" s="57">
        <f t="shared" si="135"/>
        <v>0</v>
      </c>
      <c r="J167" s="58"/>
      <c r="K167" s="55">
        <v>0</v>
      </c>
      <c r="L167" s="57">
        <v>0</v>
      </c>
      <c r="M167" s="57">
        <f t="shared" si="136"/>
        <v>0</v>
      </c>
      <c r="N167" s="58"/>
      <c r="O167" s="55">
        <v>0</v>
      </c>
      <c r="P167" s="57">
        <v>0</v>
      </c>
      <c r="Q167" s="57">
        <f t="shared" si="137"/>
        <v>0</v>
      </c>
      <c r="R167" s="58"/>
      <c r="S167" s="55">
        <v>0</v>
      </c>
      <c r="T167" s="57">
        <v>0</v>
      </c>
      <c r="U167" s="57">
        <f t="shared" si="138"/>
        <v>0</v>
      </c>
      <c r="V167" s="59"/>
      <c r="W167" s="124">
        <f t="shared" si="139"/>
        <v>0</v>
      </c>
      <c r="X167" s="57">
        <f t="shared" si="140"/>
        <v>0</v>
      </c>
      <c r="Y167" s="84">
        <f t="shared" si="141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134"/>
        <v>0</v>
      </c>
      <c r="F168" s="58"/>
      <c r="G168" s="55">
        <v>0</v>
      </c>
      <c r="H168" s="57">
        <v>0</v>
      </c>
      <c r="I168" s="57">
        <f t="shared" si="135"/>
        <v>0</v>
      </c>
      <c r="J168" s="58"/>
      <c r="K168" s="55">
        <v>0</v>
      </c>
      <c r="L168" s="57">
        <v>0</v>
      </c>
      <c r="M168" s="57">
        <f t="shared" si="136"/>
        <v>0</v>
      </c>
      <c r="N168" s="58"/>
      <c r="O168" s="55">
        <v>0</v>
      </c>
      <c r="P168" s="57">
        <v>0</v>
      </c>
      <c r="Q168" s="57">
        <f t="shared" si="137"/>
        <v>0</v>
      </c>
      <c r="R168" s="58"/>
      <c r="S168" s="55">
        <v>0</v>
      </c>
      <c r="T168" s="57">
        <v>0</v>
      </c>
      <c r="U168" s="57">
        <f t="shared" si="138"/>
        <v>0</v>
      </c>
      <c r="V168" s="59"/>
      <c r="W168" s="124">
        <f t="shared" si="139"/>
        <v>0</v>
      </c>
      <c r="X168" s="57">
        <f t="shared" si="140"/>
        <v>0</v>
      </c>
      <c r="Y168" s="84">
        <f t="shared" si="141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134"/>
        <v>0</v>
      </c>
      <c r="F169" s="58"/>
      <c r="G169" s="55">
        <v>0</v>
      </c>
      <c r="H169" s="57">
        <v>0</v>
      </c>
      <c r="I169" s="57">
        <f t="shared" si="135"/>
        <v>0</v>
      </c>
      <c r="J169" s="58"/>
      <c r="K169" s="55">
        <v>0</v>
      </c>
      <c r="L169" s="57">
        <v>0</v>
      </c>
      <c r="M169" s="57">
        <f t="shared" si="136"/>
        <v>0</v>
      </c>
      <c r="N169" s="58"/>
      <c r="O169" s="55">
        <v>0</v>
      </c>
      <c r="P169" s="57">
        <v>0</v>
      </c>
      <c r="Q169" s="57">
        <f t="shared" si="137"/>
        <v>0</v>
      </c>
      <c r="R169" s="58"/>
      <c r="S169" s="55">
        <v>0</v>
      </c>
      <c r="T169" s="57">
        <v>0</v>
      </c>
      <c r="U169" s="57">
        <f t="shared" si="138"/>
        <v>0</v>
      </c>
      <c r="V169" s="59"/>
      <c r="W169" s="124">
        <f t="shared" si="139"/>
        <v>0</v>
      </c>
      <c r="X169" s="57">
        <f t="shared" si="140"/>
        <v>0</v>
      </c>
      <c r="Y169" s="84">
        <f t="shared" si="141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134"/>
        <v>0</v>
      </c>
      <c r="F170" s="58"/>
      <c r="G170" s="55">
        <v>0</v>
      </c>
      <c r="H170" s="57">
        <v>0</v>
      </c>
      <c r="I170" s="57">
        <f t="shared" si="135"/>
        <v>0</v>
      </c>
      <c r="J170" s="58"/>
      <c r="K170" s="55">
        <v>0</v>
      </c>
      <c r="L170" s="57">
        <v>0</v>
      </c>
      <c r="M170" s="57">
        <f t="shared" si="136"/>
        <v>0</v>
      </c>
      <c r="N170" s="58"/>
      <c r="O170" s="55">
        <v>0</v>
      </c>
      <c r="P170" s="57">
        <v>0</v>
      </c>
      <c r="Q170" s="57">
        <f t="shared" si="137"/>
        <v>0</v>
      </c>
      <c r="R170" s="58"/>
      <c r="S170" s="55">
        <v>0</v>
      </c>
      <c r="T170" s="57">
        <v>0</v>
      </c>
      <c r="U170" s="57">
        <f t="shared" si="138"/>
        <v>0</v>
      </c>
      <c r="V170" s="59"/>
      <c r="W170" s="124">
        <f t="shared" si="139"/>
        <v>0</v>
      </c>
      <c r="X170" s="57">
        <f t="shared" si="140"/>
        <v>0</v>
      </c>
      <c r="Y170" s="84">
        <f t="shared" si="141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134"/>
        <v>0</v>
      </c>
      <c r="F171" s="58"/>
      <c r="G171" s="55">
        <v>0</v>
      </c>
      <c r="H171" s="57">
        <v>0</v>
      </c>
      <c r="I171" s="57">
        <f t="shared" si="135"/>
        <v>0</v>
      </c>
      <c r="J171" s="58"/>
      <c r="K171" s="55">
        <v>0</v>
      </c>
      <c r="L171" s="57">
        <v>0</v>
      </c>
      <c r="M171" s="57">
        <f t="shared" si="136"/>
        <v>0</v>
      </c>
      <c r="N171" s="58"/>
      <c r="O171" s="55">
        <v>0</v>
      </c>
      <c r="P171" s="57">
        <v>0</v>
      </c>
      <c r="Q171" s="57">
        <f t="shared" si="137"/>
        <v>0</v>
      </c>
      <c r="R171" s="58"/>
      <c r="S171" s="55">
        <v>0</v>
      </c>
      <c r="T171" s="57">
        <v>0</v>
      </c>
      <c r="U171" s="57">
        <f t="shared" si="138"/>
        <v>0</v>
      </c>
      <c r="V171" s="59"/>
      <c r="W171" s="124">
        <f t="shared" si="139"/>
        <v>0</v>
      </c>
      <c r="X171" s="57">
        <f t="shared" si="140"/>
        <v>0</v>
      </c>
      <c r="Y171" s="84">
        <f t="shared" si="141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134"/>
        <v>0</v>
      </c>
      <c r="F172" s="58"/>
      <c r="G172" s="55">
        <v>0</v>
      </c>
      <c r="H172" s="57">
        <v>0</v>
      </c>
      <c r="I172" s="57">
        <f t="shared" si="135"/>
        <v>0</v>
      </c>
      <c r="J172" s="58"/>
      <c r="K172" s="55">
        <v>0</v>
      </c>
      <c r="L172" s="57">
        <v>0</v>
      </c>
      <c r="M172" s="57">
        <f t="shared" si="136"/>
        <v>0</v>
      </c>
      <c r="N172" s="58"/>
      <c r="O172" s="55">
        <v>0</v>
      </c>
      <c r="P172" s="57">
        <v>0</v>
      </c>
      <c r="Q172" s="57">
        <f t="shared" si="137"/>
        <v>0</v>
      </c>
      <c r="R172" s="58"/>
      <c r="S172" s="55">
        <v>0</v>
      </c>
      <c r="T172" s="57">
        <v>0</v>
      </c>
      <c r="U172" s="57">
        <f t="shared" si="138"/>
        <v>0</v>
      </c>
      <c r="V172" s="59"/>
      <c r="W172" s="124">
        <f t="shared" si="139"/>
        <v>0</v>
      </c>
      <c r="X172" s="57">
        <f t="shared" si="140"/>
        <v>0</v>
      </c>
      <c r="Y172" s="84">
        <f t="shared" si="141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0</v>
      </c>
      <c r="D173" s="153">
        <f>SUM(D157:D172)</f>
        <v>0</v>
      </c>
      <c r="E173" s="153">
        <f>SUM(E157:E172)</f>
        <v>0</v>
      </c>
      <c r="F173" s="154"/>
      <c r="G173" s="152">
        <f>SUM(G157:G172)</f>
        <v>0</v>
      </c>
      <c r="H173" s="155">
        <f>SUM(H157:H172)</f>
        <v>0</v>
      </c>
      <c r="I173" s="155">
        <f>SUM(I157:I172)</f>
        <v>0</v>
      </c>
      <c r="J173" s="154"/>
      <c r="K173" s="152">
        <f>SUM(K157:K172)</f>
        <v>0</v>
      </c>
      <c r="L173" s="155">
        <f>SUM(L157:L172)</f>
        <v>0</v>
      </c>
      <c r="M173" s="155">
        <f>SUM(M157:M172)</f>
        <v>0</v>
      </c>
      <c r="N173" s="154"/>
      <c r="O173" s="152">
        <f>SUM(O157:O172)</f>
        <v>0</v>
      </c>
      <c r="P173" s="155">
        <f>SUM(P157:P172)</f>
        <v>0</v>
      </c>
      <c r="Q173" s="155">
        <f>SUM(Q157:Q172)</f>
        <v>0</v>
      </c>
      <c r="R173" s="154"/>
      <c r="S173" s="152">
        <f>SUM(S157:S172)</f>
        <v>0</v>
      </c>
      <c r="T173" s="155">
        <f>SUM(T157:T172)</f>
        <v>0</v>
      </c>
      <c r="U173" s="155">
        <f>SUM(U157:U172)</f>
        <v>0</v>
      </c>
      <c r="V173" s="82"/>
      <c r="W173" s="228">
        <f t="shared" si="139"/>
        <v>0</v>
      </c>
      <c r="X173" s="80">
        <f t="shared" si="140"/>
        <v>0</v>
      </c>
      <c r="Y173" s="80">
        <f t="shared" si="141"/>
        <v>0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>(C173+ C155+C149+C141+C125)</f>
        <v>0</v>
      </c>
      <c r="D174" s="104">
        <f t="shared" ref="D174:Y174" si="142">(D173+ D155+D149+D141+D125)</f>
        <v>0</v>
      </c>
      <c r="E174" s="104">
        <f t="shared" si="142"/>
        <v>0</v>
      </c>
      <c r="F174" s="104">
        <f t="shared" si="142"/>
        <v>0</v>
      </c>
      <c r="G174" s="104">
        <f t="shared" si="142"/>
        <v>0</v>
      </c>
      <c r="H174" s="104">
        <f t="shared" si="142"/>
        <v>0</v>
      </c>
      <c r="I174" s="104">
        <f t="shared" si="142"/>
        <v>0</v>
      </c>
      <c r="J174" s="104">
        <f t="shared" si="142"/>
        <v>0</v>
      </c>
      <c r="K174" s="104">
        <f t="shared" si="142"/>
        <v>0</v>
      </c>
      <c r="L174" s="104">
        <f t="shared" si="142"/>
        <v>0</v>
      </c>
      <c r="M174" s="104">
        <f t="shared" si="142"/>
        <v>0</v>
      </c>
      <c r="N174" s="104">
        <f t="shared" si="142"/>
        <v>0</v>
      </c>
      <c r="O174" s="104">
        <f t="shared" si="142"/>
        <v>0</v>
      </c>
      <c r="P174" s="104">
        <f t="shared" si="142"/>
        <v>0</v>
      </c>
      <c r="Q174" s="104">
        <f t="shared" si="142"/>
        <v>0</v>
      </c>
      <c r="R174" s="104">
        <f t="shared" si="142"/>
        <v>0</v>
      </c>
      <c r="S174" s="104">
        <f t="shared" si="142"/>
        <v>0</v>
      </c>
      <c r="T174" s="104">
        <f t="shared" si="142"/>
        <v>0</v>
      </c>
      <c r="U174" s="104">
        <f t="shared" si="142"/>
        <v>0</v>
      </c>
      <c r="V174" s="104">
        <f t="shared" si="142"/>
        <v>0</v>
      </c>
      <c r="W174" s="104">
        <f t="shared" si="142"/>
        <v>0</v>
      </c>
      <c r="X174" s="104">
        <f t="shared" si="142"/>
        <v>0</v>
      </c>
      <c r="Y174" s="104">
        <f t="shared" si="142"/>
        <v>0</v>
      </c>
      <c r="Z174" s="105">
        <f>(SUM(C174+G174+K174)/3)</f>
        <v>0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(C125+C149+C173)*0.405</f>
        <v>0</v>
      </c>
      <c r="D175" s="104">
        <v>0</v>
      </c>
      <c r="E175" s="104">
        <f>C175</f>
        <v>0</v>
      </c>
      <c r="F175" s="104">
        <f>(F125+F149+F173)*0.39</f>
        <v>0</v>
      </c>
      <c r="G175" s="104">
        <f>(G125+G149+G173)*0.405</f>
        <v>0</v>
      </c>
      <c r="H175" s="104">
        <v>0</v>
      </c>
      <c r="I175" s="104">
        <f>G175</f>
        <v>0</v>
      </c>
      <c r="J175" s="104">
        <f>(J125+J149+J173)*0.39</f>
        <v>0</v>
      </c>
      <c r="K175" s="104">
        <f>(K125+K149+K173)*0.405</f>
        <v>0</v>
      </c>
      <c r="L175" s="104">
        <v>0</v>
      </c>
      <c r="M175" s="104">
        <f>K175</f>
        <v>0</v>
      </c>
      <c r="N175" s="104">
        <f>(N125+N149+N173)*0.39</f>
        <v>0</v>
      </c>
      <c r="O175" s="104">
        <f>(O125+O149+O173)*0.405</f>
        <v>0</v>
      </c>
      <c r="P175" s="104">
        <v>0</v>
      </c>
      <c r="Q175" s="104">
        <f>O175</f>
        <v>0</v>
      </c>
      <c r="R175" s="104">
        <f>(R125+R149+R173)*0.39</f>
        <v>0</v>
      </c>
      <c r="S175" s="104">
        <f>(S125+S149+S173)*0.405</f>
        <v>0</v>
      </c>
      <c r="T175" s="104">
        <v>0</v>
      </c>
      <c r="U175" s="104">
        <f>S175</f>
        <v>0</v>
      </c>
      <c r="V175" s="104">
        <f>(V125+V149+V173)*0.39</f>
        <v>0</v>
      </c>
      <c r="W175" s="104">
        <f>(W125+W149+W173)*0.405</f>
        <v>0</v>
      </c>
      <c r="X175" s="104">
        <v>0</v>
      </c>
      <c r="Y175" s="104">
        <f>W175</f>
        <v>0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</f>
        <v>0</v>
      </c>
      <c r="D176" s="104">
        <f t="shared" ref="D176:Y176" si="143">D174+D175</f>
        <v>0</v>
      </c>
      <c r="E176" s="104">
        <f t="shared" si="143"/>
        <v>0</v>
      </c>
      <c r="F176" s="104">
        <f t="shared" si="143"/>
        <v>0</v>
      </c>
      <c r="G176" s="104">
        <f t="shared" si="143"/>
        <v>0</v>
      </c>
      <c r="H176" s="104">
        <f t="shared" si="143"/>
        <v>0</v>
      </c>
      <c r="I176" s="104">
        <f t="shared" si="143"/>
        <v>0</v>
      </c>
      <c r="J176" s="104">
        <f t="shared" si="143"/>
        <v>0</v>
      </c>
      <c r="K176" s="104">
        <f t="shared" si="143"/>
        <v>0</v>
      </c>
      <c r="L176" s="104">
        <f t="shared" si="143"/>
        <v>0</v>
      </c>
      <c r="M176" s="104">
        <f t="shared" si="143"/>
        <v>0</v>
      </c>
      <c r="N176" s="104">
        <f t="shared" si="143"/>
        <v>0</v>
      </c>
      <c r="O176" s="104">
        <f t="shared" si="143"/>
        <v>0</v>
      </c>
      <c r="P176" s="104">
        <f t="shared" si="143"/>
        <v>0</v>
      </c>
      <c r="Q176" s="104">
        <f t="shared" si="143"/>
        <v>0</v>
      </c>
      <c r="R176" s="104">
        <f t="shared" si="143"/>
        <v>0</v>
      </c>
      <c r="S176" s="104">
        <f t="shared" si="143"/>
        <v>0</v>
      </c>
      <c r="T176" s="104">
        <f t="shared" si="143"/>
        <v>0</v>
      </c>
      <c r="U176" s="104">
        <f t="shared" si="143"/>
        <v>0</v>
      </c>
      <c r="V176" s="104">
        <f t="shared" si="143"/>
        <v>0</v>
      </c>
      <c r="W176" s="104">
        <f t="shared" si="143"/>
        <v>0</v>
      </c>
      <c r="X176" s="104">
        <f t="shared" si="143"/>
        <v>0</v>
      </c>
      <c r="Y176" s="104">
        <f t="shared" si="143"/>
        <v>0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158" customFormat="1" x14ac:dyDescent="0.25">
      <c r="A177" s="91"/>
      <c r="B177" s="91"/>
      <c r="C177" s="156"/>
      <c r="D177" s="156"/>
      <c r="E177" s="105"/>
      <c r="F177" s="91"/>
      <c r="G177" s="156"/>
      <c r="H177" s="156"/>
      <c r="I177" s="105"/>
      <c r="J177" s="91"/>
      <c r="K177" s="156"/>
      <c r="L177" s="156"/>
      <c r="M177" s="105"/>
      <c r="N177" s="91"/>
      <c r="O177" s="156"/>
      <c r="P177" s="156"/>
      <c r="Q177" s="105"/>
      <c r="R177" s="91"/>
      <c r="S177" s="156"/>
      <c r="T177" s="156"/>
      <c r="U177" s="105"/>
      <c r="V177" s="157"/>
      <c r="W177" s="105"/>
      <c r="X177" s="105"/>
      <c r="Y177" s="156"/>
      <c r="Z177" s="105"/>
      <c r="AA177" s="105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11" customFormat="1" x14ac:dyDescent="0.25">
      <c r="A179" s="74" t="s">
        <v>5</v>
      </c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10"/>
      <c r="W179" s="9"/>
      <c r="X179" s="9"/>
      <c r="Y179" s="9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</row>
    <row r="180" spans="1:77" s="61" customFormat="1" x14ac:dyDescent="0.25">
      <c r="A180" s="52" t="s">
        <v>57</v>
      </c>
      <c r="B180" s="52" t="s">
        <v>57</v>
      </c>
      <c r="C180" s="124">
        <v>0</v>
      </c>
      <c r="D180" s="56">
        <v>0</v>
      </c>
      <c r="E180" s="56">
        <f t="shared" ref="E180:E185" si="144">SUM(C180:D180)</f>
        <v>0</v>
      </c>
      <c r="F180" s="58"/>
      <c r="G180" s="55">
        <v>0</v>
      </c>
      <c r="H180" s="57">
        <v>0</v>
      </c>
      <c r="I180" s="57">
        <f t="shared" ref="I180:I185" si="145">SUM(G180:H180)</f>
        <v>0</v>
      </c>
      <c r="J180" s="58"/>
      <c r="K180" s="55">
        <f>G180*1.05</f>
        <v>0</v>
      </c>
      <c r="L180" s="57">
        <v>0</v>
      </c>
      <c r="M180" s="57">
        <f t="shared" ref="M180:M185" si="146">SUM(K180:L180)</f>
        <v>0</v>
      </c>
      <c r="N180" s="58"/>
      <c r="O180" s="55">
        <v>0</v>
      </c>
      <c r="P180" s="57">
        <v>0</v>
      </c>
      <c r="Q180" s="57">
        <f t="shared" ref="Q180:Q185" si="147">SUM(O180:P180)</f>
        <v>0</v>
      </c>
      <c r="R180" s="58"/>
      <c r="S180" s="55">
        <f>O180*1.05</f>
        <v>0</v>
      </c>
      <c r="T180" s="57">
        <v>0</v>
      </c>
      <c r="U180" s="57">
        <f t="shared" ref="U180:U185" si="148">SUM(S180:T180)</f>
        <v>0</v>
      </c>
      <c r="V180" s="59"/>
      <c r="W180" s="124">
        <f t="shared" ref="W180:Y186" si="149">C180+G180+K180+O180+S180</f>
        <v>0</v>
      </c>
      <c r="X180" s="57">
        <f t="shared" si="149"/>
        <v>0</v>
      </c>
      <c r="Y180" s="84">
        <f t="shared" si="149"/>
        <v>0</v>
      </c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</row>
    <row r="181" spans="1:77" s="61" customFormat="1" x14ac:dyDescent="0.25">
      <c r="A181" s="52" t="s">
        <v>57</v>
      </c>
      <c r="B181" s="52" t="s">
        <v>57</v>
      </c>
      <c r="C181" s="124">
        <v>0</v>
      </c>
      <c r="D181" s="56">
        <v>0</v>
      </c>
      <c r="E181" s="56">
        <f t="shared" si="144"/>
        <v>0</v>
      </c>
      <c r="F181" s="58"/>
      <c r="G181" s="55">
        <v>0</v>
      </c>
      <c r="H181" s="57">
        <v>0</v>
      </c>
      <c r="I181" s="57">
        <f t="shared" si="145"/>
        <v>0</v>
      </c>
      <c r="J181" s="58"/>
      <c r="K181" s="55">
        <v>0</v>
      </c>
      <c r="L181" s="57">
        <v>0</v>
      </c>
      <c r="M181" s="57">
        <f t="shared" si="146"/>
        <v>0</v>
      </c>
      <c r="N181" s="58"/>
      <c r="O181" s="55">
        <f>K181*1.05</f>
        <v>0</v>
      </c>
      <c r="P181" s="57">
        <v>0</v>
      </c>
      <c r="Q181" s="57">
        <f t="shared" si="147"/>
        <v>0</v>
      </c>
      <c r="R181" s="58"/>
      <c r="S181" s="55">
        <v>0</v>
      </c>
      <c r="T181" s="57">
        <v>0</v>
      </c>
      <c r="U181" s="57">
        <f t="shared" si="148"/>
        <v>0</v>
      </c>
      <c r="V181" s="59"/>
      <c r="W181" s="124">
        <f t="shared" si="149"/>
        <v>0</v>
      </c>
      <c r="X181" s="57">
        <f t="shared" si="149"/>
        <v>0</v>
      </c>
      <c r="Y181" s="84">
        <f t="shared" si="149"/>
        <v>0</v>
      </c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</row>
    <row r="182" spans="1:77" s="61" customFormat="1" x14ac:dyDescent="0.25">
      <c r="A182" s="52" t="s">
        <v>57</v>
      </c>
      <c r="B182" s="52" t="s">
        <v>57</v>
      </c>
      <c r="C182" s="124">
        <v>0</v>
      </c>
      <c r="D182" s="56">
        <v>0</v>
      </c>
      <c r="E182" s="56">
        <f t="shared" si="144"/>
        <v>0</v>
      </c>
      <c r="F182" s="58"/>
      <c r="G182" s="55">
        <v>0</v>
      </c>
      <c r="H182" s="57">
        <v>0</v>
      </c>
      <c r="I182" s="57">
        <f t="shared" si="145"/>
        <v>0</v>
      </c>
      <c r="J182" s="58"/>
      <c r="K182" s="55">
        <v>0</v>
      </c>
      <c r="L182" s="57">
        <v>0</v>
      </c>
      <c r="M182" s="57">
        <f t="shared" si="146"/>
        <v>0</v>
      </c>
      <c r="N182" s="58"/>
      <c r="O182" s="55">
        <v>0</v>
      </c>
      <c r="P182" s="57">
        <v>0</v>
      </c>
      <c r="Q182" s="57">
        <f t="shared" si="147"/>
        <v>0</v>
      </c>
      <c r="R182" s="58"/>
      <c r="S182" s="55">
        <f>O182*1.05</f>
        <v>0</v>
      </c>
      <c r="T182" s="57">
        <v>0</v>
      </c>
      <c r="U182" s="57">
        <f t="shared" si="148"/>
        <v>0</v>
      </c>
      <c r="V182" s="59"/>
      <c r="W182" s="124">
        <f t="shared" si="149"/>
        <v>0</v>
      </c>
      <c r="X182" s="57">
        <f t="shared" si="149"/>
        <v>0</v>
      </c>
      <c r="Y182" s="84">
        <f t="shared" si="149"/>
        <v>0</v>
      </c>
      <c r="Z182" s="85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</row>
    <row r="183" spans="1:77" s="61" customFormat="1" x14ac:dyDescent="0.25">
      <c r="A183" s="52"/>
      <c r="B183" s="52"/>
      <c r="C183" s="124">
        <v>0</v>
      </c>
      <c r="D183" s="56">
        <v>0</v>
      </c>
      <c r="E183" s="56">
        <f t="shared" si="144"/>
        <v>0</v>
      </c>
      <c r="F183" s="58"/>
      <c r="G183" s="55">
        <v>0</v>
      </c>
      <c r="H183" s="57">
        <v>0</v>
      </c>
      <c r="I183" s="57">
        <f t="shared" si="145"/>
        <v>0</v>
      </c>
      <c r="J183" s="58"/>
      <c r="K183" s="55">
        <v>0</v>
      </c>
      <c r="L183" s="57">
        <v>0</v>
      </c>
      <c r="M183" s="57">
        <f t="shared" si="146"/>
        <v>0</v>
      </c>
      <c r="N183" s="58"/>
      <c r="O183" s="55">
        <v>0</v>
      </c>
      <c r="P183" s="57">
        <v>0</v>
      </c>
      <c r="Q183" s="57">
        <f t="shared" si="147"/>
        <v>0</v>
      </c>
      <c r="R183" s="58"/>
      <c r="S183" s="55">
        <f>O183*1.05</f>
        <v>0</v>
      </c>
      <c r="T183" s="57">
        <v>0</v>
      </c>
      <c r="U183" s="57">
        <f t="shared" si="148"/>
        <v>0</v>
      </c>
      <c r="V183" s="59"/>
      <c r="W183" s="124">
        <f t="shared" ref="W183" si="150">C183+G183+K183+O183+S183</f>
        <v>0</v>
      </c>
      <c r="X183" s="57">
        <f t="shared" ref="X183" si="151">D183+H183+L183+P183+T183</f>
        <v>0</v>
      </c>
      <c r="Y183" s="84">
        <f t="shared" ref="Y183" si="152">E183+I183+M183+Q183+U183</f>
        <v>0</v>
      </c>
      <c r="Z183" s="85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</row>
    <row r="184" spans="1:77" s="61" customFormat="1" x14ac:dyDescent="0.25">
      <c r="A184" s="52"/>
      <c r="B184" s="52"/>
      <c r="C184" s="124">
        <v>0</v>
      </c>
      <c r="D184" s="56">
        <v>0</v>
      </c>
      <c r="E184" s="56">
        <f t="shared" si="144"/>
        <v>0</v>
      </c>
      <c r="F184" s="58"/>
      <c r="G184" s="55">
        <f>C184*1.05</f>
        <v>0</v>
      </c>
      <c r="H184" s="57">
        <v>0</v>
      </c>
      <c r="I184" s="57">
        <f t="shared" si="145"/>
        <v>0</v>
      </c>
      <c r="J184" s="58"/>
      <c r="K184" s="55">
        <f>G184*1.05</f>
        <v>0</v>
      </c>
      <c r="L184" s="57">
        <v>0</v>
      </c>
      <c r="M184" s="57">
        <f t="shared" si="146"/>
        <v>0</v>
      </c>
      <c r="N184" s="58"/>
      <c r="O184" s="55">
        <f>K184*1.05</f>
        <v>0</v>
      </c>
      <c r="P184" s="57">
        <v>0</v>
      </c>
      <c r="Q184" s="57">
        <f t="shared" si="147"/>
        <v>0</v>
      </c>
      <c r="R184" s="58"/>
      <c r="S184" s="55">
        <f>O184*1.05</f>
        <v>0</v>
      </c>
      <c r="T184" s="57">
        <v>0</v>
      </c>
      <c r="U184" s="57">
        <f t="shared" si="148"/>
        <v>0</v>
      </c>
      <c r="V184" s="59"/>
      <c r="W184" s="124">
        <f t="shared" si="149"/>
        <v>0</v>
      </c>
      <c r="X184" s="57">
        <f t="shared" si="149"/>
        <v>0</v>
      </c>
      <c r="Y184" s="84">
        <f t="shared" si="149"/>
        <v>0</v>
      </c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</row>
    <row r="185" spans="1:77" s="61" customFormat="1" x14ac:dyDescent="0.25">
      <c r="A185" s="52"/>
      <c r="B185" s="52"/>
      <c r="C185" s="124">
        <v>0</v>
      </c>
      <c r="D185" s="56">
        <v>0</v>
      </c>
      <c r="E185" s="56">
        <f t="shared" si="144"/>
        <v>0</v>
      </c>
      <c r="F185" s="58"/>
      <c r="G185" s="55">
        <f>C185*1.05</f>
        <v>0</v>
      </c>
      <c r="H185" s="57">
        <v>0</v>
      </c>
      <c r="I185" s="57">
        <f t="shared" si="145"/>
        <v>0</v>
      </c>
      <c r="J185" s="58"/>
      <c r="K185" s="55">
        <f>G185*1.05</f>
        <v>0</v>
      </c>
      <c r="L185" s="57">
        <v>0</v>
      </c>
      <c r="M185" s="57">
        <f t="shared" si="146"/>
        <v>0</v>
      </c>
      <c r="N185" s="58"/>
      <c r="O185" s="55">
        <f>K185*1.05</f>
        <v>0</v>
      </c>
      <c r="P185" s="57">
        <v>0</v>
      </c>
      <c r="Q185" s="57">
        <f t="shared" si="147"/>
        <v>0</v>
      </c>
      <c r="R185" s="58"/>
      <c r="S185" s="55">
        <f>O185*1.05</f>
        <v>0</v>
      </c>
      <c r="T185" s="57">
        <v>0</v>
      </c>
      <c r="U185" s="57">
        <f t="shared" si="148"/>
        <v>0</v>
      </c>
      <c r="V185" s="59"/>
      <c r="W185" s="124">
        <f t="shared" si="149"/>
        <v>0</v>
      </c>
      <c r="X185" s="57">
        <f t="shared" si="149"/>
        <v>0</v>
      </c>
      <c r="Y185" s="84">
        <f t="shared" si="149"/>
        <v>0</v>
      </c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</row>
    <row r="186" spans="1:77" s="83" customFormat="1" x14ac:dyDescent="0.25">
      <c r="A186" s="78"/>
      <c r="B186" s="78" t="s">
        <v>9</v>
      </c>
      <c r="C186" s="228">
        <f>SUM(C180:C185)</f>
        <v>0</v>
      </c>
      <c r="D186" s="125">
        <f>SUM(D180:D185)</f>
        <v>0</v>
      </c>
      <c r="E186" s="125">
        <f>SUM(E180:E185)</f>
        <v>0</v>
      </c>
      <c r="F186" s="81"/>
      <c r="G186" s="79">
        <f>SUM(G180:G185)</f>
        <v>0</v>
      </c>
      <c r="H186" s="80">
        <f>SUM(H180:H185)</f>
        <v>0</v>
      </c>
      <c r="I186" s="80">
        <f>SUM(I180:I185)</f>
        <v>0</v>
      </c>
      <c r="J186" s="81"/>
      <c r="K186" s="79">
        <f>SUM(K180:K185)</f>
        <v>0</v>
      </c>
      <c r="L186" s="80">
        <f>SUM(L180:L185)</f>
        <v>0</v>
      </c>
      <c r="M186" s="80">
        <f>SUM(M180:M185)</f>
        <v>0</v>
      </c>
      <c r="N186" s="81"/>
      <c r="O186" s="79">
        <f>SUM(O180:O185)</f>
        <v>0</v>
      </c>
      <c r="P186" s="80">
        <f>SUM(P180:P185)</f>
        <v>0</v>
      </c>
      <c r="Q186" s="80">
        <f>SUM(Q180:Q185)</f>
        <v>0</v>
      </c>
      <c r="R186" s="81"/>
      <c r="S186" s="79">
        <f>SUM(S180:S185)</f>
        <v>0</v>
      </c>
      <c r="T186" s="80">
        <f>SUM(T180:T185)</f>
        <v>0</v>
      </c>
      <c r="U186" s="80">
        <f>SUM(U180:U185)</f>
        <v>0</v>
      </c>
      <c r="V186" s="82"/>
      <c r="W186" s="228">
        <f t="shared" si="149"/>
        <v>0</v>
      </c>
      <c r="X186" s="80">
        <f t="shared" si="149"/>
        <v>0</v>
      </c>
      <c r="Y186" s="80">
        <f t="shared" si="149"/>
        <v>0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A188" s="52"/>
      <c r="B188" s="52"/>
      <c r="C188" s="124">
        <v>0</v>
      </c>
      <c r="D188" s="56">
        <v>0</v>
      </c>
      <c r="E188" s="56">
        <f t="shared" ref="E188:E194" si="153">SUM(C188:D188)</f>
        <v>0</v>
      </c>
      <c r="F188" s="58"/>
      <c r="G188" s="55">
        <f t="shared" ref="G188:G194" si="154">C188*1.05</f>
        <v>0</v>
      </c>
      <c r="H188" s="57">
        <v>0</v>
      </c>
      <c r="I188" s="57">
        <f t="shared" ref="I188:I194" si="155">SUM(G188:H188)</f>
        <v>0</v>
      </c>
      <c r="J188" s="58"/>
      <c r="K188" s="55">
        <f t="shared" ref="K188:K194" si="156">G188*1.05</f>
        <v>0</v>
      </c>
      <c r="L188" s="57">
        <v>0</v>
      </c>
      <c r="M188" s="57">
        <f t="shared" ref="M188:M194" si="157">SUM(K188:L188)</f>
        <v>0</v>
      </c>
      <c r="N188" s="58"/>
      <c r="O188" s="55">
        <f t="shared" ref="O188:O194" si="158">K188*1.05</f>
        <v>0</v>
      </c>
      <c r="P188" s="57">
        <v>0</v>
      </c>
      <c r="Q188" s="57">
        <f t="shared" ref="Q188:Q194" si="159">SUM(O188:P188)</f>
        <v>0</v>
      </c>
      <c r="R188" s="58"/>
      <c r="S188" s="55">
        <f t="shared" ref="S188:S194" si="160">O188*1.05</f>
        <v>0</v>
      </c>
      <c r="T188" s="57">
        <v>0</v>
      </c>
      <c r="U188" s="57">
        <f t="shared" ref="U188:U194" si="161">SUM(S188:T188)</f>
        <v>0</v>
      </c>
      <c r="V188" s="59"/>
      <c r="W188" s="124">
        <f t="shared" ref="W188:Y195" si="162">C188+G188+K188+O188+S188</f>
        <v>0</v>
      </c>
      <c r="X188" s="57">
        <f t="shared" si="162"/>
        <v>0</v>
      </c>
      <c r="Y188" s="84">
        <f t="shared" si="162"/>
        <v>0</v>
      </c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</row>
    <row r="189" spans="1:77" s="61" customFormat="1" x14ac:dyDescent="0.25">
      <c r="A189" s="52"/>
      <c r="B189" s="54"/>
      <c r="C189" s="124">
        <v>0</v>
      </c>
      <c r="D189" s="56">
        <v>0</v>
      </c>
      <c r="E189" s="56">
        <f t="shared" si="153"/>
        <v>0</v>
      </c>
      <c r="F189" s="58"/>
      <c r="G189" s="55">
        <f t="shared" si="154"/>
        <v>0</v>
      </c>
      <c r="H189" s="57">
        <v>0</v>
      </c>
      <c r="I189" s="57">
        <f t="shared" si="155"/>
        <v>0</v>
      </c>
      <c r="J189" s="58"/>
      <c r="K189" s="55">
        <f t="shared" si="156"/>
        <v>0</v>
      </c>
      <c r="L189" s="57">
        <v>0</v>
      </c>
      <c r="M189" s="57">
        <f t="shared" si="157"/>
        <v>0</v>
      </c>
      <c r="N189" s="58"/>
      <c r="O189" s="55">
        <f t="shared" si="158"/>
        <v>0</v>
      </c>
      <c r="P189" s="57">
        <v>0</v>
      </c>
      <c r="Q189" s="57">
        <f t="shared" si="159"/>
        <v>0</v>
      </c>
      <c r="R189" s="58"/>
      <c r="S189" s="55">
        <f t="shared" si="160"/>
        <v>0</v>
      </c>
      <c r="T189" s="57">
        <v>0</v>
      </c>
      <c r="U189" s="57">
        <f t="shared" si="161"/>
        <v>0</v>
      </c>
      <c r="V189" s="59"/>
      <c r="W189" s="124">
        <f t="shared" si="162"/>
        <v>0</v>
      </c>
      <c r="X189" s="57">
        <f t="shared" si="162"/>
        <v>0</v>
      </c>
      <c r="Y189" s="84">
        <f t="shared" si="162"/>
        <v>0</v>
      </c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</row>
    <row r="190" spans="1:77" s="61" customFormat="1" x14ac:dyDescent="0.25">
      <c r="A190" s="52"/>
      <c r="B190" s="52"/>
      <c r="C190" s="124">
        <v>0</v>
      </c>
      <c r="D190" s="56">
        <v>0</v>
      </c>
      <c r="E190" s="56">
        <f t="shared" si="153"/>
        <v>0</v>
      </c>
      <c r="F190" s="58"/>
      <c r="G190" s="55">
        <f t="shared" si="154"/>
        <v>0</v>
      </c>
      <c r="H190" s="57">
        <v>0</v>
      </c>
      <c r="I190" s="57">
        <f t="shared" si="155"/>
        <v>0</v>
      </c>
      <c r="J190" s="58"/>
      <c r="K190" s="55">
        <f t="shared" si="156"/>
        <v>0</v>
      </c>
      <c r="L190" s="57">
        <v>0</v>
      </c>
      <c r="M190" s="57">
        <f t="shared" si="157"/>
        <v>0</v>
      </c>
      <c r="N190" s="58"/>
      <c r="O190" s="55">
        <f t="shared" si="158"/>
        <v>0</v>
      </c>
      <c r="P190" s="57">
        <v>0</v>
      </c>
      <c r="Q190" s="57">
        <f t="shared" si="159"/>
        <v>0</v>
      </c>
      <c r="R190" s="58"/>
      <c r="S190" s="55">
        <f t="shared" si="160"/>
        <v>0</v>
      </c>
      <c r="T190" s="57">
        <v>0</v>
      </c>
      <c r="U190" s="57">
        <f t="shared" si="161"/>
        <v>0</v>
      </c>
      <c r="V190" s="59"/>
      <c r="W190" s="124">
        <f t="shared" si="162"/>
        <v>0</v>
      </c>
      <c r="X190" s="57">
        <f t="shared" si="162"/>
        <v>0</v>
      </c>
      <c r="Y190" s="84">
        <f t="shared" si="162"/>
        <v>0</v>
      </c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s="61" customFormat="1" x14ac:dyDescent="0.25">
      <c r="A191" s="87"/>
      <c r="B191" s="52"/>
      <c r="C191" s="124">
        <v>0</v>
      </c>
      <c r="D191" s="56">
        <v>0</v>
      </c>
      <c r="E191" s="56">
        <f t="shared" si="153"/>
        <v>0</v>
      </c>
      <c r="F191" s="58"/>
      <c r="G191" s="55">
        <f t="shared" si="154"/>
        <v>0</v>
      </c>
      <c r="H191" s="57">
        <v>0</v>
      </c>
      <c r="I191" s="57">
        <f t="shared" si="155"/>
        <v>0</v>
      </c>
      <c r="J191" s="58"/>
      <c r="K191" s="55">
        <f t="shared" si="156"/>
        <v>0</v>
      </c>
      <c r="L191" s="57">
        <v>0</v>
      </c>
      <c r="M191" s="57">
        <f t="shared" si="157"/>
        <v>0</v>
      </c>
      <c r="N191" s="58"/>
      <c r="O191" s="55">
        <f t="shared" si="158"/>
        <v>0</v>
      </c>
      <c r="P191" s="57">
        <v>0</v>
      </c>
      <c r="Q191" s="57">
        <f t="shared" si="159"/>
        <v>0</v>
      </c>
      <c r="R191" s="58"/>
      <c r="S191" s="55">
        <f t="shared" si="160"/>
        <v>0</v>
      </c>
      <c r="T191" s="57">
        <v>0</v>
      </c>
      <c r="U191" s="57">
        <f t="shared" si="161"/>
        <v>0</v>
      </c>
      <c r="V191" s="59"/>
      <c r="W191" s="124">
        <f t="shared" si="162"/>
        <v>0</v>
      </c>
      <c r="X191" s="57">
        <f t="shared" si="162"/>
        <v>0</v>
      </c>
      <c r="Y191" s="84">
        <f t="shared" si="162"/>
        <v>0</v>
      </c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</row>
    <row r="192" spans="1:77" s="61" customFormat="1" x14ac:dyDescent="0.25">
      <c r="A192" s="52"/>
      <c r="B192" s="52"/>
      <c r="C192" s="124">
        <v>0</v>
      </c>
      <c r="D192" s="56">
        <v>0</v>
      </c>
      <c r="E192" s="56">
        <f t="shared" si="153"/>
        <v>0</v>
      </c>
      <c r="F192" s="58"/>
      <c r="G192" s="55">
        <f t="shared" si="154"/>
        <v>0</v>
      </c>
      <c r="H192" s="57">
        <v>0</v>
      </c>
      <c r="I192" s="57">
        <f t="shared" si="155"/>
        <v>0</v>
      </c>
      <c r="J192" s="58"/>
      <c r="K192" s="55">
        <f t="shared" si="156"/>
        <v>0</v>
      </c>
      <c r="L192" s="57">
        <v>0</v>
      </c>
      <c r="M192" s="57">
        <f t="shared" si="157"/>
        <v>0</v>
      </c>
      <c r="N192" s="58"/>
      <c r="O192" s="55">
        <f t="shared" si="158"/>
        <v>0</v>
      </c>
      <c r="P192" s="57">
        <v>0</v>
      </c>
      <c r="Q192" s="57">
        <f t="shared" si="159"/>
        <v>0</v>
      </c>
      <c r="R192" s="58"/>
      <c r="S192" s="55">
        <f t="shared" si="160"/>
        <v>0</v>
      </c>
      <c r="T192" s="57">
        <v>0</v>
      </c>
      <c r="U192" s="57">
        <f t="shared" si="161"/>
        <v>0</v>
      </c>
      <c r="V192" s="59"/>
      <c r="W192" s="124">
        <f t="shared" si="162"/>
        <v>0</v>
      </c>
      <c r="X192" s="57">
        <f t="shared" si="162"/>
        <v>0</v>
      </c>
      <c r="Y192" s="84">
        <f t="shared" si="162"/>
        <v>0</v>
      </c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si="153"/>
        <v>0</v>
      </c>
      <c r="F193" s="58"/>
      <c r="G193" s="55">
        <f t="shared" si="154"/>
        <v>0</v>
      </c>
      <c r="H193" s="57">
        <v>0</v>
      </c>
      <c r="I193" s="57">
        <f t="shared" si="155"/>
        <v>0</v>
      </c>
      <c r="J193" s="58"/>
      <c r="K193" s="55">
        <f t="shared" si="156"/>
        <v>0</v>
      </c>
      <c r="L193" s="57">
        <v>0</v>
      </c>
      <c r="M193" s="57">
        <f t="shared" si="157"/>
        <v>0</v>
      </c>
      <c r="N193" s="58"/>
      <c r="O193" s="55">
        <f t="shared" si="158"/>
        <v>0</v>
      </c>
      <c r="P193" s="57">
        <v>0</v>
      </c>
      <c r="Q193" s="57">
        <f t="shared" si="159"/>
        <v>0</v>
      </c>
      <c r="R193" s="58"/>
      <c r="S193" s="55">
        <f t="shared" si="160"/>
        <v>0</v>
      </c>
      <c r="T193" s="57">
        <v>0</v>
      </c>
      <c r="U193" s="57">
        <f t="shared" si="161"/>
        <v>0</v>
      </c>
      <c r="V193" s="59"/>
      <c r="W193" s="124">
        <f t="shared" si="162"/>
        <v>0</v>
      </c>
      <c r="X193" s="57">
        <f t="shared" si="162"/>
        <v>0</v>
      </c>
      <c r="Y193" s="84">
        <f t="shared" si="162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153"/>
        <v>0</v>
      </c>
      <c r="F194" s="74"/>
      <c r="G194" s="55">
        <f t="shared" si="154"/>
        <v>0</v>
      </c>
      <c r="H194" s="57">
        <v>0</v>
      </c>
      <c r="I194" s="57">
        <f t="shared" si="155"/>
        <v>0</v>
      </c>
      <c r="J194" s="74"/>
      <c r="K194" s="55">
        <f t="shared" si="156"/>
        <v>0</v>
      </c>
      <c r="L194" s="57">
        <v>0</v>
      </c>
      <c r="M194" s="57">
        <f t="shared" si="157"/>
        <v>0</v>
      </c>
      <c r="N194" s="74"/>
      <c r="O194" s="55">
        <f t="shared" si="158"/>
        <v>0</v>
      </c>
      <c r="P194" s="57">
        <v>0</v>
      </c>
      <c r="Q194" s="57">
        <f t="shared" si="159"/>
        <v>0</v>
      </c>
      <c r="R194" s="74"/>
      <c r="S194" s="55">
        <f t="shared" si="160"/>
        <v>0</v>
      </c>
      <c r="T194" s="57">
        <v>0</v>
      </c>
      <c r="U194" s="57">
        <f t="shared" si="161"/>
        <v>0</v>
      </c>
      <c r="V194" s="59"/>
      <c r="W194" s="124">
        <f t="shared" si="162"/>
        <v>0</v>
      </c>
      <c r="X194" s="57">
        <f t="shared" si="162"/>
        <v>0</v>
      </c>
      <c r="Y194" s="84">
        <f t="shared" si="162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0</v>
      </c>
      <c r="D195" s="125">
        <f>SUM(D188:D194)</f>
        <v>0</v>
      </c>
      <c r="E195" s="125">
        <f>SUM(E188:E194)</f>
        <v>0</v>
      </c>
      <c r="F195" s="81"/>
      <c r="G195" s="79">
        <f>SUM(G188:G194)</f>
        <v>0</v>
      </c>
      <c r="H195" s="80">
        <f>SUM(H188:H194)</f>
        <v>0</v>
      </c>
      <c r="I195" s="80">
        <f>SUM(I188:I194)</f>
        <v>0</v>
      </c>
      <c r="J195" s="81"/>
      <c r="K195" s="79">
        <f>SUM(K188:K194)</f>
        <v>0</v>
      </c>
      <c r="L195" s="80">
        <f>SUM(L188:L194)</f>
        <v>0</v>
      </c>
      <c r="M195" s="80">
        <f>SUM(M188:M194)</f>
        <v>0</v>
      </c>
      <c r="N195" s="81"/>
      <c r="O195" s="79">
        <f>SUM(O188:O194)</f>
        <v>0</v>
      </c>
      <c r="P195" s="80">
        <f>SUM(P188:P194)</f>
        <v>0</v>
      </c>
      <c r="Q195" s="80">
        <f>SUM(Q188:Q194)</f>
        <v>0</v>
      </c>
      <c r="R195" s="81"/>
      <c r="S195" s="79">
        <f>SUM(S188:S194)</f>
        <v>0</v>
      </c>
      <c r="T195" s="80">
        <f>SUM(T188:T194)</f>
        <v>0</v>
      </c>
      <c r="U195" s="80">
        <f>SUM(U188:U194)</f>
        <v>0</v>
      </c>
      <c r="V195" s="82"/>
      <c r="W195" s="228">
        <f t="shared" si="162"/>
        <v>0</v>
      </c>
      <c r="X195" s="80">
        <f t="shared" si="162"/>
        <v>0</v>
      </c>
      <c r="Y195" s="80">
        <f t="shared" si="162"/>
        <v>0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>C195+C186</f>
        <v>0</v>
      </c>
      <c r="D196" s="107">
        <f t="shared" ref="D196:X196" si="163">D195+D186</f>
        <v>0</v>
      </c>
      <c r="E196" s="107">
        <f t="shared" si="163"/>
        <v>0</v>
      </c>
      <c r="F196" s="107">
        <f t="shared" si="163"/>
        <v>0</v>
      </c>
      <c r="G196" s="107">
        <f t="shared" si="163"/>
        <v>0</v>
      </c>
      <c r="H196" s="107">
        <f t="shared" si="163"/>
        <v>0</v>
      </c>
      <c r="I196" s="107">
        <f t="shared" si="163"/>
        <v>0</v>
      </c>
      <c r="J196" s="107">
        <f t="shared" si="163"/>
        <v>0</v>
      </c>
      <c r="K196" s="107">
        <f t="shared" si="163"/>
        <v>0</v>
      </c>
      <c r="L196" s="107">
        <f t="shared" si="163"/>
        <v>0</v>
      </c>
      <c r="M196" s="107">
        <f t="shared" si="163"/>
        <v>0</v>
      </c>
      <c r="N196" s="107">
        <f t="shared" si="163"/>
        <v>0</v>
      </c>
      <c r="O196" s="107">
        <f t="shared" si="163"/>
        <v>0</v>
      </c>
      <c r="P196" s="107">
        <f t="shared" si="163"/>
        <v>0</v>
      </c>
      <c r="Q196" s="107">
        <f t="shared" si="163"/>
        <v>0</v>
      </c>
      <c r="R196" s="107">
        <f t="shared" si="163"/>
        <v>0</v>
      </c>
      <c r="S196" s="107">
        <f t="shared" si="163"/>
        <v>0</v>
      </c>
      <c r="T196" s="107">
        <f t="shared" si="163"/>
        <v>0</v>
      </c>
      <c r="U196" s="107">
        <f t="shared" si="163"/>
        <v>0</v>
      </c>
      <c r="V196" s="107">
        <f t="shared" si="163"/>
        <v>0</v>
      </c>
      <c r="W196" s="107">
        <f t="shared" si="163"/>
        <v>0</v>
      </c>
      <c r="X196" s="107">
        <f t="shared" si="163"/>
        <v>0</v>
      </c>
      <c r="Y196" s="108">
        <f>E196+I196+M196+Q196+U196</f>
        <v>0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11" customFormat="1" x14ac:dyDescent="0.25">
      <c r="A197" s="74" t="s">
        <v>6</v>
      </c>
      <c r="B197" s="9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6"/>
      <c r="W197" s="15"/>
      <c r="X197" s="15"/>
      <c r="Y197" s="26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</row>
    <row r="198" spans="1:77" s="61" customFormat="1" x14ac:dyDescent="0.25">
      <c r="A198" s="50">
        <v>3.6999999999999998E-2</v>
      </c>
      <c r="B198" s="52" t="s">
        <v>107</v>
      </c>
      <c r="C198" s="124"/>
      <c r="D198" s="56">
        <v>0</v>
      </c>
      <c r="E198" s="56">
        <f t="shared" ref="E198:E203" si="164">SUM(C198:D198)</f>
        <v>0</v>
      </c>
      <c r="F198" s="58"/>
      <c r="G198" s="55"/>
      <c r="H198" s="57">
        <v>0</v>
      </c>
      <c r="I198" s="57">
        <f t="shared" ref="I198:I203" si="165">SUM(G198:H198)</f>
        <v>0</v>
      </c>
      <c r="J198" s="58"/>
      <c r="K198" s="55"/>
      <c r="L198" s="57">
        <v>0</v>
      </c>
      <c r="M198" s="57">
        <f t="shared" ref="M198:M203" si="166">SUM(K198:L198)</f>
        <v>0</v>
      </c>
      <c r="N198" s="58"/>
      <c r="O198" s="55"/>
      <c r="P198" s="57">
        <v>0</v>
      </c>
      <c r="Q198" s="57">
        <f t="shared" ref="Q198:Q203" si="167">SUM(O198:P198)</f>
        <v>0</v>
      </c>
      <c r="R198" s="58"/>
      <c r="S198" s="55">
        <v>0</v>
      </c>
      <c r="T198" s="57">
        <v>0</v>
      </c>
      <c r="U198" s="57">
        <f t="shared" ref="U198:U203" si="168">SUM(S198:T198)</f>
        <v>0</v>
      </c>
      <c r="V198" s="59"/>
      <c r="W198" s="124">
        <f t="shared" ref="W198:Y204" si="169">C198+G198+K198+O198+S198</f>
        <v>0</v>
      </c>
      <c r="X198" s="57">
        <f t="shared" si="169"/>
        <v>0</v>
      </c>
      <c r="Y198" s="84">
        <f t="shared" si="169"/>
        <v>0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C189*A199</f>
        <v>0</v>
      </c>
      <c r="D199" s="56">
        <v>0</v>
      </c>
      <c r="E199" s="56">
        <f t="shared" si="164"/>
        <v>0</v>
      </c>
      <c r="F199" s="58"/>
      <c r="G199" s="55">
        <f>C199*1.05</f>
        <v>0</v>
      </c>
      <c r="H199" s="57">
        <f>D199*1.05</f>
        <v>0</v>
      </c>
      <c r="I199" s="57">
        <f t="shared" si="165"/>
        <v>0</v>
      </c>
      <c r="J199" s="58"/>
      <c r="K199" s="55">
        <f>G199*1.05</f>
        <v>0</v>
      </c>
      <c r="L199" s="57">
        <f>H199*1.05</f>
        <v>0</v>
      </c>
      <c r="M199" s="57">
        <f t="shared" si="166"/>
        <v>0</v>
      </c>
      <c r="N199" s="58"/>
      <c r="O199" s="55">
        <f>K199*1.05</f>
        <v>0</v>
      </c>
      <c r="P199" s="57">
        <f>L199*1.05</f>
        <v>0</v>
      </c>
      <c r="Q199" s="57">
        <f t="shared" si="167"/>
        <v>0</v>
      </c>
      <c r="R199" s="58"/>
      <c r="S199" s="55">
        <f>O199*1.05</f>
        <v>0</v>
      </c>
      <c r="T199" s="57">
        <f>P199*1.05</f>
        <v>0</v>
      </c>
      <c r="U199" s="57">
        <f t="shared" si="168"/>
        <v>0</v>
      </c>
      <c r="V199" s="59"/>
      <c r="W199" s="124">
        <f t="shared" si="169"/>
        <v>0</v>
      </c>
      <c r="X199" s="57">
        <f t="shared" si="169"/>
        <v>0</v>
      </c>
      <c r="Y199" s="84">
        <f t="shared" si="169"/>
        <v>0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61" customFormat="1" x14ac:dyDescent="0.25">
      <c r="A200" s="3">
        <v>0.36099999999999999</v>
      </c>
      <c r="B200" s="52" t="s">
        <v>52</v>
      </c>
      <c r="C200" s="124">
        <f>(C180+C181)*A200</f>
        <v>0</v>
      </c>
      <c r="D200" s="56">
        <v>0</v>
      </c>
      <c r="E200" s="56">
        <f t="shared" si="164"/>
        <v>0</v>
      </c>
      <c r="F200" s="58"/>
      <c r="G200" s="55">
        <f>G180*A200</f>
        <v>0</v>
      </c>
      <c r="H200" s="57">
        <f>D200*1.05</f>
        <v>0</v>
      </c>
      <c r="I200" s="57">
        <f t="shared" si="165"/>
        <v>0</v>
      </c>
      <c r="J200" s="58"/>
      <c r="K200" s="55">
        <f>(K180+K181)*A200</f>
        <v>0</v>
      </c>
      <c r="L200" s="57">
        <f>H200*1.05</f>
        <v>0</v>
      </c>
      <c r="M200" s="57">
        <f t="shared" si="166"/>
        <v>0</v>
      </c>
      <c r="N200" s="58"/>
      <c r="O200" s="55">
        <f>(O182+O181)*A200</f>
        <v>0</v>
      </c>
      <c r="P200" s="57">
        <f>L200*1.05</f>
        <v>0</v>
      </c>
      <c r="Q200" s="57">
        <f t="shared" si="167"/>
        <v>0</v>
      </c>
      <c r="R200" s="58"/>
      <c r="S200" s="55">
        <f>S182*A200</f>
        <v>0</v>
      </c>
      <c r="T200" s="57">
        <f>P200*1.05</f>
        <v>0</v>
      </c>
      <c r="U200" s="57">
        <f t="shared" si="168"/>
        <v>0</v>
      </c>
      <c r="V200" s="59"/>
      <c r="W200" s="124">
        <f t="shared" si="169"/>
        <v>0</v>
      </c>
      <c r="X200" s="57">
        <f t="shared" si="169"/>
        <v>0</v>
      </c>
      <c r="Y200" s="84">
        <f t="shared" si="169"/>
        <v>0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61" customFormat="1" x14ac:dyDescent="0.25">
      <c r="A201" s="50">
        <v>0.34899999999999998</v>
      </c>
      <c r="B201" s="52" t="s">
        <v>109</v>
      </c>
      <c r="C201" s="124">
        <v>0</v>
      </c>
      <c r="D201" s="56">
        <v>0</v>
      </c>
      <c r="E201" s="56">
        <f t="shared" si="164"/>
        <v>0</v>
      </c>
      <c r="F201" s="58"/>
      <c r="G201" s="55">
        <v>0</v>
      </c>
      <c r="H201" s="57">
        <f>D201*1.1</f>
        <v>0</v>
      </c>
      <c r="I201" s="57">
        <f t="shared" si="165"/>
        <v>0</v>
      </c>
      <c r="J201" s="58"/>
      <c r="K201" s="55">
        <f>G201*1.1*2</f>
        <v>0</v>
      </c>
      <c r="L201" s="57">
        <f>H201*1.1</f>
        <v>0</v>
      </c>
      <c r="M201" s="57">
        <f t="shared" si="166"/>
        <v>0</v>
      </c>
      <c r="N201" s="58"/>
      <c r="O201" s="55">
        <f>K201*1.1</f>
        <v>0</v>
      </c>
      <c r="P201" s="57">
        <f>L201*1.1</f>
        <v>0</v>
      </c>
      <c r="Q201" s="57">
        <f t="shared" si="167"/>
        <v>0</v>
      </c>
      <c r="R201" s="58"/>
      <c r="S201" s="55">
        <v>0</v>
      </c>
      <c r="T201" s="57">
        <f>P201*1.1</f>
        <v>0</v>
      </c>
      <c r="U201" s="57">
        <f t="shared" si="168"/>
        <v>0</v>
      </c>
      <c r="V201" s="59"/>
      <c r="W201" s="124">
        <f t="shared" si="169"/>
        <v>0</v>
      </c>
      <c r="X201" s="57">
        <f t="shared" si="169"/>
        <v>0</v>
      </c>
      <c r="Y201" s="84">
        <f t="shared" si="169"/>
        <v>0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f>C190*0.089</f>
        <v>0</v>
      </c>
      <c r="D202" s="56">
        <v>0</v>
      </c>
      <c r="E202" s="56">
        <f t="shared" si="164"/>
        <v>0</v>
      </c>
      <c r="F202" s="58"/>
      <c r="G202" s="55">
        <f>C202*1.05</f>
        <v>0</v>
      </c>
      <c r="H202" s="57">
        <f>D202*1.05</f>
        <v>0</v>
      </c>
      <c r="I202" s="57">
        <f t="shared" si="165"/>
        <v>0</v>
      </c>
      <c r="J202" s="58"/>
      <c r="K202" s="55">
        <f>G202*1.05</f>
        <v>0</v>
      </c>
      <c r="L202" s="57">
        <f>H202*1.05</f>
        <v>0</v>
      </c>
      <c r="M202" s="57">
        <f t="shared" si="166"/>
        <v>0</v>
      </c>
      <c r="N202" s="58"/>
      <c r="O202" s="55">
        <f>K202*1.05</f>
        <v>0</v>
      </c>
      <c r="P202" s="57">
        <f>L202*1.05</f>
        <v>0</v>
      </c>
      <c r="Q202" s="57">
        <f t="shared" si="167"/>
        <v>0</v>
      </c>
      <c r="R202" s="58"/>
      <c r="S202" s="55">
        <f>O202*1.05</f>
        <v>0</v>
      </c>
      <c r="T202" s="57">
        <f>P202*1.05</f>
        <v>0</v>
      </c>
      <c r="U202" s="57">
        <f t="shared" si="168"/>
        <v>0</v>
      </c>
      <c r="V202" s="59"/>
      <c r="W202" s="124">
        <f t="shared" si="169"/>
        <v>0</v>
      </c>
      <c r="X202" s="57">
        <f t="shared" si="169"/>
        <v>0</v>
      </c>
      <c r="Y202" s="84">
        <f t="shared" si="169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f>C191*0.089</f>
        <v>0</v>
      </c>
      <c r="D203" s="56">
        <v>0</v>
      </c>
      <c r="E203" s="56">
        <f t="shared" si="164"/>
        <v>0</v>
      </c>
      <c r="F203" s="58"/>
      <c r="G203" s="55">
        <f>C203*1.05</f>
        <v>0</v>
      </c>
      <c r="H203" s="57">
        <f>D203*1.05</f>
        <v>0</v>
      </c>
      <c r="I203" s="57">
        <f t="shared" si="165"/>
        <v>0</v>
      </c>
      <c r="J203" s="58"/>
      <c r="K203" s="55">
        <f>G203*1.05</f>
        <v>0</v>
      </c>
      <c r="L203" s="57">
        <f>H203*1.05</f>
        <v>0</v>
      </c>
      <c r="M203" s="57">
        <f t="shared" si="166"/>
        <v>0</v>
      </c>
      <c r="N203" s="58"/>
      <c r="O203" s="55">
        <f>K203*1.05</f>
        <v>0</v>
      </c>
      <c r="P203" s="57">
        <f>L203*1.05</f>
        <v>0</v>
      </c>
      <c r="Q203" s="57">
        <f t="shared" si="167"/>
        <v>0</v>
      </c>
      <c r="R203" s="58"/>
      <c r="S203" s="55">
        <f>O203*1.05</f>
        <v>0</v>
      </c>
      <c r="T203" s="57">
        <f>P203*1.05</f>
        <v>0</v>
      </c>
      <c r="U203" s="57">
        <f t="shared" si="168"/>
        <v>0</v>
      </c>
      <c r="V203" s="59"/>
      <c r="W203" s="124">
        <f t="shared" si="169"/>
        <v>0</v>
      </c>
      <c r="X203" s="57">
        <f t="shared" si="169"/>
        <v>0</v>
      </c>
      <c r="Y203" s="84">
        <f t="shared" si="169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0</v>
      </c>
      <c r="D204" s="125">
        <f>SUM(D198:D203)</f>
        <v>0</v>
      </c>
      <c r="E204" s="125">
        <f>SUM(E198:E203)</f>
        <v>0</v>
      </c>
      <c r="F204" s="81"/>
      <c r="G204" s="79">
        <f>SUM(G198:G203)</f>
        <v>0</v>
      </c>
      <c r="H204" s="80">
        <f>SUM(H198:H203)</f>
        <v>0</v>
      </c>
      <c r="I204" s="80">
        <f>SUM(I198:I203)</f>
        <v>0</v>
      </c>
      <c r="J204" s="81"/>
      <c r="K204" s="79">
        <f>SUM(K198:K203)</f>
        <v>0</v>
      </c>
      <c r="L204" s="80">
        <f>SUM(L198:L203)</f>
        <v>0</v>
      </c>
      <c r="M204" s="80">
        <f>SUM(M198:M203)</f>
        <v>0</v>
      </c>
      <c r="N204" s="81"/>
      <c r="O204" s="79">
        <f>SUM(O198:O203)</f>
        <v>0</v>
      </c>
      <c r="P204" s="80">
        <f>SUM(P198:P203)</f>
        <v>0</v>
      </c>
      <c r="Q204" s="80">
        <f>SUM(Q198:Q203)</f>
        <v>0</v>
      </c>
      <c r="R204" s="81"/>
      <c r="S204" s="79">
        <f>SUM(S198:S203)</f>
        <v>0</v>
      </c>
      <c r="T204" s="80">
        <f>SUM(T198:T203)</f>
        <v>0</v>
      </c>
      <c r="U204" s="80">
        <f>SUM(U198:U203)</f>
        <v>0</v>
      </c>
      <c r="V204" s="82"/>
      <c r="W204" s="228">
        <f t="shared" si="169"/>
        <v>0</v>
      </c>
      <c r="X204" s="80">
        <f t="shared" si="169"/>
        <v>0</v>
      </c>
      <c r="Y204" s="80">
        <f t="shared" si="169"/>
        <v>0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170">C204+C196</f>
        <v>0</v>
      </c>
      <c r="D205" s="107">
        <f t="shared" si="170"/>
        <v>0</v>
      </c>
      <c r="E205" s="107">
        <f t="shared" si="170"/>
        <v>0</v>
      </c>
      <c r="F205" s="107">
        <f t="shared" si="170"/>
        <v>0</v>
      </c>
      <c r="G205" s="107">
        <f t="shared" si="170"/>
        <v>0</v>
      </c>
      <c r="H205" s="107">
        <f t="shared" si="170"/>
        <v>0</v>
      </c>
      <c r="I205" s="107">
        <f t="shared" si="170"/>
        <v>0</v>
      </c>
      <c r="J205" s="107">
        <f t="shared" si="170"/>
        <v>0</v>
      </c>
      <c r="K205" s="107">
        <f t="shared" si="170"/>
        <v>0</v>
      </c>
      <c r="L205" s="107">
        <f t="shared" si="170"/>
        <v>0</v>
      </c>
      <c r="M205" s="107">
        <f t="shared" si="170"/>
        <v>0</v>
      </c>
      <c r="N205" s="107">
        <f t="shared" si="170"/>
        <v>0</v>
      </c>
      <c r="O205" s="107">
        <f t="shared" si="170"/>
        <v>0</v>
      </c>
      <c r="P205" s="107">
        <f t="shared" si="170"/>
        <v>0</v>
      </c>
      <c r="Q205" s="107">
        <f t="shared" si="170"/>
        <v>0</v>
      </c>
      <c r="R205" s="107">
        <f t="shared" si="170"/>
        <v>0</v>
      </c>
      <c r="S205" s="107">
        <f t="shared" si="170"/>
        <v>0</v>
      </c>
      <c r="T205" s="107">
        <f t="shared" si="170"/>
        <v>0</v>
      </c>
      <c r="U205" s="107">
        <f t="shared" si="170"/>
        <v>0</v>
      </c>
      <c r="V205" s="107">
        <f t="shared" si="170"/>
        <v>0</v>
      </c>
      <c r="W205" s="107">
        <f t="shared" si="170"/>
        <v>0</v>
      </c>
      <c r="X205" s="107">
        <f t="shared" si="170"/>
        <v>0</v>
      </c>
      <c r="Y205" s="107">
        <f t="shared" si="170"/>
        <v>0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52"/>
      <c r="C207" s="124">
        <v>0</v>
      </c>
      <c r="D207" s="56">
        <v>0</v>
      </c>
      <c r="E207" s="56">
        <f t="shared" ref="E207:E216" si="171">SUM(C207:D207)</f>
        <v>0</v>
      </c>
      <c r="F207" s="58"/>
      <c r="G207" s="55">
        <v>0</v>
      </c>
      <c r="H207" s="57">
        <v>0</v>
      </c>
      <c r="I207" s="57">
        <f t="shared" ref="I207:I216" si="172">SUM(G207:H207)</f>
        <v>0</v>
      </c>
      <c r="J207" s="58"/>
      <c r="K207" s="55">
        <v>0</v>
      </c>
      <c r="L207" s="57">
        <v>0</v>
      </c>
      <c r="M207" s="57">
        <f t="shared" ref="M207:M216" si="173">SUM(K207:L207)</f>
        <v>0</v>
      </c>
      <c r="N207" s="58"/>
      <c r="O207" s="55">
        <v>0</v>
      </c>
      <c r="P207" s="57">
        <v>0</v>
      </c>
      <c r="Q207" s="57">
        <f t="shared" ref="Q207:Q216" si="174">SUM(O207:P207)</f>
        <v>0</v>
      </c>
      <c r="R207" s="58"/>
      <c r="S207" s="55">
        <v>0</v>
      </c>
      <c r="T207" s="57">
        <v>0</v>
      </c>
      <c r="U207" s="57">
        <f t="shared" ref="U207:U216" si="175">SUM(S207:T207)</f>
        <v>0</v>
      </c>
      <c r="V207" s="59"/>
      <c r="W207" s="124">
        <f t="shared" ref="W207:W217" si="176">C207+G207+K207+O207+S207</f>
        <v>0</v>
      </c>
      <c r="X207" s="57">
        <f t="shared" ref="X207:X217" si="177">D207+H207+L207+P207+T207</f>
        <v>0</v>
      </c>
      <c r="Y207" s="84">
        <f t="shared" ref="Y207:Y217" si="178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A208" s="52"/>
      <c r="B208" s="52"/>
      <c r="C208" s="124">
        <v>0</v>
      </c>
      <c r="D208" s="56">
        <v>0</v>
      </c>
      <c r="E208" s="56">
        <f t="shared" si="171"/>
        <v>0</v>
      </c>
      <c r="F208" s="58"/>
      <c r="G208" s="55">
        <v>0</v>
      </c>
      <c r="H208" s="57">
        <v>0</v>
      </c>
      <c r="I208" s="57">
        <f t="shared" si="172"/>
        <v>0</v>
      </c>
      <c r="J208" s="58"/>
      <c r="K208" s="55">
        <v>0</v>
      </c>
      <c r="L208" s="57">
        <v>0</v>
      </c>
      <c r="M208" s="57">
        <f t="shared" si="173"/>
        <v>0</v>
      </c>
      <c r="N208" s="58"/>
      <c r="O208" s="55">
        <v>0</v>
      </c>
      <c r="P208" s="57">
        <v>0</v>
      </c>
      <c r="Q208" s="57">
        <f t="shared" si="174"/>
        <v>0</v>
      </c>
      <c r="R208" s="58"/>
      <c r="S208" s="55">
        <v>0</v>
      </c>
      <c r="T208" s="57">
        <v>0</v>
      </c>
      <c r="U208" s="57">
        <f t="shared" si="175"/>
        <v>0</v>
      </c>
      <c r="V208" s="59"/>
      <c r="W208" s="124">
        <f t="shared" si="176"/>
        <v>0</v>
      </c>
      <c r="X208" s="57">
        <f t="shared" si="177"/>
        <v>0</v>
      </c>
      <c r="Y208" s="84">
        <f t="shared" si="178"/>
        <v>0</v>
      </c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s="61" customFormat="1" x14ac:dyDescent="0.25">
      <c r="A209" s="52"/>
      <c r="B209" s="52"/>
      <c r="C209" s="124">
        <v>0</v>
      </c>
      <c r="D209" s="56">
        <v>0</v>
      </c>
      <c r="E209" s="56">
        <f t="shared" si="171"/>
        <v>0</v>
      </c>
      <c r="F209" s="58"/>
      <c r="G209" s="55">
        <v>0</v>
      </c>
      <c r="H209" s="57">
        <v>0</v>
      </c>
      <c r="I209" s="57">
        <f t="shared" si="172"/>
        <v>0</v>
      </c>
      <c r="J209" s="58"/>
      <c r="K209" s="55">
        <v>0</v>
      </c>
      <c r="L209" s="57">
        <v>0</v>
      </c>
      <c r="M209" s="57">
        <f t="shared" si="173"/>
        <v>0</v>
      </c>
      <c r="N209" s="58"/>
      <c r="O209" s="55">
        <v>0</v>
      </c>
      <c r="P209" s="57">
        <v>0</v>
      </c>
      <c r="Q209" s="57">
        <f t="shared" si="174"/>
        <v>0</v>
      </c>
      <c r="R209" s="58"/>
      <c r="S209" s="55">
        <v>0</v>
      </c>
      <c r="T209" s="57">
        <v>0</v>
      </c>
      <c r="U209" s="57">
        <f t="shared" si="175"/>
        <v>0</v>
      </c>
      <c r="V209" s="59"/>
      <c r="W209" s="124">
        <f t="shared" si="176"/>
        <v>0</v>
      </c>
      <c r="X209" s="57">
        <f t="shared" si="177"/>
        <v>0</v>
      </c>
      <c r="Y209" s="84">
        <f t="shared" si="178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52"/>
      <c r="B210" s="52"/>
      <c r="C210" s="124">
        <v>0</v>
      </c>
      <c r="D210" s="56">
        <v>0</v>
      </c>
      <c r="E210" s="56">
        <f t="shared" si="171"/>
        <v>0</v>
      </c>
      <c r="F210" s="58"/>
      <c r="G210" s="55">
        <v>0</v>
      </c>
      <c r="H210" s="57">
        <v>0</v>
      </c>
      <c r="I210" s="57">
        <f t="shared" si="172"/>
        <v>0</v>
      </c>
      <c r="J210" s="58"/>
      <c r="K210" s="55">
        <v>0</v>
      </c>
      <c r="L210" s="57">
        <v>0</v>
      </c>
      <c r="M210" s="57">
        <f t="shared" si="173"/>
        <v>0</v>
      </c>
      <c r="N210" s="58"/>
      <c r="O210" s="55">
        <v>0</v>
      </c>
      <c r="P210" s="57">
        <v>0</v>
      </c>
      <c r="Q210" s="57">
        <f t="shared" si="174"/>
        <v>0</v>
      </c>
      <c r="R210" s="58"/>
      <c r="S210" s="55">
        <v>0</v>
      </c>
      <c r="T210" s="57">
        <v>0</v>
      </c>
      <c r="U210" s="57">
        <f t="shared" si="175"/>
        <v>0</v>
      </c>
      <c r="V210" s="59"/>
      <c r="W210" s="124">
        <f t="shared" si="176"/>
        <v>0</v>
      </c>
      <c r="X210" s="57">
        <f t="shared" si="177"/>
        <v>0</v>
      </c>
      <c r="Y210" s="84">
        <f t="shared" si="178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52"/>
      <c r="B211" s="52"/>
      <c r="C211" s="124">
        <v>0</v>
      </c>
      <c r="D211" s="56">
        <v>0</v>
      </c>
      <c r="E211" s="56">
        <f t="shared" si="171"/>
        <v>0</v>
      </c>
      <c r="F211" s="58"/>
      <c r="G211" s="55">
        <v>0</v>
      </c>
      <c r="H211" s="57">
        <v>0</v>
      </c>
      <c r="I211" s="57">
        <f t="shared" si="172"/>
        <v>0</v>
      </c>
      <c r="J211" s="58"/>
      <c r="K211" s="55">
        <v>0</v>
      </c>
      <c r="L211" s="57">
        <v>0</v>
      </c>
      <c r="M211" s="57">
        <f t="shared" si="173"/>
        <v>0</v>
      </c>
      <c r="N211" s="58"/>
      <c r="O211" s="55">
        <v>0</v>
      </c>
      <c r="P211" s="57">
        <v>0</v>
      </c>
      <c r="Q211" s="57">
        <f t="shared" si="174"/>
        <v>0</v>
      </c>
      <c r="R211" s="58"/>
      <c r="S211" s="55">
        <v>0</v>
      </c>
      <c r="T211" s="57">
        <v>0</v>
      </c>
      <c r="U211" s="57">
        <f t="shared" si="175"/>
        <v>0</v>
      </c>
      <c r="V211" s="59"/>
      <c r="W211" s="124">
        <f t="shared" si="176"/>
        <v>0</v>
      </c>
      <c r="X211" s="57">
        <f t="shared" si="177"/>
        <v>0</v>
      </c>
      <c r="Y211" s="84">
        <f t="shared" si="178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52"/>
      <c r="B212" s="52"/>
      <c r="C212" s="124">
        <v>0</v>
      </c>
      <c r="D212" s="56">
        <v>0</v>
      </c>
      <c r="E212" s="56">
        <f t="shared" si="171"/>
        <v>0</v>
      </c>
      <c r="F212" s="58"/>
      <c r="G212" s="55">
        <v>0</v>
      </c>
      <c r="H212" s="57">
        <v>0</v>
      </c>
      <c r="I212" s="57">
        <f t="shared" si="172"/>
        <v>0</v>
      </c>
      <c r="J212" s="58"/>
      <c r="K212" s="55">
        <v>0</v>
      </c>
      <c r="L212" s="57">
        <v>0</v>
      </c>
      <c r="M212" s="57">
        <f t="shared" si="173"/>
        <v>0</v>
      </c>
      <c r="N212" s="58"/>
      <c r="O212" s="55">
        <v>0</v>
      </c>
      <c r="P212" s="57">
        <v>0</v>
      </c>
      <c r="Q212" s="57">
        <f t="shared" si="174"/>
        <v>0</v>
      </c>
      <c r="R212" s="58"/>
      <c r="S212" s="55">
        <v>0</v>
      </c>
      <c r="T212" s="57">
        <v>0</v>
      </c>
      <c r="U212" s="57">
        <f t="shared" si="175"/>
        <v>0</v>
      </c>
      <c r="V212" s="59"/>
      <c r="W212" s="124">
        <f t="shared" si="176"/>
        <v>0</v>
      </c>
      <c r="X212" s="57">
        <f t="shared" si="177"/>
        <v>0</v>
      </c>
      <c r="Y212" s="84">
        <f t="shared" si="178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171"/>
        <v>0</v>
      </c>
      <c r="F213" s="58"/>
      <c r="G213" s="55">
        <v>0</v>
      </c>
      <c r="H213" s="57">
        <v>0</v>
      </c>
      <c r="I213" s="57">
        <f t="shared" si="172"/>
        <v>0</v>
      </c>
      <c r="J213" s="58"/>
      <c r="K213" s="55">
        <v>0</v>
      </c>
      <c r="L213" s="57">
        <v>0</v>
      </c>
      <c r="M213" s="57">
        <f t="shared" si="173"/>
        <v>0</v>
      </c>
      <c r="N213" s="58"/>
      <c r="O213" s="55">
        <v>0</v>
      </c>
      <c r="P213" s="57">
        <v>0</v>
      </c>
      <c r="Q213" s="57">
        <f t="shared" si="174"/>
        <v>0</v>
      </c>
      <c r="R213" s="58"/>
      <c r="S213" s="55">
        <v>0</v>
      </c>
      <c r="T213" s="57">
        <v>0</v>
      </c>
      <c r="U213" s="57">
        <f t="shared" si="175"/>
        <v>0</v>
      </c>
      <c r="V213" s="59"/>
      <c r="W213" s="124">
        <f t="shared" si="176"/>
        <v>0</v>
      </c>
      <c r="X213" s="57">
        <f t="shared" si="177"/>
        <v>0</v>
      </c>
      <c r="Y213" s="84">
        <f t="shared" si="178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171"/>
        <v>0</v>
      </c>
      <c r="F214" s="58"/>
      <c r="G214" s="55">
        <v>0</v>
      </c>
      <c r="H214" s="57">
        <v>0</v>
      </c>
      <c r="I214" s="57">
        <f t="shared" si="172"/>
        <v>0</v>
      </c>
      <c r="J214" s="58"/>
      <c r="K214" s="55">
        <v>0</v>
      </c>
      <c r="L214" s="57">
        <v>0</v>
      </c>
      <c r="M214" s="57">
        <f t="shared" si="173"/>
        <v>0</v>
      </c>
      <c r="N214" s="58"/>
      <c r="O214" s="55">
        <v>0</v>
      </c>
      <c r="P214" s="57">
        <v>0</v>
      </c>
      <c r="Q214" s="57">
        <f t="shared" si="174"/>
        <v>0</v>
      </c>
      <c r="R214" s="58"/>
      <c r="S214" s="55">
        <v>0</v>
      </c>
      <c r="T214" s="57">
        <v>0</v>
      </c>
      <c r="U214" s="57">
        <f t="shared" si="175"/>
        <v>0</v>
      </c>
      <c r="V214" s="59"/>
      <c r="W214" s="124">
        <f t="shared" si="176"/>
        <v>0</v>
      </c>
      <c r="X214" s="57">
        <f t="shared" si="177"/>
        <v>0</v>
      </c>
      <c r="Y214" s="84">
        <f t="shared" si="178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171"/>
        <v>0</v>
      </c>
      <c r="F215" s="58"/>
      <c r="G215" s="55">
        <v>0</v>
      </c>
      <c r="H215" s="57">
        <v>0</v>
      </c>
      <c r="I215" s="57">
        <f t="shared" si="172"/>
        <v>0</v>
      </c>
      <c r="J215" s="58"/>
      <c r="K215" s="55">
        <v>0</v>
      </c>
      <c r="L215" s="57">
        <v>0</v>
      </c>
      <c r="M215" s="57">
        <f t="shared" si="173"/>
        <v>0</v>
      </c>
      <c r="N215" s="58"/>
      <c r="O215" s="55">
        <v>0</v>
      </c>
      <c r="P215" s="57">
        <v>0</v>
      </c>
      <c r="Q215" s="57">
        <f t="shared" si="174"/>
        <v>0</v>
      </c>
      <c r="R215" s="58"/>
      <c r="S215" s="55">
        <v>0</v>
      </c>
      <c r="T215" s="57">
        <v>0</v>
      </c>
      <c r="U215" s="57">
        <f t="shared" si="175"/>
        <v>0</v>
      </c>
      <c r="V215" s="59"/>
      <c r="W215" s="124">
        <f t="shared" si="176"/>
        <v>0</v>
      </c>
      <c r="X215" s="57">
        <f t="shared" si="177"/>
        <v>0</v>
      </c>
      <c r="Y215" s="84">
        <f t="shared" si="178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171"/>
        <v>0</v>
      </c>
      <c r="F216" s="58"/>
      <c r="G216" s="55">
        <v>0</v>
      </c>
      <c r="H216" s="57">
        <v>0</v>
      </c>
      <c r="I216" s="57">
        <f t="shared" si="172"/>
        <v>0</v>
      </c>
      <c r="J216" s="58"/>
      <c r="K216" s="55">
        <v>0</v>
      </c>
      <c r="L216" s="57">
        <v>0</v>
      </c>
      <c r="M216" s="57">
        <f t="shared" si="173"/>
        <v>0</v>
      </c>
      <c r="N216" s="58"/>
      <c r="O216" s="55">
        <v>0</v>
      </c>
      <c r="P216" s="57">
        <v>0</v>
      </c>
      <c r="Q216" s="57">
        <f t="shared" si="174"/>
        <v>0</v>
      </c>
      <c r="R216" s="58"/>
      <c r="S216" s="55">
        <v>0</v>
      </c>
      <c r="T216" s="57">
        <v>0</v>
      </c>
      <c r="U216" s="57">
        <f t="shared" si="175"/>
        <v>0</v>
      </c>
      <c r="V216" s="59"/>
      <c r="W216" s="124">
        <f t="shared" si="176"/>
        <v>0</v>
      </c>
      <c r="X216" s="57">
        <f t="shared" si="177"/>
        <v>0</v>
      </c>
      <c r="Y216" s="84">
        <f t="shared" si="178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0</v>
      </c>
      <c r="H217" s="125">
        <f>SUM(H207:H216)</f>
        <v>0</v>
      </c>
      <c r="I217" s="125">
        <f>SUM(I207:I216)</f>
        <v>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176"/>
        <v>0</v>
      </c>
      <c r="X217" s="80">
        <f t="shared" si="177"/>
        <v>0</v>
      </c>
      <c r="Y217" s="80">
        <f t="shared" si="178"/>
        <v>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2"/>
      <c r="B219" s="52" t="s">
        <v>57</v>
      </c>
      <c r="C219" s="124">
        <v>0</v>
      </c>
      <c r="D219" s="56">
        <v>0</v>
      </c>
      <c r="E219" s="56">
        <f t="shared" ref="E219:E224" si="179">SUM(C219:D219)</f>
        <v>0</v>
      </c>
      <c r="F219" s="58"/>
      <c r="G219" s="55">
        <v>0</v>
      </c>
      <c r="H219" s="57">
        <v>0</v>
      </c>
      <c r="I219" s="57">
        <f t="shared" ref="I219:I224" si="180">SUM(G219:H219)</f>
        <v>0</v>
      </c>
      <c r="J219" s="58"/>
      <c r="K219" s="55">
        <v>0</v>
      </c>
      <c r="L219" s="57">
        <v>0</v>
      </c>
      <c r="M219" s="57">
        <f t="shared" ref="M219:M224" si="181">SUM(K219:L219)</f>
        <v>0</v>
      </c>
      <c r="N219" s="58"/>
      <c r="O219" s="55">
        <v>0</v>
      </c>
      <c r="P219" s="57">
        <v>0</v>
      </c>
      <c r="Q219" s="57">
        <f t="shared" ref="Q219:Q224" si="182">SUM(O219:P219)</f>
        <v>0</v>
      </c>
      <c r="R219" s="58"/>
      <c r="S219" s="55">
        <v>0</v>
      </c>
      <c r="T219" s="57">
        <v>0</v>
      </c>
      <c r="U219" s="57">
        <f t="shared" ref="U219:U224" si="183">SUM(S219:T219)</f>
        <v>0</v>
      </c>
      <c r="V219" s="59"/>
      <c r="W219" s="124">
        <f t="shared" ref="W219:Y225" si="184">C219+G219+K219+O219+S219</f>
        <v>0</v>
      </c>
      <c r="X219" s="57">
        <f t="shared" si="184"/>
        <v>0</v>
      </c>
      <c r="Y219" s="84">
        <f t="shared" si="184"/>
        <v>0</v>
      </c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</row>
    <row r="220" spans="1:77" s="61" customFormat="1" x14ac:dyDescent="0.25">
      <c r="A220" s="87"/>
      <c r="B220" s="52"/>
      <c r="C220" s="124">
        <v>0</v>
      </c>
      <c r="D220" s="56">
        <v>0</v>
      </c>
      <c r="E220" s="56">
        <f t="shared" si="179"/>
        <v>0</v>
      </c>
      <c r="F220" s="58"/>
      <c r="G220" s="55">
        <v>0</v>
      </c>
      <c r="H220" s="57">
        <v>0</v>
      </c>
      <c r="I220" s="57">
        <f t="shared" si="180"/>
        <v>0</v>
      </c>
      <c r="J220" s="58"/>
      <c r="K220" s="55">
        <v>0</v>
      </c>
      <c r="L220" s="57">
        <v>0</v>
      </c>
      <c r="M220" s="57">
        <f t="shared" si="181"/>
        <v>0</v>
      </c>
      <c r="N220" s="58"/>
      <c r="O220" s="55">
        <v>0</v>
      </c>
      <c r="P220" s="57">
        <v>0</v>
      </c>
      <c r="Q220" s="57">
        <f t="shared" si="182"/>
        <v>0</v>
      </c>
      <c r="R220" s="58"/>
      <c r="S220" s="55">
        <v>0</v>
      </c>
      <c r="T220" s="57">
        <v>0</v>
      </c>
      <c r="U220" s="57">
        <f t="shared" si="183"/>
        <v>0</v>
      </c>
      <c r="V220" s="59"/>
      <c r="W220" s="124">
        <f t="shared" si="184"/>
        <v>0</v>
      </c>
      <c r="X220" s="57">
        <f t="shared" si="184"/>
        <v>0</v>
      </c>
      <c r="Y220" s="84">
        <f t="shared" si="184"/>
        <v>0</v>
      </c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</row>
    <row r="221" spans="1:77" s="61" customFormat="1" x14ac:dyDescent="0.25">
      <c r="A221" s="52"/>
      <c r="B221" s="52"/>
      <c r="C221" s="124">
        <v>0</v>
      </c>
      <c r="D221" s="56">
        <v>0</v>
      </c>
      <c r="E221" s="56">
        <f t="shared" si="179"/>
        <v>0</v>
      </c>
      <c r="F221" s="58"/>
      <c r="G221" s="55">
        <v>0</v>
      </c>
      <c r="H221" s="57">
        <v>0</v>
      </c>
      <c r="I221" s="57">
        <f t="shared" si="180"/>
        <v>0</v>
      </c>
      <c r="J221" s="58"/>
      <c r="K221" s="55">
        <v>0</v>
      </c>
      <c r="L221" s="57">
        <v>0</v>
      </c>
      <c r="M221" s="57">
        <f t="shared" si="181"/>
        <v>0</v>
      </c>
      <c r="N221" s="58"/>
      <c r="O221" s="55">
        <v>0</v>
      </c>
      <c r="P221" s="57">
        <v>0</v>
      </c>
      <c r="Q221" s="57">
        <f t="shared" si="182"/>
        <v>0</v>
      </c>
      <c r="R221" s="58"/>
      <c r="S221" s="55">
        <v>0</v>
      </c>
      <c r="T221" s="57">
        <v>0</v>
      </c>
      <c r="U221" s="57">
        <f t="shared" si="183"/>
        <v>0</v>
      </c>
      <c r="V221" s="59"/>
      <c r="W221" s="124">
        <f t="shared" si="184"/>
        <v>0</v>
      </c>
      <c r="X221" s="57">
        <f t="shared" si="184"/>
        <v>0</v>
      </c>
      <c r="Y221" s="84">
        <f t="shared" si="184"/>
        <v>0</v>
      </c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</row>
    <row r="222" spans="1:77" s="61" customFormat="1" x14ac:dyDescent="0.25">
      <c r="A222" s="52"/>
      <c r="B222" s="52"/>
      <c r="C222" s="124">
        <v>0</v>
      </c>
      <c r="D222" s="56">
        <v>0</v>
      </c>
      <c r="E222" s="56">
        <f t="shared" si="179"/>
        <v>0</v>
      </c>
      <c r="F222" s="58"/>
      <c r="G222" s="55">
        <v>0</v>
      </c>
      <c r="H222" s="57">
        <v>0</v>
      </c>
      <c r="I222" s="57">
        <f t="shared" si="180"/>
        <v>0</v>
      </c>
      <c r="J222" s="58"/>
      <c r="K222" s="55">
        <v>0</v>
      </c>
      <c r="L222" s="57">
        <v>0</v>
      </c>
      <c r="M222" s="57">
        <f t="shared" si="181"/>
        <v>0</v>
      </c>
      <c r="N222" s="58"/>
      <c r="O222" s="55">
        <v>0</v>
      </c>
      <c r="P222" s="57">
        <v>0</v>
      </c>
      <c r="Q222" s="57">
        <f t="shared" si="182"/>
        <v>0</v>
      </c>
      <c r="R222" s="58"/>
      <c r="S222" s="55">
        <v>0</v>
      </c>
      <c r="T222" s="57">
        <v>0</v>
      </c>
      <c r="U222" s="57">
        <f t="shared" si="183"/>
        <v>0</v>
      </c>
      <c r="V222" s="59"/>
      <c r="W222" s="124">
        <f t="shared" si="184"/>
        <v>0</v>
      </c>
      <c r="X222" s="57">
        <f t="shared" si="184"/>
        <v>0</v>
      </c>
      <c r="Y222" s="84">
        <f t="shared" si="184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179"/>
        <v>0</v>
      </c>
      <c r="F223" s="58"/>
      <c r="G223" s="55">
        <v>0</v>
      </c>
      <c r="H223" s="57">
        <v>0</v>
      </c>
      <c r="I223" s="57">
        <f t="shared" si="180"/>
        <v>0</v>
      </c>
      <c r="J223" s="58"/>
      <c r="K223" s="55">
        <v>0</v>
      </c>
      <c r="L223" s="57">
        <v>0</v>
      </c>
      <c r="M223" s="57">
        <f t="shared" si="181"/>
        <v>0</v>
      </c>
      <c r="N223" s="58"/>
      <c r="O223" s="55">
        <v>0</v>
      </c>
      <c r="P223" s="57">
        <v>0</v>
      </c>
      <c r="Q223" s="57">
        <f t="shared" si="182"/>
        <v>0</v>
      </c>
      <c r="R223" s="58"/>
      <c r="S223" s="55">
        <v>0</v>
      </c>
      <c r="T223" s="57">
        <v>0</v>
      </c>
      <c r="U223" s="57">
        <f t="shared" si="183"/>
        <v>0</v>
      </c>
      <c r="V223" s="59"/>
      <c r="W223" s="124">
        <f t="shared" si="184"/>
        <v>0</v>
      </c>
      <c r="X223" s="57">
        <f t="shared" si="184"/>
        <v>0</v>
      </c>
      <c r="Y223" s="84">
        <f t="shared" si="184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179"/>
        <v>0</v>
      </c>
      <c r="F224" s="58"/>
      <c r="G224" s="55">
        <v>0</v>
      </c>
      <c r="H224" s="57">
        <v>0</v>
      </c>
      <c r="I224" s="57">
        <f t="shared" si="180"/>
        <v>0</v>
      </c>
      <c r="J224" s="58"/>
      <c r="K224" s="55">
        <v>0</v>
      </c>
      <c r="L224" s="57">
        <v>0</v>
      </c>
      <c r="M224" s="57">
        <f t="shared" si="181"/>
        <v>0</v>
      </c>
      <c r="N224" s="58"/>
      <c r="O224" s="55">
        <v>0</v>
      </c>
      <c r="P224" s="57">
        <v>0</v>
      </c>
      <c r="Q224" s="57">
        <f t="shared" si="182"/>
        <v>0</v>
      </c>
      <c r="R224" s="58"/>
      <c r="S224" s="55">
        <v>0</v>
      </c>
      <c r="T224" s="57">
        <v>0</v>
      </c>
      <c r="U224" s="57">
        <f t="shared" si="183"/>
        <v>0</v>
      </c>
      <c r="V224" s="59"/>
      <c r="W224" s="124">
        <f t="shared" si="184"/>
        <v>0</v>
      </c>
      <c r="X224" s="57">
        <f t="shared" si="184"/>
        <v>0</v>
      </c>
      <c r="Y224" s="84">
        <f t="shared" si="184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0</v>
      </c>
      <c r="D225" s="125">
        <f>SUM(D219:D224)</f>
        <v>0</v>
      </c>
      <c r="E225" s="125">
        <f>SUM(E219:E224)</f>
        <v>0</v>
      </c>
      <c r="F225" s="81"/>
      <c r="G225" s="79">
        <f>SUM(G219:G224)</f>
        <v>0</v>
      </c>
      <c r="H225" s="80">
        <f>SUM(H219:H224)</f>
        <v>0</v>
      </c>
      <c r="I225" s="80">
        <f>SUM(I219:I224)</f>
        <v>0</v>
      </c>
      <c r="J225" s="81"/>
      <c r="K225" s="79">
        <f>SUM(K219:K224)</f>
        <v>0</v>
      </c>
      <c r="L225" s="80">
        <f>SUM(L219:L224)</f>
        <v>0</v>
      </c>
      <c r="M225" s="80">
        <f>SUM(M219:M224)</f>
        <v>0</v>
      </c>
      <c r="N225" s="81"/>
      <c r="O225" s="79">
        <f>SUM(O219:O224)</f>
        <v>0</v>
      </c>
      <c r="P225" s="80">
        <f>SUM(P219:P224)</f>
        <v>0</v>
      </c>
      <c r="Q225" s="80">
        <f>SUM(Q219:Q224)</f>
        <v>0</v>
      </c>
      <c r="R225" s="81"/>
      <c r="S225" s="79">
        <f>SUM(S219:S224)</f>
        <v>0</v>
      </c>
      <c r="T225" s="80">
        <f>SUM(T219:T224)</f>
        <v>0</v>
      </c>
      <c r="U225" s="80">
        <f>SUM(U219:U224)</f>
        <v>0</v>
      </c>
      <c r="V225" s="82"/>
      <c r="W225" s="228">
        <f t="shared" si="184"/>
        <v>0</v>
      </c>
      <c r="X225" s="80">
        <f t="shared" si="184"/>
        <v>0</v>
      </c>
      <c r="Y225" s="80">
        <f t="shared" si="184"/>
        <v>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/>
      <c r="B227" s="54"/>
      <c r="C227" s="124">
        <v>0</v>
      </c>
      <c r="D227" s="56">
        <v>0</v>
      </c>
      <c r="E227" s="56">
        <f>SUM(C227:D227)</f>
        <v>0</v>
      </c>
      <c r="F227" s="58"/>
      <c r="G227" s="55">
        <v>0</v>
      </c>
      <c r="H227" s="56">
        <v>0</v>
      </c>
      <c r="I227" s="56">
        <f>SUM(G227:H227)</f>
        <v>0</v>
      </c>
      <c r="J227" s="58"/>
      <c r="K227" s="55">
        <v>0</v>
      </c>
      <c r="L227" s="56">
        <v>0</v>
      </c>
      <c r="M227" s="56">
        <f>SUM(K227:L227)</f>
        <v>0</v>
      </c>
      <c r="N227" s="58"/>
      <c r="O227" s="55">
        <v>0</v>
      </c>
      <c r="P227" s="56">
        <v>0</v>
      </c>
      <c r="Q227" s="56">
        <f>SUM(O227:P227)</f>
        <v>0</v>
      </c>
      <c r="R227" s="58"/>
      <c r="S227" s="55">
        <v>0</v>
      </c>
      <c r="T227" s="56">
        <v>0</v>
      </c>
      <c r="U227" s="56">
        <f>SUM(S227:T227)</f>
        <v>0</v>
      </c>
      <c r="V227" s="59"/>
      <c r="W227" s="124">
        <f t="shared" ref="W227:Y231" si="185">C227+G227+K227+O227+S227</f>
        <v>0</v>
      </c>
      <c r="X227" s="57">
        <f t="shared" si="185"/>
        <v>0</v>
      </c>
      <c r="Y227" s="84">
        <f t="shared" si="185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/>
      <c r="B228" s="54"/>
      <c r="C228" s="124">
        <v>0</v>
      </c>
      <c r="D228" s="56">
        <v>0</v>
      </c>
      <c r="E228" s="56">
        <f>SUM(C228:D228)</f>
        <v>0</v>
      </c>
      <c r="F228" s="58"/>
      <c r="G228" s="55">
        <v>0</v>
      </c>
      <c r="H228" s="56">
        <v>0</v>
      </c>
      <c r="I228" s="56">
        <f>SUM(G228:H228)</f>
        <v>0</v>
      </c>
      <c r="J228" s="58"/>
      <c r="K228" s="55">
        <v>0</v>
      </c>
      <c r="L228" s="56">
        <v>0</v>
      </c>
      <c r="M228" s="56">
        <f>SUM(K228:L228)</f>
        <v>0</v>
      </c>
      <c r="N228" s="58"/>
      <c r="O228" s="55">
        <v>0</v>
      </c>
      <c r="P228" s="56">
        <v>0</v>
      </c>
      <c r="Q228" s="56">
        <f>SUM(O228:P228)</f>
        <v>0</v>
      </c>
      <c r="R228" s="58"/>
      <c r="S228" s="55">
        <v>0</v>
      </c>
      <c r="T228" s="56">
        <v>0</v>
      </c>
      <c r="U228" s="56">
        <f>SUM(S228:T228)</f>
        <v>0</v>
      </c>
      <c r="V228" s="59"/>
      <c r="W228" s="124">
        <f t="shared" si="185"/>
        <v>0</v>
      </c>
      <c r="X228" s="57">
        <f t="shared" si="185"/>
        <v>0</v>
      </c>
      <c r="Y228" s="84">
        <f t="shared" si="185"/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54"/>
      <c r="C229" s="124">
        <v>0</v>
      </c>
      <c r="D229" s="56">
        <v>0</v>
      </c>
      <c r="E229" s="56">
        <f>SUM(C229:D229)</f>
        <v>0</v>
      </c>
      <c r="F229" s="58"/>
      <c r="G229" s="55">
        <v>0</v>
      </c>
      <c r="H229" s="56">
        <v>0</v>
      </c>
      <c r="I229" s="56">
        <f>SUM(G229:H229)</f>
        <v>0</v>
      </c>
      <c r="J229" s="58"/>
      <c r="K229" s="55">
        <v>0</v>
      </c>
      <c r="L229" s="56">
        <v>0</v>
      </c>
      <c r="M229" s="56">
        <f>SUM(K229:L229)</f>
        <v>0</v>
      </c>
      <c r="N229" s="58"/>
      <c r="O229" s="55">
        <v>0</v>
      </c>
      <c r="P229" s="56">
        <v>0</v>
      </c>
      <c r="Q229" s="56">
        <f>SUM(O229:P229)</f>
        <v>0</v>
      </c>
      <c r="R229" s="58"/>
      <c r="S229" s="55">
        <v>0</v>
      </c>
      <c r="T229" s="56">
        <v>0</v>
      </c>
      <c r="U229" s="56">
        <f>SUM(S229:T229)</f>
        <v>0</v>
      </c>
      <c r="V229" s="59"/>
      <c r="W229" s="124">
        <f t="shared" si="185"/>
        <v>0</v>
      </c>
      <c r="X229" s="57">
        <f t="shared" si="185"/>
        <v>0</v>
      </c>
      <c r="Y229" s="84">
        <f t="shared" si="185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61" customFormat="1" x14ac:dyDescent="0.25">
      <c r="A230" s="54"/>
      <c r="B230" s="52"/>
      <c r="C230" s="124">
        <v>0</v>
      </c>
      <c r="D230" s="56">
        <v>0</v>
      </c>
      <c r="E230" s="56">
        <f>SUM(C230:D230)</f>
        <v>0</v>
      </c>
      <c r="F230" s="58"/>
      <c r="G230" s="55">
        <f>C230*1.07</f>
        <v>0</v>
      </c>
      <c r="H230" s="56">
        <v>0</v>
      </c>
      <c r="I230" s="56">
        <f>SUM(G230:H230)</f>
        <v>0</v>
      </c>
      <c r="J230" s="58"/>
      <c r="K230" s="55">
        <f>G230*1.07</f>
        <v>0</v>
      </c>
      <c r="L230" s="56">
        <v>0</v>
      </c>
      <c r="M230" s="56">
        <f>SUM(K230:L230)</f>
        <v>0</v>
      </c>
      <c r="N230" s="58"/>
      <c r="O230" s="55">
        <f>K230*1.07</f>
        <v>0</v>
      </c>
      <c r="P230" s="56">
        <v>0</v>
      </c>
      <c r="Q230" s="56">
        <f>SUM(O230:P230)</f>
        <v>0</v>
      </c>
      <c r="R230" s="58"/>
      <c r="S230" s="55">
        <f>O230*1.07</f>
        <v>0</v>
      </c>
      <c r="T230" s="56">
        <v>0</v>
      </c>
      <c r="U230" s="56">
        <f>SUM(S230:T230)</f>
        <v>0</v>
      </c>
      <c r="V230" s="59"/>
      <c r="W230" s="124">
        <f t="shared" si="185"/>
        <v>0</v>
      </c>
      <c r="X230" s="57">
        <f t="shared" si="185"/>
        <v>0</v>
      </c>
      <c r="Y230" s="84">
        <f t="shared" si="185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0</v>
      </c>
      <c r="H231" s="80">
        <f>SUM(H227:H230)</f>
        <v>0</v>
      </c>
      <c r="I231" s="80">
        <f>SUM(I227:I230)</f>
        <v>0</v>
      </c>
      <c r="J231" s="81"/>
      <c r="K231" s="79">
        <f>SUM(K227:K230)</f>
        <v>0</v>
      </c>
      <c r="L231" s="80">
        <f>SUM(L227:L230)</f>
        <v>0</v>
      </c>
      <c r="M231" s="80">
        <f>SUM(M227:M230)</f>
        <v>0</v>
      </c>
      <c r="N231" s="81"/>
      <c r="O231" s="79">
        <f>SUM(O227:O230)</f>
        <v>0</v>
      </c>
      <c r="P231" s="80">
        <f>SUM(P227:P230)</f>
        <v>0</v>
      </c>
      <c r="Q231" s="80">
        <f>SUM(Q227:Q230)</f>
        <v>0</v>
      </c>
      <c r="R231" s="81"/>
      <c r="S231" s="79">
        <f>SUM(S227:S230)</f>
        <v>0</v>
      </c>
      <c r="T231" s="125">
        <f>SUM(T227:T230)</f>
        <v>0</v>
      </c>
      <c r="U231" s="125">
        <f>SUM(U227:U230)</f>
        <v>0</v>
      </c>
      <c r="V231" s="82"/>
      <c r="W231" s="228">
        <f t="shared" si="185"/>
        <v>0</v>
      </c>
      <c r="X231" s="80">
        <f t="shared" si="185"/>
        <v>0</v>
      </c>
      <c r="Y231" s="80">
        <f t="shared" si="185"/>
        <v>0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2" t="s">
        <v>57</v>
      </c>
      <c r="B233" s="52" t="s">
        <v>57</v>
      </c>
      <c r="C233" s="124">
        <v>0</v>
      </c>
      <c r="D233" s="56">
        <v>0</v>
      </c>
      <c r="E233" s="56">
        <f t="shared" ref="E233:E244" si="186">SUM(C233:D233)</f>
        <v>0</v>
      </c>
      <c r="F233" s="58"/>
      <c r="G233" s="55">
        <v>0</v>
      </c>
      <c r="H233" s="57">
        <v>0</v>
      </c>
      <c r="I233" s="57">
        <f t="shared" ref="I233:I244" si="187">SUM(G233:H233)</f>
        <v>0</v>
      </c>
      <c r="J233" s="58"/>
      <c r="K233" s="55">
        <v>0</v>
      </c>
      <c r="L233" s="57">
        <v>0</v>
      </c>
      <c r="M233" s="57">
        <f t="shared" ref="M233:M244" si="188">SUM(K233:L233)</f>
        <v>0</v>
      </c>
      <c r="N233" s="58"/>
      <c r="O233" s="55">
        <v>0</v>
      </c>
      <c r="P233" s="57">
        <v>0</v>
      </c>
      <c r="Q233" s="57">
        <f t="shared" ref="Q233:Q244" si="189">SUM(O233:P233)</f>
        <v>0</v>
      </c>
      <c r="R233" s="58"/>
      <c r="S233" s="55">
        <v>0</v>
      </c>
      <c r="T233" s="57">
        <v>0</v>
      </c>
      <c r="U233" s="57">
        <f t="shared" ref="U233:U244" si="190">SUM(S233:T233)</f>
        <v>0</v>
      </c>
      <c r="V233" s="59"/>
      <c r="W233" s="124">
        <f t="shared" ref="W233:W245" si="191">C233+G233+K233+O233+S233</f>
        <v>0</v>
      </c>
      <c r="X233" s="57">
        <f t="shared" ref="X233:X245" si="192">D233+H233+L233+P233+T233</f>
        <v>0</v>
      </c>
      <c r="Y233" s="84">
        <f t="shared" ref="Y233:Y245" si="193">E233+I233+M233+Q233+U233</f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</row>
    <row r="234" spans="1:77" s="61" customFormat="1" x14ac:dyDescent="0.25">
      <c r="A234" s="52" t="s">
        <v>57</v>
      </c>
      <c r="B234" s="52" t="s">
        <v>57</v>
      </c>
      <c r="C234" s="124">
        <v>0</v>
      </c>
      <c r="D234" s="56">
        <v>0</v>
      </c>
      <c r="E234" s="56">
        <f t="shared" si="186"/>
        <v>0</v>
      </c>
      <c r="F234" s="58"/>
      <c r="G234" s="55">
        <v>0</v>
      </c>
      <c r="H234" s="57">
        <v>0</v>
      </c>
      <c r="I234" s="57">
        <f t="shared" si="187"/>
        <v>0</v>
      </c>
      <c r="J234" s="58"/>
      <c r="K234" s="55">
        <v>0</v>
      </c>
      <c r="L234" s="57">
        <v>0</v>
      </c>
      <c r="M234" s="57">
        <f t="shared" si="188"/>
        <v>0</v>
      </c>
      <c r="N234" s="58"/>
      <c r="O234" s="55">
        <v>0</v>
      </c>
      <c r="P234" s="57">
        <v>0</v>
      </c>
      <c r="Q234" s="57">
        <f t="shared" si="189"/>
        <v>0</v>
      </c>
      <c r="R234" s="58"/>
      <c r="S234" s="55">
        <v>0</v>
      </c>
      <c r="T234" s="57">
        <v>0</v>
      </c>
      <c r="U234" s="57">
        <f t="shared" si="190"/>
        <v>0</v>
      </c>
      <c r="V234" s="59"/>
      <c r="W234" s="124">
        <f t="shared" si="191"/>
        <v>0</v>
      </c>
      <c r="X234" s="57">
        <f t="shared" si="192"/>
        <v>0</v>
      </c>
      <c r="Y234" s="84">
        <f t="shared" si="193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</row>
    <row r="235" spans="1:77" s="61" customFormat="1" x14ac:dyDescent="0.25">
      <c r="A235" s="52" t="s">
        <v>57</v>
      </c>
      <c r="B235" s="52" t="s">
        <v>57</v>
      </c>
      <c r="C235" s="124">
        <v>0</v>
      </c>
      <c r="D235" s="56">
        <v>0</v>
      </c>
      <c r="E235" s="56">
        <f t="shared" si="186"/>
        <v>0</v>
      </c>
      <c r="F235" s="58"/>
      <c r="G235" s="55">
        <v>0</v>
      </c>
      <c r="H235" s="57">
        <v>0</v>
      </c>
      <c r="I235" s="57">
        <f t="shared" si="187"/>
        <v>0</v>
      </c>
      <c r="J235" s="58"/>
      <c r="K235" s="55">
        <v>0</v>
      </c>
      <c r="L235" s="57">
        <v>0</v>
      </c>
      <c r="M235" s="57">
        <f t="shared" si="188"/>
        <v>0</v>
      </c>
      <c r="N235" s="58"/>
      <c r="O235" s="55">
        <v>0</v>
      </c>
      <c r="P235" s="56">
        <v>0</v>
      </c>
      <c r="Q235" s="57">
        <f t="shared" si="189"/>
        <v>0</v>
      </c>
      <c r="R235" s="58"/>
      <c r="S235" s="55">
        <v>0</v>
      </c>
      <c r="T235" s="57">
        <v>0</v>
      </c>
      <c r="U235" s="57">
        <f t="shared" si="190"/>
        <v>0</v>
      </c>
      <c r="V235" s="59"/>
      <c r="W235" s="124">
        <f t="shared" si="191"/>
        <v>0</v>
      </c>
      <c r="X235" s="57">
        <f t="shared" si="192"/>
        <v>0</v>
      </c>
      <c r="Y235" s="84">
        <f t="shared" si="193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</row>
    <row r="236" spans="1:77" s="61" customFormat="1" x14ac:dyDescent="0.25">
      <c r="A236" s="52"/>
      <c r="B236" s="52"/>
      <c r="C236" s="124">
        <v>0</v>
      </c>
      <c r="D236" s="56">
        <v>0</v>
      </c>
      <c r="E236" s="56">
        <f t="shared" si="186"/>
        <v>0</v>
      </c>
      <c r="F236" s="58"/>
      <c r="G236" s="55">
        <v>0</v>
      </c>
      <c r="H236" s="57">
        <v>0</v>
      </c>
      <c r="I236" s="57">
        <f t="shared" si="187"/>
        <v>0</v>
      </c>
      <c r="J236" s="58"/>
      <c r="K236" s="55">
        <v>0</v>
      </c>
      <c r="L236" s="57">
        <v>0</v>
      </c>
      <c r="M236" s="57">
        <f t="shared" si="188"/>
        <v>0</v>
      </c>
      <c r="N236" s="58"/>
      <c r="O236" s="55">
        <v>0</v>
      </c>
      <c r="P236" s="57">
        <v>0</v>
      </c>
      <c r="Q236" s="57">
        <f t="shared" si="189"/>
        <v>0</v>
      </c>
      <c r="R236" s="58"/>
      <c r="S236" s="55">
        <v>0</v>
      </c>
      <c r="T236" s="57">
        <v>0</v>
      </c>
      <c r="U236" s="57">
        <f t="shared" si="190"/>
        <v>0</v>
      </c>
      <c r="V236" s="59"/>
      <c r="W236" s="124">
        <f t="shared" si="191"/>
        <v>0</v>
      </c>
      <c r="X236" s="57">
        <f t="shared" si="192"/>
        <v>0</v>
      </c>
      <c r="Y236" s="84">
        <f t="shared" si="193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</row>
    <row r="237" spans="1:77" s="61" customFormat="1" x14ac:dyDescent="0.25">
      <c r="A237" s="52"/>
      <c r="B237" s="160" t="s">
        <v>57</v>
      </c>
      <c r="C237" s="124">
        <v>0</v>
      </c>
      <c r="D237" s="56">
        <v>0</v>
      </c>
      <c r="E237" s="56">
        <f t="shared" si="186"/>
        <v>0</v>
      </c>
      <c r="F237" s="58"/>
      <c r="G237" s="55">
        <v>0</v>
      </c>
      <c r="H237" s="57">
        <v>0</v>
      </c>
      <c r="I237" s="57">
        <f t="shared" si="187"/>
        <v>0</v>
      </c>
      <c r="J237" s="58"/>
      <c r="K237" s="55">
        <v>0</v>
      </c>
      <c r="L237" s="57">
        <v>0</v>
      </c>
      <c r="M237" s="57">
        <f t="shared" si="188"/>
        <v>0</v>
      </c>
      <c r="N237" s="58"/>
      <c r="O237" s="55">
        <v>0</v>
      </c>
      <c r="P237" s="57">
        <v>0</v>
      </c>
      <c r="Q237" s="57">
        <f t="shared" si="189"/>
        <v>0</v>
      </c>
      <c r="R237" s="58"/>
      <c r="S237" s="55">
        <v>0</v>
      </c>
      <c r="T237" s="57">
        <v>0</v>
      </c>
      <c r="U237" s="57">
        <f t="shared" si="190"/>
        <v>0</v>
      </c>
      <c r="V237" s="59"/>
      <c r="W237" s="124">
        <f t="shared" si="191"/>
        <v>0</v>
      </c>
      <c r="X237" s="57">
        <f t="shared" si="192"/>
        <v>0</v>
      </c>
      <c r="Y237" s="84">
        <f t="shared" si="193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</row>
    <row r="238" spans="1:77" s="61" customFormat="1" x14ac:dyDescent="0.25">
      <c r="A238" s="52"/>
      <c r="B238" s="52"/>
      <c r="C238" s="124">
        <v>0</v>
      </c>
      <c r="D238" s="56">
        <v>0</v>
      </c>
      <c r="E238" s="56">
        <f t="shared" si="186"/>
        <v>0</v>
      </c>
      <c r="F238" s="58"/>
      <c r="G238" s="55">
        <v>0</v>
      </c>
      <c r="H238" s="57">
        <v>0</v>
      </c>
      <c r="I238" s="57">
        <f t="shared" si="187"/>
        <v>0</v>
      </c>
      <c r="J238" s="58"/>
      <c r="K238" s="55">
        <v>0</v>
      </c>
      <c r="L238" s="57">
        <v>0</v>
      </c>
      <c r="M238" s="57">
        <f t="shared" si="188"/>
        <v>0</v>
      </c>
      <c r="N238" s="58"/>
      <c r="O238" s="55">
        <v>0</v>
      </c>
      <c r="P238" s="57">
        <v>0</v>
      </c>
      <c r="Q238" s="57">
        <f t="shared" si="189"/>
        <v>0</v>
      </c>
      <c r="R238" s="58"/>
      <c r="S238" s="55">
        <v>0</v>
      </c>
      <c r="T238" s="57">
        <v>0</v>
      </c>
      <c r="U238" s="57">
        <f t="shared" si="190"/>
        <v>0</v>
      </c>
      <c r="V238" s="59"/>
      <c r="W238" s="124">
        <f t="shared" si="191"/>
        <v>0</v>
      </c>
      <c r="X238" s="57">
        <f t="shared" si="192"/>
        <v>0</v>
      </c>
      <c r="Y238" s="84">
        <f t="shared" si="193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</row>
    <row r="239" spans="1:77" s="61" customFormat="1" x14ac:dyDescent="0.25">
      <c r="A239" s="52"/>
      <c r="B239" s="52"/>
      <c r="C239" s="124">
        <v>0</v>
      </c>
      <c r="D239" s="56">
        <v>0</v>
      </c>
      <c r="E239" s="56">
        <f t="shared" si="186"/>
        <v>0</v>
      </c>
      <c r="F239" s="58"/>
      <c r="G239" s="55">
        <v>0</v>
      </c>
      <c r="H239" s="57">
        <v>0</v>
      </c>
      <c r="I239" s="57">
        <f t="shared" si="187"/>
        <v>0</v>
      </c>
      <c r="J239" s="58"/>
      <c r="K239" s="55">
        <v>0</v>
      </c>
      <c r="L239" s="57">
        <v>0</v>
      </c>
      <c r="M239" s="57">
        <f t="shared" si="188"/>
        <v>0</v>
      </c>
      <c r="N239" s="58"/>
      <c r="O239" s="55">
        <v>0</v>
      </c>
      <c r="P239" s="57">
        <v>0</v>
      </c>
      <c r="Q239" s="57">
        <f t="shared" si="189"/>
        <v>0</v>
      </c>
      <c r="R239" s="58"/>
      <c r="S239" s="55">
        <v>0</v>
      </c>
      <c r="T239" s="57">
        <v>0</v>
      </c>
      <c r="U239" s="57">
        <f t="shared" si="190"/>
        <v>0</v>
      </c>
      <c r="V239" s="59"/>
      <c r="W239" s="124">
        <f t="shared" si="191"/>
        <v>0</v>
      </c>
      <c r="X239" s="57">
        <f t="shared" si="192"/>
        <v>0</v>
      </c>
      <c r="Y239" s="84">
        <f t="shared" si="193"/>
        <v>0</v>
      </c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</row>
    <row r="240" spans="1:77" s="61" customFormat="1" x14ac:dyDescent="0.25">
      <c r="A240" s="52"/>
      <c r="B240" s="52"/>
      <c r="C240" s="124">
        <v>0</v>
      </c>
      <c r="D240" s="56">
        <v>0</v>
      </c>
      <c r="E240" s="56">
        <f t="shared" si="186"/>
        <v>0</v>
      </c>
      <c r="F240" s="58"/>
      <c r="G240" s="55">
        <v>0</v>
      </c>
      <c r="H240" s="57">
        <v>0</v>
      </c>
      <c r="I240" s="57">
        <f t="shared" si="187"/>
        <v>0</v>
      </c>
      <c r="J240" s="58"/>
      <c r="K240" s="55">
        <v>0</v>
      </c>
      <c r="L240" s="57">
        <v>0</v>
      </c>
      <c r="M240" s="57">
        <f t="shared" si="188"/>
        <v>0</v>
      </c>
      <c r="N240" s="58"/>
      <c r="O240" s="55">
        <v>0</v>
      </c>
      <c r="P240" s="57">
        <v>0</v>
      </c>
      <c r="Q240" s="57">
        <f t="shared" si="189"/>
        <v>0</v>
      </c>
      <c r="R240" s="58"/>
      <c r="S240" s="55">
        <v>0</v>
      </c>
      <c r="T240" s="57">
        <v>0</v>
      </c>
      <c r="U240" s="57">
        <f t="shared" si="190"/>
        <v>0</v>
      </c>
      <c r="V240" s="59"/>
      <c r="W240" s="124">
        <f t="shared" si="191"/>
        <v>0</v>
      </c>
      <c r="X240" s="57">
        <f t="shared" si="192"/>
        <v>0</v>
      </c>
      <c r="Y240" s="84">
        <f t="shared" si="193"/>
        <v>0</v>
      </c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186"/>
        <v>0</v>
      </c>
      <c r="F241" s="58"/>
      <c r="G241" s="55">
        <v>0</v>
      </c>
      <c r="H241" s="57">
        <v>0</v>
      </c>
      <c r="I241" s="57">
        <f t="shared" si="187"/>
        <v>0</v>
      </c>
      <c r="J241" s="58"/>
      <c r="K241" s="55">
        <v>0</v>
      </c>
      <c r="L241" s="57">
        <v>0</v>
      </c>
      <c r="M241" s="57">
        <f t="shared" si="188"/>
        <v>0</v>
      </c>
      <c r="N241" s="58"/>
      <c r="O241" s="55">
        <v>0</v>
      </c>
      <c r="P241" s="57">
        <v>0</v>
      </c>
      <c r="Q241" s="57">
        <f t="shared" si="189"/>
        <v>0</v>
      </c>
      <c r="R241" s="58"/>
      <c r="S241" s="55">
        <v>0</v>
      </c>
      <c r="T241" s="57">
        <v>0</v>
      </c>
      <c r="U241" s="57">
        <f t="shared" si="190"/>
        <v>0</v>
      </c>
      <c r="V241" s="59"/>
      <c r="W241" s="124">
        <f t="shared" si="191"/>
        <v>0</v>
      </c>
      <c r="X241" s="57">
        <f t="shared" si="192"/>
        <v>0</v>
      </c>
      <c r="Y241" s="84">
        <f t="shared" si="193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186"/>
        <v>0</v>
      </c>
      <c r="F242" s="58"/>
      <c r="G242" s="55">
        <v>0</v>
      </c>
      <c r="H242" s="57">
        <v>0</v>
      </c>
      <c r="I242" s="57">
        <f t="shared" si="187"/>
        <v>0</v>
      </c>
      <c r="J242" s="58"/>
      <c r="K242" s="55">
        <v>0</v>
      </c>
      <c r="L242" s="57">
        <v>0</v>
      </c>
      <c r="M242" s="57">
        <f t="shared" si="188"/>
        <v>0</v>
      </c>
      <c r="N242" s="58"/>
      <c r="O242" s="55">
        <v>0</v>
      </c>
      <c r="P242" s="57">
        <v>0</v>
      </c>
      <c r="Q242" s="57">
        <f t="shared" si="189"/>
        <v>0</v>
      </c>
      <c r="R242" s="58"/>
      <c r="S242" s="55">
        <v>0</v>
      </c>
      <c r="T242" s="57">
        <v>0</v>
      </c>
      <c r="U242" s="57">
        <f t="shared" si="190"/>
        <v>0</v>
      </c>
      <c r="V242" s="59"/>
      <c r="W242" s="124">
        <f t="shared" si="191"/>
        <v>0</v>
      </c>
      <c r="X242" s="57">
        <f t="shared" si="192"/>
        <v>0</v>
      </c>
      <c r="Y242" s="84">
        <f t="shared" si="193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186"/>
        <v>0</v>
      </c>
      <c r="F243" s="58"/>
      <c r="G243" s="55">
        <v>0</v>
      </c>
      <c r="H243" s="57">
        <v>0</v>
      </c>
      <c r="I243" s="57">
        <f t="shared" si="187"/>
        <v>0</v>
      </c>
      <c r="J243" s="58"/>
      <c r="K243" s="55">
        <v>0</v>
      </c>
      <c r="L243" s="57">
        <v>0</v>
      </c>
      <c r="M243" s="57">
        <f t="shared" si="188"/>
        <v>0</v>
      </c>
      <c r="N243" s="58"/>
      <c r="O243" s="55">
        <v>0</v>
      </c>
      <c r="P243" s="57">
        <v>0</v>
      </c>
      <c r="Q243" s="57">
        <f t="shared" si="189"/>
        <v>0</v>
      </c>
      <c r="R243" s="58"/>
      <c r="S243" s="55">
        <v>0</v>
      </c>
      <c r="T243" s="57">
        <v>0</v>
      </c>
      <c r="U243" s="57">
        <f t="shared" si="190"/>
        <v>0</v>
      </c>
      <c r="V243" s="59"/>
      <c r="W243" s="124">
        <f t="shared" si="191"/>
        <v>0</v>
      </c>
      <c r="X243" s="57">
        <f t="shared" si="192"/>
        <v>0</v>
      </c>
      <c r="Y243" s="84">
        <f t="shared" si="193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186"/>
        <v>0</v>
      </c>
      <c r="F244" s="58"/>
      <c r="G244" s="55">
        <v>0</v>
      </c>
      <c r="H244" s="57">
        <v>0</v>
      </c>
      <c r="I244" s="57">
        <f t="shared" si="187"/>
        <v>0</v>
      </c>
      <c r="J244" s="58"/>
      <c r="K244" s="55">
        <v>0</v>
      </c>
      <c r="L244" s="57">
        <v>0</v>
      </c>
      <c r="M244" s="57">
        <f t="shared" si="188"/>
        <v>0</v>
      </c>
      <c r="N244" s="58"/>
      <c r="O244" s="55">
        <v>0</v>
      </c>
      <c r="P244" s="57">
        <v>0</v>
      </c>
      <c r="Q244" s="57">
        <f t="shared" si="189"/>
        <v>0</v>
      </c>
      <c r="R244" s="58"/>
      <c r="S244" s="55">
        <v>0</v>
      </c>
      <c r="T244" s="57">
        <v>0</v>
      </c>
      <c r="U244" s="57">
        <f t="shared" si="190"/>
        <v>0</v>
      </c>
      <c r="V244" s="59"/>
      <c r="W244" s="124">
        <f t="shared" si="191"/>
        <v>0</v>
      </c>
      <c r="X244" s="57">
        <f t="shared" si="192"/>
        <v>0</v>
      </c>
      <c r="Y244" s="84">
        <f t="shared" si="193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0</v>
      </c>
      <c r="D245" s="153">
        <f>SUM(D233:D244)</f>
        <v>0</v>
      </c>
      <c r="E245" s="153">
        <f>SUM(E233:E244)</f>
        <v>0</v>
      </c>
      <c r="F245" s="154"/>
      <c r="G245" s="152">
        <f>SUM(G233:G244)</f>
        <v>0</v>
      </c>
      <c r="H245" s="155">
        <f>SUM(H233:H244)</f>
        <v>0</v>
      </c>
      <c r="I245" s="155">
        <f>SUM(I233:I244)</f>
        <v>0</v>
      </c>
      <c r="J245" s="154"/>
      <c r="K245" s="152">
        <f>SUM(K233:K244)</f>
        <v>0</v>
      </c>
      <c r="L245" s="155">
        <f>SUM(L233:L244)</f>
        <v>0</v>
      </c>
      <c r="M245" s="155">
        <f>SUM(M233:M244)</f>
        <v>0</v>
      </c>
      <c r="N245" s="154"/>
      <c r="O245" s="152">
        <f>SUM(O233:O244)</f>
        <v>0</v>
      </c>
      <c r="P245" s="155">
        <f>SUM(P233:P244)</f>
        <v>0</v>
      </c>
      <c r="Q245" s="155">
        <f>SUM(Q233:Q244)</f>
        <v>0</v>
      </c>
      <c r="R245" s="154"/>
      <c r="S245" s="152">
        <f>SUM(S233:S244)</f>
        <v>0</v>
      </c>
      <c r="T245" s="155">
        <f>SUM(T233:T244)</f>
        <v>0</v>
      </c>
      <c r="U245" s="155">
        <f>SUM(U233:U244)</f>
        <v>0</v>
      </c>
      <c r="V245" s="82"/>
      <c r="W245" s="228">
        <f t="shared" si="191"/>
        <v>0</v>
      </c>
      <c r="X245" s="80">
        <f t="shared" si="192"/>
        <v>0</v>
      </c>
      <c r="Y245" s="80">
        <f t="shared" si="193"/>
        <v>0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>SUM(C205+C217+C225+C231+C245)</f>
        <v>0</v>
      </c>
      <c r="D246" s="111">
        <f t="shared" ref="D246:Y246" si="194">SUM(D205+D217+D225+D231+D245)</f>
        <v>0</v>
      </c>
      <c r="E246" s="111">
        <f t="shared" si="194"/>
        <v>0</v>
      </c>
      <c r="F246" s="111">
        <f t="shared" si="194"/>
        <v>0</v>
      </c>
      <c r="G246" s="111">
        <f t="shared" si="194"/>
        <v>0</v>
      </c>
      <c r="H246" s="111">
        <f t="shared" si="194"/>
        <v>0</v>
      </c>
      <c r="I246" s="111">
        <f t="shared" si="194"/>
        <v>0</v>
      </c>
      <c r="J246" s="111">
        <f t="shared" si="194"/>
        <v>0</v>
      </c>
      <c r="K246" s="111">
        <f t="shared" si="194"/>
        <v>0</v>
      </c>
      <c r="L246" s="111">
        <f t="shared" si="194"/>
        <v>0</v>
      </c>
      <c r="M246" s="111">
        <f t="shared" si="194"/>
        <v>0</v>
      </c>
      <c r="N246" s="111">
        <f t="shared" si="194"/>
        <v>0</v>
      </c>
      <c r="O246" s="111">
        <f t="shared" si="194"/>
        <v>0</v>
      </c>
      <c r="P246" s="111">
        <f t="shared" si="194"/>
        <v>0</v>
      </c>
      <c r="Q246" s="111">
        <f t="shared" si="194"/>
        <v>0</v>
      </c>
      <c r="R246" s="111">
        <f t="shared" si="194"/>
        <v>0</v>
      </c>
      <c r="S246" s="111">
        <f t="shared" si="194"/>
        <v>0</v>
      </c>
      <c r="T246" s="111">
        <f t="shared" si="194"/>
        <v>0</v>
      </c>
      <c r="U246" s="111">
        <f t="shared" si="194"/>
        <v>0</v>
      </c>
      <c r="V246" s="111">
        <f t="shared" si="194"/>
        <v>0</v>
      </c>
      <c r="W246" s="111">
        <f t="shared" si="194"/>
        <v>0</v>
      </c>
      <c r="X246" s="111">
        <f t="shared" si="194"/>
        <v>0</v>
      </c>
      <c r="Y246" s="111">
        <f t="shared" si="194"/>
        <v>0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(C205+C225+C245)*0.42</f>
        <v>0</v>
      </c>
      <c r="D247" s="111">
        <v>0</v>
      </c>
      <c r="E247" s="111">
        <f>C247</f>
        <v>0</v>
      </c>
      <c r="F247" s="111">
        <f>F196*0.47</f>
        <v>0</v>
      </c>
      <c r="G247" s="111">
        <f>(G205+G225+G245)*0.42</f>
        <v>0</v>
      </c>
      <c r="H247" s="111">
        <v>0</v>
      </c>
      <c r="I247" s="111">
        <f>G247</f>
        <v>0</v>
      </c>
      <c r="J247" s="111">
        <f>J196*0.47</f>
        <v>0</v>
      </c>
      <c r="K247" s="111">
        <f>(K205+K225+K245)*0.42</f>
        <v>0</v>
      </c>
      <c r="L247" s="111">
        <v>0</v>
      </c>
      <c r="M247" s="111">
        <f>K247</f>
        <v>0</v>
      </c>
      <c r="N247" s="111">
        <f>N196*0.47</f>
        <v>0</v>
      </c>
      <c r="O247" s="111">
        <f>(O205+O225+O245)*0.42</f>
        <v>0</v>
      </c>
      <c r="P247" s="111">
        <v>0</v>
      </c>
      <c r="Q247" s="111">
        <f>O247</f>
        <v>0</v>
      </c>
      <c r="R247" s="111">
        <f>R196*0.47</f>
        <v>0</v>
      </c>
      <c r="S247" s="111">
        <f>(S205+S225+S245)*0.42</f>
        <v>0</v>
      </c>
      <c r="T247" s="111">
        <v>0</v>
      </c>
      <c r="U247" s="111">
        <f>S247</f>
        <v>0</v>
      </c>
      <c r="V247" s="111">
        <f>V196*0.47</f>
        <v>0</v>
      </c>
      <c r="W247" s="111">
        <f>(W205+W225+W245)*0.42</f>
        <v>0</v>
      </c>
      <c r="X247" s="111">
        <v>0</v>
      </c>
      <c r="Y247" s="111">
        <f>W247</f>
        <v>0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0</v>
      </c>
      <c r="D248" s="111">
        <f t="shared" ref="D248:Y248" si="195">SUM(D246:D247)</f>
        <v>0</v>
      </c>
      <c r="E248" s="111">
        <f t="shared" si="195"/>
        <v>0</v>
      </c>
      <c r="F248" s="111">
        <f t="shared" si="195"/>
        <v>0</v>
      </c>
      <c r="G248" s="111">
        <f t="shared" si="195"/>
        <v>0</v>
      </c>
      <c r="H248" s="111">
        <f t="shared" si="195"/>
        <v>0</v>
      </c>
      <c r="I248" s="111">
        <f t="shared" si="195"/>
        <v>0</v>
      </c>
      <c r="J248" s="111">
        <f t="shared" si="195"/>
        <v>0</v>
      </c>
      <c r="K248" s="111">
        <f t="shared" si="195"/>
        <v>0</v>
      </c>
      <c r="L248" s="111">
        <f t="shared" si="195"/>
        <v>0</v>
      </c>
      <c r="M248" s="111">
        <f t="shared" si="195"/>
        <v>0</v>
      </c>
      <c r="N248" s="111">
        <f t="shared" si="195"/>
        <v>0</v>
      </c>
      <c r="O248" s="111">
        <f t="shared" si="195"/>
        <v>0</v>
      </c>
      <c r="P248" s="111">
        <f t="shared" si="195"/>
        <v>0</v>
      </c>
      <c r="Q248" s="111">
        <f t="shared" si="195"/>
        <v>0</v>
      </c>
      <c r="R248" s="111">
        <f t="shared" si="195"/>
        <v>0</v>
      </c>
      <c r="S248" s="111">
        <f t="shared" si="195"/>
        <v>0</v>
      </c>
      <c r="T248" s="111">
        <f t="shared" si="195"/>
        <v>0</v>
      </c>
      <c r="U248" s="111">
        <f t="shared" si="195"/>
        <v>0</v>
      </c>
      <c r="V248" s="111">
        <f t="shared" si="195"/>
        <v>0</v>
      </c>
      <c r="W248" s="111">
        <f t="shared" si="195"/>
        <v>0</v>
      </c>
      <c r="X248" s="111">
        <f t="shared" si="195"/>
        <v>0</v>
      </c>
      <c r="Y248" s="111">
        <f t="shared" si="195"/>
        <v>0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3" customFormat="1" x14ac:dyDescent="0.25">
      <c r="C249" s="14"/>
      <c r="D249" s="14"/>
      <c r="E249" s="14"/>
      <c r="F249" s="14"/>
      <c r="G249" s="14"/>
      <c r="H249" s="14"/>
      <c r="I249" s="14"/>
      <c r="J249" s="14"/>
      <c r="K249" s="14"/>
      <c r="M249" s="14"/>
      <c r="N249" s="14"/>
      <c r="O249" s="14"/>
      <c r="Q249" s="14"/>
      <c r="R249" s="14"/>
      <c r="S249" s="14"/>
      <c r="U249" s="14"/>
      <c r="V249" s="16"/>
      <c r="W249" s="14"/>
      <c r="X249" s="14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169" customFormat="1" x14ac:dyDescent="0.25">
      <c r="A252" s="170" t="s">
        <v>57</v>
      </c>
      <c r="B252" s="169" t="s">
        <v>57</v>
      </c>
      <c r="C252" s="172">
        <v>0</v>
      </c>
      <c r="D252" s="173">
        <v>0</v>
      </c>
      <c r="E252" s="173">
        <f t="shared" ref="E252:E255" si="196">SUM(C252:D252)</f>
        <v>0</v>
      </c>
      <c r="F252" s="175"/>
      <c r="G252" s="172">
        <f>C252*1.03</f>
        <v>0</v>
      </c>
      <c r="H252" s="173">
        <f>D252*1.03</f>
        <v>0</v>
      </c>
      <c r="I252" s="173">
        <f t="shared" ref="I252:I255" si="197">SUM(G252:H252)</f>
        <v>0</v>
      </c>
      <c r="J252" s="175"/>
      <c r="K252" s="172">
        <f>G252*1.03</f>
        <v>0</v>
      </c>
      <c r="L252" s="173">
        <f>H252*1.03</f>
        <v>0</v>
      </c>
      <c r="M252" s="173">
        <f t="shared" ref="M252:M255" si="198">SUM(K252:L252)</f>
        <v>0</v>
      </c>
      <c r="N252" s="175"/>
      <c r="O252" s="172">
        <f>K252*1.03</f>
        <v>0</v>
      </c>
      <c r="P252" s="173">
        <f>L252*1.03</f>
        <v>0</v>
      </c>
      <c r="Q252" s="173">
        <f t="shared" ref="Q252:Q255" si="199">SUM(O252:P252)</f>
        <v>0</v>
      </c>
      <c r="R252" s="175"/>
      <c r="S252" s="172">
        <f>O252*1.03</f>
        <v>0</v>
      </c>
      <c r="T252" s="173">
        <f>P252*1.03</f>
        <v>0</v>
      </c>
      <c r="U252" s="173">
        <f t="shared" ref="U252:U255" si="200">SUM(S252:T252)</f>
        <v>0</v>
      </c>
      <c r="V252" s="176"/>
      <c r="W252" s="227">
        <f>C252+G252+K252+O252+S252</f>
        <v>0</v>
      </c>
      <c r="X252" s="173">
        <f t="shared" ref="X252:Y256" si="201">D252+H252+L252+P252+T252</f>
        <v>0</v>
      </c>
      <c r="Y252" s="177">
        <f t="shared" si="201"/>
        <v>0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si="196"/>
        <v>0</v>
      </c>
      <c r="F253" s="175"/>
      <c r="G253" s="172">
        <f t="shared" ref="G253:H255" si="202">C253*1.03</f>
        <v>0</v>
      </c>
      <c r="H253" s="173">
        <f t="shared" si="202"/>
        <v>0</v>
      </c>
      <c r="I253" s="173">
        <f t="shared" si="197"/>
        <v>0</v>
      </c>
      <c r="J253" s="175"/>
      <c r="K253" s="172">
        <f t="shared" ref="K253:L255" si="203">G253*1.03</f>
        <v>0</v>
      </c>
      <c r="L253" s="173">
        <f t="shared" si="203"/>
        <v>0</v>
      </c>
      <c r="M253" s="173">
        <f t="shared" si="198"/>
        <v>0</v>
      </c>
      <c r="N253" s="175"/>
      <c r="O253" s="172">
        <f t="shared" ref="O253:P255" si="204">K253*1.03</f>
        <v>0</v>
      </c>
      <c r="P253" s="173">
        <f t="shared" si="204"/>
        <v>0</v>
      </c>
      <c r="Q253" s="173">
        <f t="shared" si="199"/>
        <v>0</v>
      </c>
      <c r="R253" s="175"/>
      <c r="S253" s="172">
        <f t="shared" ref="S253:T255" si="205">O253*1.03</f>
        <v>0</v>
      </c>
      <c r="T253" s="173">
        <f t="shared" si="205"/>
        <v>0</v>
      </c>
      <c r="U253" s="173">
        <f t="shared" si="200"/>
        <v>0</v>
      </c>
      <c r="V253" s="176"/>
      <c r="W253" s="227">
        <f t="shared" ref="W253:W256" si="206">C253+G253+K253+O253+S253</f>
        <v>0</v>
      </c>
      <c r="X253" s="173">
        <f t="shared" si="201"/>
        <v>0</v>
      </c>
      <c r="Y253" s="177">
        <f t="shared" si="201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196"/>
        <v>0</v>
      </c>
      <c r="F254" s="175"/>
      <c r="G254" s="172">
        <f t="shared" si="202"/>
        <v>0</v>
      </c>
      <c r="H254" s="173">
        <f t="shared" si="202"/>
        <v>0</v>
      </c>
      <c r="I254" s="173">
        <f t="shared" si="197"/>
        <v>0</v>
      </c>
      <c r="J254" s="175"/>
      <c r="K254" s="172">
        <f t="shared" si="203"/>
        <v>0</v>
      </c>
      <c r="L254" s="173">
        <f t="shared" si="203"/>
        <v>0</v>
      </c>
      <c r="M254" s="173">
        <f t="shared" si="198"/>
        <v>0</v>
      </c>
      <c r="N254" s="175"/>
      <c r="O254" s="172">
        <f t="shared" si="204"/>
        <v>0</v>
      </c>
      <c r="P254" s="173">
        <f t="shared" si="204"/>
        <v>0</v>
      </c>
      <c r="Q254" s="173">
        <f t="shared" si="199"/>
        <v>0</v>
      </c>
      <c r="R254" s="175"/>
      <c r="S254" s="172">
        <f t="shared" si="205"/>
        <v>0</v>
      </c>
      <c r="T254" s="173">
        <f t="shared" si="205"/>
        <v>0</v>
      </c>
      <c r="U254" s="173">
        <f t="shared" si="200"/>
        <v>0</v>
      </c>
      <c r="V254" s="176"/>
      <c r="W254" s="227">
        <f t="shared" si="206"/>
        <v>0</v>
      </c>
      <c r="X254" s="173">
        <f t="shared" si="201"/>
        <v>0</v>
      </c>
      <c r="Y254" s="177">
        <f t="shared" si="201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196"/>
        <v>0</v>
      </c>
      <c r="F255" s="175"/>
      <c r="G255" s="172">
        <f t="shared" si="202"/>
        <v>0</v>
      </c>
      <c r="H255" s="173">
        <f t="shared" si="202"/>
        <v>0</v>
      </c>
      <c r="I255" s="173">
        <f t="shared" si="197"/>
        <v>0</v>
      </c>
      <c r="J255" s="175"/>
      <c r="K255" s="172">
        <f t="shared" si="203"/>
        <v>0</v>
      </c>
      <c r="L255" s="173">
        <f t="shared" si="203"/>
        <v>0</v>
      </c>
      <c r="M255" s="173">
        <f t="shared" si="198"/>
        <v>0</v>
      </c>
      <c r="N255" s="175"/>
      <c r="O255" s="172">
        <f t="shared" si="204"/>
        <v>0</v>
      </c>
      <c r="P255" s="173">
        <f t="shared" si="204"/>
        <v>0</v>
      </c>
      <c r="Q255" s="173">
        <f t="shared" si="199"/>
        <v>0</v>
      </c>
      <c r="R255" s="175"/>
      <c r="S255" s="172">
        <f t="shared" si="205"/>
        <v>0</v>
      </c>
      <c r="T255" s="173">
        <f t="shared" si="205"/>
        <v>0</v>
      </c>
      <c r="U255" s="173">
        <f t="shared" si="200"/>
        <v>0</v>
      </c>
      <c r="V255" s="176"/>
      <c r="W255" s="227">
        <f t="shared" si="206"/>
        <v>0</v>
      </c>
      <c r="X255" s="173">
        <f t="shared" si="201"/>
        <v>0</v>
      </c>
      <c r="Y255" s="177">
        <f t="shared" si="201"/>
        <v>0</v>
      </c>
    </row>
    <row r="256" spans="1:77" s="83" customFormat="1" x14ac:dyDescent="0.25">
      <c r="A256" s="78"/>
      <c r="B256" s="78" t="s">
        <v>9</v>
      </c>
      <c r="C256" s="228">
        <f>SUM(C252:C255)</f>
        <v>0</v>
      </c>
      <c r="D256" s="125">
        <f>SUM(D252:D255)</f>
        <v>0</v>
      </c>
      <c r="E256" s="125">
        <f>SUM(E252:E255)</f>
        <v>0</v>
      </c>
      <c r="F256" s="81"/>
      <c r="G256" s="79">
        <f>SUM(G252:G255)</f>
        <v>0</v>
      </c>
      <c r="H256" s="80">
        <f>SUM(H252:H255)</f>
        <v>0</v>
      </c>
      <c r="I256" s="80">
        <f>SUM(I252:I255)</f>
        <v>0</v>
      </c>
      <c r="J256" s="81"/>
      <c r="K256" s="79">
        <f>SUM(K252:K255)</f>
        <v>0</v>
      </c>
      <c r="L256" s="80">
        <f>SUM(L252:L255)</f>
        <v>0</v>
      </c>
      <c r="M256" s="80">
        <f>SUM(M252:M255)</f>
        <v>0</v>
      </c>
      <c r="N256" s="81"/>
      <c r="O256" s="79">
        <f>SUM(O252:O255)</f>
        <v>0</v>
      </c>
      <c r="P256" s="80">
        <f>SUM(P252:P255)</f>
        <v>0</v>
      </c>
      <c r="Q256" s="80">
        <f>SUM(Q252:Q255)</f>
        <v>0</v>
      </c>
      <c r="R256" s="81"/>
      <c r="S256" s="79">
        <f>SUM(S252:S255)</f>
        <v>0</v>
      </c>
      <c r="T256" s="80">
        <f>SUM(T252:T255)</f>
        <v>0</v>
      </c>
      <c r="U256" s="80">
        <f>SUM(U252:U255)</f>
        <v>0</v>
      </c>
      <c r="V256" s="82"/>
      <c r="W256" s="228">
        <f t="shared" si="206"/>
        <v>0</v>
      </c>
      <c r="X256" s="80">
        <f t="shared" si="201"/>
        <v>0</v>
      </c>
      <c r="Y256" s="80">
        <f t="shared" si="201"/>
        <v>0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:L261" si="207">G258*1.03</f>
        <v>0</v>
      </c>
      <c r="L258" s="57">
        <f t="shared" si="207"/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Y262" si="208">C258+G258+K258+O258+S258</f>
        <v>0</v>
      </c>
      <c r="X258" s="57">
        <f t="shared" si="208"/>
        <v>0</v>
      </c>
      <c r="Y258" s="57">
        <f t="shared" ref="Y258:Y261" si="209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24">
        <v>0</v>
      </c>
      <c r="D259" s="56">
        <v>0</v>
      </c>
      <c r="E259" s="56">
        <f t="shared" ref="E259:E261" si="210">SUM(C259:D259)</f>
        <v>0</v>
      </c>
      <c r="F259" s="58"/>
      <c r="G259" s="55">
        <f t="shared" ref="G259:H261" si="211">C259*1.03</f>
        <v>0</v>
      </c>
      <c r="H259" s="57">
        <f t="shared" si="211"/>
        <v>0</v>
      </c>
      <c r="I259" s="57">
        <f t="shared" ref="I259:I261" si="212">SUM(G259:H259)</f>
        <v>0</v>
      </c>
      <c r="J259" s="58"/>
      <c r="K259" s="55">
        <f t="shared" si="207"/>
        <v>0</v>
      </c>
      <c r="L259" s="57">
        <f t="shared" si="207"/>
        <v>0</v>
      </c>
      <c r="M259" s="57">
        <f t="shared" ref="M259:M261" si="213">SUM(K259:L259)</f>
        <v>0</v>
      </c>
      <c r="N259" s="58"/>
      <c r="O259" s="55">
        <f t="shared" ref="O259:P261" si="214">K259*1.03</f>
        <v>0</v>
      </c>
      <c r="P259" s="57">
        <f t="shared" si="214"/>
        <v>0</v>
      </c>
      <c r="Q259" s="57">
        <f t="shared" ref="Q259:Q261" si="215">SUM(O259:P259)</f>
        <v>0</v>
      </c>
      <c r="R259" s="58"/>
      <c r="S259" s="55">
        <f t="shared" ref="S259:T261" si="216">O259*1.03</f>
        <v>0</v>
      </c>
      <c r="T259" s="57">
        <f t="shared" si="216"/>
        <v>0</v>
      </c>
      <c r="U259" s="57">
        <f t="shared" ref="U259:U261" si="217">SUM(S259:T259)</f>
        <v>0</v>
      </c>
      <c r="V259" s="59"/>
      <c r="W259" s="124">
        <f t="shared" si="208"/>
        <v>0</v>
      </c>
      <c r="X259" s="57">
        <f t="shared" si="208"/>
        <v>0</v>
      </c>
      <c r="Y259" s="57">
        <f t="shared" si="209"/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si="210"/>
        <v>0</v>
      </c>
      <c r="F260" s="58"/>
      <c r="G260" s="55">
        <f t="shared" si="211"/>
        <v>0</v>
      </c>
      <c r="H260" s="57">
        <f t="shared" si="211"/>
        <v>0</v>
      </c>
      <c r="I260" s="57">
        <f t="shared" si="212"/>
        <v>0</v>
      </c>
      <c r="J260" s="58"/>
      <c r="K260" s="55">
        <f t="shared" si="207"/>
        <v>0</v>
      </c>
      <c r="L260" s="57">
        <f t="shared" si="207"/>
        <v>0</v>
      </c>
      <c r="M260" s="57">
        <f t="shared" si="213"/>
        <v>0</v>
      </c>
      <c r="N260" s="58"/>
      <c r="O260" s="55">
        <f t="shared" si="214"/>
        <v>0</v>
      </c>
      <c r="P260" s="57">
        <f t="shared" si="214"/>
        <v>0</v>
      </c>
      <c r="Q260" s="57">
        <f t="shared" si="215"/>
        <v>0</v>
      </c>
      <c r="R260" s="58"/>
      <c r="S260" s="55">
        <f t="shared" si="216"/>
        <v>0</v>
      </c>
      <c r="T260" s="57">
        <f t="shared" si="216"/>
        <v>0</v>
      </c>
      <c r="U260" s="57">
        <f t="shared" si="217"/>
        <v>0</v>
      </c>
      <c r="V260" s="59"/>
      <c r="W260" s="124">
        <f t="shared" si="208"/>
        <v>0</v>
      </c>
      <c r="X260" s="57">
        <f t="shared" si="208"/>
        <v>0</v>
      </c>
      <c r="Y260" s="57">
        <f t="shared" si="209"/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210"/>
        <v>0</v>
      </c>
      <c r="F261" s="58"/>
      <c r="G261" s="55">
        <f t="shared" si="211"/>
        <v>0</v>
      </c>
      <c r="H261" s="57">
        <f t="shared" si="211"/>
        <v>0</v>
      </c>
      <c r="I261" s="57">
        <f t="shared" si="212"/>
        <v>0</v>
      </c>
      <c r="J261" s="58"/>
      <c r="K261" s="55">
        <f t="shared" si="207"/>
        <v>0</v>
      </c>
      <c r="L261" s="57">
        <f t="shared" si="207"/>
        <v>0</v>
      </c>
      <c r="M261" s="57">
        <f t="shared" si="213"/>
        <v>0</v>
      </c>
      <c r="N261" s="58"/>
      <c r="O261" s="55">
        <f t="shared" si="214"/>
        <v>0</v>
      </c>
      <c r="P261" s="57">
        <f t="shared" si="214"/>
        <v>0</v>
      </c>
      <c r="Q261" s="57">
        <f t="shared" si="215"/>
        <v>0</v>
      </c>
      <c r="R261" s="58"/>
      <c r="S261" s="55">
        <f t="shared" si="216"/>
        <v>0</v>
      </c>
      <c r="T261" s="57">
        <f t="shared" si="216"/>
        <v>0</v>
      </c>
      <c r="U261" s="57">
        <f t="shared" si="217"/>
        <v>0</v>
      </c>
      <c r="V261" s="59"/>
      <c r="W261" s="124">
        <f t="shared" si="208"/>
        <v>0</v>
      </c>
      <c r="X261" s="57">
        <f t="shared" si="208"/>
        <v>0</v>
      </c>
      <c r="Y261" s="57">
        <f t="shared" si="209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208"/>
        <v>0</v>
      </c>
      <c r="X262" s="80">
        <f t="shared" si="208"/>
        <v>0</v>
      </c>
      <c r="Y262" s="80">
        <f t="shared" si="208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218">C262+C256</f>
        <v>0</v>
      </c>
      <c r="D263" s="242">
        <f t="shared" si="218"/>
        <v>0</v>
      </c>
      <c r="E263" s="242">
        <f t="shared" si="218"/>
        <v>0</v>
      </c>
      <c r="F263" s="242">
        <f t="shared" si="218"/>
        <v>0</v>
      </c>
      <c r="G263" s="242">
        <f t="shared" si="218"/>
        <v>0</v>
      </c>
      <c r="H263" s="242">
        <f t="shared" si="218"/>
        <v>0</v>
      </c>
      <c r="I263" s="242">
        <f t="shared" si="218"/>
        <v>0</v>
      </c>
      <c r="J263" s="242">
        <f t="shared" si="218"/>
        <v>0</v>
      </c>
      <c r="K263" s="242">
        <f t="shared" si="218"/>
        <v>0</v>
      </c>
      <c r="L263" s="242">
        <f t="shared" si="218"/>
        <v>0</v>
      </c>
      <c r="M263" s="242">
        <f t="shared" si="218"/>
        <v>0</v>
      </c>
      <c r="N263" s="242">
        <f t="shared" si="218"/>
        <v>0</v>
      </c>
      <c r="O263" s="242">
        <f t="shared" si="218"/>
        <v>0</v>
      </c>
      <c r="P263" s="242">
        <f t="shared" si="218"/>
        <v>0</v>
      </c>
      <c r="Q263" s="242">
        <f t="shared" si="218"/>
        <v>0</v>
      </c>
      <c r="R263" s="242">
        <f t="shared" si="218"/>
        <v>0</v>
      </c>
      <c r="S263" s="242">
        <f t="shared" si="218"/>
        <v>0</v>
      </c>
      <c r="T263" s="242">
        <f t="shared" si="218"/>
        <v>0</v>
      </c>
      <c r="U263" s="242">
        <f t="shared" si="218"/>
        <v>0</v>
      </c>
      <c r="V263" s="242">
        <f t="shared" si="218"/>
        <v>0</v>
      </c>
      <c r="W263" s="242">
        <f t="shared" si="218"/>
        <v>0</v>
      </c>
      <c r="X263" s="242">
        <f t="shared" si="218"/>
        <v>0</v>
      </c>
      <c r="Y263" s="243">
        <f>E263+I263+M263+Q263+U263</f>
        <v>0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56">
        <f t="shared" ref="E265:E267" si="219">SUM(C265:D265)</f>
        <v>0</v>
      </c>
      <c r="F265" s="58"/>
      <c r="G265" s="124">
        <f>G258*A265*1.03*1.03</f>
        <v>0</v>
      </c>
      <c r="H265" s="56">
        <f>H258*A265*1.03</f>
        <v>0</v>
      </c>
      <c r="I265" s="57">
        <f t="shared" ref="I265:I267" si="220">SUM(G265:H265)</f>
        <v>0</v>
      </c>
      <c r="J265" s="58"/>
      <c r="K265" s="124">
        <f>K258*A265*1.03*1.03*1.03</f>
        <v>0</v>
      </c>
      <c r="L265" s="56">
        <f>L258*A265*1.03*1.03</f>
        <v>0</v>
      </c>
      <c r="M265" s="57">
        <f t="shared" ref="M265:M267" si="221">SUM(K265:L265)</f>
        <v>0</v>
      </c>
      <c r="N265" s="58"/>
      <c r="O265" s="124">
        <f>O258*A265*1.03*1.03*1.03*1.03</f>
        <v>0</v>
      </c>
      <c r="P265" s="56">
        <f>P258*A265*1.03*1.03*1.03</f>
        <v>0</v>
      </c>
      <c r="Q265" s="57">
        <f t="shared" ref="Q265:Q267" si="222">SUM(O265:P265)</f>
        <v>0</v>
      </c>
      <c r="R265" s="58"/>
      <c r="S265" s="124">
        <f>S258*A265*1.03*1.03*1.03*1.03*1.03</f>
        <v>0</v>
      </c>
      <c r="T265" s="56">
        <f>T258*A265*1.03*1.03*1.03*1.03</f>
        <v>0</v>
      </c>
      <c r="U265" s="57">
        <f t="shared" ref="U265:U267" si="223">SUM(S265:T265)</f>
        <v>0</v>
      </c>
      <c r="V265" s="59"/>
      <c r="W265" s="124">
        <f t="shared" ref="W265:Y268" si="224">C265+G265+K265+O265+S265</f>
        <v>0</v>
      </c>
      <c r="X265" s="57">
        <f t="shared" si="224"/>
        <v>0</v>
      </c>
      <c r="Y265" s="84">
        <f t="shared" si="224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0</v>
      </c>
      <c r="D266" s="56">
        <f>D256*A266*1.03</f>
        <v>0</v>
      </c>
      <c r="E266" s="56">
        <f t="shared" si="219"/>
        <v>0</v>
      </c>
      <c r="F266" s="58"/>
      <c r="G266" s="124">
        <f>G256*A266*1.03*1.03</f>
        <v>0</v>
      </c>
      <c r="H266" s="56">
        <f>H256*A266*1.03*1.03</f>
        <v>0</v>
      </c>
      <c r="I266" s="57">
        <f t="shared" si="220"/>
        <v>0</v>
      </c>
      <c r="J266" s="58"/>
      <c r="K266" s="124">
        <f>K260*A266*1.03*1.03</f>
        <v>0</v>
      </c>
      <c r="L266" s="56">
        <f>L260*A266*1.03*1.03</f>
        <v>0</v>
      </c>
      <c r="M266" s="57">
        <f t="shared" si="221"/>
        <v>0</v>
      </c>
      <c r="N266" s="58"/>
      <c r="O266" s="124">
        <f>O260*A266*1.03*1.03*1.03</f>
        <v>0</v>
      </c>
      <c r="P266" s="56">
        <f>P260*A266*1.03*1.03*1.03</f>
        <v>0</v>
      </c>
      <c r="Q266" s="57">
        <f t="shared" si="222"/>
        <v>0</v>
      </c>
      <c r="R266" s="58"/>
      <c r="S266" s="124">
        <f>S260*A266*1.03*1.03*1.03*1.03</f>
        <v>0</v>
      </c>
      <c r="T266" s="56">
        <f>T260*A266*1.03*1.03*1.03*1.03</f>
        <v>0</v>
      </c>
      <c r="U266" s="57">
        <f t="shared" si="223"/>
        <v>0</v>
      </c>
      <c r="V266" s="59"/>
      <c r="W266" s="124">
        <f t="shared" si="224"/>
        <v>0</v>
      </c>
      <c r="X266" s="57">
        <f t="shared" si="224"/>
        <v>0</v>
      </c>
      <c r="Y266" s="84">
        <f t="shared" si="224"/>
        <v>0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56">
        <f t="shared" si="219"/>
        <v>0</v>
      </c>
      <c r="F267" s="58"/>
      <c r="G267" s="55">
        <f>C267*1.05</f>
        <v>0</v>
      </c>
      <c r="H267" s="57">
        <f>D267*1.05</f>
        <v>0</v>
      </c>
      <c r="I267" s="57">
        <f t="shared" si="220"/>
        <v>0</v>
      </c>
      <c r="J267" s="58"/>
      <c r="K267" s="55">
        <f>K256*A266*1.03*1.03*1.03</f>
        <v>0</v>
      </c>
      <c r="L267" s="56">
        <f>L256*A266*1.03*1.03*1.03</f>
        <v>0</v>
      </c>
      <c r="M267" s="57">
        <f t="shared" si="221"/>
        <v>0</v>
      </c>
      <c r="N267" s="58"/>
      <c r="O267" s="55">
        <f>O256*A266*1.03*1.03*1.03*1.03</f>
        <v>0</v>
      </c>
      <c r="P267" s="56">
        <f>P256*A266*1.03*1.03*1.03*1.03</f>
        <v>0</v>
      </c>
      <c r="Q267" s="57">
        <f t="shared" si="222"/>
        <v>0</v>
      </c>
      <c r="R267" s="58"/>
      <c r="S267" s="55">
        <f>S256*A266*1.03*1.03*1.03*1.03*1.03</f>
        <v>0</v>
      </c>
      <c r="T267" s="56">
        <f>T256*A266*1.03*1.03*1.03*1.03*1.03</f>
        <v>0</v>
      </c>
      <c r="U267" s="57">
        <f t="shared" si="223"/>
        <v>0</v>
      </c>
      <c r="V267" s="59"/>
      <c r="W267" s="124">
        <f t="shared" si="224"/>
        <v>0</v>
      </c>
      <c r="X267" s="57">
        <f t="shared" si="224"/>
        <v>0</v>
      </c>
      <c r="Y267" s="84">
        <f t="shared" si="224"/>
        <v>0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0</v>
      </c>
      <c r="D268" s="125">
        <f>SUM(D265:D267)</f>
        <v>0</v>
      </c>
      <c r="E268" s="125">
        <f>SUM(E265:E267)</f>
        <v>0</v>
      </c>
      <c r="F268" s="81"/>
      <c r="G268" s="79">
        <f>SUM(G265:G267)</f>
        <v>0</v>
      </c>
      <c r="H268" s="80">
        <f>SUM(H265:H267)</f>
        <v>0</v>
      </c>
      <c r="I268" s="80">
        <f>SUM(I265:I267)</f>
        <v>0</v>
      </c>
      <c r="J268" s="81"/>
      <c r="K268" s="79">
        <f>SUM(K265:K267)</f>
        <v>0</v>
      </c>
      <c r="L268" s="80">
        <f>SUM(L265:L267)</f>
        <v>0</v>
      </c>
      <c r="M268" s="80">
        <f>SUM(M265:M267)</f>
        <v>0</v>
      </c>
      <c r="N268" s="81"/>
      <c r="O268" s="79">
        <f>SUM(O265:O267)</f>
        <v>0</v>
      </c>
      <c r="P268" s="80">
        <f>SUM(P265:P267)</f>
        <v>0</v>
      </c>
      <c r="Q268" s="80">
        <f>SUM(Q265:Q267)</f>
        <v>0</v>
      </c>
      <c r="R268" s="81"/>
      <c r="S268" s="79">
        <f>SUM(S265:S267)</f>
        <v>0</v>
      </c>
      <c r="T268" s="80">
        <f>SUM(T265:T267)</f>
        <v>0</v>
      </c>
      <c r="U268" s="80">
        <f>SUM(U265:U267)</f>
        <v>0</v>
      </c>
      <c r="V268" s="82"/>
      <c r="W268" s="228">
        <f t="shared" si="224"/>
        <v>0</v>
      </c>
      <c r="X268" s="80">
        <f t="shared" si="224"/>
        <v>0</v>
      </c>
      <c r="Y268" s="80">
        <f t="shared" si="224"/>
        <v>0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225">C268+C263</f>
        <v>0</v>
      </c>
      <c r="D269" s="242">
        <f t="shared" si="225"/>
        <v>0</v>
      </c>
      <c r="E269" s="242">
        <f t="shared" si="225"/>
        <v>0</v>
      </c>
      <c r="F269" s="242">
        <f t="shared" si="225"/>
        <v>0</v>
      </c>
      <c r="G269" s="242">
        <f t="shared" si="225"/>
        <v>0</v>
      </c>
      <c r="H269" s="242">
        <f t="shared" si="225"/>
        <v>0</v>
      </c>
      <c r="I269" s="242">
        <f t="shared" si="225"/>
        <v>0</v>
      </c>
      <c r="J269" s="242">
        <f t="shared" si="225"/>
        <v>0</v>
      </c>
      <c r="K269" s="242">
        <f t="shared" si="225"/>
        <v>0</v>
      </c>
      <c r="L269" s="242">
        <f t="shared" si="225"/>
        <v>0</v>
      </c>
      <c r="M269" s="242">
        <f t="shared" si="225"/>
        <v>0</v>
      </c>
      <c r="N269" s="242">
        <f t="shared" si="225"/>
        <v>0</v>
      </c>
      <c r="O269" s="242">
        <f t="shared" si="225"/>
        <v>0</v>
      </c>
      <c r="P269" s="242">
        <f t="shared" si="225"/>
        <v>0</v>
      </c>
      <c r="Q269" s="242">
        <f t="shared" si="225"/>
        <v>0</v>
      </c>
      <c r="R269" s="242">
        <f t="shared" si="225"/>
        <v>0</v>
      </c>
      <c r="S269" s="242">
        <f t="shared" si="225"/>
        <v>0</v>
      </c>
      <c r="T269" s="242">
        <f t="shared" si="225"/>
        <v>0</v>
      </c>
      <c r="U269" s="242">
        <f t="shared" si="225"/>
        <v>0</v>
      </c>
      <c r="V269" s="242">
        <f t="shared" si="225"/>
        <v>0</v>
      </c>
      <c r="W269" s="242">
        <f t="shared" si="225"/>
        <v>0</v>
      </c>
      <c r="X269" s="242">
        <f t="shared" si="225"/>
        <v>0</v>
      </c>
      <c r="Y269" s="242">
        <f t="shared" si="225"/>
        <v>0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226">SUM(C271:D271)</f>
        <v>0</v>
      </c>
      <c r="F271" s="58"/>
      <c r="G271" s="55">
        <v>0</v>
      </c>
      <c r="H271" s="57">
        <v>0</v>
      </c>
      <c r="I271" s="57">
        <f t="shared" ref="I271:I273" si="227">SUM(G271:H271)</f>
        <v>0</v>
      </c>
      <c r="J271" s="58"/>
      <c r="K271" s="55">
        <v>0</v>
      </c>
      <c r="L271" s="57">
        <v>0</v>
      </c>
      <c r="M271" s="57">
        <f t="shared" ref="M271:M273" si="228">SUM(K271:L271)</f>
        <v>0</v>
      </c>
      <c r="N271" s="58"/>
      <c r="O271" s="55">
        <v>0</v>
      </c>
      <c r="P271" s="57">
        <v>0</v>
      </c>
      <c r="Q271" s="57">
        <f t="shared" ref="Q271:Q273" si="229">SUM(O271:P271)</f>
        <v>0</v>
      </c>
      <c r="R271" s="58"/>
      <c r="S271" s="55">
        <v>0</v>
      </c>
      <c r="T271" s="57">
        <v>0</v>
      </c>
      <c r="U271" s="57">
        <f t="shared" ref="U271:U273" si="230">SUM(S271:T271)</f>
        <v>0</v>
      </c>
      <c r="V271" s="59"/>
      <c r="W271" s="124">
        <f t="shared" ref="W271:Y274" si="231">C271+G271+K271+O271+S271</f>
        <v>0</v>
      </c>
      <c r="X271" s="57">
        <f t="shared" si="231"/>
        <v>0</v>
      </c>
      <c r="Y271" s="84">
        <f t="shared" si="231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226"/>
        <v>0</v>
      </c>
      <c r="F272" s="58"/>
      <c r="G272" s="55">
        <v>0</v>
      </c>
      <c r="H272" s="57">
        <v>0</v>
      </c>
      <c r="I272" s="57">
        <f t="shared" si="227"/>
        <v>0</v>
      </c>
      <c r="J272" s="58"/>
      <c r="K272" s="55">
        <v>0</v>
      </c>
      <c r="L272" s="57">
        <v>0</v>
      </c>
      <c r="M272" s="57">
        <f t="shared" si="228"/>
        <v>0</v>
      </c>
      <c r="N272" s="58"/>
      <c r="O272" s="55">
        <f>K272</f>
        <v>0</v>
      </c>
      <c r="P272" s="57">
        <v>0</v>
      </c>
      <c r="Q272" s="57">
        <f t="shared" si="229"/>
        <v>0</v>
      </c>
      <c r="R272" s="58"/>
      <c r="S272" s="55">
        <f>O272</f>
        <v>0</v>
      </c>
      <c r="T272" s="57">
        <v>0</v>
      </c>
      <c r="U272" s="57">
        <f t="shared" si="230"/>
        <v>0</v>
      </c>
      <c r="V272" s="59"/>
      <c r="W272" s="124">
        <f t="shared" si="231"/>
        <v>0</v>
      </c>
      <c r="X272" s="57">
        <f t="shared" si="231"/>
        <v>0</v>
      </c>
      <c r="Y272" s="84">
        <f t="shared" si="231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226"/>
        <v>0</v>
      </c>
      <c r="F273" s="58"/>
      <c r="G273" s="55">
        <v>0</v>
      </c>
      <c r="H273" s="57">
        <v>0</v>
      </c>
      <c r="I273" s="57">
        <f t="shared" si="227"/>
        <v>0</v>
      </c>
      <c r="J273" s="58"/>
      <c r="K273" s="55">
        <f>G273</f>
        <v>0</v>
      </c>
      <c r="L273" s="57">
        <v>0</v>
      </c>
      <c r="M273" s="57">
        <f t="shared" si="228"/>
        <v>0</v>
      </c>
      <c r="N273" s="58"/>
      <c r="O273" s="55">
        <v>0</v>
      </c>
      <c r="P273" s="57">
        <v>0</v>
      </c>
      <c r="Q273" s="57">
        <f t="shared" si="229"/>
        <v>0</v>
      </c>
      <c r="R273" s="58"/>
      <c r="S273" s="55">
        <f>O273</f>
        <v>0</v>
      </c>
      <c r="T273" s="57">
        <v>0</v>
      </c>
      <c r="U273" s="57">
        <f t="shared" si="230"/>
        <v>0</v>
      </c>
      <c r="V273" s="59"/>
      <c r="W273" s="124">
        <f t="shared" si="231"/>
        <v>0</v>
      </c>
      <c r="X273" s="57">
        <f t="shared" si="231"/>
        <v>0</v>
      </c>
      <c r="Y273" s="84">
        <f t="shared" si="231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231"/>
        <v>0</v>
      </c>
      <c r="X274" s="80">
        <f t="shared" si="231"/>
        <v>0</v>
      </c>
      <c r="Y274" s="80">
        <f t="shared" si="231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144</v>
      </c>
      <c r="C276" s="124">
        <f>12*800*0.5*0</f>
        <v>0</v>
      </c>
      <c r="D276" s="56">
        <f>12*800*0.5*0</f>
        <v>0</v>
      </c>
      <c r="E276" s="56">
        <f t="shared" ref="E276:E278" si="232">SUM(C276:D276)</f>
        <v>0</v>
      </c>
      <c r="F276" s="58"/>
      <c r="G276" s="55">
        <f>C276</f>
        <v>0</v>
      </c>
      <c r="H276" s="57">
        <f>D276</f>
        <v>0</v>
      </c>
      <c r="I276" s="57">
        <f t="shared" ref="I276:I278" si="233">SUM(G276:H276)</f>
        <v>0</v>
      </c>
      <c r="J276" s="58"/>
      <c r="K276" s="55">
        <f>G276</f>
        <v>0</v>
      </c>
      <c r="L276" s="57">
        <f>H276</f>
        <v>0</v>
      </c>
      <c r="M276" s="57">
        <f t="shared" ref="M276:M278" si="234">SUM(K276:L276)</f>
        <v>0</v>
      </c>
      <c r="N276" s="58"/>
      <c r="O276" s="55">
        <f>K276</f>
        <v>0</v>
      </c>
      <c r="P276" s="57">
        <f>L276</f>
        <v>0</v>
      </c>
      <c r="Q276" s="57">
        <f t="shared" ref="Q276:Q278" si="235">SUM(O276:P276)</f>
        <v>0</v>
      </c>
      <c r="R276" s="58"/>
      <c r="S276" s="55">
        <f>O276</f>
        <v>0</v>
      </c>
      <c r="T276" s="57">
        <f>P276</f>
        <v>0</v>
      </c>
      <c r="U276" s="57">
        <f t="shared" ref="U276:U278" si="236">SUM(S276:T276)</f>
        <v>0</v>
      </c>
      <c r="V276" s="59"/>
      <c r="W276" s="124">
        <f t="shared" ref="W276:Y279" si="237">C276+G276+K276+O276+S276</f>
        <v>0</v>
      </c>
      <c r="X276" s="57">
        <f t="shared" si="237"/>
        <v>0</v>
      </c>
      <c r="Y276" s="84">
        <f t="shared" si="237"/>
        <v>0</v>
      </c>
    </row>
    <row r="277" spans="1:77" s="61" customFormat="1" x14ac:dyDescent="0.25">
      <c r="A277" s="203"/>
      <c r="B277" s="52" t="s">
        <v>57</v>
      </c>
      <c r="C277" s="124">
        <f>2000*5*0.5*0</f>
        <v>0</v>
      </c>
      <c r="D277" s="56">
        <f>2000*5*0.5*0</f>
        <v>0</v>
      </c>
      <c r="E277" s="56">
        <f t="shared" si="232"/>
        <v>0</v>
      </c>
      <c r="F277" s="58"/>
      <c r="G277" s="55">
        <f>C277</f>
        <v>0</v>
      </c>
      <c r="H277" s="57">
        <f>D277</f>
        <v>0</v>
      </c>
      <c r="I277" s="57">
        <f t="shared" si="233"/>
        <v>0</v>
      </c>
      <c r="J277" s="58"/>
      <c r="K277" s="55">
        <f>G277</f>
        <v>0</v>
      </c>
      <c r="L277" s="57">
        <f>H277</f>
        <v>0</v>
      </c>
      <c r="M277" s="57">
        <f t="shared" si="234"/>
        <v>0</v>
      </c>
      <c r="N277" s="58"/>
      <c r="O277" s="55">
        <f>K277</f>
        <v>0</v>
      </c>
      <c r="P277" s="57">
        <f>L277</f>
        <v>0</v>
      </c>
      <c r="Q277" s="57">
        <f t="shared" si="235"/>
        <v>0</v>
      </c>
      <c r="R277" s="58"/>
      <c r="S277" s="55">
        <f>O277</f>
        <v>0</v>
      </c>
      <c r="T277" s="57">
        <f>P277</f>
        <v>0</v>
      </c>
      <c r="U277" s="57">
        <f t="shared" si="236"/>
        <v>0</v>
      </c>
      <c r="V277" s="59"/>
      <c r="W277" s="124">
        <f t="shared" si="237"/>
        <v>0</v>
      </c>
      <c r="X277" s="57">
        <f t="shared" si="237"/>
        <v>0</v>
      </c>
      <c r="Y277" s="84">
        <f t="shared" si="237"/>
        <v>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si="232"/>
        <v>0</v>
      </c>
      <c r="F278" s="58"/>
      <c r="G278" s="55">
        <v>0</v>
      </c>
      <c r="H278" s="57">
        <v>0</v>
      </c>
      <c r="I278" s="57">
        <f t="shared" si="233"/>
        <v>0</v>
      </c>
      <c r="J278" s="58"/>
      <c r="K278" s="55">
        <v>0</v>
      </c>
      <c r="L278" s="57">
        <v>0</v>
      </c>
      <c r="M278" s="57">
        <f t="shared" si="234"/>
        <v>0</v>
      </c>
      <c r="N278" s="58"/>
      <c r="O278" s="55">
        <v>0</v>
      </c>
      <c r="P278" s="57">
        <v>0</v>
      </c>
      <c r="Q278" s="57">
        <f t="shared" si="235"/>
        <v>0</v>
      </c>
      <c r="R278" s="58"/>
      <c r="S278" s="55">
        <v>0</v>
      </c>
      <c r="T278" s="57">
        <v>0</v>
      </c>
      <c r="U278" s="57">
        <f t="shared" si="236"/>
        <v>0</v>
      </c>
      <c r="V278" s="59"/>
      <c r="W278" s="124">
        <f t="shared" si="237"/>
        <v>0</v>
      </c>
      <c r="X278" s="57">
        <f t="shared" si="237"/>
        <v>0</v>
      </c>
      <c r="Y278" s="84">
        <f t="shared" si="237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0</v>
      </c>
      <c r="D279" s="125">
        <f>SUM(D276:D278)</f>
        <v>0</v>
      </c>
      <c r="E279" s="125">
        <f>SUM(E276:E278)</f>
        <v>0</v>
      </c>
      <c r="F279" s="81"/>
      <c r="G279" s="79">
        <f>SUM(G276:G278)</f>
        <v>0</v>
      </c>
      <c r="H279" s="80">
        <f>SUM(H276:H278)</f>
        <v>0</v>
      </c>
      <c r="I279" s="80">
        <f>SUM(I276:I278)</f>
        <v>0</v>
      </c>
      <c r="J279" s="81"/>
      <c r="K279" s="79">
        <f>SUM(K276:K278)</f>
        <v>0</v>
      </c>
      <c r="L279" s="80">
        <f>SUM(L276:L278)</f>
        <v>0</v>
      </c>
      <c r="M279" s="80">
        <f>SUM(M276:M278)</f>
        <v>0</v>
      </c>
      <c r="N279" s="81"/>
      <c r="O279" s="79">
        <f>SUM(O276:O278)</f>
        <v>0</v>
      </c>
      <c r="P279" s="80">
        <f>SUM(P276:P278)</f>
        <v>0</v>
      </c>
      <c r="Q279" s="80">
        <f>SUM(Q276:Q278)</f>
        <v>0</v>
      </c>
      <c r="R279" s="81"/>
      <c r="S279" s="79">
        <f>SUM(S276:S278)</f>
        <v>0</v>
      </c>
      <c r="T279" s="80">
        <f>SUM(T276:T278)</f>
        <v>0</v>
      </c>
      <c r="U279" s="80">
        <f>SUM(U276:U278)</f>
        <v>0</v>
      </c>
      <c r="V279" s="82"/>
      <c r="W279" s="228">
        <f t="shared" si="237"/>
        <v>0</v>
      </c>
      <c r="X279" s="80">
        <f t="shared" si="237"/>
        <v>0</v>
      </c>
      <c r="Y279" s="80">
        <f t="shared" si="237"/>
        <v>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Y283" si="238">C281+G281+K281+O281+S281</f>
        <v>0</v>
      </c>
      <c r="X281" s="57">
        <f t="shared" si="238"/>
        <v>0</v>
      </c>
      <c r="Y281" s="84">
        <f t="shared" si="238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238"/>
        <v>0</v>
      </c>
      <c r="X282" s="56">
        <f t="shared" si="238"/>
        <v>0</v>
      </c>
      <c r="Y282" s="85">
        <f t="shared" si="238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238"/>
        <v>0</v>
      </c>
      <c r="X283" s="80">
        <f t="shared" si="238"/>
        <v>0</v>
      </c>
      <c r="Y283" s="80">
        <f t="shared" si="238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169" customFormat="1" x14ac:dyDescent="0.25">
      <c r="B285" s="169" t="s">
        <v>116</v>
      </c>
      <c r="C285" s="172">
        <v>0</v>
      </c>
      <c r="D285" s="174">
        <v>0</v>
      </c>
      <c r="E285" s="173">
        <f t="shared" ref="E285" si="239">SUM(C285:D285)</f>
        <v>0</v>
      </c>
      <c r="F285" s="175"/>
      <c r="G285" s="172">
        <f>C285</f>
        <v>0</v>
      </c>
      <c r="H285" s="174">
        <v>0</v>
      </c>
      <c r="I285" s="173">
        <f t="shared" ref="I285" si="240">SUM(G285:H285)</f>
        <v>0</v>
      </c>
      <c r="J285" s="175"/>
      <c r="K285" s="172">
        <f>G285</f>
        <v>0</v>
      </c>
      <c r="L285" s="174">
        <v>0</v>
      </c>
      <c r="M285" s="173">
        <f t="shared" ref="M285" si="241">SUM(K285:L285)</f>
        <v>0</v>
      </c>
      <c r="N285" s="175"/>
      <c r="O285" s="172">
        <f>K285</f>
        <v>0</v>
      </c>
      <c r="P285" s="174">
        <v>0</v>
      </c>
      <c r="Q285" s="174">
        <f t="shared" ref="Q285" si="242">SUM(O285:P285)</f>
        <v>0</v>
      </c>
      <c r="R285" s="175"/>
      <c r="S285" s="172">
        <f>O285</f>
        <v>0</v>
      </c>
      <c r="T285" s="174">
        <v>0</v>
      </c>
      <c r="U285" s="173">
        <f t="shared" ref="U285" si="243">SUM(S285:T285)</f>
        <v>0</v>
      </c>
      <c r="V285" s="176"/>
      <c r="W285" s="227">
        <f t="shared" ref="W285:Y289" si="244">C285+G285+K285+O285+S285</f>
        <v>0</v>
      </c>
      <c r="X285" s="173">
        <f t="shared" si="244"/>
        <v>0</v>
      </c>
      <c r="Y285" s="186">
        <f t="shared" si="244"/>
        <v>0</v>
      </c>
    </row>
    <row r="286" spans="1:77" s="61" customFormat="1" x14ac:dyDescent="0.25">
      <c r="A286" s="203"/>
      <c r="B286" s="54" t="s">
        <v>57</v>
      </c>
      <c r="C286" s="124">
        <v>0</v>
      </c>
      <c r="D286" s="56">
        <v>0</v>
      </c>
      <c r="E286" s="56">
        <f t="shared" ref="E286:E288" si="245">SUM(C286:D286)</f>
        <v>0</v>
      </c>
      <c r="F286" s="58"/>
      <c r="G286" s="55">
        <v>0</v>
      </c>
      <c r="H286" s="57">
        <v>0</v>
      </c>
      <c r="I286" s="57">
        <f t="shared" ref="I286:I288" si="246">SUM(G286:H286)</f>
        <v>0</v>
      </c>
      <c r="J286" s="58"/>
      <c r="K286" s="55">
        <v>0</v>
      </c>
      <c r="L286" s="56">
        <v>0</v>
      </c>
      <c r="M286" s="57">
        <f t="shared" ref="M286:M288" si="247">SUM(K286:L286)</f>
        <v>0</v>
      </c>
      <c r="N286" s="58"/>
      <c r="O286" s="55">
        <v>0</v>
      </c>
      <c r="P286" s="57">
        <v>0</v>
      </c>
      <c r="Q286" s="57">
        <f t="shared" ref="Q286:Q288" si="248">SUM(O286:P286)</f>
        <v>0</v>
      </c>
      <c r="R286" s="58"/>
      <c r="S286" s="55">
        <v>0</v>
      </c>
      <c r="T286" s="56">
        <v>0</v>
      </c>
      <c r="U286" s="57">
        <f t="shared" ref="U286:U288" si="249">SUM(S286:T286)</f>
        <v>0</v>
      </c>
      <c r="V286" s="59"/>
      <c r="W286" s="124">
        <f t="shared" si="244"/>
        <v>0</v>
      </c>
      <c r="X286" s="57">
        <f t="shared" si="244"/>
        <v>0</v>
      </c>
      <c r="Y286" s="84">
        <f t="shared" si="244"/>
        <v>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si="245"/>
        <v>0</v>
      </c>
      <c r="F287" s="58"/>
      <c r="G287" s="55">
        <v>0</v>
      </c>
      <c r="H287" s="57"/>
      <c r="I287" s="57">
        <f t="shared" si="246"/>
        <v>0</v>
      </c>
      <c r="J287" s="58"/>
      <c r="K287" s="55">
        <v>0</v>
      </c>
      <c r="L287" s="56">
        <v>0</v>
      </c>
      <c r="M287" s="57">
        <f t="shared" si="247"/>
        <v>0</v>
      </c>
      <c r="N287" s="58"/>
      <c r="O287" s="55">
        <v>0</v>
      </c>
      <c r="P287" s="56">
        <v>0</v>
      </c>
      <c r="Q287" s="56">
        <f t="shared" si="248"/>
        <v>0</v>
      </c>
      <c r="R287" s="58"/>
      <c r="S287" s="55">
        <v>0</v>
      </c>
      <c r="T287" s="56">
        <v>0</v>
      </c>
      <c r="U287" s="57">
        <f t="shared" si="249"/>
        <v>0</v>
      </c>
      <c r="V287" s="59"/>
      <c r="W287" s="124">
        <f t="shared" si="244"/>
        <v>0</v>
      </c>
      <c r="X287" s="57">
        <f t="shared" si="244"/>
        <v>0</v>
      </c>
      <c r="Y287" s="84">
        <f t="shared" si="244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245"/>
        <v>0</v>
      </c>
      <c r="F288" s="58"/>
      <c r="G288" s="55">
        <v>0</v>
      </c>
      <c r="H288" s="57">
        <v>0</v>
      </c>
      <c r="I288" s="57">
        <f t="shared" si="246"/>
        <v>0</v>
      </c>
      <c r="J288" s="58"/>
      <c r="K288" s="55">
        <v>0</v>
      </c>
      <c r="L288" s="57">
        <v>0</v>
      </c>
      <c r="M288" s="57">
        <f t="shared" si="247"/>
        <v>0</v>
      </c>
      <c r="N288" s="58"/>
      <c r="O288" s="55">
        <v>0</v>
      </c>
      <c r="P288" s="57">
        <v>0</v>
      </c>
      <c r="Q288" s="57">
        <f t="shared" si="248"/>
        <v>0</v>
      </c>
      <c r="R288" s="58"/>
      <c r="S288" s="55">
        <v>0</v>
      </c>
      <c r="T288" s="57">
        <v>0</v>
      </c>
      <c r="U288" s="57">
        <f t="shared" si="249"/>
        <v>0</v>
      </c>
      <c r="V288" s="59"/>
      <c r="W288" s="124">
        <f t="shared" si="244"/>
        <v>0</v>
      </c>
      <c r="X288" s="57">
        <f t="shared" si="244"/>
        <v>0</v>
      </c>
      <c r="Y288" s="84">
        <f t="shared" si="244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0</v>
      </c>
      <c r="D289" s="153">
        <f>SUM(D285:D288)</f>
        <v>0</v>
      </c>
      <c r="E289" s="153">
        <f>SUM(E285:E288)</f>
        <v>0</v>
      </c>
      <c r="F289" s="154"/>
      <c r="G289" s="152">
        <f>SUM(G285:G288)</f>
        <v>0</v>
      </c>
      <c r="H289" s="155">
        <f>SUM(H285:H288)</f>
        <v>0</v>
      </c>
      <c r="I289" s="155">
        <f>SUM(I285:I288)</f>
        <v>0</v>
      </c>
      <c r="J289" s="154"/>
      <c r="K289" s="152">
        <f>SUM(K285:K288)</f>
        <v>0</v>
      </c>
      <c r="L289" s="155">
        <f>SUM(L285:L288)</f>
        <v>0</v>
      </c>
      <c r="M289" s="155">
        <f>SUM(M285:M288)</f>
        <v>0</v>
      </c>
      <c r="N289" s="154"/>
      <c r="O289" s="152">
        <f>SUM(O285:O288)</f>
        <v>0</v>
      </c>
      <c r="P289" s="155">
        <f>SUM(P285:P288)</f>
        <v>0</v>
      </c>
      <c r="Q289" s="155">
        <f>SUM(Q285:Q288)</f>
        <v>0</v>
      </c>
      <c r="R289" s="154"/>
      <c r="S289" s="152">
        <f>SUM(S285:S288)</f>
        <v>0</v>
      </c>
      <c r="T289" s="155">
        <f>SUM(T285:T288)</f>
        <v>0</v>
      </c>
      <c r="U289" s="155">
        <f>SUM(U285:U288)</f>
        <v>0</v>
      </c>
      <c r="V289" s="82"/>
      <c r="W289" s="228">
        <f t="shared" si="244"/>
        <v>0</v>
      </c>
      <c r="X289" s="80">
        <f t="shared" si="244"/>
        <v>0</v>
      </c>
      <c r="Y289" s="80">
        <f t="shared" si="244"/>
        <v>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250">SUM(C269+C274+C279+C283+C289)</f>
        <v>0</v>
      </c>
      <c r="D290" s="246">
        <f t="shared" si="250"/>
        <v>0</v>
      </c>
      <c r="E290" s="246">
        <f t="shared" si="250"/>
        <v>0</v>
      </c>
      <c r="F290" s="246">
        <f t="shared" si="250"/>
        <v>0</v>
      </c>
      <c r="G290" s="246">
        <f t="shared" si="250"/>
        <v>0</v>
      </c>
      <c r="H290" s="246">
        <f t="shared" si="250"/>
        <v>0</v>
      </c>
      <c r="I290" s="246">
        <f t="shared" si="250"/>
        <v>0</v>
      </c>
      <c r="J290" s="246">
        <f t="shared" si="250"/>
        <v>0</v>
      </c>
      <c r="K290" s="246">
        <f t="shared" si="250"/>
        <v>0</v>
      </c>
      <c r="L290" s="246">
        <f t="shared" si="250"/>
        <v>0</v>
      </c>
      <c r="M290" s="246">
        <f t="shared" si="250"/>
        <v>0</v>
      </c>
      <c r="N290" s="246">
        <f t="shared" si="250"/>
        <v>0</v>
      </c>
      <c r="O290" s="246">
        <f t="shared" si="250"/>
        <v>0</v>
      </c>
      <c r="P290" s="246">
        <f t="shared" si="250"/>
        <v>0</v>
      </c>
      <c r="Q290" s="246">
        <f t="shared" si="250"/>
        <v>0</v>
      </c>
      <c r="R290" s="246">
        <f t="shared" si="250"/>
        <v>0</v>
      </c>
      <c r="S290" s="246">
        <f t="shared" si="250"/>
        <v>0</v>
      </c>
      <c r="T290" s="246">
        <f t="shared" si="250"/>
        <v>0</v>
      </c>
      <c r="U290" s="246">
        <f t="shared" si="250"/>
        <v>0</v>
      </c>
      <c r="V290" s="246">
        <f t="shared" si="250"/>
        <v>0</v>
      </c>
      <c r="W290" s="246">
        <f t="shared" si="250"/>
        <v>0</v>
      </c>
      <c r="X290" s="246">
        <f t="shared" si="250"/>
        <v>0</v>
      </c>
      <c r="Y290" s="246">
        <f t="shared" si="250"/>
        <v>0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0</v>
      </c>
      <c r="D291" s="246">
        <v>0</v>
      </c>
      <c r="E291" s="246">
        <f>C291</f>
        <v>0</v>
      </c>
      <c r="F291" s="246">
        <f>F263*0.47</f>
        <v>0</v>
      </c>
      <c r="G291" s="246">
        <f>((G263)*0.56)</f>
        <v>0</v>
      </c>
      <c r="H291" s="246">
        <v>0</v>
      </c>
      <c r="I291" s="246">
        <f>G291</f>
        <v>0</v>
      </c>
      <c r="J291" s="246">
        <f>J263*0.47</f>
        <v>0</v>
      </c>
      <c r="K291" s="246">
        <f>((K263)*0.56)</f>
        <v>0</v>
      </c>
      <c r="L291" s="246">
        <v>0</v>
      </c>
      <c r="M291" s="246">
        <f>K291</f>
        <v>0</v>
      </c>
      <c r="N291" s="246">
        <f>N263*0.47</f>
        <v>0</v>
      </c>
      <c r="O291" s="246">
        <f>((O263)*0.56)</f>
        <v>0</v>
      </c>
      <c r="P291" s="246">
        <v>0</v>
      </c>
      <c r="Q291" s="246">
        <f>O291</f>
        <v>0</v>
      </c>
      <c r="R291" s="246">
        <f>R263*0.47</f>
        <v>0</v>
      </c>
      <c r="S291" s="246">
        <f>((S263)*0.56)</f>
        <v>0</v>
      </c>
      <c r="T291" s="246">
        <v>0</v>
      </c>
      <c r="U291" s="246">
        <f>S291</f>
        <v>0</v>
      </c>
      <c r="V291" s="246">
        <f>V263*0.47</f>
        <v>0</v>
      </c>
      <c r="W291" s="246">
        <f>((W263)*0.56)</f>
        <v>0</v>
      </c>
      <c r="X291" s="246">
        <v>0</v>
      </c>
      <c r="Y291" s="246">
        <f>W291</f>
        <v>0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0</v>
      </c>
      <c r="D292" s="246">
        <f t="shared" ref="D292:Y292" si="251">SUM(D290:D291)</f>
        <v>0</v>
      </c>
      <c r="E292" s="246">
        <f t="shared" si="251"/>
        <v>0</v>
      </c>
      <c r="F292" s="246">
        <f t="shared" si="251"/>
        <v>0</v>
      </c>
      <c r="G292" s="246">
        <f t="shared" si="251"/>
        <v>0</v>
      </c>
      <c r="H292" s="246">
        <f t="shared" si="251"/>
        <v>0</v>
      </c>
      <c r="I292" s="246">
        <f t="shared" si="251"/>
        <v>0</v>
      </c>
      <c r="J292" s="246">
        <f t="shared" si="251"/>
        <v>0</v>
      </c>
      <c r="K292" s="246">
        <f t="shared" si="251"/>
        <v>0</v>
      </c>
      <c r="L292" s="246">
        <f t="shared" si="251"/>
        <v>0</v>
      </c>
      <c r="M292" s="246">
        <f t="shared" si="251"/>
        <v>0</v>
      </c>
      <c r="N292" s="246">
        <f t="shared" si="251"/>
        <v>0</v>
      </c>
      <c r="O292" s="246">
        <f t="shared" si="251"/>
        <v>0</v>
      </c>
      <c r="P292" s="246">
        <f t="shared" si="251"/>
        <v>0</v>
      </c>
      <c r="Q292" s="246">
        <f t="shared" si="251"/>
        <v>0</v>
      </c>
      <c r="R292" s="246">
        <f t="shared" si="251"/>
        <v>0</v>
      </c>
      <c r="S292" s="246">
        <f t="shared" si="251"/>
        <v>0</v>
      </c>
      <c r="T292" s="246">
        <f t="shared" si="251"/>
        <v>0</v>
      </c>
      <c r="U292" s="246">
        <f t="shared" si="251"/>
        <v>0</v>
      </c>
      <c r="V292" s="246">
        <f t="shared" si="251"/>
        <v>0</v>
      </c>
      <c r="W292" s="246">
        <f t="shared" si="251"/>
        <v>0</v>
      </c>
      <c r="X292" s="246">
        <f t="shared" si="251"/>
        <v>0</v>
      </c>
      <c r="Y292" s="246">
        <f t="shared" si="251"/>
        <v>0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169" customFormat="1" x14ac:dyDescent="0.25">
      <c r="A296" s="170" t="s">
        <v>57</v>
      </c>
      <c r="B296" s="169" t="s">
        <v>57</v>
      </c>
      <c r="C296" s="172">
        <v>0</v>
      </c>
      <c r="D296" s="173">
        <v>0</v>
      </c>
      <c r="E296" s="173">
        <f t="shared" ref="E296:E299" si="252">SUM(C296:D296)</f>
        <v>0</v>
      </c>
      <c r="F296" s="175"/>
      <c r="G296" s="172">
        <f>C296*1.03</f>
        <v>0</v>
      </c>
      <c r="H296" s="173">
        <f>D296*1.03</f>
        <v>0</v>
      </c>
      <c r="I296" s="173">
        <f t="shared" ref="I296:I299" si="253">SUM(G296:H296)</f>
        <v>0</v>
      </c>
      <c r="J296" s="175"/>
      <c r="K296" s="172">
        <f>G296*1.03</f>
        <v>0</v>
      </c>
      <c r="L296" s="173">
        <f>H296*1.03</f>
        <v>0</v>
      </c>
      <c r="M296" s="173">
        <f t="shared" ref="M296:M299" si="254">SUM(K296:L296)</f>
        <v>0</v>
      </c>
      <c r="N296" s="175"/>
      <c r="O296" s="172">
        <f>K296*1.03</f>
        <v>0</v>
      </c>
      <c r="P296" s="173">
        <f>L296*1.03</f>
        <v>0</v>
      </c>
      <c r="Q296" s="173">
        <f t="shared" ref="Q296:Q299" si="255">SUM(O296:P296)</f>
        <v>0</v>
      </c>
      <c r="R296" s="175"/>
      <c r="S296" s="172">
        <f>O296*1.03</f>
        <v>0</v>
      </c>
      <c r="T296" s="173">
        <f>P296*1.03</f>
        <v>0</v>
      </c>
      <c r="U296" s="173">
        <f t="shared" ref="U296:U299" si="256">SUM(S296:T296)</f>
        <v>0</v>
      </c>
      <c r="V296" s="176"/>
      <c r="W296" s="227">
        <f>C296+G296+K296+O296+S296</f>
        <v>0</v>
      </c>
      <c r="X296" s="173">
        <f t="shared" ref="X296:Y300" si="257">D296+H296+L296+P296+T296</f>
        <v>0</v>
      </c>
      <c r="Y296" s="177">
        <f t="shared" si="257"/>
        <v>0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si="252"/>
        <v>0</v>
      </c>
      <c r="F297" s="175"/>
      <c r="G297" s="172">
        <f t="shared" ref="G297:H299" si="258">C297*1.03</f>
        <v>0</v>
      </c>
      <c r="H297" s="173">
        <f t="shared" si="258"/>
        <v>0</v>
      </c>
      <c r="I297" s="173">
        <f t="shared" si="253"/>
        <v>0</v>
      </c>
      <c r="J297" s="175"/>
      <c r="K297" s="172">
        <f t="shared" ref="K297:L299" si="259">G297*1.03</f>
        <v>0</v>
      </c>
      <c r="L297" s="173">
        <f t="shared" si="259"/>
        <v>0</v>
      </c>
      <c r="M297" s="173">
        <f t="shared" si="254"/>
        <v>0</v>
      </c>
      <c r="N297" s="175"/>
      <c r="O297" s="172">
        <f t="shared" ref="O297:P299" si="260">K297*1.03</f>
        <v>0</v>
      </c>
      <c r="P297" s="173">
        <f t="shared" si="260"/>
        <v>0</v>
      </c>
      <c r="Q297" s="173">
        <f t="shared" si="255"/>
        <v>0</v>
      </c>
      <c r="R297" s="175"/>
      <c r="S297" s="172">
        <f t="shared" ref="S297:T299" si="261">O297*1.03</f>
        <v>0</v>
      </c>
      <c r="T297" s="173">
        <f t="shared" si="261"/>
        <v>0</v>
      </c>
      <c r="U297" s="173">
        <f t="shared" si="256"/>
        <v>0</v>
      </c>
      <c r="V297" s="176"/>
      <c r="W297" s="227">
        <f t="shared" ref="W297:W300" si="262">C297+G297+K297+O297+S297</f>
        <v>0</v>
      </c>
      <c r="X297" s="173">
        <f t="shared" si="257"/>
        <v>0</v>
      </c>
      <c r="Y297" s="177">
        <f t="shared" si="257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252"/>
        <v>0</v>
      </c>
      <c r="F298" s="175"/>
      <c r="G298" s="172">
        <f t="shared" si="258"/>
        <v>0</v>
      </c>
      <c r="H298" s="173">
        <f t="shared" si="258"/>
        <v>0</v>
      </c>
      <c r="I298" s="173">
        <f t="shared" si="253"/>
        <v>0</v>
      </c>
      <c r="J298" s="175"/>
      <c r="K298" s="172">
        <f t="shared" si="259"/>
        <v>0</v>
      </c>
      <c r="L298" s="173">
        <f t="shared" si="259"/>
        <v>0</v>
      </c>
      <c r="M298" s="173">
        <f t="shared" si="254"/>
        <v>0</v>
      </c>
      <c r="N298" s="175"/>
      <c r="O298" s="172">
        <f t="shared" si="260"/>
        <v>0</v>
      </c>
      <c r="P298" s="173">
        <f t="shared" si="260"/>
        <v>0</v>
      </c>
      <c r="Q298" s="173">
        <f t="shared" si="255"/>
        <v>0</v>
      </c>
      <c r="R298" s="175"/>
      <c r="S298" s="172">
        <f t="shared" si="261"/>
        <v>0</v>
      </c>
      <c r="T298" s="173">
        <f t="shared" si="261"/>
        <v>0</v>
      </c>
      <c r="U298" s="173">
        <f t="shared" si="256"/>
        <v>0</v>
      </c>
      <c r="V298" s="176"/>
      <c r="W298" s="227">
        <f t="shared" si="262"/>
        <v>0</v>
      </c>
      <c r="X298" s="173">
        <f t="shared" si="257"/>
        <v>0</v>
      </c>
      <c r="Y298" s="177">
        <f t="shared" si="257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252"/>
        <v>0</v>
      </c>
      <c r="F299" s="175"/>
      <c r="G299" s="172">
        <f t="shared" si="258"/>
        <v>0</v>
      </c>
      <c r="H299" s="173">
        <f t="shared" si="258"/>
        <v>0</v>
      </c>
      <c r="I299" s="173">
        <f t="shared" si="253"/>
        <v>0</v>
      </c>
      <c r="J299" s="175"/>
      <c r="K299" s="172">
        <f t="shared" si="259"/>
        <v>0</v>
      </c>
      <c r="L299" s="173">
        <f t="shared" si="259"/>
        <v>0</v>
      </c>
      <c r="M299" s="173">
        <f t="shared" si="254"/>
        <v>0</v>
      </c>
      <c r="N299" s="175"/>
      <c r="O299" s="172">
        <f t="shared" si="260"/>
        <v>0</v>
      </c>
      <c r="P299" s="173">
        <f t="shared" si="260"/>
        <v>0</v>
      </c>
      <c r="Q299" s="173">
        <f t="shared" si="255"/>
        <v>0</v>
      </c>
      <c r="R299" s="175"/>
      <c r="S299" s="172">
        <f t="shared" si="261"/>
        <v>0</v>
      </c>
      <c r="T299" s="173">
        <f t="shared" si="261"/>
        <v>0</v>
      </c>
      <c r="U299" s="173">
        <f t="shared" si="256"/>
        <v>0</v>
      </c>
      <c r="V299" s="176"/>
      <c r="W299" s="227">
        <f t="shared" si="262"/>
        <v>0</v>
      </c>
      <c r="X299" s="173">
        <f t="shared" si="257"/>
        <v>0</v>
      </c>
      <c r="Y299" s="177">
        <f t="shared" si="257"/>
        <v>0</v>
      </c>
    </row>
    <row r="300" spans="1:77" s="83" customFormat="1" x14ac:dyDescent="0.25">
      <c r="A300" s="78"/>
      <c r="B300" s="78" t="s">
        <v>9</v>
      </c>
      <c r="C300" s="228">
        <f>SUM(C296:C299)</f>
        <v>0</v>
      </c>
      <c r="D300" s="125">
        <f>SUM(D296:D299)</f>
        <v>0</v>
      </c>
      <c r="E300" s="125">
        <f>SUM(E296:E299)</f>
        <v>0</v>
      </c>
      <c r="F300" s="81"/>
      <c r="G300" s="79">
        <f>SUM(G296:G299)</f>
        <v>0</v>
      </c>
      <c r="H300" s="80">
        <f>SUM(H296:H299)</f>
        <v>0</v>
      </c>
      <c r="I300" s="80">
        <f>SUM(I296:I299)</f>
        <v>0</v>
      </c>
      <c r="J300" s="81"/>
      <c r="K300" s="79">
        <f>SUM(K296:K299)</f>
        <v>0</v>
      </c>
      <c r="L300" s="80">
        <f>SUM(L296:L299)</f>
        <v>0</v>
      </c>
      <c r="M300" s="80">
        <f>SUM(M296:M299)</f>
        <v>0</v>
      </c>
      <c r="N300" s="81"/>
      <c r="O300" s="79">
        <f>SUM(O296:O299)</f>
        <v>0</v>
      </c>
      <c r="P300" s="80">
        <f>SUM(P296:P299)</f>
        <v>0</v>
      </c>
      <c r="Q300" s="80">
        <f>SUM(Q296:Q299)</f>
        <v>0</v>
      </c>
      <c r="R300" s="81"/>
      <c r="S300" s="79">
        <f>SUM(S296:S299)</f>
        <v>0</v>
      </c>
      <c r="T300" s="80">
        <f>SUM(T296:T299)</f>
        <v>0</v>
      </c>
      <c r="U300" s="80">
        <f>SUM(U296:U299)</f>
        <v>0</v>
      </c>
      <c r="V300" s="82"/>
      <c r="W300" s="228">
        <f t="shared" si="262"/>
        <v>0</v>
      </c>
      <c r="X300" s="80">
        <f t="shared" si="257"/>
        <v>0</v>
      </c>
      <c r="Y300" s="80">
        <f t="shared" si="257"/>
        <v>0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L305" si="263">G302*1.03</f>
        <v>0</v>
      </c>
      <c r="L302" s="57">
        <f t="shared" si="263"/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Y306" si="264">C302+G302+K302+O302+S302</f>
        <v>0</v>
      </c>
      <c r="X302" s="57">
        <f t="shared" si="264"/>
        <v>0</v>
      </c>
      <c r="Y302" s="57">
        <f t="shared" ref="Y302:Y305" si="265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266">SUM(C303:D303)</f>
        <v>0</v>
      </c>
      <c r="F303" s="58"/>
      <c r="G303" s="55">
        <f t="shared" ref="G303:H305" si="267">C303*1.03</f>
        <v>0</v>
      </c>
      <c r="H303" s="57">
        <f t="shared" si="267"/>
        <v>0</v>
      </c>
      <c r="I303" s="57">
        <f t="shared" ref="I303:I305" si="268">SUM(G303:H303)</f>
        <v>0</v>
      </c>
      <c r="J303" s="58"/>
      <c r="K303" s="55">
        <f t="shared" si="263"/>
        <v>0</v>
      </c>
      <c r="L303" s="57">
        <f t="shared" si="263"/>
        <v>0</v>
      </c>
      <c r="M303" s="57">
        <f t="shared" ref="M303:M305" si="269">SUM(K303:L303)</f>
        <v>0</v>
      </c>
      <c r="N303" s="58"/>
      <c r="O303" s="55">
        <f t="shared" ref="O303:P305" si="270">K303*1.03</f>
        <v>0</v>
      </c>
      <c r="P303" s="57">
        <f t="shared" si="270"/>
        <v>0</v>
      </c>
      <c r="Q303" s="57">
        <f t="shared" ref="Q303:Q305" si="271">SUM(O303:P303)</f>
        <v>0</v>
      </c>
      <c r="R303" s="58"/>
      <c r="S303" s="55">
        <f t="shared" ref="S303:T305" si="272">O303*1.03</f>
        <v>0</v>
      </c>
      <c r="T303" s="57">
        <f t="shared" si="272"/>
        <v>0</v>
      </c>
      <c r="U303" s="57">
        <f t="shared" ref="U303:U305" si="273">SUM(S303:T303)</f>
        <v>0</v>
      </c>
      <c r="V303" s="59"/>
      <c r="W303" s="124">
        <f t="shared" si="264"/>
        <v>0</v>
      </c>
      <c r="X303" s="57">
        <f t="shared" si="264"/>
        <v>0</v>
      </c>
      <c r="Y303" s="57">
        <f t="shared" si="265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266"/>
        <v>0</v>
      </c>
      <c r="F304" s="58"/>
      <c r="G304" s="55">
        <f t="shared" si="267"/>
        <v>0</v>
      </c>
      <c r="H304" s="57">
        <f t="shared" si="267"/>
        <v>0</v>
      </c>
      <c r="I304" s="57">
        <f t="shared" si="268"/>
        <v>0</v>
      </c>
      <c r="J304" s="58"/>
      <c r="K304" s="55">
        <f t="shared" si="263"/>
        <v>0</v>
      </c>
      <c r="L304" s="57">
        <f t="shared" si="263"/>
        <v>0</v>
      </c>
      <c r="M304" s="57">
        <f t="shared" si="269"/>
        <v>0</v>
      </c>
      <c r="N304" s="58"/>
      <c r="O304" s="55">
        <f t="shared" si="270"/>
        <v>0</v>
      </c>
      <c r="P304" s="57">
        <f t="shared" si="270"/>
        <v>0</v>
      </c>
      <c r="Q304" s="57">
        <f t="shared" si="271"/>
        <v>0</v>
      </c>
      <c r="R304" s="58"/>
      <c r="S304" s="55">
        <f t="shared" si="272"/>
        <v>0</v>
      </c>
      <c r="T304" s="57">
        <f t="shared" si="272"/>
        <v>0</v>
      </c>
      <c r="U304" s="57">
        <f t="shared" si="273"/>
        <v>0</v>
      </c>
      <c r="V304" s="59"/>
      <c r="W304" s="124">
        <f t="shared" si="264"/>
        <v>0</v>
      </c>
      <c r="X304" s="57">
        <f t="shared" si="264"/>
        <v>0</v>
      </c>
      <c r="Y304" s="57">
        <f t="shared" si="265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266"/>
        <v>0</v>
      </c>
      <c r="F305" s="58"/>
      <c r="G305" s="55">
        <f t="shared" si="267"/>
        <v>0</v>
      </c>
      <c r="H305" s="57">
        <f t="shared" si="267"/>
        <v>0</v>
      </c>
      <c r="I305" s="57">
        <f t="shared" si="268"/>
        <v>0</v>
      </c>
      <c r="J305" s="58"/>
      <c r="K305" s="55">
        <f t="shared" si="263"/>
        <v>0</v>
      </c>
      <c r="L305" s="57">
        <f t="shared" si="263"/>
        <v>0</v>
      </c>
      <c r="M305" s="57">
        <f t="shared" si="269"/>
        <v>0</v>
      </c>
      <c r="N305" s="58"/>
      <c r="O305" s="55">
        <f t="shared" si="270"/>
        <v>0</v>
      </c>
      <c r="P305" s="57">
        <f t="shared" si="270"/>
        <v>0</v>
      </c>
      <c r="Q305" s="57">
        <f t="shared" si="271"/>
        <v>0</v>
      </c>
      <c r="R305" s="58"/>
      <c r="S305" s="55">
        <f t="shared" si="272"/>
        <v>0</v>
      </c>
      <c r="T305" s="57">
        <f t="shared" si="272"/>
        <v>0</v>
      </c>
      <c r="U305" s="57">
        <f t="shared" si="273"/>
        <v>0</v>
      </c>
      <c r="V305" s="59"/>
      <c r="W305" s="124">
        <f t="shared" si="264"/>
        <v>0</v>
      </c>
      <c r="X305" s="57">
        <f t="shared" si="264"/>
        <v>0</v>
      </c>
      <c r="Y305" s="57">
        <f t="shared" si="265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264"/>
        <v>0</v>
      </c>
      <c r="X306" s="80">
        <f t="shared" si="264"/>
        <v>0</v>
      </c>
      <c r="Y306" s="80">
        <f t="shared" si="264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274">C306+C300</f>
        <v>0</v>
      </c>
      <c r="D307" s="248">
        <f t="shared" si="274"/>
        <v>0</v>
      </c>
      <c r="E307" s="248">
        <f t="shared" si="274"/>
        <v>0</v>
      </c>
      <c r="F307" s="248">
        <f t="shared" si="274"/>
        <v>0</v>
      </c>
      <c r="G307" s="248">
        <f t="shared" si="274"/>
        <v>0</v>
      </c>
      <c r="H307" s="248">
        <f t="shared" si="274"/>
        <v>0</v>
      </c>
      <c r="I307" s="248">
        <f t="shared" si="274"/>
        <v>0</v>
      </c>
      <c r="J307" s="248">
        <f t="shared" si="274"/>
        <v>0</v>
      </c>
      <c r="K307" s="248">
        <f t="shared" si="274"/>
        <v>0</v>
      </c>
      <c r="L307" s="248">
        <f t="shared" si="274"/>
        <v>0</v>
      </c>
      <c r="M307" s="248">
        <f t="shared" si="274"/>
        <v>0</v>
      </c>
      <c r="N307" s="248">
        <f t="shared" si="274"/>
        <v>0</v>
      </c>
      <c r="O307" s="248">
        <f t="shared" si="274"/>
        <v>0</v>
      </c>
      <c r="P307" s="248">
        <f t="shared" si="274"/>
        <v>0</v>
      </c>
      <c r="Q307" s="248">
        <f t="shared" si="274"/>
        <v>0</v>
      </c>
      <c r="R307" s="248">
        <f t="shared" si="274"/>
        <v>0</v>
      </c>
      <c r="S307" s="248">
        <f t="shared" si="274"/>
        <v>0</v>
      </c>
      <c r="T307" s="248">
        <f t="shared" si="274"/>
        <v>0</v>
      </c>
      <c r="U307" s="248">
        <f t="shared" si="274"/>
        <v>0</v>
      </c>
      <c r="V307" s="248">
        <f t="shared" si="274"/>
        <v>0</v>
      </c>
      <c r="W307" s="248">
        <f t="shared" si="274"/>
        <v>0</v>
      </c>
      <c r="X307" s="248">
        <f t="shared" si="274"/>
        <v>0</v>
      </c>
      <c r="Y307" s="249">
        <f>E307+I307+M307+Q307+U307</f>
        <v>0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275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276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277">SUM(K309:L309)</f>
        <v>0</v>
      </c>
      <c r="N309" s="58"/>
      <c r="O309" s="124">
        <f>O302*A309*1.03*1.03*1.03*1.03</f>
        <v>0</v>
      </c>
      <c r="P309" s="56">
        <f>P302*A309*1.03*1.03*1.03</f>
        <v>0</v>
      </c>
      <c r="Q309" s="57">
        <f t="shared" ref="Q309:Q311" si="278">SUM(O309:P309)</f>
        <v>0</v>
      </c>
      <c r="R309" s="58"/>
      <c r="S309" s="124">
        <f>S302*A309*1.03*1.03*1.03*1.03*1.03</f>
        <v>0</v>
      </c>
      <c r="T309" s="56">
        <f>T302*A309*1.03*1.03*1.03*1.03</f>
        <v>0</v>
      </c>
      <c r="U309" s="57">
        <f t="shared" ref="U309:U311" si="279">SUM(S309:T309)</f>
        <v>0</v>
      </c>
      <c r="V309" s="59"/>
      <c r="W309" s="124">
        <f t="shared" ref="W309:Y312" si="280">C309+G309+K309+O309+S309</f>
        <v>0</v>
      </c>
      <c r="X309" s="57">
        <f t="shared" si="280"/>
        <v>0</v>
      </c>
      <c r="Y309" s="84">
        <f t="shared" si="280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0.54779999999999995</v>
      </c>
      <c r="B310" s="52" t="s">
        <v>109</v>
      </c>
      <c r="C310" s="124">
        <f>C300*(A310*1.03)</f>
        <v>0</v>
      </c>
      <c r="D310" s="56">
        <f>D300*A310*1.03</f>
        <v>0</v>
      </c>
      <c r="E310" s="56">
        <f t="shared" si="275"/>
        <v>0</v>
      </c>
      <c r="F310" s="58"/>
      <c r="G310" s="124">
        <f>G300*A310*1.03*1.03</f>
        <v>0</v>
      </c>
      <c r="H310" s="56">
        <f>H300*A310*1.03*1.03</f>
        <v>0</v>
      </c>
      <c r="I310" s="57">
        <f t="shared" si="276"/>
        <v>0</v>
      </c>
      <c r="J310" s="58"/>
      <c r="K310" s="124">
        <f>K304*A310*1.03*1.03</f>
        <v>0</v>
      </c>
      <c r="L310" s="56">
        <f>L304*A310*1.03*1.03</f>
        <v>0</v>
      </c>
      <c r="M310" s="57">
        <f t="shared" si="277"/>
        <v>0</v>
      </c>
      <c r="N310" s="58"/>
      <c r="O310" s="124">
        <f>O304*A310*1.03*1.03*1.03</f>
        <v>0</v>
      </c>
      <c r="P310" s="56">
        <f>P304*A310*1.03*1.03*1.03</f>
        <v>0</v>
      </c>
      <c r="Q310" s="57">
        <f t="shared" si="278"/>
        <v>0</v>
      </c>
      <c r="R310" s="58"/>
      <c r="S310" s="124">
        <f>S304*A310*1.03*1.03*1.03*1.03</f>
        <v>0</v>
      </c>
      <c r="T310" s="56">
        <f>T304*A310*1.03*1.03*1.03*1.03</f>
        <v>0</v>
      </c>
      <c r="U310" s="57">
        <f t="shared" si="279"/>
        <v>0</v>
      </c>
      <c r="V310" s="59"/>
      <c r="W310" s="124">
        <f t="shared" si="280"/>
        <v>0</v>
      </c>
      <c r="X310" s="57">
        <f t="shared" si="280"/>
        <v>0</v>
      </c>
      <c r="Y310" s="84">
        <f t="shared" si="280"/>
        <v>0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275"/>
        <v>0</v>
      </c>
      <c r="F311" s="58"/>
      <c r="G311" s="55">
        <f>C311*1.05</f>
        <v>0</v>
      </c>
      <c r="H311" s="57">
        <f>D311*1.05</f>
        <v>0</v>
      </c>
      <c r="I311" s="57">
        <f t="shared" si="276"/>
        <v>0</v>
      </c>
      <c r="J311" s="58"/>
      <c r="K311" s="55">
        <f>K300*A310*1.03*1.03*1.03</f>
        <v>0</v>
      </c>
      <c r="L311" s="56">
        <f>L300*A310*1.03*1.03*1.03</f>
        <v>0</v>
      </c>
      <c r="M311" s="57">
        <f t="shared" si="277"/>
        <v>0</v>
      </c>
      <c r="N311" s="58"/>
      <c r="O311" s="55">
        <f>O300*A310*1.03*1.03*1.03*1.03</f>
        <v>0</v>
      </c>
      <c r="P311" s="56">
        <f>P300*A310*1.03*1.03*1.03*1.03</f>
        <v>0</v>
      </c>
      <c r="Q311" s="57">
        <f t="shared" si="278"/>
        <v>0</v>
      </c>
      <c r="R311" s="58"/>
      <c r="S311" s="55">
        <f>S300*A310*1.03*1.03*1.03*1.03*1.03</f>
        <v>0</v>
      </c>
      <c r="T311" s="56">
        <f>T300*A310*1.03*1.03*1.03*1.03*1.03</f>
        <v>0</v>
      </c>
      <c r="U311" s="57">
        <f t="shared" si="279"/>
        <v>0</v>
      </c>
      <c r="V311" s="59"/>
      <c r="W311" s="124">
        <f t="shared" si="280"/>
        <v>0</v>
      </c>
      <c r="X311" s="57">
        <f t="shared" si="280"/>
        <v>0</v>
      </c>
      <c r="Y311" s="84">
        <f t="shared" si="280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0</v>
      </c>
      <c r="D312" s="125">
        <f>SUM(D309:D311)</f>
        <v>0</v>
      </c>
      <c r="E312" s="125">
        <f>SUM(E309:E311)</f>
        <v>0</v>
      </c>
      <c r="F312" s="81"/>
      <c r="G312" s="79">
        <f>SUM(G309:G311)</f>
        <v>0</v>
      </c>
      <c r="H312" s="80">
        <f>SUM(H309:H311)</f>
        <v>0</v>
      </c>
      <c r="I312" s="80">
        <f>SUM(I309:I311)</f>
        <v>0</v>
      </c>
      <c r="J312" s="81"/>
      <c r="K312" s="79">
        <f>SUM(K309:K311)</f>
        <v>0</v>
      </c>
      <c r="L312" s="80">
        <f>SUM(L309:L311)</f>
        <v>0</v>
      </c>
      <c r="M312" s="80">
        <f>SUM(M309:M311)</f>
        <v>0</v>
      </c>
      <c r="N312" s="81"/>
      <c r="O312" s="79">
        <f>SUM(O309:O311)</f>
        <v>0</v>
      </c>
      <c r="P312" s="80">
        <f>SUM(P309:P311)</f>
        <v>0</v>
      </c>
      <c r="Q312" s="80">
        <f>SUM(Q309:Q311)</f>
        <v>0</v>
      </c>
      <c r="R312" s="81"/>
      <c r="S312" s="79">
        <f>SUM(S309:S311)</f>
        <v>0</v>
      </c>
      <c r="T312" s="80">
        <f>SUM(T309:T311)</f>
        <v>0</v>
      </c>
      <c r="U312" s="80">
        <f>SUM(U309:U311)</f>
        <v>0</v>
      </c>
      <c r="V312" s="82"/>
      <c r="W312" s="228">
        <f t="shared" si="280"/>
        <v>0</v>
      </c>
      <c r="X312" s="80">
        <f t="shared" si="280"/>
        <v>0</v>
      </c>
      <c r="Y312" s="80">
        <f t="shared" si="280"/>
        <v>0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281">C312+C307</f>
        <v>0</v>
      </c>
      <c r="D313" s="248">
        <f t="shared" si="281"/>
        <v>0</v>
      </c>
      <c r="E313" s="248">
        <f t="shared" si="281"/>
        <v>0</v>
      </c>
      <c r="F313" s="248">
        <f t="shared" si="281"/>
        <v>0</v>
      </c>
      <c r="G313" s="248">
        <f t="shared" si="281"/>
        <v>0</v>
      </c>
      <c r="H313" s="248">
        <f t="shared" si="281"/>
        <v>0</v>
      </c>
      <c r="I313" s="248">
        <f t="shared" si="281"/>
        <v>0</v>
      </c>
      <c r="J313" s="248">
        <f t="shared" si="281"/>
        <v>0</v>
      </c>
      <c r="K313" s="248">
        <f t="shared" si="281"/>
        <v>0</v>
      </c>
      <c r="L313" s="248">
        <f t="shared" si="281"/>
        <v>0</v>
      </c>
      <c r="M313" s="248">
        <f t="shared" si="281"/>
        <v>0</v>
      </c>
      <c r="N313" s="248">
        <f t="shared" si="281"/>
        <v>0</v>
      </c>
      <c r="O313" s="248">
        <f t="shared" si="281"/>
        <v>0</v>
      </c>
      <c r="P313" s="248">
        <f t="shared" si="281"/>
        <v>0</v>
      </c>
      <c r="Q313" s="248">
        <f t="shared" si="281"/>
        <v>0</v>
      </c>
      <c r="R313" s="248">
        <f t="shared" si="281"/>
        <v>0</v>
      </c>
      <c r="S313" s="248">
        <f t="shared" si="281"/>
        <v>0</v>
      </c>
      <c r="T313" s="248">
        <f t="shared" si="281"/>
        <v>0</v>
      </c>
      <c r="U313" s="248">
        <f t="shared" si="281"/>
        <v>0</v>
      </c>
      <c r="V313" s="248">
        <f t="shared" si="281"/>
        <v>0</v>
      </c>
      <c r="W313" s="248">
        <f t="shared" si="281"/>
        <v>0</v>
      </c>
      <c r="X313" s="248">
        <f t="shared" si="281"/>
        <v>0</v>
      </c>
      <c r="Y313" s="248">
        <f t="shared" si="281"/>
        <v>0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282">SUM(C315:D315)</f>
        <v>0</v>
      </c>
      <c r="F315" s="58"/>
      <c r="G315" s="55">
        <v>0</v>
      </c>
      <c r="H315" s="57">
        <v>0</v>
      </c>
      <c r="I315" s="57">
        <f t="shared" ref="I315:I317" si="283">SUM(G315:H315)</f>
        <v>0</v>
      </c>
      <c r="J315" s="58"/>
      <c r="K315" s="55">
        <v>0</v>
      </c>
      <c r="L315" s="57">
        <v>0</v>
      </c>
      <c r="M315" s="57">
        <f t="shared" ref="M315:M317" si="284">SUM(K315:L315)</f>
        <v>0</v>
      </c>
      <c r="N315" s="58"/>
      <c r="O315" s="55">
        <v>0</v>
      </c>
      <c r="P315" s="57">
        <v>0</v>
      </c>
      <c r="Q315" s="57">
        <f t="shared" ref="Q315:Q317" si="285">SUM(O315:P315)</f>
        <v>0</v>
      </c>
      <c r="R315" s="58"/>
      <c r="S315" s="55">
        <v>0</v>
      </c>
      <c r="T315" s="57">
        <v>0</v>
      </c>
      <c r="U315" s="57">
        <f t="shared" ref="U315:U317" si="286">SUM(S315:T315)</f>
        <v>0</v>
      </c>
      <c r="V315" s="59"/>
      <c r="W315" s="124">
        <f t="shared" ref="W315:Y318" si="287">C315+G315+K315+O315+S315</f>
        <v>0</v>
      </c>
      <c r="X315" s="57">
        <f t="shared" si="287"/>
        <v>0</v>
      </c>
      <c r="Y315" s="84">
        <f t="shared" si="287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282"/>
        <v>0</v>
      </c>
      <c r="F316" s="58"/>
      <c r="G316" s="55">
        <v>0</v>
      </c>
      <c r="H316" s="57">
        <v>0</v>
      </c>
      <c r="I316" s="57">
        <f t="shared" si="283"/>
        <v>0</v>
      </c>
      <c r="J316" s="58"/>
      <c r="K316" s="55">
        <v>0</v>
      </c>
      <c r="L316" s="57">
        <v>0</v>
      </c>
      <c r="M316" s="57">
        <f t="shared" si="284"/>
        <v>0</v>
      </c>
      <c r="N316" s="58"/>
      <c r="O316" s="55">
        <f>K316</f>
        <v>0</v>
      </c>
      <c r="P316" s="57">
        <v>0</v>
      </c>
      <c r="Q316" s="57">
        <f t="shared" si="285"/>
        <v>0</v>
      </c>
      <c r="R316" s="58"/>
      <c r="S316" s="55">
        <f>O316</f>
        <v>0</v>
      </c>
      <c r="T316" s="57">
        <v>0</v>
      </c>
      <c r="U316" s="57">
        <f t="shared" si="286"/>
        <v>0</v>
      </c>
      <c r="V316" s="59"/>
      <c r="W316" s="124">
        <f t="shared" si="287"/>
        <v>0</v>
      </c>
      <c r="X316" s="57">
        <f t="shared" si="287"/>
        <v>0</v>
      </c>
      <c r="Y316" s="84">
        <f t="shared" si="287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282"/>
        <v>0</v>
      </c>
      <c r="F317" s="58"/>
      <c r="G317" s="55">
        <v>0</v>
      </c>
      <c r="H317" s="57">
        <v>0</v>
      </c>
      <c r="I317" s="57">
        <f t="shared" si="283"/>
        <v>0</v>
      </c>
      <c r="J317" s="58"/>
      <c r="K317" s="55">
        <f>G317</f>
        <v>0</v>
      </c>
      <c r="L317" s="57">
        <v>0</v>
      </c>
      <c r="M317" s="57">
        <f t="shared" si="284"/>
        <v>0</v>
      </c>
      <c r="N317" s="58"/>
      <c r="O317" s="55">
        <v>0</v>
      </c>
      <c r="P317" s="57">
        <v>0</v>
      </c>
      <c r="Q317" s="57">
        <f t="shared" si="285"/>
        <v>0</v>
      </c>
      <c r="R317" s="58"/>
      <c r="S317" s="55">
        <f>O317</f>
        <v>0</v>
      </c>
      <c r="T317" s="57">
        <v>0</v>
      </c>
      <c r="U317" s="57">
        <f t="shared" si="286"/>
        <v>0</v>
      </c>
      <c r="V317" s="59"/>
      <c r="W317" s="124">
        <f t="shared" si="287"/>
        <v>0</v>
      </c>
      <c r="X317" s="57">
        <f t="shared" si="287"/>
        <v>0</v>
      </c>
      <c r="Y317" s="84">
        <f t="shared" si="287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287"/>
        <v>0</v>
      </c>
      <c r="X318" s="80">
        <f t="shared" si="287"/>
        <v>0</v>
      </c>
      <c r="Y318" s="80">
        <f t="shared" si="287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144</v>
      </c>
      <c r="C320" s="124">
        <f>12*800*0.5*0</f>
        <v>0</v>
      </c>
      <c r="D320" s="56">
        <f>12*800*0.5*0</f>
        <v>0</v>
      </c>
      <c r="E320" s="56">
        <f t="shared" ref="E320:E322" si="288">SUM(C320:D320)</f>
        <v>0</v>
      </c>
      <c r="F320" s="58"/>
      <c r="G320" s="55">
        <f>C320</f>
        <v>0</v>
      </c>
      <c r="H320" s="57">
        <f>D320</f>
        <v>0</v>
      </c>
      <c r="I320" s="57">
        <f t="shared" ref="I320:I322" si="289">SUM(G320:H320)</f>
        <v>0</v>
      </c>
      <c r="J320" s="58"/>
      <c r="K320" s="55">
        <f>G320</f>
        <v>0</v>
      </c>
      <c r="L320" s="57">
        <f>H320</f>
        <v>0</v>
      </c>
      <c r="M320" s="57">
        <f t="shared" ref="M320:M322" si="290">SUM(K320:L320)</f>
        <v>0</v>
      </c>
      <c r="N320" s="58"/>
      <c r="O320" s="55">
        <f>K320</f>
        <v>0</v>
      </c>
      <c r="P320" s="57">
        <f>L320</f>
        <v>0</v>
      </c>
      <c r="Q320" s="57">
        <f t="shared" ref="Q320:Q322" si="291">SUM(O320:P320)</f>
        <v>0</v>
      </c>
      <c r="R320" s="58"/>
      <c r="S320" s="55">
        <f>O320</f>
        <v>0</v>
      </c>
      <c r="T320" s="57">
        <f>P320</f>
        <v>0</v>
      </c>
      <c r="U320" s="57">
        <f t="shared" ref="U320:U322" si="292">SUM(S320:T320)</f>
        <v>0</v>
      </c>
      <c r="V320" s="59"/>
      <c r="W320" s="124">
        <f t="shared" ref="W320:Y323" si="293">C320+G320+K320+O320+S320</f>
        <v>0</v>
      </c>
      <c r="X320" s="57">
        <f t="shared" si="293"/>
        <v>0</v>
      </c>
      <c r="Y320" s="84">
        <f t="shared" si="293"/>
        <v>0</v>
      </c>
    </row>
    <row r="321" spans="1:77" s="61" customFormat="1" x14ac:dyDescent="0.25">
      <c r="A321" s="203"/>
      <c r="B321" s="52" t="s">
        <v>57</v>
      </c>
      <c r="C321" s="124">
        <f>2000*5*0.5*0</f>
        <v>0</v>
      </c>
      <c r="D321" s="56">
        <f>2000*5*0.5*0</f>
        <v>0</v>
      </c>
      <c r="E321" s="56">
        <f t="shared" si="288"/>
        <v>0</v>
      </c>
      <c r="F321" s="58"/>
      <c r="G321" s="55">
        <f>C321</f>
        <v>0</v>
      </c>
      <c r="H321" s="57">
        <f>D321</f>
        <v>0</v>
      </c>
      <c r="I321" s="57">
        <f t="shared" si="289"/>
        <v>0</v>
      </c>
      <c r="J321" s="58"/>
      <c r="K321" s="55">
        <f>G321</f>
        <v>0</v>
      </c>
      <c r="L321" s="57">
        <f>H321</f>
        <v>0</v>
      </c>
      <c r="M321" s="57">
        <f t="shared" si="290"/>
        <v>0</v>
      </c>
      <c r="N321" s="58"/>
      <c r="O321" s="55">
        <f>K321</f>
        <v>0</v>
      </c>
      <c r="P321" s="57">
        <f>L321</f>
        <v>0</v>
      </c>
      <c r="Q321" s="57">
        <f t="shared" si="291"/>
        <v>0</v>
      </c>
      <c r="R321" s="58"/>
      <c r="S321" s="55">
        <f>O321</f>
        <v>0</v>
      </c>
      <c r="T321" s="57">
        <f>P321</f>
        <v>0</v>
      </c>
      <c r="U321" s="57">
        <f t="shared" si="292"/>
        <v>0</v>
      </c>
      <c r="V321" s="59"/>
      <c r="W321" s="124">
        <f t="shared" si="293"/>
        <v>0</v>
      </c>
      <c r="X321" s="57">
        <f t="shared" si="293"/>
        <v>0</v>
      </c>
      <c r="Y321" s="84">
        <f t="shared" si="293"/>
        <v>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si="288"/>
        <v>0</v>
      </c>
      <c r="F322" s="58"/>
      <c r="G322" s="55">
        <v>0</v>
      </c>
      <c r="H322" s="57">
        <v>0</v>
      </c>
      <c r="I322" s="57">
        <f t="shared" si="289"/>
        <v>0</v>
      </c>
      <c r="J322" s="58"/>
      <c r="K322" s="55">
        <v>0</v>
      </c>
      <c r="L322" s="57">
        <v>0</v>
      </c>
      <c r="M322" s="57">
        <f t="shared" si="290"/>
        <v>0</v>
      </c>
      <c r="N322" s="58"/>
      <c r="O322" s="55">
        <v>0</v>
      </c>
      <c r="P322" s="57">
        <v>0</v>
      </c>
      <c r="Q322" s="57">
        <f t="shared" si="291"/>
        <v>0</v>
      </c>
      <c r="R322" s="58"/>
      <c r="S322" s="55">
        <v>0</v>
      </c>
      <c r="T322" s="57">
        <v>0</v>
      </c>
      <c r="U322" s="57">
        <f t="shared" si="292"/>
        <v>0</v>
      </c>
      <c r="V322" s="59"/>
      <c r="W322" s="124">
        <f t="shared" si="293"/>
        <v>0</v>
      </c>
      <c r="X322" s="57">
        <f t="shared" si="293"/>
        <v>0</v>
      </c>
      <c r="Y322" s="84">
        <f t="shared" si="293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0</v>
      </c>
      <c r="D323" s="125">
        <f>SUM(D320:D322)</f>
        <v>0</v>
      </c>
      <c r="E323" s="125">
        <f>SUM(E320:E322)</f>
        <v>0</v>
      </c>
      <c r="F323" s="81"/>
      <c r="G323" s="79">
        <f>SUM(G320:G322)</f>
        <v>0</v>
      </c>
      <c r="H323" s="80">
        <f>SUM(H320:H322)</f>
        <v>0</v>
      </c>
      <c r="I323" s="80">
        <f>SUM(I320:I322)</f>
        <v>0</v>
      </c>
      <c r="J323" s="81"/>
      <c r="K323" s="79">
        <f>SUM(K320:K322)</f>
        <v>0</v>
      </c>
      <c r="L323" s="80">
        <f>SUM(L320:L322)</f>
        <v>0</v>
      </c>
      <c r="M323" s="80">
        <f>SUM(M320:M322)</f>
        <v>0</v>
      </c>
      <c r="N323" s="81"/>
      <c r="O323" s="79">
        <f>SUM(O320:O322)</f>
        <v>0</v>
      </c>
      <c r="P323" s="80">
        <f>SUM(P320:P322)</f>
        <v>0</v>
      </c>
      <c r="Q323" s="80">
        <f>SUM(Q320:Q322)</f>
        <v>0</v>
      </c>
      <c r="R323" s="81"/>
      <c r="S323" s="79">
        <f>SUM(S320:S322)</f>
        <v>0</v>
      </c>
      <c r="T323" s="80">
        <f>SUM(T320:T322)</f>
        <v>0</v>
      </c>
      <c r="U323" s="80">
        <f>SUM(U320:U322)</f>
        <v>0</v>
      </c>
      <c r="V323" s="82"/>
      <c r="W323" s="228">
        <f t="shared" si="293"/>
        <v>0</v>
      </c>
      <c r="X323" s="80">
        <f t="shared" si="293"/>
        <v>0</v>
      </c>
      <c r="Y323" s="80">
        <f t="shared" si="293"/>
        <v>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Y327" si="294">C325+G325+K325+O325+S325</f>
        <v>0</v>
      </c>
      <c r="X325" s="57">
        <f t="shared" si="294"/>
        <v>0</v>
      </c>
      <c r="Y325" s="84">
        <f t="shared" si="294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294"/>
        <v>0</v>
      </c>
      <c r="X326" s="56">
        <f t="shared" si="294"/>
        <v>0</v>
      </c>
      <c r="Y326" s="85">
        <f t="shared" si="294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294"/>
        <v>0</v>
      </c>
      <c r="X327" s="80">
        <f t="shared" si="294"/>
        <v>0</v>
      </c>
      <c r="Y327" s="80">
        <f t="shared" si="294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169" customFormat="1" x14ac:dyDescent="0.25">
      <c r="B329" s="169" t="s">
        <v>116</v>
      </c>
      <c r="C329" s="172">
        <v>0</v>
      </c>
      <c r="D329" s="174">
        <v>0</v>
      </c>
      <c r="E329" s="173">
        <f t="shared" ref="E329" si="295">SUM(C329:D329)</f>
        <v>0</v>
      </c>
      <c r="F329" s="175"/>
      <c r="G329" s="172">
        <f>C329</f>
        <v>0</v>
      </c>
      <c r="H329" s="174">
        <v>0</v>
      </c>
      <c r="I329" s="173">
        <f t="shared" ref="I329" si="296">SUM(G329:H329)</f>
        <v>0</v>
      </c>
      <c r="J329" s="175"/>
      <c r="K329" s="172">
        <f>G329</f>
        <v>0</v>
      </c>
      <c r="L329" s="174">
        <v>0</v>
      </c>
      <c r="M329" s="173">
        <f t="shared" ref="M329" si="297">SUM(K329:L329)</f>
        <v>0</v>
      </c>
      <c r="N329" s="175"/>
      <c r="O329" s="172">
        <f>K329</f>
        <v>0</v>
      </c>
      <c r="P329" s="174">
        <v>0</v>
      </c>
      <c r="Q329" s="174">
        <f t="shared" ref="Q329" si="298">SUM(O329:P329)</f>
        <v>0</v>
      </c>
      <c r="R329" s="175"/>
      <c r="S329" s="172">
        <f>O329</f>
        <v>0</v>
      </c>
      <c r="T329" s="174">
        <v>0</v>
      </c>
      <c r="U329" s="173">
        <f t="shared" ref="U329" si="299">SUM(S329:T329)</f>
        <v>0</v>
      </c>
      <c r="V329" s="176"/>
      <c r="W329" s="227">
        <f t="shared" ref="W329:Y333" si="300">C329+G329+K329+O329+S329</f>
        <v>0</v>
      </c>
      <c r="X329" s="173">
        <f t="shared" si="300"/>
        <v>0</v>
      </c>
      <c r="Y329" s="186">
        <f t="shared" si="300"/>
        <v>0</v>
      </c>
    </row>
    <row r="330" spans="1:77" s="61" customFormat="1" x14ac:dyDescent="0.25">
      <c r="A330" s="203"/>
      <c r="B330" s="54" t="s">
        <v>57</v>
      </c>
      <c r="C330" s="124">
        <v>0</v>
      </c>
      <c r="D330" s="56">
        <v>0</v>
      </c>
      <c r="E330" s="56">
        <f t="shared" ref="E330:E332" si="301">SUM(C330:D330)</f>
        <v>0</v>
      </c>
      <c r="F330" s="58"/>
      <c r="G330" s="55">
        <v>0</v>
      </c>
      <c r="H330" s="57">
        <v>0</v>
      </c>
      <c r="I330" s="57">
        <f t="shared" ref="I330:I332" si="302">SUM(G330:H330)</f>
        <v>0</v>
      </c>
      <c r="J330" s="58"/>
      <c r="K330" s="55">
        <v>0</v>
      </c>
      <c r="L330" s="56">
        <v>0</v>
      </c>
      <c r="M330" s="57">
        <f t="shared" ref="M330:M332" si="303">SUM(K330:L330)</f>
        <v>0</v>
      </c>
      <c r="N330" s="58"/>
      <c r="O330" s="55">
        <v>0</v>
      </c>
      <c r="P330" s="57">
        <v>0</v>
      </c>
      <c r="Q330" s="57">
        <f t="shared" ref="Q330:Q332" si="304">SUM(O330:P330)</f>
        <v>0</v>
      </c>
      <c r="R330" s="58"/>
      <c r="S330" s="55">
        <v>0</v>
      </c>
      <c r="T330" s="56">
        <v>0</v>
      </c>
      <c r="U330" s="57">
        <f t="shared" ref="U330:U332" si="305">SUM(S330:T330)</f>
        <v>0</v>
      </c>
      <c r="V330" s="59"/>
      <c r="W330" s="124">
        <f t="shared" si="300"/>
        <v>0</v>
      </c>
      <c r="X330" s="57">
        <f t="shared" si="300"/>
        <v>0</v>
      </c>
      <c r="Y330" s="84">
        <f t="shared" si="300"/>
        <v>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si="301"/>
        <v>0</v>
      </c>
      <c r="F331" s="58"/>
      <c r="G331" s="55">
        <v>0</v>
      </c>
      <c r="H331" s="57"/>
      <c r="I331" s="57">
        <f t="shared" si="302"/>
        <v>0</v>
      </c>
      <c r="J331" s="58"/>
      <c r="K331" s="55">
        <v>0</v>
      </c>
      <c r="L331" s="56">
        <v>0</v>
      </c>
      <c r="M331" s="57">
        <f t="shared" si="303"/>
        <v>0</v>
      </c>
      <c r="N331" s="58"/>
      <c r="O331" s="55">
        <v>0</v>
      </c>
      <c r="P331" s="56">
        <v>0</v>
      </c>
      <c r="Q331" s="56">
        <f t="shared" si="304"/>
        <v>0</v>
      </c>
      <c r="R331" s="58"/>
      <c r="S331" s="55">
        <v>0</v>
      </c>
      <c r="T331" s="56">
        <v>0</v>
      </c>
      <c r="U331" s="57">
        <f t="shared" si="305"/>
        <v>0</v>
      </c>
      <c r="V331" s="59"/>
      <c r="W331" s="124">
        <f t="shared" si="300"/>
        <v>0</v>
      </c>
      <c r="X331" s="57">
        <f t="shared" si="300"/>
        <v>0</v>
      </c>
      <c r="Y331" s="84">
        <f t="shared" si="300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301"/>
        <v>0</v>
      </c>
      <c r="F332" s="58"/>
      <c r="G332" s="55">
        <v>0</v>
      </c>
      <c r="H332" s="57">
        <v>0</v>
      </c>
      <c r="I332" s="57">
        <f t="shared" si="302"/>
        <v>0</v>
      </c>
      <c r="J332" s="58"/>
      <c r="K332" s="55">
        <v>0</v>
      </c>
      <c r="L332" s="57">
        <v>0</v>
      </c>
      <c r="M332" s="57">
        <f t="shared" si="303"/>
        <v>0</v>
      </c>
      <c r="N332" s="58"/>
      <c r="O332" s="55">
        <v>0</v>
      </c>
      <c r="P332" s="57">
        <v>0</v>
      </c>
      <c r="Q332" s="57">
        <f t="shared" si="304"/>
        <v>0</v>
      </c>
      <c r="R332" s="58"/>
      <c r="S332" s="55">
        <v>0</v>
      </c>
      <c r="T332" s="57">
        <v>0</v>
      </c>
      <c r="U332" s="57">
        <f t="shared" si="305"/>
        <v>0</v>
      </c>
      <c r="V332" s="59"/>
      <c r="W332" s="124">
        <f t="shared" si="300"/>
        <v>0</v>
      </c>
      <c r="X332" s="57">
        <f t="shared" si="300"/>
        <v>0</v>
      </c>
      <c r="Y332" s="84">
        <f t="shared" si="300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0</v>
      </c>
      <c r="D333" s="153">
        <f>SUM(D329:D332)</f>
        <v>0</v>
      </c>
      <c r="E333" s="153">
        <f>SUM(E329:E332)</f>
        <v>0</v>
      </c>
      <c r="F333" s="154"/>
      <c r="G333" s="152">
        <f>SUM(G329:G332)</f>
        <v>0</v>
      </c>
      <c r="H333" s="155">
        <f>SUM(H329:H332)</f>
        <v>0</v>
      </c>
      <c r="I333" s="155">
        <f>SUM(I329:I332)</f>
        <v>0</v>
      </c>
      <c r="J333" s="154"/>
      <c r="K333" s="152">
        <f>SUM(K329:K332)</f>
        <v>0</v>
      </c>
      <c r="L333" s="155">
        <f>SUM(L329:L332)</f>
        <v>0</v>
      </c>
      <c r="M333" s="155">
        <f>SUM(M329:M332)</f>
        <v>0</v>
      </c>
      <c r="N333" s="154"/>
      <c r="O333" s="152">
        <f>SUM(O329:O332)</f>
        <v>0</v>
      </c>
      <c r="P333" s="155">
        <f>SUM(P329:P332)</f>
        <v>0</v>
      </c>
      <c r="Q333" s="155">
        <f>SUM(Q329:Q332)</f>
        <v>0</v>
      </c>
      <c r="R333" s="154"/>
      <c r="S333" s="152">
        <f>SUM(S329:S332)</f>
        <v>0</v>
      </c>
      <c r="T333" s="155">
        <f>SUM(T329:T332)</f>
        <v>0</v>
      </c>
      <c r="U333" s="155">
        <f>SUM(U329:U332)</f>
        <v>0</v>
      </c>
      <c r="V333" s="82"/>
      <c r="W333" s="228">
        <f t="shared" si="300"/>
        <v>0</v>
      </c>
      <c r="X333" s="80">
        <f t="shared" si="300"/>
        <v>0</v>
      </c>
      <c r="Y333" s="80">
        <f t="shared" si="300"/>
        <v>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306">SUM(C313+C318+C323+C327+C333)</f>
        <v>0</v>
      </c>
      <c r="D334" s="251">
        <f t="shared" si="306"/>
        <v>0</v>
      </c>
      <c r="E334" s="251">
        <f t="shared" si="306"/>
        <v>0</v>
      </c>
      <c r="F334" s="251">
        <f t="shared" si="306"/>
        <v>0</v>
      </c>
      <c r="G334" s="251">
        <f t="shared" si="306"/>
        <v>0</v>
      </c>
      <c r="H334" s="251">
        <f t="shared" si="306"/>
        <v>0</v>
      </c>
      <c r="I334" s="251">
        <f t="shared" si="306"/>
        <v>0</v>
      </c>
      <c r="J334" s="251">
        <f t="shared" si="306"/>
        <v>0</v>
      </c>
      <c r="K334" s="251">
        <f t="shared" si="306"/>
        <v>0</v>
      </c>
      <c r="L334" s="251">
        <f t="shared" si="306"/>
        <v>0</v>
      </c>
      <c r="M334" s="251">
        <f t="shared" si="306"/>
        <v>0</v>
      </c>
      <c r="N334" s="251">
        <f t="shared" si="306"/>
        <v>0</v>
      </c>
      <c r="O334" s="251">
        <f t="shared" si="306"/>
        <v>0</v>
      </c>
      <c r="P334" s="251">
        <f t="shared" si="306"/>
        <v>0</v>
      </c>
      <c r="Q334" s="251">
        <f t="shared" si="306"/>
        <v>0</v>
      </c>
      <c r="R334" s="251">
        <f t="shared" si="306"/>
        <v>0</v>
      </c>
      <c r="S334" s="251">
        <f t="shared" si="306"/>
        <v>0</v>
      </c>
      <c r="T334" s="251">
        <f t="shared" si="306"/>
        <v>0</v>
      </c>
      <c r="U334" s="251">
        <f t="shared" si="306"/>
        <v>0</v>
      </c>
      <c r="V334" s="251">
        <f t="shared" si="306"/>
        <v>0</v>
      </c>
      <c r="W334" s="251">
        <f t="shared" si="306"/>
        <v>0</v>
      </c>
      <c r="X334" s="251">
        <f t="shared" si="306"/>
        <v>0</v>
      </c>
      <c r="Y334" s="251">
        <f t="shared" si="306"/>
        <v>0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((C307)*0.56)</f>
        <v>0</v>
      </c>
      <c r="D335" s="251">
        <v>0</v>
      </c>
      <c r="E335" s="251">
        <f>C335</f>
        <v>0</v>
      </c>
      <c r="F335" s="251">
        <f>F307*0.47</f>
        <v>0</v>
      </c>
      <c r="G335" s="251">
        <f>((G307)*0.56)</f>
        <v>0</v>
      </c>
      <c r="H335" s="251">
        <v>0</v>
      </c>
      <c r="I335" s="251">
        <f>G335</f>
        <v>0</v>
      </c>
      <c r="J335" s="251">
        <f>J307*0.47</f>
        <v>0</v>
      </c>
      <c r="K335" s="251">
        <f>((K307)*0.56)</f>
        <v>0</v>
      </c>
      <c r="L335" s="251">
        <v>0</v>
      </c>
      <c r="M335" s="251">
        <f>K335</f>
        <v>0</v>
      </c>
      <c r="N335" s="251">
        <f>N307*0.47</f>
        <v>0</v>
      </c>
      <c r="O335" s="251">
        <f>((O307)*0.56)</f>
        <v>0</v>
      </c>
      <c r="P335" s="251">
        <v>0</v>
      </c>
      <c r="Q335" s="251">
        <f>O335</f>
        <v>0</v>
      </c>
      <c r="R335" s="251">
        <f>R307*0.47</f>
        <v>0</v>
      </c>
      <c r="S335" s="251">
        <f>((S307)*0.56)</f>
        <v>0</v>
      </c>
      <c r="T335" s="251">
        <v>0</v>
      </c>
      <c r="U335" s="251">
        <f>S335</f>
        <v>0</v>
      </c>
      <c r="V335" s="251">
        <f>V307*0.47</f>
        <v>0</v>
      </c>
      <c r="W335" s="251">
        <f>((W307)*0.56)</f>
        <v>0</v>
      </c>
      <c r="X335" s="251">
        <v>0</v>
      </c>
      <c r="Y335" s="251">
        <f>W335</f>
        <v>0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0</v>
      </c>
      <c r="D336" s="251">
        <f t="shared" ref="D336:Y336" si="307">SUM(D334:D335)</f>
        <v>0</v>
      </c>
      <c r="E336" s="251">
        <f t="shared" si="307"/>
        <v>0</v>
      </c>
      <c r="F336" s="251">
        <f t="shared" si="307"/>
        <v>0</v>
      </c>
      <c r="G336" s="251">
        <f t="shared" si="307"/>
        <v>0</v>
      </c>
      <c r="H336" s="251">
        <f t="shared" si="307"/>
        <v>0</v>
      </c>
      <c r="I336" s="251">
        <f t="shared" si="307"/>
        <v>0</v>
      </c>
      <c r="J336" s="251">
        <f t="shared" si="307"/>
        <v>0</v>
      </c>
      <c r="K336" s="251">
        <f t="shared" si="307"/>
        <v>0</v>
      </c>
      <c r="L336" s="251">
        <f t="shared" si="307"/>
        <v>0</v>
      </c>
      <c r="M336" s="251">
        <f t="shared" si="307"/>
        <v>0</v>
      </c>
      <c r="N336" s="251">
        <f t="shared" si="307"/>
        <v>0</v>
      </c>
      <c r="O336" s="251">
        <f t="shared" si="307"/>
        <v>0</v>
      </c>
      <c r="P336" s="251">
        <f t="shared" si="307"/>
        <v>0</v>
      </c>
      <c r="Q336" s="251">
        <f t="shared" si="307"/>
        <v>0</v>
      </c>
      <c r="R336" s="251">
        <f t="shared" si="307"/>
        <v>0</v>
      </c>
      <c r="S336" s="251">
        <f t="shared" si="307"/>
        <v>0</v>
      </c>
      <c r="T336" s="251">
        <f t="shared" si="307"/>
        <v>0</v>
      </c>
      <c r="U336" s="251">
        <f t="shared" si="307"/>
        <v>0</v>
      </c>
      <c r="V336" s="251">
        <f t="shared" si="307"/>
        <v>0</v>
      </c>
      <c r="W336" s="251">
        <f t="shared" si="307"/>
        <v>0</v>
      </c>
      <c r="X336" s="251">
        <f t="shared" si="307"/>
        <v>0</v>
      </c>
      <c r="Y336" s="251">
        <f t="shared" si="307"/>
        <v>0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218425.5</v>
      </c>
      <c r="D339" s="121">
        <f t="shared" ref="D339:X339" si="308">D248+D176+D88+D292+D336</f>
        <v>0</v>
      </c>
      <c r="E339" s="121">
        <f t="shared" si="308"/>
        <v>218425.5</v>
      </c>
      <c r="F339" s="121">
        <f t="shared" si="308"/>
        <v>0</v>
      </c>
      <c r="G339" s="121">
        <f t="shared" si="308"/>
        <v>570000</v>
      </c>
      <c r="H339" s="121">
        <f t="shared" si="308"/>
        <v>0</v>
      </c>
      <c r="I339" s="121">
        <f t="shared" si="308"/>
        <v>570000</v>
      </c>
      <c r="J339" s="121">
        <f t="shared" si="308"/>
        <v>0</v>
      </c>
      <c r="K339" s="121">
        <f t="shared" si="308"/>
        <v>525000</v>
      </c>
      <c r="L339" s="121">
        <f t="shared" si="308"/>
        <v>0</v>
      </c>
      <c r="M339" s="121">
        <f t="shared" si="308"/>
        <v>525000</v>
      </c>
      <c r="N339" s="121">
        <f t="shared" si="308"/>
        <v>0</v>
      </c>
      <c r="O339" s="121">
        <f t="shared" si="308"/>
        <v>495000</v>
      </c>
      <c r="P339" s="121">
        <f t="shared" si="308"/>
        <v>0</v>
      </c>
      <c r="Q339" s="121">
        <f t="shared" si="308"/>
        <v>495000</v>
      </c>
      <c r="R339" s="121">
        <f t="shared" si="308"/>
        <v>0</v>
      </c>
      <c r="S339" s="121">
        <f t="shared" si="308"/>
        <v>165000</v>
      </c>
      <c r="T339" s="121">
        <f t="shared" si="308"/>
        <v>0</v>
      </c>
      <c r="U339" s="121">
        <f t="shared" si="308"/>
        <v>165000</v>
      </c>
      <c r="V339" s="121">
        <f t="shared" si="308"/>
        <v>0</v>
      </c>
      <c r="W339" s="121">
        <f t="shared" si="308"/>
        <v>1973425.5</v>
      </c>
      <c r="X339" s="121">
        <f t="shared" si="308"/>
        <v>0</v>
      </c>
      <c r="Y339" s="121">
        <f>Y248+Y176+Y88+Y292+Y336</f>
        <v>1973425.5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4" customFormat="1" x14ac:dyDescent="0.25">
      <c r="V340" s="45"/>
      <c r="W340" s="47"/>
      <c r="X340" s="47"/>
      <c r="Y340" s="46"/>
    </row>
    <row r="341" spans="1:77" s="4" customFormat="1" x14ac:dyDescent="0.25">
      <c r="V341" s="45"/>
      <c r="W341" s="47"/>
      <c r="X341" s="47"/>
      <c r="Y341" s="46"/>
    </row>
    <row r="342" spans="1:77" s="4" customFormat="1" x14ac:dyDescent="0.25">
      <c r="V342" s="45"/>
      <c r="W342" s="47"/>
      <c r="X342" s="47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12"/>
      <c r="X348" s="12"/>
      <c r="Y348" s="46"/>
    </row>
    <row r="349" spans="1:77" s="4" customFormat="1" x14ac:dyDescent="0.25">
      <c r="V349" s="45"/>
      <c r="W349" s="12"/>
      <c r="X349" s="12"/>
      <c r="Y349" s="46"/>
    </row>
    <row r="350" spans="1:77" s="4" customFormat="1" x14ac:dyDescent="0.25">
      <c r="V350" s="45"/>
      <c r="W350" s="12"/>
      <c r="X350" s="12"/>
      <c r="Y350" s="46"/>
    </row>
    <row r="351" spans="1:77" s="4" customFormat="1" x14ac:dyDescent="0.25">
      <c r="V351" s="45"/>
      <c r="W351" s="12"/>
      <c r="X351" s="12"/>
      <c r="Y351" s="46"/>
    </row>
    <row r="352" spans="1:77" s="4" customFormat="1" x14ac:dyDescent="0.25">
      <c r="V352" s="45"/>
      <c r="W352" s="12"/>
      <c r="X352" s="12"/>
      <c r="Y352" s="46"/>
    </row>
    <row r="353" spans="22:25" s="4" customFormat="1" x14ac:dyDescent="0.25">
      <c r="V353" s="45"/>
      <c r="W353" s="12"/>
      <c r="X353" s="12"/>
      <c r="Y353" s="46"/>
    </row>
    <row r="354" spans="22:25" s="4" customFormat="1" x14ac:dyDescent="0.25">
      <c r="V354" s="45"/>
      <c r="W354" s="12"/>
      <c r="X354" s="12"/>
      <c r="Y354" s="46"/>
    </row>
    <row r="355" spans="22:25" s="4" customFormat="1" x14ac:dyDescent="0.25">
      <c r="V355" s="45"/>
      <c r="W355" s="12"/>
      <c r="X355" s="12"/>
      <c r="Y355" s="46"/>
    </row>
    <row r="356" spans="22:25" s="4" customFormat="1" x14ac:dyDescent="0.25">
      <c r="V356" s="45"/>
      <c r="W356" s="12"/>
      <c r="X356" s="12"/>
      <c r="Y356" s="46"/>
    </row>
    <row r="357" spans="22:25" s="4" customFormat="1" x14ac:dyDescent="0.25">
      <c r="V357" s="45"/>
      <c r="W357" s="12"/>
      <c r="X357" s="12"/>
      <c r="Y357" s="46"/>
    </row>
    <row r="358" spans="22:25" s="4" customFormat="1" x14ac:dyDescent="0.25">
      <c r="V358" s="45"/>
      <c r="W358" s="12"/>
      <c r="X358" s="12"/>
      <c r="Y358" s="46"/>
    </row>
    <row r="359" spans="22:25" s="4" customFormat="1" x14ac:dyDescent="0.25">
      <c r="V359" s="45"/>
      <c r="W359" s="12"/>
      <c r="X359" s="12"/>
      <c r="Y359" s="46"/>
    </row>
    <row r="360" spans="22:25" s="4" customFormat="1" x14ac:dyDescent="0.25">
      <c r="V360" s="45"/>
      <c r="W360" s="12"/>
      <c r="X360" s="12"/>
      <c r="Y360" s="46"/>
    </row>
    <row r="361" spans="22:25" s="4" customFormat="1" x14ac:dyDescent="0.25">
      <c r="V361" s="45"/>
      <c r="W361" s="12"/>
      <c r="X361" s="12"/>
      <c r="Y361" s="46"/>
    </row>
    <row r="362" spans="22:25" s="4" customFormat="1" x14ac:dyDescent="0.25">
      <c r="V362" s="45"/>
      <c r="W362" s="12"/>
      <c r="X362" s="12"/>
      <c r="Y362" s="46"/>
    </row>
    <row r="363" spans="22:25" s="4" customFormat="1" x14ac:dyDescent="0.25">
      <c r="V363" s="45"/>
      <c r="W363" s="12"/>
      <c r="X363" s="12"/>
      <c r="Y363" s="46"/>
    </row>
    <row r="364" spans="22:25" s="4" customFormat="1" x14ac:dyDescent="0.25">
      <c r="V364" s="45"/>
      <c r="W364" s="12"/>
      <c r="X364" s="12"/>
      <c r="Y364" s="46"/>
    </row>
    <row r="365" spans="22:25" s="4" customFormat="1" x14ac:dyDescent="0.25">
      <c r="V365" s="45"/>
      <c r="W365" s="12"/>
      <c r="X365" s="12"/>
      <c r="Y365" s="46"/>
    </row>
    <row r="366" spans="22:25" s="4" customFormat="1" x14ac:dyDescent="0.25">
      <c r="V366" s="45"/>
      <c r="W366" s="12"/>
      <c r="X366" s="12"/>
      <c r="Y366" s="46"/>
    </row>
    <row r="367" spans="22:25" s="4" customFormat="1" x14ac:dyDescent="0.25">
      <c r="V367" s="45"/>
      <c r="W367" s="12"/>
      <c r="X367" s="12"/>
      <c r="Y367" s="46"/>
    </row>
    <row r="368" spans="22:25" s="4" customFormat="1" x14ac:dyDescent="0.25">
      <c r="V368" s="45"/>
      <c r="W368" s="12"/>
      <c r="X368" s="12"/>
      <c r="Y368" s="46"/>
    </row>
    <row r="369" spans="22:25" s="4" customFormat="1" x14ac:dyDescent="0.25">
      <c r="V369" s="45"/>
      <c r="W369" s="12"/>
      <c r="X369" s="12"/>
      <c r="Y369" s="46"/>
    </row>
    <row r="370" spans="22:25" s="4" customFormat="1" x14ac:dyDescent="0.25">
      <c r="V370" s="45"/>
      <c r="W370" s="12"/>
      <c r="X370" s="12"/>
      <c r="Y370" s="46"/>
    </row>
    <row r="371" spans="22:25" s="4" customFormat="1" x14ac:dyDescent="0.25">
      <c r="V371" s="45"/>
      <c r="W371" s="12"/>
      <c r="X371" s="12"/>
      <c r="Y371" s="46"/>
    </row>
    <row r="372" spans="22:25" s="4" customFormat="1" x14ac:dyDescent="0.25">
      <c r="V372" s="45"/>
      <c r="W372" s="12"/>
      <c r="X372" s="12"/>
      <c r="Y372" s="46"/>
    </row>
    <row r="373" spans="22:25" s="4" customFormat="1" x14ac:dyDescent="0.25">
      <c r="V373" s="45"/>
      <c r="W373" s="12"/>
      <c r="X373" s="12"/>
      <c r="Y373" s="46"/>
    </row>
    <row r="374" spans="22:25" s="4" customFormat="1" x14ac:dyDescent="0.25">
      <c r="V374" s="45"/>
      <c r="W374" s="12"/>
      <c r="X374" s="12"/>
      <c r="Y374" s="46"/>
    </row>
    <row r="375" spans="22:25" s="4" customFormat="1" x14ac:dyDescent="0.25">
      <c r="V375" s="45"/>
      <c r="W375" s="12"/>
      <c r="X375" s="12"/>
      <c r="Y375" s="46"/>
    </row>
    <row r="376" spans="22:25" s="4" customFormat="1" x14ac:dyDescent="0.25">
      <c r="V376" s="45"/>
      <c r="W376" s="12"/>
      <c r="X376" s="12"/>
      <c r="Y376" s="46"/>
    </row>
    <row r="377" spans="22:25" s="4" customFormat="1" x14ac:dyDescent="0.25">
      <c r="V377" s="45"/>
      <c r="W377" s="12"/>
      <c r="X377" s="12"/>
      <c r="Y377" s="46"/>
    </row>
    <row r="378" spans="22:25" s="4" customFormat="1" x14ac:dyDescent="0.25">
      <c r="V378" s="45"/>
      <c r="W378" s="12"/>
      <c r="X378" s="12"/>
      <c r="Y378" s="46"/>
    </row>
    <row r="379" spans="22:25" s="4" customFormat="1" x14ac:dyDescent="0.25">
      <c r="V379" s="45"/>
      <c r="W379" s="12"/>
      <c r="X379" s="12"/>
      <c r="Y379" s="46"/>
    </row>
    <row r="380" spans="22:25" s="4" customFormat="1" x14ac:dyDescent="0.25">
      <c r="V380" s="45"/>
      <c r="W380" s="12"/>
      <c r="X380" s="12"/>
      <c r="Y380" s="46"/>
    </row>
    <row r="381" spans="22:25" s="4" customFormat="1" x14ac:dyDescent="0.25">
      <c r="V381" s="45"/>
      <c r="W381" s="12"/>
      <c r="X381" s="12"/>
      <c r="Y381" s="46"/>
    </row>
    <row r="382" spans="22:25" s="4" customFormat="1" x14ac:dyDescent="0.25">
      <c r="V382" s="45"/>
      <c r="W382" s="12"/>
      <c r="X382" s="12"/>
      <c r="Y382" s="46"/>
    </row>
    <row r="383" spans="22:25" s="4" customFormat="1" x14ac:dyDescent="0.25">
      <c r="V383" s="45"/>
      <c r="W383" s="12"/>
      <c r="X383" s="12"/>
      <c r="Y383" s="46"/>
    </row>
    <row r="384" spans="22:25" s="4" customFormat="1" x14ac:dyDescent="0.25">
      <c r="V384" s="45"/>
      <c r="W384" s="12"/>
      <c r="X384" s="12"/>
      <c r="Y384" s="46"/>
    </row>
    <row r="385" spans="22:25" s="4" customFormat="1" x14ac:dyDescent="0.25">
      <c r="V385" s="45"/>
      <c r="W385" s="12"/>
      <c r="X385" s="12"/>
      <c r="Y385" s="46"/>
    </row>
    <row r="386" spans="22:25" s="4" customFormat="1" x14ac:dyDescent="0.25">
      <c r="V386" s="45"/>
      <c r="W386" s="12"/>
      <c r="X386" s="12"/>
      <c r="Y386" s="46"/>
    </row>
    <row r="387" spans="22:25" s="4" customFormat="1" x14ac:dyDescent="0.25">
      <c r="V387" s="45"/>
      <c r="W387" s="12"/>
      <c r="X387" s="12"/>
      <c r="Y387" s="46"/>
    </row>
    <row r="388" spans="22:25" s="4" customFormat="1" x14ac:dyDescent="0.25">
      <c r="V388" s="45"/>
      <c r="W388" s="12"/>
      <c r="X388" s="12"/>
      <c r="Y388" s="46"/>
    </row>
    <row r="389" spans="22:25" s="4" customFormat="1" x14ac:dyDescent="0.25">
      <c r="V389" s="45"/>
      <c r="W389" s="12"/>
      <c r="X389" s="12"/>
      <c r="Y389" s="46"/>
    </row>
    <row r="390" spans="22:25" s="4" customFormat="1" x14ac:dyDescent="0.25">
      <c r="V390" s="45"/>
      <c r="W390" s="12"/>
      <c r="X390" s="12"/>
      <c r="Y390" s="46"/>
    </row>
    <row r="391" spans="22:25" s="4" customFormat="1" x14ac:dyDescent="0.25">
      <c r="V391" s="45"/>
      <c r="W391" s="12"/>
      <c r="X391" s="12"/>
      <c r="Y391" s="46"/>
    </row>
    <row r="392" spans="22:25" s="4" customFormat="1" x14ac:dyDescent="0.25">
      <c r="V392" s="45"/>
      <c r="W392" s="12"/>
      <c r="X392" s="12"/>
      <c r="Y392" s="46"/>
    </row>
    <row r="393" spans="22:25" s="4" customFormat="1" x14ac:dyDescent="0.25">
      <c r="V393" s="45"/>
      <c r="W393" s="12"/>
      <c r="X393" s="12"/>
      <c r="Y393" s="46"/>
    </row>
    <row r="394" spans="22:25" s="4" customFormat="1" x14ac:dyDescent="0.25">
      <c r="V394" s="45"/>
      <c r="W394" s="12"/>
      <c r="X394" s="12"/>
      <c r="Y394" s="46"/>
    </row>
    <row r="395" spans="22:25" s="4" customFormat="1" x14ac:dyDescent="0.25">
      <c r="V395" s="45"/>
      <c r="W395" s="12"/>
      <c r="X395" s="12"/>
      <c r="Y395" s="46"/>
    </row>
    <row r="396" spans="22:25" s="4" customFormat="1" x14ac:dyDescent="0.25">
      <c r="V396" s="45"/>
      <c r="W396" s="12"/>
      <c r="X396" s="12"/>
      <c r="Y396" s="46"/>
    </row>
    <row r="397" spans="22:25" s="4" customFormat="1" x14ac:dyDescent="0.25">
      <c r="V397" s="45"/>
      <c r="W397" s="12"/>
      <c r="X397" s="12"/>
      <c r="Y397" s="46"/>
    </row>
    <row r="398" spans="22:25" s="4" customFormat="1" x14ac:dyDescent="0.25">
      <c r="V398" s="45"/>
      <c r="W398" s="12"/>
      <c r="X398" s="12"/>
      <c r="Y398" s="46"/>
    </row>
    <row r="399" spans="22:25" s="4" customFormat="1" x14ac:dyDescent="0.25">
      <c r="V399" s="45"/>
      <c r="W399" s="12"/>
      <c r="X399" s="12"/>
      <c r="Y399" s="46"/>
    </row>
    <row r="400" spans="22:25" s="4" customFormat="1" x14ac:dyDescent="0.25">
      <c r="V400" s="45"/>
      <c r="W400" s="12"/>
      <c r="X400" s="12"/>
      <c r="Y400" s="46"/>
    </row>
    <row r="401" spans="22:25" s="4" customFormat="1" x14ac:dyDescent="0.25">
      <c r="V401" s="45"/>
      <c r="W401" s="12"/>
      <c r="X401" s="12"/>
      <c r="Y401" s="46"/>
    </row>
    <row r="402" spans="22:25" s="4" customFormat="1" x14ac:dyDescent="0.25">
      <c r="V402" s="45"/>
      <c r="W402" s="12"/>
      <c r="X402" s="12"/>
      <c r="Y402" s="46"/>
    </row>
    <row r="403" spans="22:25" s="4" customFormat="1" x14ac:dyDescent="0.25">
      <c r="V403" s="45"/>
      <c r="W403" s="12"/>
      <c r="X403" s="12"/>
      <c r="Y403" s="46"/>
    </row>
    <row r="404" spans="22:25" s="4" customFormat="1" x14ac:dyDescent="0.25">
      <c r="V404" s="45"/>
      <c r="W404" s="12"/>
      <c r="X404" s="12"/>
      <c r="Y404" s="46"/>
    </row>
    <row r="405" spans="22:25" s="4" customFormat="1" x14ac:dyDescent="0.25">
      <c r="V405" s="45"/>
      <c r="W405" s="12"/>
      <c r="X405" s="12"/>
      <c r="Y405" s="46"/>
    </row>
    <row r="406" spans="22:25" s="4" customFormat="1" x14ac:dyDescent="0.25">
      <c r="V406" s="45"/>
      <c r="W406" s="12"/>
      <c r="X406" s="12"/>
      <c r="Y406" s="46"/>
    </row>
    <row r="407" spans="22:25" s="4" customFormat="1" x14ac:dyDescent="0.25">
      <c r="V407" s="45"/>
      <c r="W407" s="12"/>
      <c r="X407" s="12"/>
      <c r="Y407" s="46"/>
    </row>
    <row r="408" spans="22:25" s="4" customFormat="1" x14ac:dyDescent="0.25">
      <c r="V408" s="45"/>
      <c r="W408" s="12"/>
      <c r="X408" s="12"/>
      <c r="Y408" s="46"/>
    </row>
    <row r="409" spans="22:25" s="4" customFormat="1" x14ac:dyDescent="0.25">
      <c r="V409" s="45"/>
      <c r="W409" s="12"/>
      <c r="X409" s="12"/>
      <c r="Y409" s="46"/>
    </row>
    <row r="410" spans="22:25" s="4" customFormat="1" x14ac:dyDescent="0.25">
      <c r="V410" s="45"/>
      <c r="W410" s="12"/>
      <c r="X410" s="12"/>
      <c r="Y410" s="46"/>
    </row>
    <row r="411" spans="22:25" s="4" customFormat="1" x14ac:dyDescent="0.25">
      <c r="V411" s="45"/>
      <c r="W411" s="12"/>
      <c r="X411" s="12"/>
      <c r="Y411" s="46"/>
    </row>
    <row r="412" spans="22:25" s="4" customFormat="1" x14ac:dyDescent="0.25">
      <c r="V412" s="45"/>
      <c r="W412" s="12"/>
      <c r="X412" s="12"/>
      <c r="Y412" s="46"/>
    </row>
    <row r="413" spans="22:25" s="4" customFormat="1" x14ac:dyDescent="0.25">
      <c r="V413" s="45"/>
      <c r="W413" s="12"/>
      <c r="X413" s="12"/>
      <c r="Y413" s="46"/>
    </row>
    <row r="414" spans="22:25" s="4" customFormat="1" x14ac:dyDescent="0.25">
      <c r="V414" s="45"/>
      <c r="W414" s="12"/>
      <c r="X414" s="12"/>
      <c r="Y414" s="46"/>
    </row>
    <row r="415" spans="22:25" s="4" customFormat="1" x14ac:dyDescent="0.25">
      <c r="V415" s="45"/>
      <c r="W415" s="12"/>
      <c r="X415" s="12"/>
      <c r="Y415" s="46"/>
    </row>
    <row r="416" spans="22:25" s="4" customFormat="1" x14ac:dyDescent="0.25">
      <c r="V416" s="45"/>
      <c r="W416" s="12"/>
      <c r="X416" s="12"/>
      <c r="Y416" s="46"/>
    </row>
    <row r="417" spans="22:25" s="4" customFormat="1" x14ac:dyDescent="0.25">
      <c r="V417" s="45"/>
      <c r="W417" s="12"/>
      <c r="X417" s="12"/>
      <c r="Y417" s="46"/>
    </row>
    <row r="418" spans="22:25" s="4" customFormat="1" x14ac:dyDescent="0.25">
      <c r="V418" s="45"/>
      <c r="W418" s="12"/>
      <c r="X418" s="12"/>
      <c r="Y418" s="46"/>
    </row>
    <row r="419" spans="22:25" s="4" customFormat="1" x14ac:dyDescent="0.25">
      <c r="V419" s="45"/>
      <c r="W419" s="12"/>
      <c r="X419" s="12"/>
      <c r="Y419" s="46"/>
    </row>
    <row r="420" spans="22:25" s="4" customFormat="1" x14ac:dyDescent="0.25">
      <c r="V420" s="45"/>
      <c r="W420" s="12"/>
      <c r="X420" s="12"/>
      <c r="Y420" s="46"/>
    </row>
    <row r="421" spans="22:25" s="4" customFormat="1" x14ac:dyDescent="0.25">
      <c r="V421" s="45"/>
      <c r="W421" s="12"/>
      <c r="X421" s="12"/>
      <c r="Y421" s="46"/>
    </row>
    <row r="422" spans="22:25" s="4" customFormat="1" x14ac:dyDescent="0.25">
      <c r="V422" s="45"/>
      <c r="W422" s="12"/>
      <c r="X422" s="12"/>
      <c r="Y422" s="46"/>
    </row>
    <row r="423" spans="22:25" s="4" customFormat="1" x14ac:dyDescent="0.25">
      <c r="V423" s="45"/>
      <c r="W423" s="12"/>
      <c r="X423" s="12"/>
      <c r="Y423" s="46"/>
    </row>
    <row r="424" spans="22:25" s="4" customFormat="1" x14ac:dyDescent="0.25">
      <c r="V424" s="45"/>
      <c r="W424" s="12"/>
      <c r="X424" s="12"/>
      <c r="Y424" s="46"/>
    </row>
    <row r="425" spans="22:25" s="4" customFormat="1" x14ac:dyDescent="0.25">
      <c r="V425" s="45"/>
      <c r="W425" s="12"/>
      <c r="X425" s="12"/>
      <c r="Y425" s="46"/>
    </row>
    <row r="426" spans="22:25" s="4" customFormat="1" x14ac:dyDescent="0.25">
      <c r="V426" s="45"/>
      <c r="W426" s="12"/>
      <c r="X426" s="12"/>
      <c r="Y426" s="46"/>
    </row>
    <row r="427" spans="22:25" s="4" customFormat="1" x14ac:dyDescent="0.25">
      <c r="V427" s="45"/>
      <c r="W427" s="12"/>
      <c r="X427" s="12"/>
      <c r="Y427" s="46"/>
    </row>
    <row r="428" spans="22:25" s="4" customFormat="1" x14ac:dyDescent="0.25">
      <c r="V428" s="45"/>
      <c r="W428" s="12"/>
      <c r="X428" s="12"/>
      <c r="Y428" s="46"/>
    </row>
    <row r="429" spans="22:25" s="4" customFormat="1" x14ac:dyDescent="0.25">
      <c r="V429" s="45"/>
      <c r="W429" s="12"/>
      <c r="X429" s="12"/>
      <c r="Y429" s="46"/>
    </row>
    <row r="430" spans="22:25" s="4" customFormat="1" x14ac:dyDescent="0.25">
      <c r="V430" s="45"/>
      <c r="W430" s="12"/>
      <c r="X430" s="12"/>
      <c r="Y430" s="46"/>
    </row>
    <row r="431" spans="22:25" s="4" customFormat="1" x14ac:dyDescent="0.25">
      <c r="V431" s="45"/>
      <c r="W431" s="12"/>
      <c r="X431" s="12"/>
      <c r="Y431" s="46"/>
    </row>
    <row r="432" spans="22:25" s="4" customFormat="1" x14ac:dyDescent="0.25">
      <c r="V432" s="45"/>
      <c r="W432" s="12"/>
      <c r="X432" s="12"/>
      <c r="Y432" s="46"/>
    </row>
    <row r="433" spans="22:25" s="4" customFormat="1" x14ac:dyDescent="0.25">
      <c r="V433" s="45"/>
      <c r="W433" s="12"/>
      <c r="X433" s="12"/>
      <c r="Y433" s="46"/>
    </row>
    <row r="434" spans="22:25" s="4" customFormat="1" x14ac:dyDescent="0.25">
      <c r="V434" s="45"/>
      <c r="W434" s="12"/>
      <c r="X434" s="12"/>
      <c r="Y434" s="46"/>
    </row>
    <row r="435" spans="22:25" s="4" customFormat="1" x14ac:dyDescent="0.25">
      <c r="V435" s="45"/>
      <c r="W435" s="12"/>
      <c r="X435" s="12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</sheetData>
  <mergeCells count="13">
    <mergeCell ref="A250:Y250"/>
    <mergeCell ref="A294:Y294"/>
    <mergeCell ref="A4:Y4"/>
    <mergeCell ref="A90:Y90"/>
    <mergeCell ref="A178:Y178"/>
    <mergeCell ref="A1:Y1"/>
    <mergeCell ref="A2:B2"/>
    <mergeCell ref="C2:E2"/>
    <mergeCell ref="G2:I2"/>
    <mergeCell ref="K2:M2"/>
    <mergeCell ref="O2:Q2"/>
    <mergeCell ref="S2:U2"/>
    <mergeCell ref="W2:Y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Y451"/>
  <sheetViews>
    <sheetView zoomScale="80" zoomScaleNormal="80" zoomScalePageLayoutView="80" workbookViewId="0">
      <pane xSplit="2" ySplit="5" topLeftCell="C203" activePane="bottomRight" state="frozen"/>
      <selection pane="topRight" activeCell="C1" sqref="C1"/>
      <selection pane="bottomLeft" activeCell="A6" sqref="A6"/>
      <selection pane="bottomRight" activeCell="T35" sqref="T35"/>
    </sheetView>
  </sheetViews>
  <sheetFormatPr defaultColWidth="8.88671875" defaultRowHeight="13.2" x14ac:dyDescent="0.25"/>
  <cols>
    <col min="1" max="1" width="9.88671875" style="7" customWidth="1"/>
    <col min="2" max="2" width="47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4.664062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4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77" s="61" customFormat="1" x14ac:dyDescent="0.25">
      <c r="A1" s="316" t="s">
        <v>98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77" s="61" customFormat="1" x14ac:dyDescent="0.25">
      <c r="A2" s="331">
        <v>44778</v>
      </c>
      <c r="B2" s="332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77" s="72" customFormat="1" ht="26.4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77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77" s="77" customForma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77" s="61" customFormat="1" x14ac:dyDescent="0.25">
      <c r="A6" s="52"/>
      <c r="B6" s="195" t="s">
        <v>69</v>
      </c>
      <c r="C6" s="55">
        <f>(72176*1.03)*0.25</f>
        <v>18585.32</v>
      </c>
      <c r="D6" s="56">
        <f>(72176*1.03)*(0.25-0.05)</f>
        <v>14868.256000000001</v>
      </c>
      <c r="E6" s="57">
        <f t="shared" ref="E6" si="0">SUM(C6:D6)</f>
        <v>33453.576000000001</v>
      </c>
      <c r="F6" s="58"/>
      <c r="G6" s="55">
        <f t="shared" ref="G6:H8" si="1">C6*1.03</f>
        <v>19142.8796</v>
      </c>
      <c r="H6" s="57">
        <f t="shared" si="1"/>
        <v>15314.303680000001</v>
      </c>
      <c r="I6" s="57">
        <f t="shared" ref="I6" si="2">SUM(G6:H6)</f>
        <v>34457.183279999997</v>
      </c>
      <c r="J6" s="58"/>
      <c r="K6" s="55">
        <f t="shared" ref="K6:L8" si="3">G6*1.03</f>
        <v>19717.165988000001</v>
      </c>
      <c r="L6" s="57">
        <f t="shared" si="3"/>
        <v>15773.732790400001</v>
      </c>
      <c r="M6" s="57">
        <f t="shared" ref="M6" si="4">SUM(K6:L6)</f>
        <v>35490.898778400006</v>
      </c>
      <c r="N6" s="58"/>
      <c r="O6" s="55">
        <f t="shared" ref="O6:P8" si="5">K6*1.03</f>
        <v>20308.680967640001</v>
      </c>
      <c r="P6" s="57">
        <f t="shared" si="5"/>
        <v>16246.944774112002</v>
      </c>
      <c r="Q6" s="57">
        <f t="shared" ref="Q6" si="6">SUM(O6:P6)</f>
        <v>36555.625741752003</v>
      </c>
      <c r="R6" s="58"/>
      <c r="S6" s="55">
        <f>O6*1.03</f>
        <v>20917.941396669201</v>
      </c>
      <c r="T6" s="57">
        <f>P6*1.03</f>
        <v>16734.353117335362</v>
      </c>
      <c r="U6" s="57">
        <f t="shared" ref="U6" si="7">SUM(S6:T6)</f>
        <v>37652.294514004563</v>
      </c>
      <c r="V6" s="59"/>
      <c r="W6" s="124">
        <f t="shared" ref="W6" si="8">C6+G6+K6+O6+S6</f>
        <v>98671.987952309195</v>
      </c>
      <c r="X6" s="196">
        <f t="shared" ref="X6" si="9">D6+H6+L6+P6+T6</f>
        <v>78937.590361847368</v>
      </c>
      <c r="Y6" s="194">
        <f t="shared" ref="Y6" si="10">E6+I6+M6+Q6+U6</f>
        <v>177609.57831415656</v>
      </c>
    </row>
    <row r="7" spans="1:77" s="61" customFormat="1" x14ac:dyDescent="0.25">
      <c r="A7" s="54"/>
      <c r="B7" s="61" t="s">
        <v>57</v>
      </c>
      <c r="C7" s="124">
        <v>0</v>
      </c>
      <c r="D7" s="56">
        <v>0</v>
      </c>
      <c r="E7" s="56">
        <f t="shared" ref="E7:E14" si="11">SUM(C7:D7)</f>
        <v>0</v>
      </c>
      <c r="F7" s="58"/>
      <c r="G7" s="55">
        <f t="shared" si="1"/>
        <v>0</v>
      </c>
      <c r="H7" s="57">
        <f t="shared" si="1"/>
        <v>0</v>
      </c>
      <c r="I7" s="57">
        <f t="shared" ref="I7:I14" si="12">SUM(G7:H7)</f>
        <v>0</v>
      </c>
      <c r="J7" s="58"/>
      <c r="K7" s="55">
        <f t="shared" si="3"/>
        <v>0</v>
      </c>
      <c r="L7" s="57">
        <f t="shared" si="3"/>
        <v>0</v>
      </c>
      <c r="M7" s="57">
        <f t="shared" ref="M7:M14" si="13">SUM(K7:L7)</f>
        <v>0</v>
      </c>
      <c r="N7" s="58"/>
      <c r="O7" s="55">
        <f t="shared" si="5"/>
        <v>0</v>
      </c>
      <c r="P7" s="57">
        <f t="shared" si="5"/>
        <v>0</v>
      </c>
      <c r="Q7" s="57">
        <f t="shared" ref="Q7:Q14" si="14">SUM(O7:P7)</f>
        <v>0</v>
      </c>
      <c r="R7" s="58"/>
      <c r="S7" s="55">
        <f>O7*1.03</f>
        <v>0</v>
      </c>
      <c r="T7" s="57">
        <f>P7*1.03</f>
        <v>0</v>
      </c>
      <c r="U7" s="57">
        <f t="shared" ref="U7:U14" si="15">SUM(S7:T7)</f>
        <v>0</v>
      </c>
      <c r="V7" s="59"/>
      <c r="W7" s="124">
        <f t="shared" ref="W7:W15" si="16">C7+G7+K7+O7+S7</f>
        <v>0</v>
      </c>
      <c r="X7" s="57">
        <f t="shared" ref="X7:X15" si="17">D7+H7+L7+P7+T7</f>
        <v>0</v>
      </c>
      <c r="Y7" s="84">
        <f t="shared" ref="Y7:Y15" si="18">E7+I7+M7+Q7+U7</f>
        <v>0</v>
      </c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</row>
    <row r="8" spans="1:77" s="61" customFormat="1" x14ac:dyDescent="0.25">
      <c r="B8" s="61" t="s">
        <v>216</v>
      </c>
      <c r="C8" s="124">
        <f>5000</f>
        <v>5000</v>
      </c>
      <c r="D8" s="56">
        <f>5000*0</f>
        <v>0</v>
      </c>
      <c r="E8" s="56">
        <f t="shared" ref="E8" si="19">SUM(C8:D8)</f>
        <v>5000</v>
      </c>
      <c r="F8" s="58"/>
      <c r="G8" s="55">
        <f t="shared" si="1"/>
        <v>5150</v>
      </c>
      <c r="H8" s="57">
        <f t="shared" si="1"/>
        <v>0</v>
      </c>
      <c r="I8" s="57">
        <f t="shared" si="12"/>
        <v>5150</v>
      </c>
      <c r="J8" s="58"/>
      <c r="K8" s="55">
        <f t="shared" si="3"/>
        <v>5304.5</v>
      </c>
      <c r="L8" s="57">
        <f t="shared" si="3"/>
        <v>0</v>
      </c>
      <c r="M8" s="57">
        <f t="shared" si="13"/>
        <v>5304.5</v>
      </c>
      <c r="N8" s="58"/>
      <c r="O8" s="55">
        <f t="shared" si="5"/>
        <v>5463.6350000000002</v>
      </c>
      <c r="P8" s="57">
        <f t="shared" si="5"/>
        <v>0</v>
      </c>
      <c r="Q8" s="57">
        <f t="shared" si="14"/>
        <v>5463.6350000000002</v>
      </c>
      <c r="R8" s="58"/>
      <c r="S8" s="55">
        <f>O8*1.03*0</f>
        <v>0</v>
      </c>
      <c r="T8" s="57">
        <f>P8*1.03</f>
        <v>0</v>
      </c>
      <c r="U8" s="57">
        <f t="shared" si="15"/>
        <v>0</v>
      </c>
      <c r="V8" s="59"/>
      <c r="W8" s="124">
        <f t="shared" si="16"/>
        <v>20918.135000000002</v>
      </c>
      <c r="X8" s="57">
        <f t="shared" si="17"/>
        <v>0</v>
      </c>
      <c r="Y8" s="202">
        <f t="shared" si="18"/>
        <v>20918.135000000002</v>
      </c>
    </row>
    <row r="9" spans="1:77" s="61" customFormat="1" x14ac:dyDescent="0.25">
      <c r="A9" s="53"/>
      <c r="B9" s="54" t="s">
        <v>57</v>
      </c>
      <c r="C9" s="124">
        <v>0</v>
      </c>
      <c r="D9" s="56">
        <v>0</v>
      </c>
      <c r="E9" s="56">
        <f t="shared" si="11"/>
        <v>0</v>
      </c>
      <c r="F9" s="58"/>
      <c r="G9" s="55">
        <f t="shared" ref="G9:H14" si="20">C9*1.05</f>
        <v>0</v>
      </c>
      <c r="H9" s="57">
        <f t="shared" si="20"/>
        <v>0</v>
      </c>
      <c r="I9" s="57">
        <f t="shared" si="12"/>
        <v>0</v>
      </c>
      <c r="J9" s="58"/>
      <c r="K9" s="55">
        <f t="shared" ref="K9:L14" si="21">G9*1.05</f>
        <v>0</v>
      </c>
      <c r="L9" s="57">
        <f t="shared" si="21"/>
        <v>0</v>
      </c>
      <c r="M9" s="57">
        <f t="shared" si="13"/>
        <v>0</v>
      </c>
      <c r="N9" s="58"/>
      <c r="O9" s="55">
        <f t="shared" ref="O9:P14" si="22">K9*1.05</f>
        <v>0</v>
      </c>
      <c r="P9" s="57">
        <f t="shared" si="22"/>
        <v>0</v>
      </c>
      <c r="Q9" s="57">
        <f t="shared" si="14"/>
        <v>0</v>
      </c>
      <c r="R9" s="58"/>
      <c r="S9" s="55">
        <f t="shared" ref="S9:T14" si="23">O9*1.05</f>
        <v>0</v>
      </c>
      <c r="T9" s="57">
        <f t="shared" si="23"/>
        <v>0</v>
      </c>
      <c r="U9" s="57">
        <f t="shared" si="15"/>
        <v>0</v>
      </c>
      <c r="V9" s="59"/>
      <c r="W9" s="124">
        <f t="shared" si="16"/>
        <v>0</v>
      </c>
      <c r="X9" s="57">
        <f t="shared" si="17"/>
        <v>0</v>
      </c>
      <c r="Y9" s="84">
        <f t="shared" si="18"/>
        <v>0</v>
      </c>
    </row>
    <row r="10" spans="1:77" s="61" customFormat="1" x14ac:dyDescent="0.25">
      <c r="A10" s="52"/>
      <c r="B10" s="54" t="s">
        <v>167</v>
      </c>
      <c r="C10" s="124">
        <f>3000*2</f>
        <v>6000</v>
      </c>
      <c r="D10" s="56">
        <v>0</v>
      </c>
      <c r="E10" s="56">
        <f t="shared" ref="E10" si="24">SUM(C10:D10)</f>
        <v>6000</v>
      </c>
      <c r="F10" s="58"/>
      <c r="G10" s="55">
        <f>3000*2</f>
        <v>6000</v>
      </c>
      <c r="H10" s="57">
        <v>0</v>
      </c>
      <c r="I10" s="57">
        <f t="shared" ref="I10" si="25">SUM(G10:H10)</f>
        <v>6000</v>
      </c>
      <c r="J10" s="58"/>
      <c r="K10" s="55">
        <f>G10</f>
        <v>6000</v>
      </c>
      <c r="L10" s="57">
        <v>0</v>
      </c>
      <c r="M10" s="57">
        <f t="shared" ref="M10" si="26">SUM(K10:L10)</f>
        <v>6000</v>
      </c>
      <c r="N10" s="58"/>
      <c r="O10" s="55">
        <f>3000*2</f>
        <v>6000</v>
      </c>
      <c r="P10" s="57">
        <v>0</v>
      </c>
      <c r="Q10" s="57">
        <f t="shared" ref="Q10" si="27">SUM(O10:P10)</f>
        <v>6000</v>
      </c>
      <c r="R10" s="58"/>
      <c r="S10" s="55">
        <v>0</v>
      </c>
      <c r="T10" s="57">
        <v>0</v>
      </c>
      <c r="U10" s="57">
        <f t="shared" ref="U10" si="28">SUM(S10:T10)</f>
        <v>0</v>
      </c>
      <c r="V10" s="59"/>
      <c r="W10" s="124">
        <f t="shared" si="16"/>
        <v>24000</v>
      </c>
      <c r="X10" s="56">
        <f t="shared" si="17"/>
        <v>0</v>
      </c>
      <c r="Y10" s="85">
        <f t="shared" si="18"/>
        <v>24000</v>
      </c>
      <c r="Z10" s="160"/>
      <c r="AA10" s="160"/>
      <c r="AB10" s="160"/>
      <c r="AC10" s="160"/>
    </row>
    <row r="11" spans="1:77" s="61" customFormat="1" x14ac:dyDescent="0.25">
      <c r="A11" s="53"/>
      <c r="B11" s="54"/>
      <c r="C11" s="124">
        <v>0</v>
      </c>
      <c r="D11" s="56">
        <v>0</v>
      </c>
      <c r="E11" s="56">
        <f t="shared" si="11"/>
        <v>0</v>
      </c>
      <c r="F11" s="58"/>
      <c r="G11" s="55">
        <f t="shared" si="20"/>
        <v>0</v>
      </c>
      <c r="H11" s="57">
        <f t="shared" si="20"/>
        <v>0</v>
      </c>
      <c r="I11" s="57">
        <f t="shared" si="12"/>
        <v>0</v>
      </c>
      <c r="J11" s="58"/>
      <c r="K11" s="55">
        <f t="shared" si="21"/>
        <v>0</v>
      </c>
      <c r="L11" s="57">
        <f t="shared" si="21"/>
        <v>0</v>
      </c>
      <c r="M11" s="57">
        <f t="shared" si="13"/>
        <v>0</v>
      </c>
      <c r="N11" s="58"/>
      <c r="O11" s="55">
        <f t="shared" si="22"/>
        <v>0</v>
      </c>
      <c r="P11" s="57">
        <f t="shared" si="22"/>
        <v>0</v>
      </c>
      <c r="Q11" s="57">
        <f t="shared" si="14"/>
        <v>0</v>
      </c>
      <c r="R11" s="58"/>
      <c r="S11" s="55">
        <f t="shared" si="23"/>
        <v>0</v>
      </c>
      <c r="T11" s="57">
        <f t="shared" si="23"/>
        <v>0</v>
      </c>
      <c r="U11" s="57">
        <f t="shared" si="15"/>
        <v>0</v>
      </c>
      <c r="V11" s="59"/>
      <c r="W11" s="124">
        <f t="shared" si="16"/>
        <v>0</v>
      </c>
      <c r="X11" s="57">
        <f t="shared" si="17"/>
        <v>0</v>
      </c>
      <c r="Y11" s="84">
        <f t="shared" si="18"/>
        <v>0</v>
      </c>
    </row>
    <row r="12" spans="1:77" s="61" customFormat="1" x14ac:dyDescent="0.25">
      <c r="A12" s="52"/>
      <c r="B12" s="54"/>
      <c r="C12" s="124">
        <v>0</v>
      </c>
      <c r="D12" s="56">
        <v>0</v>
      </c>
      <c r="E12" s="56">
        <f t="shared" si="11"/>
        <v>0</v>
      </c>
      <c r="F12" s="58"/>
      <c r="G12" s="55">
        <f t="shared" si="20"/>
        <v>0</v>
      </c>
      <c r="H12" s="57">
        <f t="shared" si="20"/>
        <v>0</v>
      </c>
      <c r="I12" s="57">
        <f t="shared" si="12"/>
        <v>0</v>
      </c>
      <c r="J12" s="58"/>
      <c r="K12" s="55">
        <f t="shared" si="21"/>
        <v>0</v>
      </c>
      <c r="L12" s="57">
        <f t="shared" si="21"/>
        <v>0</v>
      </c>
      <c r="M12" s="57">
        <f t="shared" si="13"/>
        <v>0</v>
      </c>
      <c r="N12" s="58"/>
      <c r="O12" s="55">
        <f t="shared" si="22"/>
        <v>0</v>
      </c>
      <c r="P12" s="57">
        <f t="shared" si="22"/>
        <v>0</v>
      </c>
      <c r="Q12" s="57">
        <f t="shared" si="14"/>
        <v>0</v>
      </c>
      <c r="R12" s="58"/>
      <c r="S12" s="55">
        <f t="shared" si="23"/>
        <v>0</v>
      </c>
      <c r="T12" s="57">
        <f t="shared" si="23"/>
        <v>0</v>
      </c>
      <c r="U12" s="57">
        <f t="shared" si="15"/>
        <v>0</v>
      </c>
      <c r="V12" s="59"/>
      <c r="W12" s="124">
        <f t="shared" si="16"/>
        <v>0</v>
      </c>
      <c r="X12" s="57">
        <f t="shared" si="17"/>
        <v>0</v>
      </c>
      <c r="Y12" s="84">
        <f t="shared" si="18"/>
        <v>0</v>
      </c>
    </row>
    <row r="13" spans="1:77" s="61" customFormat="1" x14ac:dyDescent="0.25">
      <c r="A13" s="52"/>
      <c r="B13" s="54"/>
      <c r="C13" s="124">
        <v>0</v>
      </c>
      <c r="D13" s="56">
        <v>0</v>
      </c>
      <c r="E13" s="56">
        <f t="shared" si="11"/>
        <v>0</v>
      </c>
      <c r="F13" s="58"/>
      <c r="G13" s="55">
        <f t="shared" si="20"/>
        <v>0</v>
      </c>
      <c r="H13" s="57">
        <f t="shared" si="20"/>
        <v>0</v>
      </c>
      <c r="I13" s="57">
        <f t="shared" si="12"/>
        <v>0</v>
      </c>
      <c r="J13" s="58"/>
      <c r="K13" s="55">
        <f t="shared" si="21"/>
        <v>0</v>
      </c>
      <c r="L13" s="57">
        <f t="shared" si="21"/>
        <v>0</v>
      </c>
      <c r="M13" s="57">
        <f t="shared" si="13"/>
        <v>0</v>
      </c>
      <c r="N13" s="58"/>
      <c r="O13" s="55">
        <f t="shared" si="22"/>
        <v>0</v>
      </c>
      <c r="P13" s="57">
        <f t="shared" si="22"/>
        <v>0</v>
      </c>
      <c r="Q13" s="57">
        <f t="shared" si="14"/>
        <v>0</v>
      </c>
      <c r="R13" s="58"/>
      <c r="S13" s="55">
        <f t="shared" si="23"/>
        <v>0</v>
      </c>
      <c r="T13" s="57">
        <f t="shared" si="23"/>
        <v>0</v>
      </c>
      <c r="U13" s="57">
        <f t="shared" si="15"/>
        <v>0</v>
      </c>
      <c r="V13" s="59"/>
      <c r="W13" s="124">
        <f t="shared" si="16"/>
        <v>0</v>
      </c>
      <c r="X13" s="57">
        <f t="shared" si="17"/>
        <v>0</v>
      </c>
      <c r="Y13" s="84">
        <f t="shared" si="18"/>
        <v>0</v>
      </c>
    </row>
    <row r="14" spans="1:77" s="61" customFormat="1" x14ac:dyDescent="0.25">
      <c r="A14" s="52"/>
      <c r="B14" s="54"/>
      <c r="C14" s="124">
        <v>0</v>
      </c>
      <c r="D14" s="56">
        <v>0</v>
      </c>
      <c r="E14" s="56">
        <f t="shared" si="11"/>
        <v>0</v>
      </c>
      <c r="F14" s="58"/>
      <c r="G14" s="55">
        <f t="shared" si="20"/>
        <v>0</v>
      </c>
      <c r="H14" s="57">
        <f t="shared" si="20"/>
        <v>0</v>
      </c>
      <c r="I14" s="57">
        <f t="shared" si="12"/>
        <v>0</v>
      </c>
      <c r="J14" s="58"/>
      <c r="K14" s="55">
        <f t="shared" si="21"/>
        <v>0</v>
      </c>
      <c r="L14" s="57">
        <f t="shared" si="21"/>
        <v>0</v>
      </c>
      <c r="M14" s="57">
        <f t="shared" si="13"/>
        <v>0</v>
      </c>
      <c r="N14" s="58"/>
      <c r="O14" s="55">
        <f t="shared" si="22"/>
        <v>0</v>
      </c>
      <c r="P14" s="57">
        <f t="shared" si="22"/>
        <v>0</v>
      </c>
      <c r="Q14" s="57">
        <f t="shared" si="14"/>
        <v>0</v>
      </c>
      <c r="R14" s="58"/>
      <c r="S14" s="55">
        <f t="shared" si="23"/>
        <v>0</v>
      </c>
      <c r="T14" s="57">
        <f t="shared" si="23"/>
        <v>0</v>
      </c>
      <c r="U14" s="57">
        <f t="shared" si="15"/>
        <v>0</v>
      </c>
      <c r="V14" s="59"/>
      <c r="W14" s="124">
        <f t="shared" si="16"/>
        <v>0</v>
      </c>
      <c r="X14" s="57">
        <f t="shared" si="17"/>
        <v>0</v>
      </c>
      <c r="Y14" s="84">
        <f t="shared" si="18"/>
        <v>0</v>
      </c>
    </row>
    <row r="15" spans="1:77" s="83" customFormat="1" x14ac:dyDescent="0.25">
      <c r="A15" s="78"/>
      <c r="B15" s="78" t="s">
        <v>9</v>
      </c>
      <c r="C15" s="228">
        <f>SUM(C6:C14)</f>
        <v>29585.32</v>
      </c>
      <c r="D15" s="125">
        <f>SUM(D6:D14)</f>
        <v>14868.256000000001</v>
      </c>
      <c r="E15" s="125">
        <f>SUM(E6:E14)</f>
        <v>44453.576000000001</v>
      </c>
      <c r="F15" s="81"/>
      <c r="G15" s="79">
        <f>SUM(G6:G14)</f>
        <v>30292.8796</v>
      </c>
      <c r="H15" s="80">
        <f>SUM(H6:H14)</f>
        <v>15314.303680000001</v>
      </c>
      <c r="I15" s="80">
        <f>SUM(I6:I14)</f>
        <v>45607.183279999997</v>
      </c>
      <c r="J15" s="81"/>
      <c r="K15" s="79">
        <f>SUM(K6:K14)</f>
        <v>31021.665988000001</v>
      </c>
      <c r="L15" s="80">
        <f>SUM(L6:L14)</f>
        <v>15773.732790400001</v>
      </c>
      <c r="M15" s="80">
        <f>SUM(M6:M14)</f>
        <v>46795.398778400006</v>
      </c>
      <c r="N15" s="81"/>
      <c r="O15" s="79">
        <f>SUM(O6:O14)</f>
        <v>31772.315967640003</v>
      </c>
      <c r="P15" s="80">
        <f>SUM(P6:P14)</f>
        <v>16246.944774112002</v>
      </c>
      <c r="Q15" s="80">
        <f>SUM(Q6:Q14)</f>
        <v>48019.260741752005</v>
      </c>
      <c r="R15" s="81"/>
      <c r="S15" s="79">
        <f>SUM(S6:S14)</f>
        <v>20917.941396669201</v>
      </c>
      <c r="T15" s="80">
        <f>SUM(T6:T14)</f>
        <v>16734.353117335362</v>
      </c>
      <c r="U15" s="80">
        <f>SUM(U6:U14)</f>
        <v>37652.294514004563</v>
      </c>
      <c r="V15" s="82"/>
      <c r="W15" s="228">
        <f t="shared" si="16"/>
        <v>143590.1229523092</v>
      </c>
      <c r="X15" s="80">
        <f t="shared" si="17"/>
        <v>78937.590361847368</v>
      </c>
      <c r="Y15" s="80">
        <f t="shared" si="18"/>
        <v>222527.71331415657</v>
      </c>
    </row>
    <row r="16" spans="1:77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61" customFormat="1" x14ac:dyDescent="0.25">
      <c r="A17" s="52"/>
      <c r="B17" s="195" t="s">
        <v>69</v>
      </c>
      <c r="C17" s="55">
        <f>(72176*1.03)*0.25*0</f>
        <v>0</v>
      </c>
      <c r="D17" s="56">
        <f>(72176*1.03)*(0.25-0.05)*0</f>
        <v>0</v>
      </c>
      <c r="E17" s="57">
        <f t="shared" ref="E17" si="29">SUM(C17:D17)</f>
        <v>0</v>
      </c>
      <c r="F17" s="58"/>
      <c r="G17" s="55">
        <f>C17*1.03</f>
        <v>0</v>
      </c>
      <c r="H17" s="57">
        <f>D17*1.03</f>
        <v>0</v>
      </c>
      <c r="I17" s="57">
        <f t="shared" ref="I17" si="30">SUM(G17:H17)</f>
        <v>0</v>
      </c>
      <c r="J17" s="58"/>
      <c r="K17" s="55">
        <f>G17*1.03</f>
        <v>0</v>
      </c>
      <c r="L17" s="57">
        <f>H17*1.03</f>
        <v>0</v>
      </c>
      <c r="M17" s="57">
        <f t="shared" ref="M17" si="31">SUM(K17:L17)</f>
        <v>0</v>
      </c>
      <c r="N17" s="58"/>
      <c r="O17" s="55">
        <f>K17*1.03</f>
        <v>0</v>
      </c>
      <c r="P17" s="57">
        <f>L17*1.03</f>
        <v>0</v>
      </c>
      <c r="Q17" s="57">
        <f t="shared" ref="Q17" si="32">SUM(O17:P17)</f>
        <v>0</v>
      </c>
      <c r="R17" s="58"/>
      <c r="S17" s="55">
        <f>O17*1.03</f>
        <v>0</v>
      </c>
      <c r="T17" s="57">
        <f>P17*1.03</f>
        <v>0</v>
      </c>
      <c r="U17" s="57">
        <f t="shared" ref="U17:U25" si="33">SUM(S17:T17)</f>
        <v>0</v>
      </c>
      <c r="V17" s="59"/>
      <c r="W17" s="124">
        <f t="shared" ref="W17:W26" si="34">C17+G17+K17+O17+S17</f>
        <v>0</v>
      </c>
      <c r="X17" s="196">
        <f t="shared" ref="X17:X26" si="35">D17+H17+L17+P17+T17</f>
        <v>0</v>
      </c>
      <c r="Y17" s="194">
        <f t="shared" ref="Y17:Y26" si="36">E17+I17+M17+Q17+U17</f>
        <v>0</v>
      </c>
    </row>
    <row r="18" spans="1:77" s="61" customFormat="1" x14ac:dyDescent="0.25">
      <c r="A18" s="52"/>
      <c r="B18" s="61" t="s">
        <v>57</v>
      </c>
      <c r="C18" s="124">
        <v>0</v>
      </c>
      <c r="D18" s="56">
        <v>0</v>
      </c>
      <c r="E18" s="56">
        <f t="shared" ref="E18:E25" si="37">SUM(C18:D18)</f>
        <v>0</v>
      </c>
      <c r="F18" s="58"/>
      <c r="G18" s="55">
        <f t="shared" ref="G18:G25" si="38">C18*1.03</f>
        <v>0</v>
      </c>
      <c r="H18" s="57">
        <f t="shared" ref="H18:H25" si="39">D18*1.03</f>
        <v>0</v>
      </c>
      <c r="I18" s="57">
        <f t="shared" ref="I18:I25" si="40">SUM(G18:H18)</f>
        <v>0</v>
      </c>
      <c r="J18" s="58"/>
      <c r="K18" s="55">
        <f t="shared" ref="K18:K25" si="41">G18*1.03</f>
        <v>0</v>
      </c>
      <c r="L18" s="57">
        <f t="shared" ref="L18:L25" si="42">H18*1.03</f>
        <v>0</v>
      </c>
      <c r="M18" s="57">
        <f t="shared" ref="M18:M25" si="43">SUM(K18:L18)</f>
        <v>0</v>
      </c>
      <c r="N18" s="58"/>
      <c r="O18" s="55">
        <f t="shared" ref="O18:O25" si="44">K18*1.03</f>
        <v>0</v>
      </c>
      <c r="P18" s="57">
        <f t="shared" ref="P18:P25" si="45">L18*1.03</f>
        <v>0</v>
      </c>
      <c r="Q18" s="57">
        <f t="shared" ref="Q18:Q25" si="46">SUM(O18:P18)</f>
        <v>0</v>
      </c>
      <c r="R18" s="58"/>
      <c r="S18" s="55">
        <f t="shared" ref="S18:S25" si="47">O18*1.03</f>
        <v>0</v>
      </c>
      <c r="T18" s="57">
        <f t="shared" ref="T18:T25" si="48">P18*1.03</f>
        <v>0</v>
      </c>
      <c r="U18" s="57">
        <f t="shared" si="33"/>
        <v>0</v>
      </c>
      <c r="V18" s="59"/>
      <c r="W18" s="124">
        <f t="shared" si="34"/>
        <v>0</v>
      </c>
      <c r="X18" s="57">
        <f t="shared" si="35"/>
        <v>0</v>
      </c>
      <c r="Y18" s="84">
        <f t="shared" si="36"/>
        <v>0</v>
      </c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</row>
    <row r="19" spans="1:77" s="61" customFormat="1" x14ac:dyDescent="0.25">
      <c r="A19" s="52"/>
      <c r="B19" s="54"/>
      <c r="C19" s="124">
        <v>0</v>
      </c>
      <c r="D19" s="56">
        <v>0</v>
      </c>
      <c r="E19" s="56">
        <f t="shared" si="37"/>
        <v>0</v>
      </c>
      <c r="F19" s="58"/>
      <c r="G19" s="55">
        <f t="shared" si="38"/>
        <v>0</v>
      </c>
      <c r="H19" s="57">
        <f t="shared" si="39"/>
        <v>0</v>
      </c>
      <c r="I19" s="57">
        <f t="shared" si="40"/>
        <v>0</v>
      </c>
      <c r="J19" s="58"/>
      <c r="K19" s="55">
        <f t="shared" si="41"/>
        <v>0</v>
      </c>
      <c r="L19" s="57">
        <f t="shared" si="42"/>
        <v>0</v>
      </c>
      <c r="M19" s="57">
        <f t="shared" si="43"/>
        <v>0</v>
      </c>
      <c r="N19" s="58"/>
      <c r="O19" s="55">
        <f t="shared" si="44"/>
        <v>0</v>
      </c>
      <c r="P19" s="57">
        <f t="shared" si="45"/>
        <v>0</v>
      </c>
      <c r="Q19" s="57">
        <f t="shared" si="46"/>
        <v>0</v>
      </c>
      <c r="R19" s="58"/>
      <c r="S19" s="55">
        <f t="shared" si="47"/>
        <v>0</v>
      </c>
      <c r="T19" s="57">
        <f t="shared" si="48"/>
        <v>0</v>
      </c>
      <c r="U19" s="57">
        <f t="shared" si="33"/>
        <v>0</v>
      </c>
      <c r="V19" s="59"/>
      <c r="W19" s="124">
        <f t="shared" si="34"/>
        <v>0</v>
      </c>
      <c r="X19" s="57">
        <f t="shared" si="35"/>
        <v>0</v>
      </c>
      <c r="Y19" s="84">
        <f t="shared" si="36"/>
        <v>0</v>
      </c>
    </row>
    <row r="20" spans="1:77" s="61" customFormat="1" x14ac:dyDescent="0.25">
      <c r="A20" s="87"/>
      <c r="B20" s="54"/>
      <c r="C20" s="124">
        <v>0</v>
      </c>
      <c r="D20" s="56">
        <v>0</v>
      </c>
      <c r="E20" s="56">
        <f t="shared" si="37"/>
        <v>0</v>
      </c>
      <c r="F20" s="58"/>
      <c r="G20" s="55">
        <f t="shared" si="38"/>
        <v>0</v>
      </c>
      <c r="H20" s="57">
        <f t="shared" si="39"/>
        <v>0</v>
      </c>
      <c r="I20" s="57">
        <f t="shared" si="40"/>
        <v>0</v>
      </c>
      <c r="J20" s="58"/>
      <c r="K20" s="55">
        <f t="shared" si="41"/>
        <v>0</v>
      </c>
      <c r="L20" s="57">
        <f t="shared" si="42"/>
        <v>0</v>
      </c>
      <c r="M20" s="57">
        <f t="shared" si="43"/>
        <v>0</v>
      </c>
      <c r="N20" s="58"/>
      <c r="O20" s="55">
        <f t="shared" si="44"/>
        <v>0</v>
      </c>
      <c r="P20" s="57">
        <f t="shared" si="45"/>
        <v>0</v>
      </c>
      <c r="Q20" s="57">
        <f t="shared" si="46"/>
        <v>0</v>
      </c>
      <c r="R20" s="58"/>
      <c r="S20" s="55">
        <f t="shared" si="47"/>
        <v>0</v>
      </c>
      <c r="T20" s="57">
        <f t="shared" si="48"/>
        <v>0</v>
      </c>
      <c r="U20" s="57">
        <f t="shared" si="33"/>
        <v>0</v>
      </c>
      <c r="V20" s="59"/>
      <c r="W20" s="124">
        <f t="shared" si="34"/>
        <v>0</v>
      </c>
      <c r="X20" s="57">
        <f t="shared" si="35"/>
        <v>0</v>
      </c>
      <c r="Y20" s="84">
        <f t="shared" si="36"/>
        <v>0</v>
      </c>
    </row>
    <row r="21" spans="1:77" s="61" customFormat="1" x14ac:dyDescent="0.25">
      <c r="A21" s="87"/>
      <c r="B21" s="54"/>
      <c r="C21" s="124">
        <v>0</v>
      </c>
      <c r="D21" s="56">
        <v>0</v>
      </c>
      <c r="E21" s="56">
        <f t="shared" si="37"/>
        <v>0</v>
      </c>
      <c r="F21" s="58"/>
      <c r="G21" s="55">
        <f t="shared" si="38"/>
        <v>0</v>
      </c>
      <c r="H21" s="57">
        <f t="shared" si="39"/>
        <v>0</v>
      </c>
      <c r="I21" s="57">
        <f t="shared" si="40"/>
        <v>0</v>
      </c>
      <c r="J21" s="58"/>
      <c r="K21" s="55">
        <f t="shared" si="41"/>
        <v>0</v>
      </c>
      <c r="L21" s="57">
        <f t="shared" si="42"/>
        <v>0</v>
      </c>
      <c r="M21" s="57">
        <f t="shared" si="43"/>
        <v>0</v>
      </c>
      <c r="N21" s="58"/>
      <c r="O21" s="55">
        <f t="shared" si="44"/>
        <v>0</v>
      </c>
      <c r="P21" s="57">
        <f t="shared" si="45"/>
        <v>0</v>
      </c>
      <c r="Q21" s="57">
        <f t="shared" si="46"/>
        <v>0</v>
      </c>
      <c r="R21" s="58"/>
      <c r="S21" s="55">
        <f t="shared" si="47"/>
        <v>0</v>
      </c>
      <c r="T21" s="57">
        <f t="shared" si="48"/>
        <v>0</v>
      </c>
      <c r="U21" s="57">
        <f t="shared" si="33"/>
        <v>0</v>
      </c>
      <c r="V21" s="59"/>
      <c r="W21" s="124">
        <f t="shared" si="34"/>
        <v>0</v>
      </c>
      <c r="X21" s="57">
        <f t="shared" si="35"/>
        <v>0</v>
      </c>
      <c r="Y21" s="84">
        <f t="shared" si="36"/>
        <v>0</v>
      </c>
    </row>
    <row r="22" spans="1:77" s="61" customFormat="1" x14ac:dyDescent="0.25">
      <c r="A22" s="52"/>
      <c r="B22" s="54"/>
      <c r="C22" s="124">
        <v>0</v>
      </c>
      <c r="D22" s="56">
        <v>0</v>
      </c>
      <c r="E22" s="56">
        <f t="shared" si="37"/>
        <v>0</v>
      </c>
      <c r="F22" s="58"/>
      <c r="G22" s="55">
        <f t="shared" si="38"/>
        <v>0</v>
      </c>
      <c r="H22" s="57">
        <f t="shared" si="39"/>
        <v>0</v>
      </c>
      <c r="I22" s="57">
        <f t="shared" si="40"/>
        <v>0</v>
      </c>
      <c r="J22" s="58"/>
      <c r="K22" s="55">
        <f t="shared" si="41"/>
        <v>0</v>
      </c>
      <c r="L22" s="57">
        <f t="shared" si="42"/>
        <v>0</v>
      </c>
      <c r="M22" s="57">
        <f t="shared" si="43"/>
        <v>0</v>
      </c>
      <c r="N22" s="58"/>
      <c r="O22" s="55">
        <f t="shared" si="44"/>
        <v>0</v>
      </c>
      <c r="P22" s="57">
        <f t="shared" si="45"/>
        <v>0</v>
      </c>
      <c r="Q22" s="57">
        <f t="shared" si="46"/>
        <v>0</v>
      </c>
      <c r="R22" s="58"/>
      <c r="S22" s="55">
        <f t="shared" si="47"/>
        <v>0</v>
      </c>
      <c r="T22" s="57">
        <f t="shared" si="48"/>
        <v>0</v>
      </c>
      <c r="U22" s="57">
        <f t="shared" si="33"/>
        <v>0</v>
      </c>
      <c r="V22" s="59"/>
      <c r="W22" s="124">
        <f t="shared" si="34"/>
        <v>0</v>
      </c>
      <c r="X22" s="57">
        <f t="shared" si="35"/>
        <v>0</v>
      </c>
      <c r="Y22" s="84">
        <f t="shared" si="36"/>
        <v>0</v>
      </c>
    </row>
    <row r="23" spans="1:77" s="169" customFormat="1" x14ac:dyDescent="0.25">
      <c r="A23" s="178"/>
      <c r="B23" s="178" t="s">
        <v>57</v>
      </c>
      <c r="C23" s="227">
        <v>0</v>
      </c>
      <c r="D23" s="174">
        <v>0</v>
      </c>
      <c r="E23" s="174">
        <f t="shared" si="37"/>
        <v>0</v>
      </c>
      <c r="F23" s="175"/>
      <c r="G23" s="55">
        <f t="shared" si="38"/>
        <v>0</v>
      </c>
      <c r="H23" s="57">
        <f t="shared" si="39"/>
        <v>0</v>
      </c>
      <c r="I23" s="173">
        <f t="shared" si="40"/>
        <v>0</v>
      </c>
      <c r="J23" s="175"/>
      <c r="K23" s="55">
        <f t="shared" si="41"/>
        <v>0</v>
      </c>
      <c r="L23" s="57">
        <f t="shared" si="42"/>
        <v>0</v>
      </c>
      <c r="M23" s="173">
        <f t="shared" si="43"/>
        <v>0</v>
      </c>
      <c r="N23" s="175"/>
      <c r="O23" s="55">
        <f t="shared" si="44"/>
        <v>0</v>
      </c>
      <c r="P23" s="57">
        <f t="shared" si="45"/>
        <v>0</v>
      </c>
      <c r="Q23" s="173">
        <f t="shared" si="46"/>
        <v>0</v>
      </c>
      <c r="R23" s="175"/>
      <c r="S23" s="55">
        <f t="shared" si="47"/>
        <v>0</v>
      </c>
      <c r="T23" s="57">
        <f t="shared" si="48"/>
        <v>0</v>
      </c>
      <c r="U23" s="173">
        <f t="shared" si="33"/>
        <v>0</v>
      </c>
      <c r="V23" s="176"/>
      <c r="W23" s="227">
        <f t="shared" si="34"/>
        <v>0</v>
      </c>
      <c r="X23" s="173">
        <f t="shared" si="35"/>
        <v>0</v>
      </c>
      <c r="Y23" s="179">
        <f t="shared" si="36"/>
        <v>0</v>
      </c>
    </row>
    <row r="24" spans="1:77" s="61" customFormat="1" x14ac:dyDescent="0.25">
      <c r="A24" s="52"/>
      <c r="B24" s="54"/>
      <c r="C24" s="124">
        <v>0</v>
      </c>
      <c r="D24" s="56">
        <v>0</v>
      </c>
      <c r="E24" s="56">
        <f t="shared" si="37"/>
        <v>0</v>
      </c>
      <c r="F24" s="58"/>
      <c r="G24" s="55">
        <f t="shared" si="38"/>
        <v>0</v>
      </c>
      <c r="H24" s="57">
        <f t="shared" si="39"/>
        <v>0</v>
      </c>
      <c r="I24" s="57">
        <f t="shared" si="40"/>
        <v>0</v>
      </c>
      <c r="J24" s="58"/>
      <c r="K24" s="55">
        <f t="shared" si="41"/>
        <v>0</v>
      </c>
      <c r="L24" s="57">
        <f t="shared" si="42"/>
        <v>0</v>
      </c>
      <c r="M24" s="57">
        <f t="shared" si="43"/>
        <v>0</v>
      </c>
      <c r="N24" s="58"/>
      <c r="O24" s="55">
        <f t="shared" si="44"/>
        <v>0</v>
      </c>
      <c r="P24" s="57">
        <f t="shared" si="45"/>
        <v>0</v>
      </c>
      <c r="Q24" s="57">
        <f t="shared" si="46"/>
        <v>0</v>
      </c>
      <c r="R24" s="58"/>
      <c r="S24" s="55">
        <f t="shared" si="47"/>
        <v>0</v>
      </c>
      <c r="T24" s="57">
        <f t="shared" si="48"/>
        <v>0</v>
      </c>
      <c r="U24" s="57">
        <f t="shared" si="33"/>
        <v>0</v>
      </c>
      <c r="V24" s="59"/>
      <c r="W24" s="124">
        <f t="shared" si="34"/>
        <v>0</v>
      </c>
      <c r="X24" s="57">
        <f t="shared" si="35"/>
        <v>0</v>
      </c>
      <c r="Y24" s="84">
        <f t="shared" si="36"/>
        <v>0</v>
      </c>
    </row>
    <row r="25" spans="1:77" s="61" customFormat="1" x14ac:dyDescent="0.25">
      <c r="A25" s="52"/>
      <c r="B25" s="54"/>
      <c r="C25" s="124">
        <v>0</v>
      </c>
      <c r="D25" s="56">
        <v>0</v>
      </c>
      <c r="E25" s="56">
        <f t="shared" si="37"/>
        <v>0</v>
      </c>
      <c r="F25" s="58"/>
      <c r="G25" s="55">
        <f t="shared" si="38"/>
        <v>0</v>
      </c>
      <c r="H25" s="57">
        <f t="shared" si="39"/>
        <v>0</v>
      </c>
      <c r="I25" s="57">
        <f t="shared" si="40"/>
        <v>0</v>
      </c>
      <c r="J25" s="58"/>
      <c r="K25" s="55">
        <f t="shared" si="41"/>
        <v>0</v>
      </c>
      <c r="L25" s="57">
        <f t="shared" si="42"/>
        <v>0</v>
      </c>
      <c r="M25" s="57">
        <f t="shared" si="43"/>
        <v>0</v>
      </c>
      <c r="N25" s="58"/>
      <c r="O25" s="55">
        <f t="shared" si="44"/>
        <v>0</v>
      </c>
      <c r="P25" s="57">
        <f t="shared" si="45"/>
        <v>0</v>
      </c>
      <c r="Q25" s="57">
        <f t="shared" si="46"/>
        <v>0</v>
      </c>
      <c r="R25" s="58"/>
      <c r="S25" s="55">
        <f t="shared" si="47"/>
        <v>0</v>
      </c>
      <c r="T25" s="57">
        <f t="shared" si="48"/>
        <v>0</v>
      </c>
      <c r="U25" s="57">
        <f t="shared" si="33"/>
        <v>0</v>
      </c>
      <c r="V25" s="59"/>
      <c r="W25" s="124">
        <f t="shared" si="34"/>
        <v>0</v>
      </c>
      <c r="X25" s="57">
        <f t="shared" si="35"/>
        <v>0</v>
      </c>
      <c r="Y25" s="84">
        <f t="shared" si="36"/>
        <v>0</v>
      </c>
    </row>
    <row r="26" spans="1:77" s="83" customFormat="1" x14ac:dyDescent="0.25">
      <c r="A26" s="78"/>
      <c r="B26" s="78" t="s">
        <v>9</v>
      </c>
      <c r="C26" s="228">
        <f>SUM(C17:C25)</f>
        <v>0</v>
      </c>
      <c r="D26" s="125">
        <f>SUM(D17:D25)</f>
        <v>0</v>
      </c>
      <c r="E26" s="125">
        <f>SUM(E17:E25)</f>
        <v>0</v>
      </c>
      <c r="F26" s="81"/>
      <c r="G26" s="79">
        <f>SUM(G17:G25)</f>
        <v>0</v>
      </c>
      <c r="H26" s="80">
        <f>SUM(H17:H25)</f>
        <v>0</v>
      </c>
      <c r="I26" s="80">
        <f>SUM(I17:I25)</f>
        <v>0</v>
      </c>
      <c r="J26" s="81"/>
      <c r="K26" s="79">
        <f>SUM(K17:K25)</f>
        <v>0</v>
      </c>
      <c r="L26" s="80">
        <f>SUM(L17:L25)</f>
        <v>0</v>
      </c>
      <c r="M26" s="80">
        <f>SUM(M17:M25)</f>
        <v>0</v>
      </c>
      <c r="N26" s="81"/>
      <c r="O26" s="79">
        <f>SUM(O17:O25)</f>
        <v>0</v>
      </c>
      <c r="P26" s="80">
        <f>SUM(P17:P25)</f>
        <v>0</v>
      </c>
      <c r="Q26" s="80">
        <f>SUM(Q17:Q25)</f>
        <v>0</v>
      </c>
      <c r="R26" s="81"/>
      <c r="S26" s="79">
        <f>SUM(S17:S25)</f>
        <v>0</v>
      </c>
      <c r="T26" s="80">
        <f>SUM(T17:T25)</f>
        <v>0</v>
      </c>
      <c r="U26" s="80">
        <f>SUM(U17:U25)</f>
        <v>0</v>
      </c>
      <c r="V26" s="82"/>
      <c r="W26" s="228">
        <f t="shared" si="34"/>
        <v>0</v>
      </c>
      <c r="X26" s="80">
        <f t="shared" si="35"/>
        <v>0</v>
      </c>
      <c r="Y26" s="80">
        <f t="shared" si="36"/>
        <v>0</v>
      </c>
    </row>
    <row r="27" spans="1:77" s="92" customFormat="1" x14ac:dyDescent="0.25">
      <c r="A27" s="89" t="s">
        <v>16</v>
      </c>
      <c r="B27" s="89"/>
      <c r="C27" s="90">
        <f>C26+C15</f>
        <v>29585.32</v>
      </c>
      <c r="D27" s="90">
        <f t="shared" ref="D27:Y27" si="49">D26+D15</f>
        <v>14868.256000000001</v>
      </c>
      <c r="E27" s="90">
        <f t="shared" si="49"/>
        <v>44453.576000000001</v>
      </c>
      <c r="F27" s="90">
        <f t="shared" si="49"/>
        <v>0</v>
      </c>
      <c r="G27" s="90">
        <f t="shared" si="49"/>
        <v>30292.8796</v>
      </c>
      <c r="H27" s="90">
        <f t="shared" si="49"/>
        <v>15314.303680000001</v>
      </c>
      <c r="I27" s="90">
        <f t="shared" si="49"/>
        <v>45607.183279999997</v>
      </c>
      <c r="J27" s="90">
        <f t="shared" si="49"/>
        <v>0</v>
      </c>
      <c r="K27" s="90">
        <f t="shared" si="49"/>
        <v>31021.665988000001</v>
      </c>
      <c r="L27" s="90">
        <f t="shared" si="49"/>
        <v>15773.732790400001</v>
      </c>
      <c r="M27" s="90">
        <f t="shared" si="49"/>
        <v>46795.398778400006</v>
      </c>
      <c r="N27" s="90">
        <f t="shared" si="49"/>
        <v>0</v>
      </c>
      <c r="O27" s="90">
        <f t="shared" si="49"/>
        <v>31772.315967640003</v>
      </c>
      <c r="P27" s="90">
        <f t="shared" si="49"/>
        <v>16246.944774112002</v>
      </c>
      <c r="Q27" s="90">
        <f t="shared" si="49"/>
        <v>48019.260741752005</v>
      </c>
      <c r="R27" s="90">
        <f t="shared" si="49"/>
        <v>0</v>
      </c>
      <c r="S27" s="90">
        <f t="shared" si="49"/>
        <v>20917.941396669201</v>
      </c>
      <c r="T27" s="90">
        <f t="shared" si="49"/>
        <v>16734.353117335362</v>
      </c>
      <c r="U27" s="90">
        <f t="shared" si="49"/>
        <v>37652.294514004563</v>
      </c>
      <c r="V27" s="90">
        <f t="shared" si="49"/>
        <v>0</v>
      </c>
      <c r="W27" s="90">
        <f t="shared" si="49"/>
        <v>143590.1229523092</v>
      </c>
      <c r="X27" s="90">
        <f t="shared" si="49"/>
        <v>78937.590361847368</v>
      </c>
      <c r="Y27" s="90">
        <f t="shared" si="49"/>
        <v>222527.71331415657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>
        <v>0</v>
      </c>
      <c r="D29" s="56">
        <v>0</v>
      </c>
      <c r="E29" s="56">
        <f t="shared" ref="E29:E35" si="50">SUM(C29:D29)</f>
        <v>0</v>
      </c>
      <c r="F29" s="58"/>
      <c r="G29" s="55">
        <f>(G6)*0.37*0</f>
        <v>0</v>
      </c>
      <c r="H29" s="57">
        <v>0</v>
      </c>
      <c r="I29" s="57">
        <f t="shared" ref="I29:I35" si="51">SUM(G29:H29)</f>
        <v>0</v>
      </c>
      <c r="J29" s="58"/>
      <c r="K29" s="55">
        <f>(K6)*0.37*0</f>
        <v>0</v>
      </c>
      <c r="L29" s="57">
        <v>0</v>
      </c>
      <c r="M29" s="57">
        <f t="shared" ref="M29:M35" si="52">SUM(K29:L29)</f>
        <v>0</v>
      </c>
      <c r="N29" s="58"/>
      <c r="O29" s="55">
        <f>(O6)*0.37*0</f>
        <v>0</v>
      </c>
      <c r="P29" s="57">
        <v>0</v>
      </c>
      <c r="Q29" s="57">
        <f t="shared" ref="Q29:Q35" si="53">SUM(O29:P29)</f>
        <v>0</v>
      </c>
      <c r="R29" s="58"/>
      <c r="S29" s="55">
        <f>(S6)*0.37*0</f>
        <v>0</v>
      </c>
      <c r="T29" s="57">
        <v>0</v>
      </c>
      <c r="U29" s="57">
        <f t="shared" ref="U29:U35" si="54">SUM(S29:T29)</f>
        <v>0</v>
      </c>
      <c r="V29" s="59"/>
      <c r="W29" s="124">
        <f t="shared" ref="W29:Y36" si="55">C29+G29+K29+O29+S29</f>
        <v>0</v>
      </c>
      <c r="X29" s="57">
        <f t="shared" si="55"/>
        <v>0</v>
      </c>
      <c r="Y29" s="84">
        <f t="shared" si="55"/>
        <v>0</v>
      </c>
    </row>
    <row r="30" spans="1:77" s="61" customFormat="1" x14ac:dyDescent="0.25">
      <c r="A30" s="234">
        <v>3.5999999999999997E-2</v>
      </c>
      <c r="B30" s="52" t="s">
        <v>40</v>
      </c>
      <c r="C30" s="124">
        <f>C23*A30</f>
        <v>0</v>
      </c>
      <c r="D30" s="56">
        <f>D23*A30</f>
        <v>0</v>
      </c>
      <c r="E30" s="56">
        <f t="shared" si="50"/>
        <v>0</v>
      </c>
      <c r="F30" s="58"/>
      <c r="G30" s="55">
        <f>G23*A30*1.05</f>
        <v>0</v>
      </c>
      <c r="H30" s="57">
        <f>H23*A30*1.05</f>
        <v>0</v>
      </c>
      <c r="I30" s="57">
        <f t="shared" si="51"/>
        <v>0</v>
      </c>
      <c r="J30" s="58"/>
      <c r="K30" s="55">
        <f>K23*A30*1.05</f>
        <v>0</v>
      </c>
      <c r="L30" s="57">
        <f>L23*A30*1.05</f>
        <v>0</v>
      </c>
      <c r="M30" s="57">
        <f t="shared" si="52"/>
        <v>0</v>
      </c>
      <c r="N30" s="58"/>
      <c r="O30" s="55">
        <f>O23*A30*1.05</f>
        <v>0</v>
      </c>
      <c r="P30" s="57">
        <f>P23*A30*1.05</f>
        <v>0</v>
      </c>
      <c r="Q30" s="57">
        <f t="shared" si="53"/>
        <v>0</v>
      </c>
      <c r="R30" s="58"/>
      <c r="S30" s="55">
        <f>S23*A30*1.05</f>
        <v>0</v>
      </c>
      <c r="T30" s="57">
        <f>T23*M30*1.05</f>
        <v>0</v>
      </c>
      <c r="U30" s="57">
        <f t="shared" si="54"/>
        <v>0</v>
      </c>
      <c r="V30" s="59"/>
      <c r="W30" s="124">
        <f t="shared" si="55"/>
        <v>0</v>
      </c>
      <c r="X30" s="57">
        <f t="shared" si="55"/>
        <v>0</v>
      </c>
      <c r="Y30" s="84">
        <f t="shared" si="55"/>
        <v>0</v>
      </c>
    </row>
    <row r="31" spans="1:77" s="61" customFormat="1" x14ac:dyDescent="0.25">
      <c r="A31" s="234">
        <v>8.6999999999999994E-2</v>
      </c>
      <c r="B31" s="52" t="s">
        <v>54</v>
      </c>
      <c r="C31" s="124">
        <v>0</v>
      </c>
      <c r="D31" s="56">
        <v>0</v>
      </c>
      <c r="E31" s="56">
        <f t="shared" si="50"/>
        <v>0</v>
      </c>
      <c r="F31" s="58"/>
      <c r="G31" s="55">
        <f>0*A31*1.05</f>
        <v>0</v>
      </c>
      <c r="H31" s="57">
        <f>H15*A31*1.05*0</f>
        <v>0</v>
      </c>
      <c r="I31" s="57">
        <f t="shared" si="51"/>
        <v>0</v>
      </c>
      <c r="J31" s="58"/>
      <c r="K31" s="55">
        <f>G31*1.05</f>
        <v>0</v>
      </c>
      <c r="L31" s="57">
        <f>H31*1.05*0</f>
        <v>0</v>
      </c>
      <c r="M31" s="57">
        <f t="shared" si="52"/>
        <v>0</v>
      </c>
      <c r="N31" s="58"/>
      <c r="O31" s="55">
        <f>K31*1.05</f>
        <v>0</v>
      </c>
      <c r="P31" s="57">
        <f>L31*1.05</f>
        <v>0</v>
      </c>
      <c r="Q31" s="57">
        <f t="shared" si="53"/>
        <v>0</v>
      </c>
      <c r="R31" s="58"/>
      <c r="S31" s="55">
        <f>O31*1.05</f>
        <v>0</v>
      </c>
      <c r="T31" s="57">
        <f>P31*1.05</f>
        <v>0</v>
      </c>
      <c r="U31" s="57">
        <f t="shared" si="54"/>
        <v>0</v>
      </c>
      <c r="V31" s="59"/>
      <c r="W31" s="124">
        <f t="shared" si="55"/>
        <v>0</v>
      </c>
      <c r="X31" s="57">
        <f t="shared" si="55"/>
        <v>0</v>
      </c>
      <c r="Y31" s="84">
        <f t="shared" si="55"/>
        <v>0</v>
      </c>
    </row>
    <row r="32" spans="1:77" s="61" customFormat="1" x14ac:dyDescent="0.25">
      <c r="A32" s="234">
        <v>0.30099999999999999</v>
      </c>
      <c r="B32" s="54" t="s">
        <v>52</v>
      </c>
      <c r="C32" s="124">
        <f>(C8+C10)*A32*1.03</f>
        <v>3410.33</v>
      </c>
      <c r="D32" s="56">
        <f>D15*A32*1.03*0</f>
        <v>0</v>
      </c>
      <c r="E32" s="56">
        <f t="shared" si="50"/>
        <v>3410.33</v>
      </c>
      <c r="F32" s="58"/>
      <c r="G32" s="55">
        <f>(G8+G10)*(A32*1.03*1.03)</f>
        <v>3560.5395349999999</v>
      </c>
      <c r="H32" s="56">
        <f>H15*(A32*1.03*1.03)*0</f>
        <v>0</v>
      </c>
      <c r="I32" s="57">
        <f t="shared" si="51"/>
        <v>3560.5395349999999</v>
      </c>
      <c r="J32" s="58"/>
      <c r="K32" s="55">
        <f>(K8+K10)*(A32*1.03*1.03*1.03)</f>
        <v>3718.1724438214997</v>
      </c>
      <c r="L32" s="56">
        <f>L15*(A32*1.03*1.03*1.03)*0</f>
        <v>0</v>
      </c>
      <c r="M32" s="57">
        <f t="shared" si="52"/>
        <v>3718.1724438214997</v>
      </c>
      <c r="N32" s="58"/>
      <c r="O32" s="55">
        <f>(O8+O10)*(A32*1.03*1.03*1.03*1.03)</f>
        <v>3883.6290783244294</v>
      </c>
      <c r="P32" s="56">
        <f>P15*(A32*1.03*1.03*1.03*1.03)*0</f>
        <v>0</v>
      </c>
      <c r="Q32" s="57">
        <f t="shared" si="53"/>
        <v>3883.6290783244294</v>
      </c>
      <c r="R32" s="58"/>
      <c r="S32" s="55">
        <f>S15*(A32*1.03*1.03*1.03*1.03*1.03)*0</f>
        <v>0</v>
      </c>
      <c r="T32" s="56">
        <f>T15*(A32*1.03*1.03*1.03*1.03*1.03)*0</f>
        <v>0</v>
      </c>
      <c r="U32" s="57">
        <f t="shared" si="54"/>
        <v>0</v>
      </c>
      <c r="V32" s="59"/>
      <c r="W32" s="124">
        <f t="shared" si="55"/>
        <v>14572.67105714593</v>
      </c>
      <c r="X32" s="56">
        <f t="shared" si="55"/>
        <v>0</v>
      </c>
      <c r="Y32" s="85">
        <f t="shared" si="55"/>
        <v>14572.67105714593</v>
      </c>
    </row>
    <row r="33" spans="1:77" s="61" customFormat="1" x14ac:dyDescent="0.25">
      <c r="A33" s="234">
        <v>0.42</v>
      </c>
      <c r="B33" s="195" t="s">
        <v>53</v>
      </c>
      <c r="C33" s="124">
        <f>(C6)*A33</f>
        <v>7805.8343999999997</v>
      </c>
      <c r="D33" s="56">
        <f>D6*A33</f>
        <v>6244.66752</v>
      </c>
      <c r="E33" s="56">
        <f t="shared" si="50"/>
        <v>14050.501919999999</v>
      </c>
      <c r="F33" s="58"/>
      <c r="G33" s="55">
        <f>(G6)*(A33*1.03)</f>
        <v>8281.2097149599995</v>
      </c>
      <c r="H33" s="57">
        <f>H6*(A33*1.03)</f>
        <v>6624.9677719680003</v>
      </c>
      <c r="I33" s="57">
        <f t="shared" si="51"/>
        <v>14906.177486928</v>
      </c>
      <c r="J33" s="58"/>
      <c r="K33" s="55">
        <f>(K6)*(A33*1.03*1.03)</f>
        <v>8785.5353866010646</v>
      </c>
      <c r="L33" s="57">
        <f>L6*(A33*1.03*1.03)</f>
        <v>7028.428309280851</v>
      </c>
      <c r="M33" s="57">
        <f t="shared" si="52"/>
        <v>15813.963695881916</v>
      </c>
      <c r="N33" s="58"/>
      <c r="O33" s="55">
        <f>(O6)*(A33*1.03*1.03*1.03)</f>
        <v>9320.5744916450694</v>
      </c>
      <c r="P33" s="57">
        <f>P6*(A33*1.03*1.03*1.03)</f>
        <v>7456.4595933160554</v>
      </c>
      <c r="Q33" s="57">
        <f t="shared" si="53"/>
        <v>16777.034084961124</v>
      </c>
      <c r="R33" s="58"/>
      <c r="S33" s="55">
        <f>(S6)*(A33*1.03*1.03*1.03*1.03)</f>
        <v>9888.1974781862536</v>
      </c>
      <c r="T33" s="57">
        <f>T6*(A33*1.03*1.03*1.03*1.03)</f>
        <v>7910.5579825490031</v>
      </c>
      <c r="U33" s="57">
        <f t="shared" si="54"/>
        <v>17798.755460735258</v>
      </c>
      <c r="V33" s="59"/>
      <c r="W33" s="124">
        <f t="shared" si="55"/>
        <v>44081.351471392387</v>
      </c>
      <c r="X33" s="196">
        <f t="shared" si="55"/>
        <v>35265.081177113912</v>
      </c>
      <c r="Y33" s="194">
        <f t="shared" si="55"/>
        <v>79346.432648506307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50"/>
        <v>0</v>
      </c>
      <c r="F34" s="58"/>
      <c r="G34" s="55">
        <f>C34*1.05</f>
        <v>0</v>
      </c>
      <c r="H34" s="57">
        <f>D34*1.05</f>
        <v>0</v>
      </c>
      <c r="I34" s="57">
        <f t="shared" si="51"/>
        <v>0</v>
      </c>
      <c r="J34" s="58"/>
      <c r="K34" s="55">
        <f>G34*1.05</f>
        <v>0</v>
      </c>
      <c r="L34" s="57">
        <f>H34*1.05</f>
        <v>0</v>
      </c>
      <c r="M34" s="57">
        <f t="shared" si="52"/>
        <v>0</v>
      </c>
      <c r="N34" s="58"/>
      <c r="O34" s="55">
        <f>K34*1.05</f>
        <v>0</v>
      </c>
      <c r="P34" s="57">
        <f>L34*1.05</f>
        <v>0</v>
      </c>
      <c r="Q34" s="57">
        <f t="shared" si="53"/>
        <v>0</v>
      </c>
      <c r="R34" s="58"/>
      <c r="S34" s="55">
        <f>O34*1.05</f>
        <v>0</v>
      </c>
      <c r="T34" s="57">
        <f>P34*1.05</f>
        <v>0</v>
      </c>
      <c r="U34" s="57">
        <f t="shared" si="54"/>
        <v>0</v>
      </c>
      <c r="V34" s="59"/>
      <c r="W34" s="124">
        <f t="shared" si="55"/>
        <v>0</v>
      </c>
      <c r="X34" s="57">
        <f t="shared" si="55"/>
        <v>0</v>
      </c>
      <c r="Y34" s="84">
        <f t="shared" si="55"/>
        <v>0</v>
      </c>
    </row>
    <row r="35" spans="1:77" s="61" customFormat="1" x14ac:dyDescent="0.25">
      <c r="A35" s="6"/>
      <c r="B35" s="52"/>
      <c r="C35" s="124">
        <v>0</v>
      </c>
      <c r="D35" s="56">
        <v>0</v>
      </c>
      <c r="E35" s="56">
        <f t="shared" si="50"/>
        <v>0</v>
      </c>
      <c r="F35" s="58"/>
      <c r="G35" s="55">
        <f>C35*1.05</f>
        <v>0</v>
      </c>
      <c r="H35" s="57">
        <f>D35*1.05</f>
        <v>0</v>
      </c>
      <c r="I35" s="57">
        <f t="shared" si="51"/>
        <v>0</v>
      </c>
      <c r="J35" s="58"/>
      <c r="K35" s="55">
        <f>G35*1.05</f>
        <v>0</v>
      </c>
      <c r="L35" s="57">
        <f>H35*1.05</f>
        <v>0</v>
      </c>
      <c r="M35" s="57">
        <f t="shared" si="52"/>
        <v>0</v>
      </c>
      <c r="N35" s="58"/>
      <c r="O35" s="55">
        <f>K35*1.05</f>
        <v>0</v>
      </c>
      <c r="P35" s="57">
        <f>L35*1.05</f>
        <v>0</v>
      </c>
      <c r="Q35" s="57">
        <f t="shared" si="53"/>
        <v>0</v>
      </c>
      <c r="R35" s="58"/>
      <c r="S35" s="55">
        <f>O35*1.05</f>
        <v>0</v>
      </c>
      <c r="T35" s="57">
        <f>P35*1.05</f>
        <v>0</v>
      </c>
      <c r="U35" s="57">
        <f t="shared" si="54"/>
        <v>0</v>
      </c>
      <c r="V35" s="59"/>
      <c r="W35" s="124">
        <f t="shared" si="55"/>
        <v>0</v>
      </c>
      <c r="X35" s="57">
        <f t="shared" si="55"/>
        <v>0</v>
      </c>
      <c r="Y35" s="84">
        <f t="shared" si="55"/>
        <v>0</v>
      </c>
    </row>
    <row r="36" spans="1:77" s="83" customFormat="1" x14ac:dyDescent="0.25">
      <c r="A36" s="78"/>
      <c r="B36" s="78" t="s">
        <v>9</v>
      </c>
      <c r="C36" s="228">
        <f>SUM(C29:C35)</f>
        <v>11216.1644</v>
      </c>
      <c r="D36" s="125">
        <f>SUM(D29:D35)</f>
        <v>6244.66752</v>
      </c>
      <c r="E36" s="125">
        <f>SUM(E29:E35)</f>
        <v>17460.831919999997</v>
      </c>
      <c r="F36" s="81"/>
      <c r="G36" s="79">
        <f>SUM(G29:G35)</f>
        <v>11841.749249959999</v>
      </c>
      <c r="H36" s="80">
        <f>SUM(H29:H35)</f>
        <v>6624.9677719680003</v>
      </c>
      <c r="I36" s="80">
        <f>SUM(I29:I35)</f>
        <v>18466.717021928001</v>
      </c>
      <c r="J36" s="81"/>
      <c r="K36" s="79">
        <f>SUM(K29:K35)</f>
        <v>12503.707830422565</v>
      </c>
      <c r="L36" s="80">
        <f>SUM(L29:L35)</f>
        <v>7028.428309280851</v>
      </c>
      <c r="M36" s="80">
        <f>SUM(M29:M35)</f>
        <v>19532.136139703416</v>
      </c>
      <c r="N36" s="81"/>
      <c r="O36" s="79">
        <f>SUM(O29:O35)</f>
        <v>13204.203569969499</v>
      </c>
      <c r="P36" s="80">
        <f>SUM(P29:P35)</f>
        <v>7456.4595933160554</v>
      </c>
      <c r="Q36" s="80">
        <f>SUM(Q29:Q35)</f>
        <v>20660.663163285553</v>
      </c>
      <c r="R36" s="81"/>
      <c r="S36" s="79">
        <f>SUM(S29:S35)</f>
        <v>9888.1974781862536</v>
      </c>
      <c r="T36" s="80">
        <f>SUM(T29:T35)</f>
        <v>7910.5579825490031</v>
      </c>
      <c r="U36" s="80">
        <f>SUM(U29:U35)</f>
        <v>17798.755460735258</v>
      </c>
      <c r="V36" s="82"/>
      <c r="W36" s="228">
        <f t="shared" si="55"/>
        <v>58654.022528538313</v>
      </c>
      <c r="X36" s="80">
        <f t="shared" si="55"/>
        <v>35265.081177113912</v>
      </c>
      <c r="Y36" s="80">
        <f t="shared" si="55"/>
        <v>93919.103705652233</v>
      </c>
    </row>
    <row r="37" spans="1:77" s="94" customFormat="1" x14ac:dyDescent="0.25">
      <c r="A37" s="89" t="s">
        <v>17</v>
      </c>
      <c r="B37" s="89"/>
      <c r="C37" s="90">
        <f>C36+C27</f>
        <v>40801.484400000001</v>
      </c>
      <c r="D37" s="90">
        <f t="shared" ref="D37:Y37" si="56">D36+D27</f>
        <v>21112.92352</v>
      </c>
      <c r="E37" s="90">
        <f t="shared" si="56"/>
        <v>61914.407919999998</v>
      </c>
      <c r="F37" s="90">
        <f t="shared" si="56"/>
        <v>0</v>
      </c>
      <c r="G37" s="90">
        <f t="shared" si="56"/>
        <v>42134.628849959998</v>
      </c>
      <c r="H37" s="90">
        <f t="shared" si="56"/>
        <v>21939.271451968001</v>
      </c>
      <c r="I37" s="90">
        <f t="shared" si="56"/>
        <v>64073.900301927999</v>
      </c>
      <c r="J37" s="90">
        <f t="shared" si="56"/>
        <v>0</v>
      </c>
      <c r="K37" s="90">
        <f t="shared" si="56"/>
        <v>43525.373818422566</v>
      </c>
      <c r="L37" s="90">
        <f t="shared" si="56"/>
        <v>22802.161099680852</v>
      </c>
      <c r="M37" s="90">
        <f t="shared" si="56"/>
        <v>66327.534918103425</v>
      </c>
      <c r="N37" s="90">
        <f t="shared" si="56"/>
        <v>0</v>
      </c>
      <c r="O37" s="90">
        <f t="shared" si="56"/>
        <v>44976.5195376095</v>
      </c>
      <c r="P37" s="90">
        <f t="shared" si="56"/>
        <v>23703.404367428058</v>
      </c>
      <c r="Q37" s="90">
        <f t="shared" si="56"/>
        <v>68679.923905037562</v>
      </c>
      <c r="R37" s="90">
        <f t="shared" si="56"/>
        <v>0</v>
      </c>
      <c r="S37" s="90">
        <f t="shared" si="56"/>
        <v>30806.138874855453</v>
      </c>
      <c r="T37" s="90">
        <f t="shared" si="56"/>
        <v>24644.911099884364</v>
      </c>
      <c r="U37" s="90">
        <f t="shared" si="56"/>
        <v>55451.049974739821</v>
      </c>
      <c r="V37" s="90">
        <f t="shared" si="56"/>
        <v>0</v>
      </c>
      <c r="W37" s="90">
        <f t="shared" si="56"/>
        <v>202244.14548084751</v>
      </c>
      <c r="X37" s="90">
        <f t="shared" si="56"/>
        <v>114202.67153896128</v>
      </c>
      <c r="Y37" s="90">
        <f t="shared" si="56"/>
        <v>316446.8170198088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2"/>
      <c r="B39" s="52"/>
      <c r="C39" s="124">
        <v>0</v>
      </c>
      <c r="D39" s="56">
        <v>0</v>
      </c>
      <c r="E39" s="56">
        <f t="shared" ref="E39:E48" si="57">SUM(C39:D39)</f>
        <v>0</v>
      </c>
      <c r="F39" s="58"/>
      <c r="G39" s="55">
        <v>0</v>
      </c>
      <c r="H39" s="57">
        <v>0</v>
      </c>
      <c r="I39" s="57">
        <f t="shared" ref="I39:I48" si="58">SUM(G39:H39)</f>
        <v>0</v>
      </c>
      <c r="J39" s="58"/>
      <c r="K39" s="55">
        <v>0</v>
      </c>
      <c r="L39" s="57">
        <v>0</v>
      </c>
      <c r="M39" s="57">
        <f t="shared" ref="M39:M48" si="59">SUM(K39:L39)</f>
        <v>0</v>
      </c>
      <c r="N39" s="58"/>
      <c r="O39" s="55">
        <v>0</v>
      </c>
      <c r="P39" s="57">
        <v>0</v>
      </c>
      <c r="Q39" s="57">
        <f t="shared" ref="Q39:Q48" si="60">SUM(O39:P39)</f>
        <v>0</v>
      </c>
      <c r="R39" s="58"/>
      <c r="S39" s="55">
        <v>0</v>
      </c>
      <c r="T39" s="57">
        <v>0</v>
      </c>
      <c r="U39" s="57">
        <f t="shared" ref="U39:U48" si="61">SUM(S39:T39)</f>
        <v>0</v>
      </c>
      <c r="V39" s="59"/>
      <c r="W39" s="124">
        <f t="shared" ref="W39:W49" si="62">C39+G39+K39+O39+S39</f>
        <v>0</v>
      </c>
      <c r="X39" s="57">
        <f t="shared" ref="X39:X49" si="63">D39+H39+L39+P39+T39</f>
        <v>0</v>
      </c>
      <c r="Y39" s="84">
        <f t="shared" ref="Y39:Y49" si="64">E39+I39+M39+Q39+U39</f>
        <v>0</v>
      </c>
    </row>
    <row r="40" spans="1:77" s="61" customFormat="1" x14ac:dyDescent="0.25">
      <c r="A40" s="52"/>
      <c r="B40" s="52"/>
      <c r="C40" s="124">
        <v>0</v>
      </c>
      <c r="D40" s="56">
        <v>0</v>
      </c>
      <c r="E40" s="56">
        <f t="shared" si="57"/>
        <v>0</v>
      </c>
      <c r="F40" s="58"/>
      <c r="G40" s="55">
        <v>0</v>
      </c>
      <c r="H40" s="57">
        <v>0</v>
      </c>
      <c r="I40" s="57">
        <f t="shared" si="58"/>
        <v>0</v>
      </c>
      <c r="J40" s="58"/>
      <c r="K40" s="55">
        <v>0</v>
      </c>
      <c r="L40" s="57">
        <v>0</v>
      </c>
      <c r="M40" s="57">
        <f t="shared" si="59"/>
        <v>0</v>
      </c>
      <c r="N40" s="58"/>
      <c r="O40" s="55">
        <v>0</v>
      </c>
      <c r="P40" s="57">
        <v>0</v>
      </c>
      <c r="Q40" s="57">
        <f t="shared" si="60"/>
        <v>0</v>
      </c>
      <c r="R40" s="58"/>
      <c r="S40" s="55">
        <v>0</v>
      </c>
      <c r="T40" s="57">
        <v>0</v>
      </c>
      <c r="U40" s="57">
        <f t="shared" si="61"/>
        <v>0</v>
      </c>
      <c r="V40" s="59"/>
      <c r="W40" s="124">
        <f t="shared" si="62"/>
        <v>0</v>
      </c>
      <c r="X40" s="57">
        <f t="shared" si="63"/>
        <v>0</v>
      </c>
      <c r="Y40" s="84">
        <f t="shared" si="64"/>
        <v>0</v>
      </c>
    </row>
    <row r="41" spans="1:77" s="61" customFormat="1" x14ac:dyDescent="0.25">
      <c r="A41" s="52"/>
      <c r="B41" s="52"/>
      <c r="C41" s="124">
        <v>0</v>
      </c>
      <c r="D41" s="56">
        <v>0</v>
      </c>
      <c r="E41" s="56">
        <f t="shared" si="57"/>
        <v>0</v>
      </c>
      <c r="F41" s="58"/>
      <c r="G41" s="55">
        <v>0</v>
      </c>
      <c r="H41" s="57">
        <v>0</v>
      </c>
      <c r="I41" s="57">
        <f t="shared" si="58"/>
        <v>0</v>
      </c>
      <c r="J41" s="58"/>
      <c r="K41" s="55">
        <v>0</v>
      </c>
      <c r="L41" s="57">
        <v>0</v>
      </c>
      <c r="M41" s="57">
        <f t="shared" si="59"/>
        <v>0</v>
      </c>
      <c r="N41" s="58"/>
      <c r="O41" s="55">
        <v>0</v>
      </c>
      <c r="P41" s="57">
        <v>0</v>
      </c>
      <c r="Q41" s="57">
        <f t="shared" si="60"/>
        <v>0</v>
      </c>
      <c r="R41" s="58"/>
      <c r="S41" s="55">
        <v>0</v>
      </c>
      <c r="T41" s="57">
        <v>0</v>
      </c>
      <c r="U41" s="57">
        <f t="shared" si="61"/>
        <v>0</v>
      </c>
      <c r="V41" s="59"/>
      <c r="W41" s="124">
        <f t="shared" si="62"/>
        <v>0</v>
      </c>
      <c r="X41" s="57">
        <f t="shared" si="63"/>
        <v>0</v>
      </c>
      <c r="Y41" s="84">
        <f t="shared" si="64"/>
        <v>0</v>
      </c>
    </row>
    <row r="42" spans="1:77" s="61" customFormat="1" x14ac:dyDescent="0.25">
      <c r="A42" s="52"/>
      <c r="B42" s="52"/>
      <c r="C42" s="124">
        <v>0</v>
      </c>
      <c r="D42" s="56">
        <v>0</v>
      </c>
      <c r="E42" s="56">
        <f t="shared" si="57"/>
        <v>0</v>
      </c>
      <c r="F42" s="58"/>
      <c r="G42" s="55">
        <v>0</v>
      </c>
      <c r="H42" s="57">
        <v>0</v>
      </c>
      <c r="I42" s="57">
        <f t="shared" si="58"/>
        <v>0</v>
      </c>
      <c r="J42" s="58"/>
      <c r="K42" s="55">
        <v>0</v>
      </c>
      <c r="L42" s="57">
        <v>0</v>
      </c>
      <c r="M42" s="57">
        <f t="shared" si="59"/>
        <v>0</v>
      </c>
      <c r="N42" s="58"/>
      <c r="O42" s="55">
        <v>0</v>
      </c>
      <c r="P42" s="57">
        <v>0</v>
      </c>
      <c r="Q42" s="57">
        <f t="shared" si="60"/>
        <v>0</v>
      </c>
      <c r="R42" s="58"/>
      <c r="S42" s="55">
        <v>0</v>
      </c>
      <c r="T42" s="57">
        <v>0</v>
      </c>
      <c r="U42" s="57">
        <f t="shared" si="61"/>
        <v>0</v>
      </c>
      <c r="V42" s="59"/>
      <c r="W42" s="124">
        <f t="shared" si="62"/>
        <v>0</v>
      </c>
      <c r="X42" s="57">
        <f t="shared" si="63"/>
        <v>0</v>
      </c>
      <c r="Y42" s="84">
        <f t="shared" si="64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57"/>
        <v>0</v>
      </c>
      <c r="F43" s="58"/>
      <c r="G43" s="55">
        <v>0</v>
      </c>
      <c r="H43" s="57">
        <v>0</v>
      </c>
      <c r="I43" s="57">
        <f t="shared" si="58"/>
        <v>0</v>
      </c>
      <c r="J43" s="58"/>
      <c r="K43" s="55">
        <v>0</v>
      </c>
      <c r="L43" s="57">
        <v>0</v>
      </c>
      <c r="M43" s="57">
        <f t="shared" si="59"/>
        <v>0</v>
      </c>
      <c r="N43" s="58"/>
      <c r="O43" s="55">
        <v>0</v>
      </c>
      <c r="P43" s="57">
        <v>0</v>
      </c>
      <c r="Q43" s="57">
        <f t="shared" si="60"/>
        <v>0</v>
      </c>
      <c r="R43" s="58"/>
      <c r="S43" s="55">
        <v>0</v>
      </c>
      <c r="T43" s="57">
        <v>0</v>
      </c>
      <c r="U43" s="57">
        <f t="shared" si="61"/>
        <v>0</v>
      </c>
      <c r="V43" s="59"/>
      <c r="W43" s="124">
        <f t="shared" si="62"/>
        <v>0</v>
      </c>
      <c r="X43" s="57">
        <f t="shared" si="63"/>
        <v>0</v>
      </c>
      <c r="Y43" s="84">
        <f t="shared" si="64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57"/>
        <v>0</v>
      </c>
      <c r="F44" s="58"/>
      <c r="G44" s="55">
        <v>0</v>
      </c>
      <c r="H44" s="57">
        <v>0</v>
      </c>
      <c r="I44" s="57">
        <f t="shared" si="58"/>
        <v>0</v>
      </c>
      <c r="J44" s="58"/>
      <c r="K44" s="55">
        <v>0</v>
      </c>
      <c r="L44" s="57">
        <v>0</v>
      </c>
      <c r="M44" s="57">
        <f t="shared" si="59"/>
        <v>0</v>
      </c>
      <c r="N44" s="58"/>
      <c r="O44" s="55">
        <v>0</v>
      </c>
      <c r="P44" s="57">
        <v>0</v>
      </c>
      <c r="Q44" s="57">
        <f t="shared" si="60"/>
        <v>0</v>
      </c>
      <c r="R44" s="58"/>
      <c r="S44" s="55">
        <v>0</v>
      </c>
      <c r="T44" s="57">
        <v>0</v>
      </c>
      <c r="U44" s="57">
        <f t="shared" si="61"/>
        <v>0</v>
      </c>
      <c r="V44" s="59"/>
      <c r="W44" s="124">
        <f t="shared" si="62"/>
        <v>0</v>
      </c>
      <c r="X44" s="57">
        <f t="shared" si="63"/>
        <v>0</v>
      </c>
      <c r="Y44" s="84">
        <f t="shared" si="64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57"/>
        <v>0</v>
      </c>
      <c r="F45" s="58"/>
      <c r="G45" s="55">
        <v>0</v>
      </c>
      <c r="H45" s="57">
        <v>0</v>
      </c>
      <c r="I45" s="57">
        <f t="shared" si="58"/>
        <v>0</v>
      </c>
      <c r="J45" s="58"/>
      <c r="K45" s="55">
        <v>0</v>
      </c>
      <c r="L45" s="57">
        <v>0</v>
      </c>
      <c r="M45" s="57">
        <f t="shared" si="59"/>
        <v>0</v>
      </c>
      <c r="N45" s="58"/>
      <c r="O45" s="55">
        <v>0</v>
      </c>
      <c r="P45" s="57">
        <v>0</v>
      </c>
      <c r="Q45" s="57">
        <f t="shared" si="60"/>
        <v>0</v>
      </c>
      <c r="R45" s="58"/>
      <c r="S45" s="55">
        <v>0</v>
      </c>
      <c r="T45" s="57">
        <v>0</v>
      </c>
      <c r="U45" s="57">
        <f t="shared" si="61"/>
        <v>0</v>
      </c>
      <c r="V45" s="59"/>
      <c r="W45" s="124">
        <f t="shared" si="62"/>
        <v>0</v>
      </c>
      <c r="X45" s="57">
        <f t="shared" si="63"/>
        <v>0</v>
      </c>
      <c r="Y45" s="84">
        <f t="shared" si="64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57"/>
        <v>0</v>
      </c>
      <c r="F46" s="58"/>
      <c r="G46" s="55">
        <v>0</v>
      </c>
      <c r="H46" s="57">
        <v>0</v>
      </c>
      <c r="I46" s="57">
        <f t="shared" si="58"/>
        <v>0</v>
      </c>
      <c r="J46" s="58"/>
      <c r="K46" s="55">
        <v>0</v>
      </c>
      <c r="L46" s="57">
        <v>0</v>
      </c>
      <c r="M46" s="57">
        <f t="shared" si="59"/>
        <v>0</v>
      </c>
      <c r="N46" s="58"/>
      <c r="O46" s="55">
        <v>0</v>
      </c>
      <c r="P46" s="57">
        <v>0</v>
      </c>
      <c r="Q46" s="57">
        <f t="shared" si="60"/>
        <v>0</v>
      </c>
      <c r="R46" s="58"/>
      <c r="S46" s="55">
        <v>0</v>
      </c>
      <c r="T46" s="57">
        <v>0</v>
      </c>
      <c r="U46" s="57">
        <f t="shared" si="61"/>
        <v>0</v>
      </c>
      <c r="V46" s="59"/>
      <c r="W46" s="124">
        <f t="shared" si="62"/>
        <v>0</v>
      </c>
      <c r="X46" s="57">
        <f t="shared" si="63"/>
        <v>0</v>
      </c>
      <c r="Y46" s="84">
        <f t="shared" si="64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57"/>
        <v>0</v>
      </c>
      <c r="F47" s="58"/>
      <c r="G47" s="55">
        <v>0</v>
      </c>
      <c r="H47" s="57">
        <v>0</v>
      </c>
      <c r="I47" s="57">
        <f t="shared" si="58"/>
        <v>0</v>
      </c>
      <c r="J47" s="58"/>
      <c r="K47" s="55">
        <v>0</v>
      </c>
      <c r="L47" s="57">
        <v>0</v>
      </c>
      <c r="M47" s="57">
        <f t="shared" si="59"/>
        <v>0</v>
      </c>
      <c r="N47" s="58"/>
      <c r="O47" s="55">
        <v>0</v>
      </c>
      <c r="P47" s="57">
        <v>0</v>
      </c>
      <c r="Q47" s="57">
        <f t="shared" si="60"/>
        <v>0</v>
      </c>
      <c r="R47" s="58"/>
      <c r="S47" s="55">
        <v>0</v>
      </c>
      <c r="T47" s="57">
        <v>0</v>
      </c>
      <c r="U47" s="57">
        <f t="shared" si="61"/>
        <v>0</v>
      </c>
      <c r="V47" s="59"/>
      <c r="W47" s="124">
        <f t="shared" si="62"/>
        <v>0</v>
      </c>
      <c r="X47" s="57">
        <f t="shared" si="63"/>
        <v>0</v>
      </c>
      <c r="Y47" s="84">
        <f t="shared" si="64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57"/>
        <v>0</v>
      </c>
      <c r="F48" s="58"/>
      <c r="G48" s="55">
        <v>0</v>
      </c>
      <c r="H48" s="57">
        <v>0</v>
      </c>
      <c r="I48" s="57">
        <f t="shared" si="58"/>
        <v>0</v>
      </c>
      <c r="J48" s="58"/>
      <c r="K48" s="55">
        <v>0</v>
      </c>
      <c r="L48" s="57">
        <v>0</v>
      </c>
      <c r="M48" s="57">
        <f t="shared" si="59"/>
        <v>0</v>
      </c>
      <c r="N48" s="58"/>
      <c r="O48" s="55">
        <v>0</v>
      </c>
      <c r="P48" s="57">
        <v>0</v>
      </c>
      <c r="Q48" s="57">
        <f t="shared" si="60"/>
        <v>0</v>
      </c>
      <c r="R48" s="58"/>
      <c r="S48" s="55">
        <v>0</v>
      </c>
      <c r="T48" s="57">
        <v>0</v>
      </c>
      <c r="U48" s="57">
        <f t="shared" si="61"/>
        <v>0</v>
      </c>
      <c r="V48" s="59"/>
      <c r="W48" s="124">
        <f t="shared" si="62"/>
        <v>0</v>
      </c>
      <c r="X48" s="57">
        <f t="shared" si="63"/>
        <v>0</v>
      </c>
      <c r="Y48" s="84">
        <f t="shared" si="64"/>
        <v>0</v>
      </c>
    </row>
    <row r="49" spans="1:77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0</v>
      </c>
      <c r="E49" s="125">
        <f>SUM(E39:E48)</f>
        <v>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62"/>
        <v>0</v>
      </c>
      <c r="X49" s="80">
        <f t="shared" si="63"/>
        <v>0</v>
      </c>
      <c r="Y49" s="80">
        <f t="shared" si="64"/>
        <v>0</v>
      </c>
    </row>
    <row r="50" spans="1:77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77" s="61" customFormat="1" x14ac:dyDescent="0.25">
      <c r="A51" s="52"/>
      <c r="B51" s="160" t="s">
        <v>57</v>
      </c>
      <c r="C51" s="124">
        <v>0</v>
      </c>
      <c r="D51" s="56">
        <v>0</v>
      </c>
      <c r="E51" s="56">
        <f t="shared" ref="E51:E56" si="65">SUM(C51:D51)</f>
        <v>0</v>
      </c>
      <c r="F51" s="58"/>
      <c r="G51" s="55">
        <f>C51</f>
        <v>0</v>
      </c>
      <c r="H51" s="57">
        <v>0</v>
      </c>
      <c r="I51" s="57">
        <f t="shared" ref="I51:I56" si="66">SUM(G51:H51)</f>
        <v>0</v>
      </c>
      <c r="J51" s="58"/>
      <c r="K51" s="55">
        <f>G51</f>
        <v>0</v>
      </c>
      <c r="L51" s="57">
        <v>0</v>
      </c>
      <c r="M51" s="57">
        <f t="shared" ref="M51:M56" si="67">SUM(K51:L51)</f>
        <v>0</v>
      </c>
      <c r="N51" s="58"/>
      <c r="O51" s="55">
        <f>K51</f>
        <v>0</v>
      </c>
      <c r="P51" s="57">
        <v>0</v>
      </c>
      <c r="Q51" s="57">
        <f t="shared" ref="Q51:Q56" si="68">SUM(O51:P51)</f>
        <v>0</v>
      </c>
      <c r="R51" s="58"/>
      <c r="S51" s="55">
        <f>O51</f>
        <v>0</v>
      </c>
      <c r="T51" s="57">
        <v>0</v>
      </c>
      <c r="U51" s="57">
        <f t="shared" ref="U51:U56" si="69">SUM(S51:T51)</f>
        <v>0</v>
      </c>
      <c r="V51" s="59"/>
      <c r="W51" s="124">
        <f t="shared" ref="W51:Y57" si="70">C51+G51+K51+O51+S51</f>
        <v>0</v>
      </c>
      <c r="X51" s="57">
        <f t="shared" si="70"/>
        <v>0</v>
      </c>
      <c r="Y51" s="84">
        <f t="shared" si="70"/>
        <v>0</v>
      </c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</row>
    <row r="52" spans="1:77" s="61" customFormat="1" x14ac:dyDescent="0.25">
      <c r="A52" s="87"/>
      <c r="B52" s="52"/>
      <c r="C52" s="124">
        <v>0</v>
      </c>
      <c r="D52" s="56">
        <v>0</v>
      </c>
      <c r="E52" s="56">
        <f t="shared" si="65"/>
        <v>0</v>
      </c>
      <c r="F52" s="58"/>
      <c r="G52" s="55">
        <v>0</v>
      </c>
      <c r="H52" s="57">
        <v>0</v>
      </c>
      <c r="I52" s="57">
        <f t="shared" si="66"/>
        <v>0</v>
      </c>
      <c r="J52" s="58"/>
      <c r="K52" s="55">
        <v>0</v>
      </c>
      <c r="L52" s="57">
        <v>0</v>
      </c>
      <c r="M52" s="57">
        <f t="shared" si="67"/>
        <v>0</v>
      </c>
      <c r="N52" s="58"/>
      <c r="O52" s="55">
        <v>0</v>
      </c>
      <c r="P52" s="57">
        <v>0</v>
      </c>
      <c r="Q52" s="57">
        <f t="shared" si="68"/>
        <v>0</v>
      </c>
      <c r="R52" s="58"/>
      <c r="S52" s="55">
        <v>0</v>
      </c>
      <c r="T52" s="57">
        <v>0</v>
      </c>
      <c r="U52" s="57">
        <f t="shared" si="69"/>
        <v>0</v>
      </c>
      <c r="V52" s="59"/>
      <c r="W52" s="124">
        <f t="shared" si="70"/>
        <v>0</v>
      </c>
      <c r="X52" s="57">
        <f t="shared" si="70"/>
        <v>0</v>
      </c>
      <c r="Y52" s="84">
        <f t="shared" si="70"/>
        <v>0</v>
      </c>
    </row>
    <row r="53" spans="1:77" s="61" customFormat="1" x14ac:dyDescent="0.25">
      <c r="A53" s="87"/>
      <c r="B53" s="52"/>
      <c r="C53" s="124">
        <v>0</v>
      </c>
      <c r="D53" s="56">
        <v>0</v>
      </c>
      <c r="E53" s="56">
        <f t="shared" si="65"/>
        <v>0</v>
      </c>
      <c r="F53" s="58"/>
      <c r="G53" s="55">
        <v>0</v>
      </c>
      <c r="H53" s="57">
        <v>0</v>
      </c>
      <c r="I53" s="57">
        <f t="shared" si="66"/>
        <v>0</v>
      </c>
      <c r="J53" s="58"/>
      <c r="K53" s="55">
        <v>0</v>
      </c>
      <c r="L53" s="57">
        <v>0</v>
      </c>
      <c r="M53" s="57">
        <f t="shared" si="67"/>
        <v>0</v>
      </c>
      <c r="N53" s="58"/>
      <c r="O53" s="55">
        <v>0</v>
      </c>
      <c r="P53" s="57">
        <v>0</v>
      </c>
      <c r="Q53" s="57">
        <f t="shared" si="68"/>
        <v>0</v>
      </c>
      <c r="R53" s="58"/>
      <c r="S53" s="55">
        <v>0</v>
      </c>
      <c r="T53" s="57">
        <v>0</v>
      </c>
      <c r="U53" s="57">
        <f t="shared" si="69"/>
        <v>0</v>
      </c>
      <c r="V53" s="59"/>
      <c r="W53" s="124">
        <f t="shared" si="70"/>
        <v>0</v>
      </c>
      <c r="X53" s="57">
        <f t="shared" si="70"/>
        <v>0</v>
      </c>
      <c r="Y53" s="84">
        <f t="shared" si="70"/>
        <v>0</v>
      </c>
    </row>
    <row r="54" spans="1:77" s="61" customFormat="1" x14ac:dyDescent="0.25">
      <c r="A54" s="52"/>
      <c r="B54" s="52"/>
      <c r="C54" s="124">
        <v>0</v>
      </c>
      <c r="D54" s="56">
        <v>0</v>
      </c>
      <c r="E54" s="56">
        <f t="shared" si="65"/>
        <v>0</v>
      </c>
      <c r="F54" s="58"/>
      <c r="G54" s="55">
        <v>0</v>
      </c>
      <c r="H54" s="57">
        <v>0</v>
      </c>
      <c r="I54" s="57">
        <f t="shared" si="66"/>
        <v>0</v>
      </c>
      <c r="J54" s="58"/>
      <c r="K54" s="55">
        <v>0</v>
      </c>
      <c r="L54" s="57">
        <v>0</v>
      </c>
      <c r="M54" s="57">
        <f t="shared" si="67"/>
        <v>0</v>
      </c>
      <c r="N54" s="58"/>
      <c r="O54" s="55">
        <v>0</v>
      </c>
      <c r="P54" s="57">
        <v>0</v>
      </c>
      <c r="Q54" s="57">
        <f t="shared" si="68"/>
        <v>0</v>
      </c>
      <c r="R54" s="58"/>
      <c r="S54" s="55">
        <v>0</v>
      </c>
      <c r="T54" s="57">
        <v>0</v>
      </c>
      <c r="U54" s="57">
        <f t="shared" si="69"/>
        <v>0</v>
      </c>
      <c r="V54" s="59"/>
      <c r="W54" s="124">
        <f t="shared" si="70"/>
        <v>0</v>
      </c>
      <c r="X54" s="57">
        <f t="shared" si="70"/>
        <v>0</v>
      </c>
      <c r="Y54" s="84">
        <f t="shared" si="70"/>
        <v>0</v>
      </c>
    </row>
    <row r="55" spans="1:77" s="61" customFormat="1" x14ac:dyDescent="0.25">
      <c r="A55" s="52"/>
      <c r="B55" s="52"/>
      <c r="C55" s="124">
        <v>0</v>
      </c>
      <c r="D55" s="56">
        <v>0</v>
      </c>
      <c r="E55" s="56">
        <f t="shared" si="65"/>
        <v>0</v>
      </c>
      <c r="F55" s="58"/>
      <c r="G55" s="55">
        <v>0</v>
      </c>
      <c r="H55" s="57">
        <v>0</v>
      </c>
      <c r="I55" s="57">
        <f t="shared" si="66"/>
        <v>0</v>
      </c>
      <c r="J55" s="58"/>
      <c r="K55" s="55">
        <v>0</v>
      </c>
      <c r="L55" s="57">
        <v>0</v>
      </c>
      <c r="M55" s="57">
        <f t="shared" si="67"/>
        <v>0</v>
      </c>
      <c r="N55" s="58"/>
      <c r="O55" s="55">
        <v>0</v>
      </c>
      <c r="P55" s="57">
        <v>0</v>
      </c>
      <c r="Q55" s="57">
        <f t="shared" si="68"/>
        <v>0</v>
      </c>
      <c r="R55" s="58"/>
      <c r="S55" s="55">
        <v>0</v>
      </c>
      <c r="T55" s="57">
        <v>0</v>
      </c>
      <c r="U55" s="57">
        <f t="shared" si="69"/>
        <v>0</v>
      </c>
      <c r="V55" s="59"/>
      <c r="W55" s="124">
        <f t="shared" si="70"/>
        <v>0</v>
      </c>
      <c r="X55" s="57">
        <f t="shared" si="70"/>
        <v>0</v>
      </c>
      <c r="Y55" s="84">
        <f t="shared" si="70"/>
        <v>0</v>
      </c>
    </row>
    <row r="56" spans="1:77" s="61" customFormat="1" x14ac:dyDescent="0.25">
      <c r="A56" s="52"/>
      <c r="B56" s="52"/>
      <c r="C56" s="124">
        <v>0</v>
      </c>
      <c r="D56" s="56">
        <v>0</v>
      </c>
      <c r="E56" s="56">
        <f t="shared" si="65"/>
        <v>0</v>
      </c>
      <c r="F56" s="58"/>
      <c r="G56" s="55">
        <v>0</v>
      </c>
      <c r="H56" s="57">
        <v>0</v>
      </c>
      <c r="I56" s="57">
        <f t="shared" si="66"/>
        <v>0</v>
      </c>
      <c r="J56" s="58"/>
      <c r="K56" s="55">
        <v>0</v>
      </c>
      <c r="L56" s="57">
        <v>0</v>
      </c>
      <c r="M56" s="57">
        <f t="shared" si="67"/>
        <v>0</v>
      </c>
      <c r="N56" s="58"/>
      <c r="O56" s="55">
        <v>0</v>
      </c>
      <c r="P56" s="57">
        <v>0</v>
      </c>
      <c r="Q56" s="57">
        <f t="shared" si="68"/>
        <v>0</v>
      </c>
      <c r="R56" s="58"/>
      <c r="S56" s="55">
        <v>0</v>
      </c>
      <c r="T56" s="57">
        <v>0</v>
      </c>
      <c r="U56" s="57">
        <f t="shared" si="69"/>
        <v>0</v>
      </c>
      <c r="V56" s="59"/>
      <c r="W56" s="124">
        <f t="shared" si="70"/>
        <v>0</v>
      </c>
      <c r="X56" s="57">
        <f t="shared" si="70"/>
        <v>0</v>
      </c>
      <c r="Y56" s="84">
        <f t="shared" si="70"/>
        <v>0</v>
      </c>
    </row>
    <row r="57" spans="1:77" s="83" customFormat="1" x14ac:dyDescent="0.25">
      <c r="A57" s="78"/>
      <c r="B57" s="78" t="s">
        <v>9</v>
      </c>
      <c r="C57" s="228">
        <f>SUM(C51:C56)</f>
        <v>0</v>
      </c>
      <c r="D57" s="125">
        <f>SUM(D51:D56)</f>
        <v>0</v>
      </c>
      <c r="E57" s="125">
        <f>SUM(E51:E56)</f>
        <v>0</v>
      </c>
      <c r="F57" s="81"/>
      <c r="G57" s="79">
        <f>SUM(G51:G56)</f>
        <v>0</v>
      </c>
      <c r="H57" s="80">
        <f>SUM(H51:H56)</f>
        <v>0</v>
      </c>
      <c r="I57" s="80">
        <f>SUM(I51:I56)</f>
        <v>0</v>
      </c>
      <c r="J57" s="81"/>
      <c r="K57" s="79">
        <f>SUM(K51:K56)</f>
        <v>0</v>
      </c>
      <c r="L57" s="80">
        <f>SUM(L51:L56)</f>
        <v>0</v>
      </c>
      <c r="M57" s="80">
        <f>SUM(M51:M56)</f>
        <v>0</v>
      </c>
      <c r="N57" s="81"/>
      <c r="O57" s="79">
        <f>SUM(O51:O56)</f>
        <v>0</v>
      </c>
      <c r="P57" s="80">
        <f>SUM(P51:P56)</f>
        <v>0</v>
      </c>
      <c r="Q57" s="80">
        <f>SUM(Q51:Q56)</f>
        <v>0</v>
      </c>
      <c r="R57" s="81"/>
      <c r="S57" s="79">
        <f>SUM(S51:S56)</f>
        <v>0</v>
      </c>
      <c r="T57" s="80">
        <f>SUM(T51:T56)</f>
        <v>0</v>
      </c>
      <c r="U57" s="80">
        <f>SUM(U51:U56)</f>
        <v>0</v>
      </c>
      <c r="V57" s="82"/>
      <c r="W57" s="228">
        <f t="shared" si="70"/>
        <v>0</v>
      </c>
      <c r="X57" s="80">
        <f t="shared" si="70"/>
        <v>0</v>
      </c>
      <c r="Y57" s="80">
        <f t="shared" si="70"/>
        <v>0</v>
      </c>
    </row>
    <row r="58" spans="1:77" s="77" customFormat="1" x14ac:dyDescent="0.25">
      <c r="A58" s="74" t="s">
        <v>14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77" s="77" customFormat="1" x14ac:dyDescent="0.25">
      <c r="A59" s="54" t="s">
        <v>57</v>
      </c>
      <c r="B59" s="199" t="s">
        <v>210</v>
      </c>
      <c r="C59" s="124">
        <f>2*7000*0</f>
        <v>0</v>
      </c>
      <c r="D59" s="56">
        <v>0</v>
      </c>
      <c r="E59" s="56">
        <f>SUM(C59:D59)</f>
        <v>0</v>
      </c>
      <c r="F59" s="58"/>
      <c r="G59" s="55">
        <f>5000*12</f>
        <v>60000</v>
      </c>
      <c r="H59" s="56">
        <v>0</v>
      </c>
      <c r="I59" s="56">
        <f>SUM(G59:H59)</f>
        <v>60000</v>
      </c>
      <c r="J59" s="58"/>
      <c r="K59" s="55">
        <f>G59</f>
        <v>60000</v>
      </c>
      <c r="L59" s="56">
        <v>0</v>
      </c>
      <c r="M59" s="56">
        <f>SUM(K59:L59)</f>
        <v>60000</v>
      </c>
      <c r="N59" s="58"/>
      <c r="O59" s="55">
        <f>K59</f>
        <v>60000</v>
      </c>
      <c r="P59" s="56">
        <v>0</v>
      </c>
      <c r="Q59" s="56">
        <f>SUM(O59:P59)</f>
        <v>60000</v>
      </c>
      <c r="R59" s="58"/>
      <c r="S59" s="55">
        <f>O59</f>
        <v>60000</v>
      </c>
      <c r="T59" s="56">
        <v>0</v>
      </c>
      <c r="U59" s="56">
        <f>SUM(S59:T59)</f>
        <v>60000</v>
      </c>
      <c r="V59" s="59"/>
      <c r="W59" s="124">
        <f t="shared" ref="W59:Y60" si="71">C59+G59+K59+O59+S59</f>
        <v>240000</v>
      </c>
      <c r="X59" s="57">
        <f t="shared" si="71"/>
        <v>0</v>
      </c>
      <c r="Y59" s="84">
        <f t="shared" si="71"/>
        <v>240000</v>
      </c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</row>
    <row r="60" spans="1:77" s="77" customFormat="1" x14ac:dyDescent="0.25">
      <c r="A60" s="54" t="s">
        <v>57</v>
      </c>
      <c r="B60" s="199" t="s">
        <v>209</v>
      </c>
      <c r="C60" s="124">
        <f>2*7000*0</f>
        <v>0</v>
      </c>
      <c r="D60" s="56">
        <v>0</v>
      </c>
      <c r="E60" s="56">
        <f>SUM(C60:D60)</f>
        <v>0</v>
      </c>
      <c r="F60" s="58"/>
      <c r="G60" s="55">
        <f>5000*4</f>
        <v>20000</v>
      </c>
      <c r="H60" s="56">
        <v>0</v>
      </c>
      <c r="I60" s="56">
        <f>SUM(G60:H60)</f>
        <v>20000</v>
      </c>
      <c r="J60" s="58"/>
      <c r="K60" s="55">
        <f>G60</f>
        <v>20000</v>
      </c>
      <c r="L60" s="56">
        <v>0</v>
      </c>
      <c r="M60" s="56">
        <f>SUM(K60:L60)</f>
        <v>20000</v>
      </c>
      <c r="N60" s="58"/>
      <c r="O60" s="55">
        <f>K60</f>
        <v>20000</v>
      </c>
      <c r="P60" s="56">
        <v>0</v>
      </c>
      <c r="Q60" s="56">
        <f>SUM(O60:P60)</f>
        <v>20000</v>
      </c>
      <c r="R60" s="58"/>
      <c r="S60" s="55">
        <f>O60</f>
        <v>20000</v>
      </c>
      <c r="T60" s="56">
        <v>0</v>
      </c>
      <c r="U60" s="56">
        <f>SUM(S60:T60)</f>
        <v>20000</v>
      </c>
      <c r="V60" s="59"/>
      <c r="W60" s="124">
        <f t="shared" si="71"/>
        <v>80000</v>
      </c>
      <c r="X60" s="57">
        <f t="shared" si="71"/>
        <v>0</v>
      </c>
      <c r="Y60" s="84">
        <f t="shared" si="71"/>
        <v>80000</v>
      </c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</row>
    <row r="61" spans="1:77" s="77" customFormat="1" x14ac:dyDescent="0.25">
      <c r="A61" s="54"/>
      <c r="B61" s="61" t="s">
        <v>57</v>
      </c>
      <c r="C61" s="124">
        <v>0</v>
      </c>
      <c r="D61" s="56">
        <v>0</v>
      </c>
      <c r="E61" s="56">
        <f>SUM(C61:D61)</f>
        <v>0</v>
      </c>
      <c r="F61" s="58"/>
      <c r="G61" s="55">
        <f>5*5000*0</f>
        <v>0</v>
      </c>
      <c r="H61" s="56">
        <v>0</v>
      </c>
      <c r="I61" s="56">
        <f>SUM(G61:H61)</f>
        <v>0</v>
      </c>
      <c r="J61" s="58"/>
      <c r="K61" s="55">
        <f>G61</f>
        <v>0</v>
      </c>
      <c r="L61" s="56">
        <v>0</v>
      </c>
      <c r="M61" s="56">
        <f>SUM(K61:L61)</f>
        <v>0</v>
      </c>
      <c r="N61" s="58"/>
      <c r="O61" s="55">
        <f>K61</f>
        <v>0</v>
      </c>
      <c r="P61" s="56">
        <v>0</v>
      </c>
      <c r="Q61" s="56">
        <f>SUM(O61:P61)</f>
        <v>0</v>
      </c>
      <c r="R61" s="58"/>
      <c r="S61" s="55">
        <f>O61</f>
        <v>0</v>
      </c>
      <c r="T61" s="56">
        <v>0</v>
      </c>
      <c r="U61" s="56">
        <f>SUM(S61:T61)</f>
        <v>0</v>
      </c>
      <c r="V61" s="59"/>
      <c r="W61" s="124">
        <f t="shared" ref="W61:Y63" si="72">C61+G61+K61+O61+S61</f>
        <v>0</v>
      </c>
      <c r="X61" s="56">
        <f t="shared" si="72"/>
        <v>0</v>
      </c>
      <c r="Y61" s="85">
        <f t="shared" si="72"/>
        <v>0</v>
      </c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</row>
    <row r="62" spans="1:77" s="61" customFormat="1" x14ac:dyDescent="0.25">
      <c r="A62" s="52"/>
      <c r="B62" s="52"/>
      <c r="C62" s="124">
        <v>0</v>
      </c>
      <c r="D62" s="56">
        <v>0</v>
      </c>
      <c r="E62" s="56">
        <f>SUM(C62:D62)</f>
        <v>0</v>
      </c>
      <c r="F62" s="58"/>
      <c r="G62" s="55">
        <f>C62*1.1</f>
        <v>0</v>
      </c>
      <c r="H62" s="57">
        <f>D62*1.1</f>
        <v>0</v>
      </c>
      <c r="I62" s="57">
        <f>SUM(G62:H62)</f>
        <v>0</v>
      </c>
      <c r="J62" s="58"/>
      <c r="K62" s="55">
        <f>G62*1.1</f>
        <v>0</v>
      </c>
      <c r="L62" s="57">
        <f>H62*1.1</f>
        <v>0</v>
      </c>
      <c r="M62" s="57">
        <f>SUM(K62:L62)</f>
        <v>0</v>
      </c>
      <c r="N62" s="58"/>
      <c r="O62" s="55">
        <f>K62*1.1</f>
        <v>0</v>
      </c>
      <c r="P62" s="57">
        <f>L62*1.1</f>
        <v>0</v>
      </c>
      <c r="Q62" s="57">
        <f>SUM(O62:P62)</f>
        <v>0</v>
      </c>
      <c r="R62" s="58"/>
      <c r="S62" s="55">
        <f>O62*1.1</f>
        <v>0</v>
      </c>
      <c r="T62" s="57">
        <f>P62*1.1</f>
        <v>0</v>
      </c>
      <c r="U62" s="57">
        <f>SUM(S62:T62)</f>
        <v>0</v>
      </c>
      <c r="V62" s="59"/>
      <c r="W62" s="124">
        <f t="shared" si="72"/>
        <v>0</v>
      </c>
      <c r="X62" s="57">
        <f t="shared" si="72"/>
        <v>0</v>
      </c>
      <c r="Y62" s="84">
        <f t="shared" si="72"/>
        <v>0</v>
      </c>
    </row>
    <row r="63" spans="1:77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80000</v>
      </c>
      <c r="H63" s="125">
        <f>SUM(H59:H62)</f>
        <v>0</v>
      </c>
      <c r="I63" s="125">
        <f>SUM(I59:I62)</f>
        <v>80000</v>
      </c>
      <c r="J63" s="81"/>
      <c r="K63" s="79">
        <f>SUM(K59:K62)</f>
        <v>80000</v>
      </c>
      <c r="L63" s="125">
        <f>SUM(L59:L62)</f>
        <v>0</v>
      </c>
      <c r="M63" s="125">
        <f>SUM(M59:M62)</f>
        <v>80000</v>
      </c>
      <c r="N63" s="81"/>
      <c r="O63" s="79">
        <f>SUM(O59:O62)</f>
        <v>80000</v>
      </c>
      <c r="P63" s="125">
        <f>SUM(P59:P62)</f>
        <v>0</v>
      </c>
      <c r="Q63" s="125">
        <f>SUM(Q59:Q62)</f>
        <v>80000</v>
      </c>
      <c r="R63" s="81"/>
      <c r="S63" s="79">
        <f>SUM(S59:S62)</f>
        <v>80000</v>
      </c>
      <c r="T63" s="125">
        <f>SUM(T59:T62)</f>
        <v>0</v>
      </c>
      <c r="U63" s="125">
        <f>SUM(U59:U62)</f>
        <v>80000</v>
      </c>
      <c r="V63" s="82"/>
      <c r="W63" s="228">
        <f t="shared" si="72"/>
        <v>320000</v>
      </c>
      <c r="X63" s="80">
        <f t="shared" si="72"/>
        <v>0</v>
      </c>
      <c r="Y63" s="84">
        <f t="shared" si="72"/>
        <v>320000</v>
      </c>
    </row>
    <row r="64" spans="1:77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77" s="61" customFormat="1" x14ac:dyDescent="0.25">
      <c r="A65" s="203" t="s">
        <v>57</v>
      </c>
      <c r="B65" s="52" t="s">
        <v>57</v>
      </c>
      <c r="C65" s="124">
        <f>(15000-5000)*0</f>
        <v>0</v>
      </c>
      <c r="D65" s="56">
        <v>0</v>
      </c>
      <c r="E65" s="56">
        <f t="shared" ref="E65:E84" si="73">SUM(C65:D65)</f>
        <v>0</v>
      </c>
      <c r="F65" s="58"/>
      <c r="G65" s="55">
        <f>C65</f>
        <v>0</v>
      </c>
      <c r="H65" s="57">
        <v>0</v>
      </c>
      <c r="I65" s="57">
        <f t="shared" ref="I65:I84" si="74">SUM(G65:H65)</f>
        <v>0</v>
      </c>
      <c r="J65" s="58"/>
      <c r="K65" s="55">
        <f>G65</f>
        <v>0</v>
      </c>
      <c r="L65" s="57">
        <v>0</v>
      </c>
      <c r="M65" s="57">
        <f t="shared" ref="M65:M84" si="75">SUM(K65:L65)</f>
        <v>0</v>
      </c>
      <c r="N65" s="58"/>
      <c r="O65" s="55">
        <f>K65</f>
        <v>0</v>
      </c>
      <c r="P65" s="57">
        <v>0</v>
      </c>
      <c r="Q65" s="57">
        <f t="shared" ref="Q65:Q84" si="76">SUM(O65:P65)</f>
        <v>0</v>
      </c>
      <c r="R65" s="58"/>
      <c r="S65" s="55">
        <f>O65</f>
        <v>0</v>
      </c>
      <c r="T65" s="57">
        <v>0</v>
      </c>
      <c r="U65" s="57">
        <f t="shared" ref="U65:U84" si="77">SUM(S65:T65)</f>
        <v>0</v>
      </c>
      <c r="V65" s="59"/>
      <c r="W65" s="124">
        <f t="shared" ref="W65:Y85" si="78">C65+G65+K65+O65+S65</f>
        <v>0</v>
      </c>
      <c r="X65" s="57">
        <f t="shared" ref="X65:X85" si="79">D65+H65+L65+P65+T65</f>
        <v>0</v>
      </c>
      <c r="Y65" s="84">
        <f t="shared" ref="Y65:Y85" si="80">E65+I65+M65+Q65+U65</f>
        <v>0</v>
      </c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</row>
    <row r="66" spans="1:77" s="61" customFormat="1" x14ac:dyDescent="0.25">
      <c r="A66" s="52"/>
      <c r="B66" s="54" t="s">
        <v>57</v>
      </c>
      <c r="C66" s="124">
        <f>3000*2*0</f>
        <v>0</v>
      </c>
      <c r="D66" s="56">
        <v>0</v>
      </c>
      <c r="E66" s="56">
        <f t="shared" si="73"/>
        <v>0</v>
      </c>
      <c r="F66" s="58"/>
      <c r="G66" s="55">
        <f>3000*2*0</f>
        <v>0</v>
      </c>
      <c r="H66" s="57">
        <v>0</v>
      </c>
      <c r="I66" s="57">
        <f t="shared" si="74"/>
        <v>0</v>
      </c>
      <c r="J66" s="58"/>
      <c r="K66" s="55">
        <f>G66</f>
        <v>0</v>
      </c>
      <c r="L66" s="57">
        <v>0</v>
      </c>
      <c r="M66" s="57">
        <f t="shared" si="75"/>
        <v>0</v>
      </c>
      <c r="N66" s="58"/>
      <c r="O66" s="55">
        <f>3000*2*0</f>
        <v>0</v>
      </c>
      <c r="P66" s="57">
        <v>0</v>
      </c>
      <c r="Q66" s="57">
        <f t="shared" si="76"/>
        <v>0</v>
      </c>
      <c r="R66" s="58"/>
      <c r="S66" s="55">
        <v>0</v>
      </c>
      <c r="T66" s="57">
        <v>0</v>
      </c>
      <c r="U66" s="57">
        <f t="shared" si="77"/>
        <v>0</v>
      </c>
      <c r="V66" s="59"/>
      <c r="W66" s="124">
        <f t="shared" si="78"/>
        <v>0</v>
      </c>
      <c r="X66" s="56">
        <f t="shared" si="79"/>
        <v>0</v>
      </c>
      <c r="Y66" s="85">
        <f t="shared" si="80"/>
        <v>0</v>
      </c>
      <c r="Z66" s="160"/>
      <c r="AA66" s="160"/>
      <c r="AB66" s="160"/>
      <c r="AC66" s="160"/>
    </row>
    <row r="67" spans="1:77" s="61" customFormat="1" x14ac:dyDescent="0.25">
      <c r="A67" s="52"/>
      <c r="B67" s="52"/>
      <c r="C67" s="124">
        <v>0</v>
      </c>
      <c r="D67" s="56">
        <v>0</v>
      </c>
      <c r="E67" s="56">
        <f t="shared" si="73"/>
        <v>0</v>
      </c>
      <c r="F67" s="58"/>
      <c r="G67" s="55">
        <v>0</v>
      </c>
      <c r="H67" s="57">
        <v>0</v>
      </c>
      <c r="I67" s="57">
        <f t="shared" si="74"/>
        <v>0</v>
      </c>
      <c r="J67" s="58"/>
      <c r="K67" s="55">
        <v>0</v>
      </c>
      <c r="L67" s="57">
        <v>0</v>
      </c>
      <c r="M67" s="57">
        <f t="shared" si="75"/>
        <v>0</v>
      </c>
      <c r="N67" s="58"/>
      <c r="O67" s="55">
        <v>0</v>
      </c>
      <c r="P67" s="57">
        <v>0</v>
      </c>
      <c r="Q67" s="57">
        <f t="shared" si="76"/>
        <v>0</v>
      </c>
      <c r="R67" s="58"/>
      <c r="S67" s="55">
        <v>0</v>
      </c>
      <c r="T67" s="57">
        <v>0</v>
      </c>
      <c r="U67" s="57">
        <f t="shared" si="77"/>
        <v>0</v>
      </c>
      <c r="V67" s="59"/>
      <c r="W67" s="124">
        <f t="shared" si="78"/>
        <v>0</v>
      </c>
      <c r="X67" s="57">
        <f t="shared" si="79"/>
        <v>0</v>
      </c>
      <c r="Y67" s="84">
        <f t="shared" si="80"/>
        <v>0</v>
      </c>
    </row>
    <row r="68" spans="1:77" s="61" customFormat="1" x14ac:dyDescent="0.25">
      <c r="A68" s="235" t="s">
        <v>57</v>
      </c>
      <c r="B68" s="199" t="s">
        <v>173</v>
      </c>
      <c r="C68" s="124">
        <f>10000*1.36</f>
        <v>13600.000000000002</v>
      </c>
      <c r="D68" s="57">
        <v>0</v>
      </c>
      <c r="E68" s="56">
        <f t="shared" si="73"/>
        <v>13600.000000000002</v>
      </c>
      <c r="F68" s="58"/>
      <c r="G68" s="55">
        <f>C68*1.03</f>
        <v>14008.000000000002</v>
      </c>
      <c r="H68" s="57">
        <v>0</v>
      </c>
      <c r="I68" s="57">
        <f t="shared" ref="I68:I69" si="81">SUM(G68:H68)</f>
        <v>14008.000000000002</v>
      </c>
      <c r="J68" s="58"/>
      <c r="K68" s="55">
        <f>G68*1.03</f>
        <v>14428.240000000002</v>
      </c>
      <c r="L68" s="57">
        <v>0</v>
      </c>
      <c r="M68" s="57">
        <f t="shared" ref="M68:M69" si="82">SUM(K68:L68)</f>
        <v>14428.240000000002</v>
      </c>
      <c r="N68" s="58"/>
      <c r="O68" s="55">
        <f>K68*1.03</f>
        <v>14861.087200000002</v>
      </c>
      <c r="P68" s="57">
        <v>0</v>
      </c>
      <c r="Q68" s="57">
        <f t="shared" ref="Q68:Q69" si="83">SUM(O68:P68)</f>
        <v>14861.087200000002</v>
      </c>
      <c r="R68" s="58"/>
      <c r="S68" s="55">
        <v>0</v>
      </c>
      <c r="T68" s="57">
        <v>0</v>
      </c>
      <c r="U68" s="57">
        <f t="shared" si="77"/>
        <v>0</v>
      </c>
      <c r="V68" s="59"/>
      <c r="W68" s="124">
        <f t="shared" si="78"/>
        <v>56897.327200000007</v>
      </c>
      <c r="X68" s="196">
        <v>0</v>
      </c>
      <c r="Y68" s="236">
        <f t="shared" si="78"/>
        <v>56897.327200000007</v>
      </c>
    </row>
    <row r="69" spans="1:77" s="61" customFormat="1" x14ac:dyDescent="0.25">
      <c r="A69" s="235" t="s">
        <v>57</v>
      </c>
      <c r="B69" s="199" t="s">
        <v>174</v>
      </c>
      <c r="C69" s="124">
        <v>4800</v>
      </c>
      <c r="D69" s="57">
        <v>0</v>
      </c>
      <c r="E69" s="56">
        <f t="shared" si="73"/>
        <v>4800</v>
      </c>
      <c r="F69" s="58"/>
      <c r="G69" s="55">
        <f>C69</f>
        <v>4800</v>
      </c>
      <c r="H69" s="57">
        <v>0</v>
      </c>
      <c r="I69" s="57">
        <f t="shared" si="81"/>
        <v>4800</v>
      </c>
      <c r="J69" s="58"/>
      <c r="K69" s="55">
        <f>G69</f>
        <v>4800</v>
      </c>
      <c r="L69" s="57">
        <v>0</v>
      </c>
      <c r="M69" s="57">
        <f t="shared" si="82"/>
        <v>4800</v>
      </c>
      <c r="N69" s="58"/>
      <c r="O69" s="55">
        <f>K69</f>
        <v>4800</v>
      </c>
      <c r="P69" s="57">
        <v>0</v>
      </c>
      <c r="Q69" s="57">
        <f t="shared" si="83"/>
        <v>4800</v>
      </c>
      <c r="R69" s="58"/>
      <c r="S69" s="55">
        <f>O69*0</f>
        <v>0</v>
      </c>
      <c r="T69" s="57">
        <v>0</v>
      </c>
      <c r="U69" s="57">
        <f t="shared" si="77"/>
        <v>0</v>
      </c>
      <c r="V69" s="59"/>
      <c r="W69" s="124">
        <f t="shared" si="78"/>
        <v>19200</v>
      </c>
      <c r="X69" s="196">
        <v>0</v>
      </c>
      <c r="Y69" s="236">
        <f t="shared" si="78"/>
        <v>19200</v>
      </c>
    </row>
    <row r="70" spans="1:77" s="61" customFormat="1" x14ac:dyDescent="0.25">
      <c r="A70" s="52"/>
      <c r="B70" s="52"/>
      <c r="C70" s="124">
        <v>0</v>
      </c>
      <c r="D70" s="56">
        <v>0</v>
      </c>
      <c r="E70" s="56">
        <f t="shared" si="73"/>
        <v>0</v>
      </c>
      <c r="F70" s="58"/>
      <c r="G70" s="55">
        <v>0</v>
      </c>
      <c r="H70" s="57">
        <v>0</v>
      </c>
      <c r="I70" s="57">
        <f t="shared" si="74"/>
        <v>0</v>
      </c>
      <c r="J70" s="58"/>
      <c r="K70" s="55">
        <v>0</v>
      </c>
      <c r="L70" s="57">
        <v>0</v>
      </c>
      <c r="M70" s="57">
        <f t="shared" si="75"/>
        <v>0</v>
      </c>
      <c r="N70" s="58"/>
      <c r="O70" s="55">
        <v>0</v>
      </c>
      <c r="P70" s="57">
        <v>0</v>
      </c>
      <c r="Q70" s="57">
        <f t="shared" si="76"/>
        <v>0</v>
      </c>
      <c r="R70" s="58"/>
      <c r="S70" s="55">
        <v>0</v>
      </c>
      <c r="T70" s="57">
        <v>0</v>
      </c>
      <c r="U70" s="57">
        <f t="shared" si="77"/>
        <v>0</v>
      </c>
      <c r="V70" s="59"/>
      <c r="W70" s="124">
        <f t="shared" si="78"/>
        <v>0</v>
      </c>
      <c r="X70" s="57">
        <f t="shared" si="79"/>
        <v>0</v>
      </c>
      <c r="Y70" s="84">
        <f t="shared" si="80"/>
        <v>0</v>
      </c>
    </row>
    <row r="71" spans="1:77" s="61" customFormat="1" x14ac:dyDescent="0.25">
      <c r="B71" s="199" t="s">
        <v>205</v>
      </c>
      <c r="C71" s="55">
        <v>0</v>
      </c>
      <c r="D71" s="57">
        <v>0</v>
      </c>
      <c r="E71" s="57">
        <f t="shared" si="73"/>
        <v>0</v>
      </c>
      <c r="F71" s="58"/>
      <c r="G71" s="55">
        <v>10000</v>
      </c>
      <c r="H71" s="57">
        <v>0</v>
      </c>
      <c r="I71" s="57">
        <f t="shared" ref="I71" si="84">SUM(G71:H71)</f>
        <v>10000</v>
      </c>
      <c r="J71" s="58"/>
      <c r="K71" s="55">
        <f>G71</f>
        <v>10000</v>
      </c>
      <c r="L71" s="56">
        <v>0</v>
      </c>
      <c r="M71" s="56">
        <f t="shared" ref="M71" si="85">SUM(K71:L71)</f>
        <v>10000</v>
      </c>
      <c r="N71" s="58"/>
      <c r="O71" s="55">
        <f>K71</f>
        <v>10000</v>
      </c>
      <c r="P71" s="57">
        <v>0</v>
      </c>
      <c r="Q71" s="57">
        <f t="shared" ref="Q71" si="86">SUM(O71:P71)</f>
        <v>10000</v>
      </c>
      <c r="R71" s="58"/>
      <c r="S71" s="55">
        <v>0</v>
      </c>
      <c r="T71" s="57">
        <v>0</v>
      </c>
      <c r="U71" s="57">
        <f t="shared" si="77"/>
        <v>0</v>
      </c>
      <c r="V71" s="59"/>
      <c r="W71" s="124">
        <f t="shared" si="78"/>
        <v>30000</v>
      </c>
      <c r="X71" s="56">
        <f t="shared" si="78"/>
        <v>0</v>
      </c>
      <c r="Y71" s="202">
        <f t="shared" si="78"/>
        <v>30000</v>
      </c>
    </row>
    <row r="72" spans="1:77" s="61" customFormat="1" x14ac:dyDescent="0.25">
      <c r="A72" s="52"/>
      <c r="B72" s="52"/>
      <c r="C72" s="124">
        <v>0</v>
      </c>
      <c r="D72" s="56">
        <v>0</v>
      </c>
      <c r="E72" s="56">
        <f t="shared" si="73"/>
        <v>0</v>
      </c>
      <c r="F72" s="58"/>
      <c r="G72" s="55">
        <v>0</v>
      </c>
      <c r="H72" s="57">
        <v>0</v>
      </c>
      <c r="I72" s="57">
        <f t="shared" si="74"/>
        <v>0</v>
      </c>
      <c r="J72" s="58"/>
      <c r="K72" s="55">
        <v>0</v>
      </c>
      <c r="L72" s="57">
        <v>0</v>
      </c>
      <c r="M72" s="57">
        <f t="shared" si="75"/>
        <v>0</v>
      </c>
      <c r="N72" s="58"/>
      <c r="O72" s="55">
        <v>0</v>
      </c>
      <c r="P72" s="57">
        <v>0</v>
      </c>
      <c r="Q72" s="57">
        <f t="shared" si="76"/>
        <v>0</v>
      </c>
      <c r="R72" s="58"/>
      <c r="S72" s="55">
        <v>0</v>
      </c>
      <c r="T72" s="57">
        <v>0</v>
      </c>
      <c r="U72" s="57">
        <f t="shared" si="77"/>
        <v>0</v>
      </c>
      <c r="V72" s="59"/>
      <c r="W72" s="124">
        <f t="shared" si="78"/>
        <v>0</v>
      </c>
      <c r="X72" s="57">
        <f t="shared" si="79"/>
        <v>0</v>
      </c>
      <c r="Y72" s="84">
        <f t="shared" si="80"/>
        <v>0</v>
      </c>
    </row>
    <row r="73" spans="1:77" s="61" customFormat="1" x14ac:dyDescent="0.25">
      <c r="A73" s="203" t="s">
        <v>57</v>
      </c>
      <c r="B73" s="199" t="s">
        <v>195</v>
      </c>
      <c r="C73" s="124">
        <v>0</v>
      </c>
      <c r="D73" s="56">
        <v>0</v>
      </c>
      <c r="E73" s="56">
        <f t="shared" si="73"/>
        <v>0</v>
      </c>
      <c r="F73" s="58"/>
      <c r="G73" s="55">
        <f>500*12</f>
        <v>6000</v>
      </c>
      <c r="H73" s="57">
        <v>0</v>
      </c>
      <c r="I73" s="57">
        <f t="shared" ref="I73:I74" si="87">SUM(G73:H73)</f>
        <v>6000</v>
      </c>
      <c r="J73" s="58"/>
      <c r="K73" s="55">
        <f>G73</f>
        <v>6000</v>
      </c>
      <c r="L73" s="57">
        <v>0</v>
      </c>
      <c r="M73" s="57">
        <f t="shared" ref="M73:M74" si="88">SUM(K73:L73)</f>
        <v>6000</v>
      </c>
      <c r="N73" s="58"/>
      <c r="O73" s="55">
        <f>G73</f>
        <v>6000</v>
      </c>
      <c r="P73" s="57">
        <v>0</v>
      </c>
      <c r="Q73" s="57">
        <f t="shared" ref="Q73:Q74" si="89">SUM(O73:P73)</f>
        <v>6000</v>
      </c>
      <c r="R73" s="58"/>
      <c r="S73" s="55">
        <f>O73</f>
        <v>6000</v>
      </c>
      <c r="T73" s="57">
        <v>0</v>
      </c>
      <c r="U73" s="57">
        <f t="shared" si="77"/>
        <v>6000</v>
      </c>
      <c r="V73" s="59"/>
      <c r="W73" s="124">
        <f t="shared" si="78"/>
        <v>24000</v>
      </c>
      <c r="X73" s="57">
        <f t="shared" si="78"/>
        <v>0</v>
      </c>
      <c r="Y73" s="84">
        <f t="shared" si="78"/>
        <v>24000</v>
      </c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54"/>
      <c r="BB73" s="54"/>
      <c r="BC73" s="54"/>
      <c r="BD73" s="54"/>
      <c r="BE73" s="54"/>
      <c r="BF73" s="54"/>
      <c r="BG73" s="54"/>
      <c r="BH73" s="54"/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  <c r="BX73" s="54"/>
      <c r="BY73" s="54"/>
    </row>
    <row r="74" spans="1:77" s="61" customFormat="1" x14ac:dyDescent="0.25">
      <c r="A74" s="203" t="s">
        <v>57</v>
      </c>
      <c r="B74" s="199" t="s">
        <v>212</v>
      </c>
      <c r="C74" s="124">
        <v>0</v>
      </c>
      <c r="D74" s="56">
        <v>0</v>
      </c>
      <c r="E74" s="56">
        <f t="shared" si="73"/>
        <v>0</v>
      </c>
      <c r="F74" s="58"/>
      <c r="G74" s="55">
        <f>500*4</f>
        <v>2000</v>
      </c>
      <c r="H74" s="57">
        <v>0</v>
      </c>
      <c r="I74" s="57">
        <f t="shared" si="87"/>
        <v>2000</v>
      </c>
      <c r="J74" s="58"/>
      <c r="K74" s="55">
        <f>G74</f>
        <v>2000</v>
      </c>
      <c r="L74" s="57">
        <v>0</v>
      </c>
      <c r="M74" s="57">
        <f t="shared" si="88"/>
        <v>2000</v>
      </c>
      <c r="N74" s="58"/>
      <c r="O74" s="55">
        <f>G74</f>
        <v>2000</v>
      </c>
      <c r="P74" s="57">
        <v>0</v>
      </c>
      <c r="Q74" s="57">
        <f t="shared" si="89"/>
        <v>2000</v>
      </c>
      <c r="R74" s="58"/>
      <c r="S74" s="55">
        <f>O74</f>
        <v>2000</v>
      </c>
      <c r="T74" s="57">
        <v>0</v>
      </c>
      <c r="U74" s="57">
        <f t="shared" si="77"/>
        <v>2000</v>
      </c>
      <c r="V74" s="59"/>
      <c r="W74" s="124">
        <f t="shared" si="78"/>
        <v>8000</v>
      </c>
      <c r="X74" s="57">
        <f t="shared" si="78"/>
        <v>0</v>
      </c>
      <c r="Y74" s="84">
        <f t="shared" si="78"/>
        <v>8000</v>
      </c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54"/>
      <c r="BH74" s="54"/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</row>
    <row r="75" spans="1:77" s="61" customFormat="1" x14ac:dyDescent="0.25">
      <c r="A75" s="87"/>
      <c r="B75" s="54"/>
      <c r="C75" s="124">
        <v>0</v>
      </c>
      <c r="D75" s="56">
        <v>0</v>
      </c>
      <c r="E75" s="56">
        <f t="shared" si="73"/>
        <v>0</v>
      </c>
      <c r="F75" s="58"/>
      <c r="G75" s="55">
        <v>0</v>
      </c>
      <c r="H75" s="57">
        <v>0</v>
      </c>
      <c r="I75" s="57">
        <f t="shared" si="74"/>
        <v>0</v>
      </c>
      <c r="J75" s="58"/>
      <c r="K75" s="55">
        <v>0</v>
      </c>
      <c r="L75" s="57">
        <v>0</v>
      </c>
      <c r="M75" s="57">
        <f t="shared" si="75"/>
        <v>0</v>
      </c>
      <c r="N75" s="58"/>
      <c r="O75" s="55">
        <v>0</v>
      </c>
      <c r="P75" s="57">
        <v>0</v>
      </c>
      <c r="Q75" s="57">
        <f t="shared" si="76"/>
        <v>0</v>
      </c>
      <c r="R75" s="58"/>
      <c r="S75" s="55">
        <v>0</v>
      </c>
      <c r="T75" s="57">
        <v>0</v>
      </c>
      <c r="U75" s="57">
        <f t="shared" si="77"/>
        <v>0</v>
      </c>
      <c r="V75" s="59"/>
      <c r="W75" s="124">
        <f t="shared" si="78"/>
        <v>0</v>
      </c>
      <c r="X75" s="57">
        <f t="shared" si="79"/>
        <v>0</v>
      </c>
      <c r="Y75" s="84">
        <f t="shared" si="80"/>
        <v>0</v>
      </c>
    </row>
    <row r="76" spans="1:77" s="61" customFormat="1" x14ac:dyDescent="0.25">
      <c r="A76" s="87"/>
      <c r="B76" s="54"/>
      <c r="C76" s="124">
        <v>0</v>
      </c>
      <c r="D76" s="56">
        <v>0</v>
      </c>
      <c r="E76" s="56">
        <f t="shared" si="73"/>
        <v>0</v>
      </c>
      <c r="F76" s="58"/>
      <c r="G76" s="55">
        <v>0</v>
      </c>
      <c r="H76" s="57">
        <v>0</v>
      </c>
      <c r="I76" s="57">
        <f t="shared" si="74"/>
        <v>0</v>
      </c>
      <c r="J76" s="58"/>
      <c r="K76" s="55">
        <v>0</v>
      </c>
      <c r="L76" s="57">
        <v>0</v>
      </c>
      <c r="M76" s="57">
        <f t="shared" si="75"/>
        <v>0</v>
      </c>
      <c r="N76" s="58"/>
      <c r="O76" s="55">
        <v>0</v>
      </c>
      <c r="P76" s="57">
        <v>0</v>
      </c>
      <c r="Q76" s="57">
        <f t="shared" si="76"/>
        <v>0</v>
      </c>
      <c r="R76" s="58"/>
      <c r="S76" s="55">
        <v>0</v>
      </c>
      <c r="T76" s="57">
        <v>0</v>
      </c>
      <c r="U76" s="57">
        <f t="shared" si="77"/>
        <v>0</v>
      </c>
      <c r="V76" s="59"/>
      <c r="W76" s="124">
        <f t="shared" si="78"/>
        <v>0</v>
      </c>
      <c r="X76" s="57">
        <f t="shared" si="79"/>
        <v>0</v>
      </c>
      <c r="Y76" s="84">
        <f t="shared" si="80"/>
        <v>0</v>
      </c>
    </row>
    <row r="77" spans="1:77" s="61" customFormat="1" x14ac:dyDescent="0.25">
      <c r="A77" s="87"/>
      <c r="B77" s="54"/>
      <c r="C77" s="124">
        <v>0</v>
      </c>
      <c r="D77" s="56">
        <v>0</v>
      </c>
      <c r="E77" s="56">
        <f t="shared" si="73"/>
        <v>0</v>
      </c>
      <c r="F77" s="58"/>
      <c r="G77" s="55">
        <v>0</v>
      </c>
      <c r="H77" s="57">
        <v>0</v>
      </c>
      <c r="I77" s="57">
        <f t="shared" si="74"/>
        <v>0</v>
      </c>
      <c r="J77" s="58"/>
      <c r="K77" s="55">
        <v>0</v>
      </c>
      <c r="L77" s="57">
        <v>0</v>
      </c>
      <c r="M77" s="57">
        <f t="shared" si="75"/>
        <v>0</v>
      </c>
      <c r="N77" s="58"/>
      <c r="O77" s="55">
        <v>0</v>
      </c>
      <c r="P77" s="57">
        <v>0</v>
      </c>
      <c r="Q77" s="57">
        <f t="shared" si="76"/>
        <v>0</v>
      </c>
      <c r="R77" s="58"/>
      <c r="S77" s="55">
        <v>0</v>
      </c>
      <c r="T77" s="57">
        <v>0</v>
      </c>
      <c r="U77" s="57">
        <f t="shared" si="77"/>
        <v>0</v>
      </c>
      <c r="V77" s="59"/>
      <c r="W77" s="124">
        <f t="shared" si="78"/>
        <v>0</v>
      </c>
      <c r="X77" s="57">
        <f t="shared" si="79"/>
        <v>0</v>
      </c>
      <c r="Y77" s="84">
        <f t="shared" si="80"/>
        <v>0</v>
      </c>
    </row>
    <row r="78" spans="1:77" s="61" customFormat="1" x14ac:dyDescent="0.25">
      <c r="A78" s="87"/>
      <c r="B78" s="54"/>
      <c r="C78" s="124">
        <v>0</v>
      </c>
      <c r="D78" s="56">
        <v>0</v>
      </c>
      <c r="E78" s="56">
        <f t="shared" si="73"/>
        <v>0</v>
      </c>
      <c r="F78" s="58"/>
      <c r="G78" s="55">
        <v>0</v>
      </c>
      <c r="H78" s="57">
        <v>0</v>
      </c>
      <c r="I78" s="57">
        <f t="shared" si="74"/>
        <v>0</v>
      </c>
      <c r="J78" s="58"/>
      <c r="K78" s="55">
        <v>0</v>
      </c>
      <c r="L78" s="57">
        <v>0</v>
      </c>
      <c r="M78" s="57">
        <f t="shared" si="75"/>
        <v>0</v>
      </c>
      <c r="N78" s="58"/>
      <c r="O78" s="55">
        <v>0</v>
      </c>
      <c r="P78" s="57">
        <v>0</v>
      </c>
      <c r="Q78" s="57">
        <f t="shared" si="76"/>
        <v>0</v>
      </c>
      <c r="R78" s="58"/>
      <c r="S78" s="55">
        <v>0</v>
      </c>
      <c r="T78" s="57">
        <v>0</v>
      </c>
      <c r="U78" s="57">
        <f t="shared" si="77"/>
        <v>0</v>
      </c>
      <c r="V78" s="59"/>
      <c r="W78" s="124">
        <f t="shared" si="78"/>
        <v>0</v>
      </c>
      <c r="X78" s="57">
        <f t="shared" si="79"/>
        <v>0</v>
      </c>
      <c r="Y78" s="84">
        <f t="shared" si="80"/>
        <v>0</v>
      </c>
    </row>
    <row r="79" spans="1:77" s="61" customFormat="1" x14ac:dyDescent="0.25">
      <c r="A79" s="87"/>
      <c r="B79" s="54"/>
      <c r="C79" s="124">
        <v>0</v>
      </c>
      <c r="D79" s="56">
        <v>0</v>
      </c>
      <c r="E79" s="56">
        <f t="shared" si="73"/>
        <v>0</v>
      </c>
      <c r="F79" s="58"/>
      <c r="G79" s="55">
        <v>0</v>
      </c>
      <c r="H79" s="57">
        <v>0</v>
      </c>
      <c r="I79" s="57">
        <f t="shared" si="74"/>
        <v>0</v>
      </c>
      <c r="J79" s="58"/>
      <c r="K79" s="55">
        <v>0</v>
      </c>
      <c r="L79" s="57">
        <v>0</v>
      </c>
      <c r="M79" s="57">
        <f t="shared" si="75"/>
        <v>0</v>
      </c>
      <c r="N79" s="58"/>
      <c r="O79" s="55">
        <v>0</v>
      </c>
      <c r="P79" s="57">
        <v>0</v>
      </c>
      <c r="Q79" s="57">
        <f t="shared" si="76"/>
        <v>0</v>
      </c>
      <c r="R79" s="58"/>
      <c r="S79" s="55">
        <v>0</v>
      </c>
      <c r="T79" s="57">
        <v>0</v>
      </c>
      <c r="U79" s="57">
        <f t="shared" si="77"/>
        <v>0</v>
      </c>
      <c r="V79" s="59"/>
      <c r="W79" s="124">
        <f t="shared" si="78"/>
        <v>0</v>
      </c>
      <c r="X79" s="57">
        <f t="shared" si="79"/>
        <v>0</v>
      </c>
      <c r="Y79" s="84">
        <f t="shared" si="80"/>
        <v>0</v>
      </c>
    </row>
    <row r="80" spans="1:77" s="61" customFormat="1" x14ac:dyDescent="0.25">
      <c r="A80" s="52"/>
      <c r="B80" s="52"/>
      <c r="C80" s="124">
        <v>0</v>
      </c>
      <c r="D80" s="56">
        <v>0</v>
      </c>
      <c r="E80" s="56">
        <f t="shared" si="73"/>
        <v>0</v>
      </c>
      <c r="F80" s="58"/>
      <c r="G80" s="55">
        <v>0</v>
      </c>
      <c r="H80" s="57">
        <v>0</v>
      </c>
      <c r="I80" s="57">
        <f t="shared" si="74"/>
        <v>0</v>
      </c>
      <c r="J80" s="58"/>
      <c r="K80" s="55">
        <v>0</v>
      </c>
      <c r="L80" s="57">
        <v>0</v>
      </c>
      <c r="M80" s="57">
        <f t="shared" si="75"/>
        <v>0</v>
      </c>
      <c r="N80" s="58"/>
      <c r="O80" s="55">
        <v>0</v>
      </c>
      <c r="P80" s="57">
        <v>0</v>
      </c>
      <c r="Q80" s="57">
        <f t="shared" si="76"/>
        <v>0</v>
      </c>
      <c r="R80" s="58"/>
      <c r="S80" s="55">
        <v>0</v>
      </c>
      <c r="T80" s="57">
        <v>0</v>
      </c>
      <c r="U80" s="57">
        <f t="shared" si="77"/>
        <v>0</v>
      </c>
      <c r="V80" s="59"/>
      <c r="W80" s="124">
        <f t="shared" si="78"/>
        <v>0</v>
      </c>
      <c r="X80" s="57">
        <f t="shared" si="79"/>
        <v>0</v>
      </c>
      <c r="Y80" s="84">
        <f t="shared" si="80"/>
        <v>0</v>
      </c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73"/>
        <v>0</v>
      </c>
      <c r="F81" s="58"/>
      <c r="G81" s="55">
        <v>0</v>
      </c>
      <c r="H81" s="57">
        <v>0</v>
      </c>
      <c r="I81" s="57">
        <f t="shared" si="74"/>
        <v>0</v>
      </c>
      <c r="J81" s="58"/>
      <c r="K81" s="55">
        <v>0</v>
      </c>
      <c r="L81" s="57">
        <v>0</v>
      </c>
      <c r="M81" s="57">
        <f t="shared" si="75"/>
        <v>0</v>
      </c>
      <c r="N81" s="58"/>
      <c r="O81" s="55">
        <v>0</v>
      </c>
      <c r="P81" s="57">
        <v>0</v>
      </c>
      <c r="Q81" s="57">
        <f t="shared" si="76"/>
        <v>0</v>
      </c>
      <c r="R81" s="58"/>
      <c r="S81" s="55">
        <v>0</v>
      </c>
      <c r="T81" s="57">
        <v>0</v>
      </c>
      <c r="U81" s="57">
        <f t="shared" si="77"/>
        <v>0</v>
      </c>
      <c r="V81" s="59"/>
      <c r="W81" s="124">
        <f t="shared" si="78"/>
        <v>0</v>
      </c>
      <c r="X81" s="57">
        <f t="shared" si="79"/>
        <v>0</v>
      </c>
      <c r="Y81" s="84">
        <f t="shared" si="80"/>
        <v>0</v>
      </c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73"/>
        <v>0</v>
      </c>
      <c r="F82" s="58"/>
      <c r="G82" s="55">
        <v>0</v>
      </c>
      <c r="H82" s="57">
        <v>0</v>
      </c>
      <c r="I82" s="57">
        <f t="shared" si="74"/>
        <v>0</v>
      </c>
      <c r="J82" s="58"/>
      <c r="K82" s="55">
        <v>0</v>
      </c>
      <c r="L82" s="57">
        <v>0</v>
      </c>
      <c r="M82" s="57">
        <f t="shared" si="75"/>
        <v>0</v>
      </c>
      <c r="N82" s="58"/>
      <c r="O82" s="55">
        <v>0</v>
      </c>
      <c r="P82" s="57">
        <v>0</v>
      </c>
      <c r="Q82" s="57">
        <f t="shared" si="76"/>
        <v>0</v>
      </c>
      <c r="R82" s="58"/>
      <c r="S82" s="55">
        <v>0</v>
      </c>
      <c r="T82" s="57">
        <v>0</v>
      </c>
      <c r="U82" s="57">
        <f t="shared" si="77"/>
        <v>0</v>
      </c>
      <c r="V82" s="59"/>
      <c r="W82" s="124">
        <f t="shared" si="78"/>
        <v>0</v>
      </c>
      <c r="X82" s="57">
        <f t="shared" si="79"/>
        <v>0</v>
      </c>
      <c r="Y82" s="84">
        <f t="shared" si="80"/>
        <v>0</v>
      </c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73"/>
        <v>0</v>
      </c>
      <c r="F83" s="58"/>
      <c r="G83" s="55">
        <v>0</v>
      </c>
      <c r="H83" s="57">
        <v>0</v>
      </c>
      <c r="I83" s="57">
        <f t="shared" si="74"/>
        <v>0</v>
      </c>
      <c r="J83" s="58"/>
      <c r="K83" s="55">
        <v>0</v>
      </c>
      <c r="L83" s="57">
        <v>0</v>
      </c>
      <c r="M83" s="57">
        <f t="shared" si="75"/>
        <v>0</v>
      </c>
      <c r="N83" s="58"/>
      <c r="O83" s="55">
        <v>0</v>
      </c>
      <c r="P83" s="57">
        <v>0</v>
      </c>
      <c r="Q83" s="57">
        <f t="shared" si="76"/>
        <v>0</v>
      </c>
      <c r="R83" s="58"/>
      <c r="S83" s="55">
        <v>0</v>
      </c>
      <c r="T83" s="57">
        <v>0</v>
      </c>
      <c r="U83" s="57">
        <f t="shared" si="77"/>
        <v>0</v>
      </c>
      <c r="V83" s="59"/>
      <c r="W83" s="124">
        <f t="shared" si="78"/>
        <v>0</v>
      </c>
      <c r="X83" s="57">
        <f t="shared" si="79"/>
        <v>0</v>
      </c>
      <c r="Y83" s="84">
        <f t="shared" si="80"/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73"/>
        <v>0</v>
      </c>
      <c r="F84" s="58"/>
      <c r="G84" s="55">
        <v>0</v>
      </c>
      <c r="H84" s="57">
        <v>0</v>
      </c>
      <c r="I84" s="57">
        <f t="shared" si="74"/>
        <v>0</v>
      </c>
      <c r="J84" s="58"/>
      <c r="K84" s="55">
        <v>0</v>
      </c>
      <c r="L84" s="57">
        <v>0</v>
      </c>
      <c r="M84" s="57">
        <f t="shared" si="75"/>
        <v>0</v>
      </c>
      <c r="N84" s="58"/>
      <c r="O84" s="55">
        <v>0</v>
      </c>
      <c r="P84" s="57">
        <v>0</v>
      </c>
      <c r="Q84" s="57">
        <f t="shared" si="76"/>
        <v>0</v>
      </c>
      <c r="R84" s="58"/>
      <c r="S84" s="55">
        <v>0</v>
      </c>
      <c r="T84" s="57">
        <v>0</v>
      </c>
      <c r="U84" s="57">
        <f t="shared" si="77"/>
        <v>0</v>
      </c>
      <c r="V84" s="59"/>
      <c r="W84" s="124">
        <f t="shared" si="78"/>
        <v>0</v>
      </c>
      <c r="X84" s="57">
        <f t="shared" si="79"/>
        <v>0</v>
      </c>
      <c r="Y84" s="84">
        <f t="shared" si="80"/>
        <v>0</v>
      </c>
    </row>
    <row r="85" spans="1:77" s="83" customFormat="1" x14ac:dyDescent="0.25">
      <c r="A85" s="78"/>
      <c r="B85" s="78" t="s">
        <v>9</v>
      </c>
      <c r="C85" s="229">
        <f>SUM(C65:C84)</f>
        <v>18400</v>
      </c>
      <c r="D85" s="153">
        <f>SUM(D65:D84)</f>
        <v>0</v>
      </c>
      <c r="E85" s="153">
        <f>SUM(E65:E84)</f>
        <v>18400</v>
      </c>
      <c r="F85" s="154"/>
      <c r="G85" s="152">
        <f>SUM(G65:G84)</f>
        <v>36808</v>
      </c>
      <c r="H85" s="153">
        <f>SUM(H65:H84)</f>
        <v>0</v>
      </c>
      <c r="I85" s="153">
        <f>SUM(I65:I84)</f>
        <v>36808</v>
      </c>
      <c r="J85" s="154"/>
      <c r="K85" s="152">
        <f>SUM(K65:K84)</f>
        <v>37228.240000000005</v>
      </c>
      <c r="L85" s="153">
        <f>SUM(L65:L84)</f>
        <v>0</v>
      </c>
      <c r="M85" s="153">
        <f>SUM(M65:M84)</f>
        <v>37228.240000000005</v>
      </c>
      <c r="N85" s="154"/>
      <c r="O85" s="152">
        <f>SUM(O65:O84)</f>
        <v>37661.087200000002</v>
      </c>
      <c r="P85" s="153">
        <f>SUM(P65:P84)</f>
        <v>0</v>
      </c>
      <c r="Q85" s="153">
        <f>SUM(Q65:Q84)</f>
        <v>37661.087200000002</v>
      </c>
      <c r="R85" s="154"/>
      <c r="S85" s="152">
        <f>SUM(S65:S84)</f>
        <v>8000</v>
      </c>
      <c r="T85" s="153">
        <f>SUM(T65:T84)</f>
        <v>0</v>
      </c>
      <c r="U85" s="153">
        <f>SUM(U65:U84)</f>
        <v>8000</v>
      </c>
      <c r="V85" s="82"/>
      <c r="W85" s="228">
        <f t="shared" si="78"/>
        <v>138097.3272</v>
      </c>
      <c r="X85" s="80">
        <f t="shared" si="79"/>
        <v>0</v>
      </c>
      <c r="Y85" s="80">
        <f t="shared" si="80"/>
        <v>138097.3272</v>
      </c>
    </row>
    <row r="86" spans="1:77" s="97" customFormat="1" x14ac:dyDescent="0.25">
      <c r="A86" s="89" t="s">
        <v>28</v>
      </c>
      <c r="B86" s="89"/>
      <c r="C86" s="95">
        <f>C85+C63+C57+C49+C37</f>
        <v>59201.484400000001</v>
      </c>
      <c r="D86" s="95">
        <f t="shared" ref="D86:X86" si="90">D85+D63+D57+D49+D37</f>
        <v>21112.92352</v>
      </c>
      <c r="E86" s="95">
        <f>SUM(C86:D86)</f>
        <v>80314.407919999998</v>
      </c>
      <c r="F86" s="95"/>
      <c r="G86" s="95">
        <f t="shared" si="90"/>
        <v>158942.62884995999</v>
      </c>
      <c r="H86" s="95">
        <f t="shared" si="90"/>
        <v>21939.271451968001</v>
      </c>
      <c r="I86" s="95">
        <f>SUM(G86:H86)</f>
        <v>180881.90030192799</v>
      </c>
      <c r="J86" s="95"/>
      <c r="K86" s="95">
        <f t="shared" si="90"/>
        <v>160753.61381842257</v>
      </c>
      <c r="L86" s="95">
        <f t="shared" si="90"/>
        <v>22802.161099680852</v>
      </c>
      <c r="M86" s="95">
        <f>SUM(K86:L86)</f>
        <v>183555.77491810342</v>
      </c>
      <c r="N86" s="95"/>
      <c r="O86" s="95">
        <f t="shared" si="90"/>
        <v>162637.60673760952</v>
      </c>
      <c r="P86" s="95">
        <f t="shared" si="90"/>
        <v>23703.404367428058</v>
      </c>
      <c r="Q86" s="95">
        <f>SUM(O86:P86)</f>
        <v>186341.01110503759</v>
      </c>
      <c r="R86" s="95"/>
      <c r="S86" s="95">
        <f t="shared" si="90"/>
        <v>118806.13887485545</v>
      </c>
      <c r="T86" s="95">
        <f t="shared" si="90"/>
        <v>24644.911099884364</v>
      </c>
      <c r="U86" s="95">
        <f>SUM(S86:T86)</f>
        <v>143451.04997473981</v>
      </c>
      <c r="V86" s="95"/>
      <c r="W86" s="95">
        <f t="shared" si="90"/>
        <v>660341.47268084751</v>
      </c>
      <c r="X86" s="95">
        <f t="shared" si="90"/>
        <v>114202.67153896128</v>
      </c>
      <c r="Y86" s="95">
        <f>SUM(W86:X86)</f>
        <v>774544.14421980875</v>
      </c>
      <c r="Z86" s="96"/>
      <c r="AA86" s="96">
        <f>Y86-W86</f>
        <v>114202.67153896124</v>
      </c>
    </row>
    <row r="87" spans="1:77" s="97" customFormat="1" x14ac:dyDescent="0.25">
      <c r="A87" s="89" t="s">
        <v>27</v>
      </c>
      <c r="B87" s="89"/>
      <c r="C87" s="95">
        <f>(C37+C57+C85)*0.5</f>
        <v>29600.742200000001</v>
      </c>
      <c r="D87" s="95">
        <v>0</v>
      </c>
      <c r="E87" s="95">
        <f>SUM(C87:D87)</f>
        <v>29600.742200000001</v>
      </c>
      <c r="F87" s="95"/>
      <c r="G87" s="95">
        <f>(G37+G57+G85)*0.5</f>
        <v>39471.314424979995</v>
      </c>
      <c r="H87" s="95">
        <v>0</v>
      </c>
      <c r="I87" s="95">
        <f>SUM(G87:H87)</f>
        <v>39471.314424979995</v>
      </c>
      <c r="J87" s="95"/>
      <c r="K87" s="95">
        <f>(K37+K57+K85)*0.5</f>
        <v>40376.806909211286</v>
      </c>
      <c r="L87" s="95">
        <v>0</v>
      </c>
      <c r="M87" s="95">
        <f>SUM(K87:L87)</f>
        <v>40376.806909211286</v>
      </c>
      <c r="N87" s="95"/>
      <c r="O87" s="95">
        <f>(O37+O57+O85)*0.5</f>
        <v>41318.803368804751</v>
      </c>
      <c r="P87" s="95">
        <v>0</v>
      </c>
      <c r="Q87" s="95">
        <f>SUM(O87:P87)</f>
        <v>41318.803368804751</v>
      </c>
      <c r="R87" s="95"/>
      <c r="S87" s="95">
        <f>(S37+S57+S85)*0.5</f>
        <v>19403.069437427726</v>
      </c>
      <c r="T87" s="95">
        <v>0</v>
      </c>
      <c r="U87" s="95">
        <f>SUM(S87:T87)</f>
        <v>19403.069437427726</v>
      </c>
      <c r="V87" s="95"/>
      <c r="W87" s="95">
        <f>(W37+W57+W85)*0.5</f>
        <v>170170.73634042375</v>
      </c>
      <c r="X87" s="95">
        <v>0</v>
      </c>
      <c r="Y87" s="95">
        <f>SUM(W87:X87)</f>
        <v>170170.73634042375</v>
      </c>
      <c r="Z87" s="96"/>
      <c r="AA87" s="96"/>
    </row>
    <row r="88" spans="1:77" s="97" customFormat="1" x14ac:dyDescent="0.25">
      <c r="A88" s="89" t="s">
        <v>29</v>
      </c>
      <c r="B88" s="89"/>
      <c r="C88" s="95">
        <f>SUM(C86:C87)</f>
        <v>88802.226599999995</v>
      </c>
      <c r="D88" s="95">
        <f t="shared" ref="D88:X88" si="91">SUM(D86:D87)</f>
        <v>21112.92352</v>
      </c>
      <c r="E88" s="95">
        <f>SUM(C88:D88)</f>
        <v>109915.15011999999</v>
      </c>
      <c r="F88" s="95"/>
      <c r="G88" s="95">
        <f t="shared" si="91"/>
        <v>198413.94327493999</v>
      </c>
      <c r="H88" s="95">
        <f t="shared" si="91"/>
        <v>21939.271451968001</v>
      </c>
      <c r="I88" s="95">
        <f>SUM(G88:H88)</f>
        <v>220353.21472690799</v>
      </c>
      <c r="J88" s="95"/>
      <c r="K88" s="95">
        <f t="shared" si="91"/>
        <v>201130.42072763387</v>
      </c>
      <c r="L88" s="95">
        <f t="shared" si="91"/>
        <v>22802.161099680852</v>
      </c>
      <c r="M88" s="95">
        <f>SUM(K88:L88)</f>
        <v>223932.58182731472</v>
      </c>
      <c r="N88" s="95"/>
      <c r="O88" s="95">
        <f t="shared" si="91"/>
        <v>203956.41010641426</v>
      </c>
      <c r="P88" s="95">
        <f t="shared" si="91"/>
        <v>23703.404367428058</v>
      </c>
      <c r="Q88" s="95">
        <f>SUM(O88:P88)</f>
        <v>227659.81447384233</v>
      </c>
      <c r="R88" s="95"/>
      <c r="S88" s="95">
        <f t="shared" si="91"/>
        <v>138209.20831228318</v>
      </c>
      <c r="T88" s="95">
        <f t="shared" si="91"/>
        <v>24644.911099884364</v>
      </c>
      <c r="U88" s="95">
        <f>SUM(S88:T88)</f>
        <v>162854.11941216755</v>
      </c>
      <c r="V88" s="95"/>
      <c r="W88" s="95">
        <f t="shared" si="91"/>
        <v>830512.20902127121</v>
      </c>
      <c r="X88" s="95">
        <f t="shared" si="91"/>
        <v>114202.67153896128</v>
      </c>
      <c r="Y88" s="95">
        <f>SUM(W88:X88)</f>
        <v>944714.88056023244</v>
      </c>
      <c r="Z88" s="96"/>
      <c r="AA88" s="96"/>
    </row>
    <row r="89" spans="1:77" s="158" customFormat="1" x14ac:dyDescent="0.25">
      <c r="A89" s="91"/>
      <c r="B89" s="91"/>
      <c r="C89" s="156"/>
      <c r="D89" s="156"/>
      <c r="E89" s="105"/>
      <c r="F89" s="91"/>
      <c r="G89" s="156"/>
      <c r="H89" s="156"/>
      <c r="I89" s="105"/>
      <c r="J89" s="91"/>
      <c r="K89" s="156"/>
      <c r="L89" s="156"/>
      <c r="M89" s="105"/>
      <c r="N89" s="91"/>
      <c r="O89" s="156"/>
      <c r="P89" s="156"/>
      <c r="Q89" s="105"/>
      <c r="R89" s="91"/>
      <c r="S89" s="156"/>
      <c r="T89" s="156"/>
      <c r="U89" s="105"/>
      <c r="V89" s="157"/>
      <c r="W89" s="105"/>
      <c r="X89" s="105"/>
      <c r="Y89" s="156"/>
      <c r="Z89" s="105"/>
      <c r="AA89" s="105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s="61" customFormat="1" x14ac:dyDescent="0.25">
      <c r="A92" s="52"/>
      <c r="B92" s="52"/>
      <c r="C92" s="124">
        <v>0</v>
      </c>
      <c r="D92" s="56">
        <v>0</v>
      </c>
      <c r="E92" s="56">
        <f t="shared" ref="E92:E98" si="92">SUM(C92:D92)</f>
        <v>0</v>
      </c>
      <c r="F92" s="58"/>
      <c r="G92" s="55">
        <f>C92*1.05</f>
        <v>0</v>
      </c>
      <c r="H92" s="57">
        <f>D92*1.05</f>
        <v>0</v>
      </c>
      <c r="I92" s="57">
        <f t="shared" ref="I92:I98" si="93">SUM(G92:H92)</f>
        <v>0</v>
      </c>
      <c r="J92" s="58"/>
      <c r="K92" s="55">
        <f>G92*1.05</f>
        <v>0</v>
      </c>
      <c r="L92" s="57">
        <f>H92*1.05</f>
        <v>0</v>
      </c>
      <c r="M92" s="57">
        <f t="shared" ref="M92:M98" si="94">SUM(K92:L92)</f>
        <v>0</v>
      </c>
      <c r="N92" s="58"/>
      <c r="O92" s="55">
        <f>K92*1.05</f>
        <v>0</v>
      </c>
      <c r="P92" s="57">
        <f>L92*1.05</f>
        <v>0</v>
      </c>
      <c r="Q92" s="57">
        <f t="shared" ref="Q92:Q98" si="95">SUM(O92:P92)</f>
        <v>0</v>
      </c>
      <c r="R92" s="58"/>
      <c r="S92" s="55">
        <f>O92*1.05</f>
        <v>0</v>
      </c>
      <c r="T92" s="57">
        <f>P92*1.05</f>
        <v>0</v>
      </c>
      <c r="U92" s="57">
        <f t="shared" ref="U92:U98" si="96">SUM(S92:T92)</f>
        <v>0</v>
      </c>
      <c r="V92" s="59"/>
      <c r="W92" s="124">
        <f t="shared" ref="W92:Y99" si="97">C92+G92+K92+O92+S92</f>
        <v>0</v>
      </c>
      <c r="X92" s="57">
        <f t="shared" si="97"/>
        <v>0</v>
      </c>
      <c r="Y92" s="84">
        <f t="shared" si="97"/>
        <v>0</v>
      </c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</row>
    <row r="93" spans="1:77" s="61" customFormat="1" x14ac:dyDescent="0.25">
      <c r="A93" s="54"/>
      <c r="B93" s="61" t="s">
        <v>57</v>
      </c>
      <c r="C93" s="124">
        <f>0</f>
        <v>0</v>
      </c>
      <c r="D93" s="56">
        <v>0</v>
      </c>
      <c r="E93" s="56">
        <f t="shared" si="92"/>
        <v>0</v>
      </c>
      <c r="F93" s="58"/>
      <c r="G93" s="55">
        <f>C93*1.03</f>
        <v>0</v>
      </c>
      <c r="H93" s="57">
        <f>D93*1.03</f>
        <v>0</v>
      </c>
      <c r="I93" s="57">
        <f t="shared" si="93"/>
        <v>0</v>
      </c>
      <c r="J93" s="58"/>
      <c r="K93" s="55">
        <f>G93*1.03</f>
        <v>0</v>
      </c>
      <c r="L93" s="57">
        <f>H93*1.03</f>
        <v>0</v>
      </c>
      <c r="M93" s="57">
        <f t="shared" si="94"/>
        <v>0</v>
      </c>
      <c r="N93" s="58"/>
      <c r="O93" s="55">
        <f>K93*1.03</f>
        <v>0</v>
      </c>
      <c r="P93" s="57">
        <f>L93*1.03</f>
        <v>0</v>
      </c>
      <c r="Q93" s="57">
        <f t="shared" si="95"/>
        <v>0</v>
      </c>
      <c r="R93" s="58"/>
      <c r="S93" s="55">
        <f>O93*1.03</f>
        <v>0</v>
      </c>
      <c r="T93" s="57">
        <f>P93*1.03</f>
        <v>0</v>
      </c>
      <c r="U93" s="57">
        <f t="shared" si="96"/>
        <v>0</v>
      </c>
      <c r="V93" s="59"/>
      <c r="W93" s="124">
        <f t="shared" si="97"/>
        <v>0</v>
      </c>
      <c r="X93" s="57">
        <f t="shared" si="97"/>
        <v>0</v>
      </c>
      <c r="Y93" s="84">
        <f t="shared" si="97"/>
        <v>0</v>
      </c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</row>
    <row r="94" spans="1:77" s="61" customFormat="1" x14ac:dyDescent="0.25">
      <c r="B94" s="61" t="s">
        <v>216</v>
      </c>
      <c r="C94" s="124">
        <f>5000</f>
        <v>5000</v>
      </c>
      <c r="D94" s="56">
        <f>5000*0</f>
        <v>0</v>
      </c>
      <c r="E94" s="56">
        <f t="shared" ref="E94" si="98">SUM(C94:D94)</f>
        <v>5000</v>
      </c>
      <c r="F94" s="58"/>
      <c r="G94" s="293">
        <f>C94</f>
        <v>5000</v>
      </c>
      <c r="H94" s="294">
        <f t="shared" ref="H94" si="99">D94*1.03</f>
        <v>0</v>
      </c>
      <c r="I94" s="294">
        <f t="shared" si="93"/>
        <v>5000</v>
      </c>
      <c r="J94" s="295"/>
      <c r="K94" s="293">
        <f>G94</f>
        <v>5000</v>
      </c>
      <c r="L94" s="294">
        <f t="shared" ref="L94" si="100">H94*1.03</f>
        <v>0</v>
      </c>
      <c r="M94" s="294">
        <f t="shared" si="94"/>
        <v>5000</v>
      </c>
      <c r="N94" s="295"/>
      <c r="O94" s="293">
        <f>K94</f>
        <v>5000</v>
      </c>
      <c r="P94" s="57">
        <f>L94*1.03</f>
        <v>0</v>
      </c>
      <c r="Q94" s="57">
        <f t="shared" si="95"/>
        <v>5000</v>
      </c>
      <c r="R94" s="58"/>
      <c r="S94" s="55">
        <f>O94*1.03*0</f>
        <v>0</v>
      </c>
      <c r="T94" s="57">
        <f>P94*1.03</f>
        <v>0</v>
      </c>
      <c r="U94" s="57">
        <f t="shared" si="96"/>
        <v>0</v>
      </c>
      <c r="V94" s="59"/>
      <c r="W94" s="124">
        <f t="shared" si="97"/>
        <v>20000</v>
      </c>
      <c r="X94" s="57">
        <f t="shared" si="97"/>
        <v>0</v>
      </c>
      <c r="Y94" s="202">
        <f t="shared" si="97"/>
        <v>20000</v>
      </c>
    </row>
    <row r="95" spans="1:77" s="61" customFormat="1" x14ac:dyDescent="0.25">
      <c r="A95" s="52"/>
      <c r="B95" s="52"/>
      <c r="C95" s="124">
        <v>0</v>
      </c>
      <c r="D95" s="56">
        <v>0</v>
      </c>
      <c r="E95" s="56">
        <f t="shared" si="92"/>
        <v>0</v>
      </c>
      <c r="F95" s="58"/>
      <c r="G95" s="293">
        <f t="shared" ref="G95:H95" si="101">C95*1.05</f>
        <v>0</v>
      </c>
      <c r="H95" s="294">
        <f t="shared" si="101"/>
        <v>0</v>
      </c>
      <c r="I95" s="294">
        <f t="shared" si="93"/>
        <v>0</v>
      </c>
      <c r="J95" s="295"/>
      <c r="K95" s="293">
        <f t="shared" ref="K95:L95" si="102">G95*1.05</f>
        <v>0</v>
      </c>
      <c r="L95" s="294">
        <f t="shared" si="102"/>
        <v>0</v>
      </c>
      <c r="M95" s="294">
        <f t="shared" si="94"/>
        <v>0</v>
      </c>
      <c r="N95" s="295"/>
      <c r="O95" s="293">
        <f t="shared" ref="O95" si="103">K95*1.05</f>
        <v>0</v>
      </c>
      <c r="P95" s="57">
        <f t="shared" ref="O95:P98" si="104">L95*1.05</f>
        <v>0</v>
      </c>
      <c r="Q95" s="57">
        <f t="shared" si="95"/>
        <v>0</v>
      </c>
      <c r="R95" s="58"/>
      <c r="S95" s="55">
        <f t="shared" ref="S95:T98" si="105">O95*1.05</f>
        <v>0</v>
      </c>
      <c r="T95" s="57">
        <f t="shared" si="105"/>
        <v>0</v>
      </c>
      <c r="U95" s="57">
        <f t="shared" si="96"/>
        <v>0</v>
      </c>
      <c r="V95" s="59"/>
      <c r="W95" s="124">
        <f t="shared" si="97"/>
        <v>0</v>
      </c>
      <c r="X95" s="57">
        <f t="shared" si="97"/>
        <v>0</v>
      </c>
      <c r="Y95" s="84">
        <f t="shared" si="97"/>
        <v>0</v>
      </c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</row>
    <row r="96" spans="1:77" s="61" customFormat="1" x14ac:dyDescent="0.25">
      <c r="A96" s="52"/>
      <c r="B96" s="54" t="s">
        <v>167</v>
      </c>
      <c r="C96" s="124">
        <f>3000*2</f>
        <v>6000</v>
      </c>
      <c r="D96" s="56">
        <v>0</v>
      </c>
      <c r="E96" s="56">
        <f t="shared" si="92"/>
        <v>6000</v>
      </c>
      <c r="F96" s="58"/>
      <c r="G96" s="293">
        <f>3000*2</f>
        <v>6000</v>
      </c>
      <c r="H96" s="294">
        <v>0</v>
      </c>
      <c r="I96" s="294">
        <f t="shared" si="93"/>
        <v>6000</v>
      </c>
      <c r="J96" s="295"/>
      <c r="K96" s="293">
        <f>G96</f>
        <v>6000</v>
      </c>
      <c r="L96" s="294">
        <v>0</v>
      </c>
      <c r="M96" s="294">
        <f t="shared" si="94"/>
        <v>6000</v>
      </c>
      <c r="N96" s="295"/>
      <c r="O96" s="293">
        <f>3000*2</f>
        <v>6000</v>
      </c>
      <c r="P96" s="57">
        <v>0</v>
      </c>
      <c r="Q96" s="57">
        <f t="shared" ref="Q96" si="106">SUM(O96:P96)</f>
        <v>6000</v>
      </c>
      <c r="R96" s="58"/>
      <c r="S96" s="55">
        <v>0</v>
      </c>
      <c r="T96" s="57">
        <v>0</v>
      </c>
      <c r="U96" s="57">
        <f t="shared" ref="U96" si="107">SUM(S96:T96)</f>
        <v>0</v>
      </c>
      <c r="V96" s="59"/>
      <c r="W96" s="124">
        <f t="shared" si="97"/>
        <v>24000</v>
      </c>
      <c r="X96" s="56">
        <f t="shared" si="97"/>
        <v>0</v>
      </c>
      <c r="Y96" s="85">
        <f t="shared" si="97"/>
        <v>24000</v>
      </c>
      <c r="Z96" s="160"/>
      <c r="AA96" s="160"/>
      <c r="AB96" s="160"/>
      <c r="AC96" s="160"/>
    </row>
    <row r="97" spans="1:77" s="61" customFormat="1" x14ac:dyDescent="0.25">
      <c r="A97" s="52"/>
      <c r="B97" s="52"/>
      <c r="C97" s="124">
        <v>0</v>
      </c>
      <c r="D97" s="56">
        <v>0</v>
      </c>
      <c r="E97" s="56">
        <f t="shared" si="92"/>
        <v>0</v>
      </c>
      <c r="F97" s="58"/>
      <c r="G97" s="55">
        <f t="shared" ref="G97:H98" si="108">C97*1.05</f>
        <v>0</v>
      </c>
      <c r="H97" s="57">
        <f t="shared" si="108"/>
        <v>0</v>
      </c>
      <c r="I97" s="57">
        <f t="shared" si="93"/>
        <v>0</v>
      </c>
      <c r="J97" s="58"/>
      <c r="K97" s="55">
        <f t="shared" ref="K97:L98" si="109">G97*1.05</f>
        <v>0</v>
      </c>
      <c r="L97" s="57">
        <f t="shared" si="109"/>
        <v>0</v>
      </c>
      <c r="M97" s="57">
        <f t="shared" si="94"/>
        <v>0</v>
      </c>
      <c r="N97" s="58"/>
      <c r="O97" s="55">
        <f t="shared" si="104"/>
        <v>0</v>
      </c>
      <c r="P97" s="57">
        <f t="shared" si="104"/>
        <v>0</v>
      </c>
      <c r="Q97" s="57">
        <f t="shared" si="95"/>
        <v>0</v>
      </c>
      <c r="R97" s="58"/>
      <c r="S97" s="55">
        <f t="shared" si="105"/>
        <v>0</v>
      </c>
      <c r="T97" s="57">
        <f t="shared" si="105"/>
        <v>0</v>
      </c>
      <c r="U97" s="57">
        <f t="shared" si="96"/>
        <v>0</v>
      </c>
      <c r="V97" s="59"/>
      <c r="W97" s="124">
        <f t="shared" si="97"/>
        <v>0</v>
      </c>
      <c r="X97" s="57">
        <f t="shared" si="97"/>
        <v>0</v>
      </c>
      <c r="Y97" s="84">
        <f t="shared" si="97"/>
        <v>0</v>
      </c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</row>
    <row r="98" spans="1:77" s="61" customFormat="1" x14ac:dyDescent="0.25">
      <c r="A98" s="52"/>
      <c r="B98" s="52"/>
      <c r="C98" s="124">
        <v>0</v>
      </c>
      <c r="D98" s="56">
        <v>0</v>
      </c>
      <c r="E98" s="56">
        <f t="shared" si="92"/>
        <v>0</v>
      </c>
      <c r="F98" s="58"/>
      <c r="G98" s="55">
        <f t="shared" si="108"/>
        <v>0</v>
      </c>
      <c r="H98" s="57">
        <f t="shared" si="108"/>
        <v>0</v>
      </c>
      <c r="I98" s="57">
        <f t="shared" si="93"/>
        <v>0</v>
      </c>
      <c r="J98" s="58"/>
      <c r="K98" s="55">
        <f t="shared" si="109"/>
        <v>0</v>
      </c>
      <c r="L98" s="57">
        <f t="shared" si="109"/>
        <v>0</v>
      </c>
      <c r="M98" s="57">
        <f t="shared" si="94"/>
        <v>0</v>
      </c>
      <c r="N98" s="58"/>
      <c r="O98" s="55">
        <f t="shared" si="104"/>
        <v>0</v>
      </c>
      <c r="P98" s="57">
        <f t="shared" si="104"/>
        <v>0</v>
      </c>
      <c r="Q98" s="57">
        <f t="shared" si="95"/>
        <v>0</v>
      </c>
      <c r="R98" s="58"/>
      <c r="S98" s="55">
        <f t="shared" si="105"/>
        <v>0</v>
      </c>
      <c r="T98" s="57">
        <f t="shared" si="105"/>
        <v>0</v>
      </c>
      <c r="U98" s="57">
        <f t="shared" si="96"/>
        <v>0</v>
      </c>
      <c r="V98" s="59"/>
      <c r="W98" s="124">
        <f t="shared" si="97"/>
        <v>0</v>
      </c>
      <c r="X98" s="57">
        <f t="shared" si="97"/>
        <v>0</v>
      </c>
      <c r="Y98" s="84">
        <f t="shared" si="97"/>
        <v>0</v>
      </c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</row>
    <row r="99" spans="1:77" s="83" customFormat="1" x14ac:dyDescent="0.25">
      <c r="A99" s="78"/>
      <c r="B99" s="78" t="s">
        <v>9</v>
      </c>
      <c r="C99" s="228">
        <f>SUM(C92:C98)</f>
        <v>11000</v>
      </c>
      <c r="D99" s="125">
        <f>SUM(D92:D98)</f>
        <v>0</v>
      </c>
      <c r="E99" s="125">
        <f>SUM(E92:E98)</f>
        <v>11000</v>
      </c>
      <c r="F99" s="81"/>
      <c r="G99" s="79">
        <f>SUM(G92:G98)</f>
        <v>11000</v>
      </c>
      <c r="H99" s="80">
        <f>SUM(H92:H98)</f>
        <v>0</v>
      </c>
      <c r="I99" s="80">
        <f>SUM(I92:I98)</f>
        <v>11000</v>
      </c>
      <c r="J99" s="81"/>
      <c r="K99" s="79">
        <f>SUM(K92:K98)</f>
        <v>11000</v>
      </c>
      <c r="L99" s="80">
        <f>SUM(L92:L98)</f>
        <v>0</v>
      </c>
      <c r="M99" s="80">
        <f>SUM(M92:M98)</f>
        <v>11000</v>
      </c>
      <c r="N99" s="81"/>
      <c r="O99" s="79">
        <f>SUM(O92:O98)</f>
        <v>11000</v>
      </c>
      <c r="P99" s="80">
        <f>SUM(P92:P98)</f>
        <v>0</v>
      </c>
      <c r="Q99" s="80">
        <f>SUM(Q92:Q98)</f>
        <v>11000</v>
      </c>
      <c r="R99" s="81"/>
      <c r="S99" s="79">
        <f>SUM(S92:S98)</f>
        <v>0</v>
      </c>
      <c r="T99" s="80">
        <f>SUM(T92:T98)</f>
        <v>0</v>
      </c>
      <c r="U99" s="80">
        <f>SUM(U92:U98)</f>
        <v>0</v>
      </c>
      <c r="V99" s="82"/>
      <c r="W99" s="228">
        <f t="shared" si="97"/>
        <v>44000</v>
      </c>
      <c r="X99" s="80">
        <f t="shared" si="97"/>
        <v>0</v>
      </c>
      <c r="Y99" s="80">
        <f t="shared" si="97"/>
        <v>44000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s="61" customFormat="1" x14ac:dyDescent="0.25">
      <c r="A101" s="52"/>
      <c r="B101" s="61" t="s">
        <v>57</v>
      </c>
      <c r="C101" s="124">
        <v>0</v>
      </c>
      <c r="D101" s="56">
        <v>0</v>
      </c>
      <c r="E101" s="56">
        <f t="shared" ref="E101:E111" si="110">SUM(C101:D101)</f>
        <v>0</v>
      </c>
      <c r="F101" s="58"/>
      <c r="G101" s="55">
        <f t="shared" ref="G101:G111" si="111">C101*1.03</f>
        <v>0</v>
      </c>
      <c r="H101" s="57">
        <f t="shared" ref="H101:H111" si="112">D101*1.03</f>
        <v>0</v>
      </c>
      <c r="I101" s="57">
        <f t="shared" ref="I101:I111" si="113">SUM(G101:H101)</f>
        <v>0</v>
      </c>
      <c r="J101" s="58"/>
      <c r="K101" s="55">
        <f t="shared" ref="K101:K111" si="114">G101*1.03</f>
        <v>0</v>
      </c>
      <c r="L101" s="57">
        <f t="shared" ref="L101:L111" si="115">H101*1.03</f>
        <v>0</v>
      </c>
      <c r="M101" s="57">
        <f t="shared" ref="M101:M111" si="116">SUM(K101:L101)</f>
        <v>0</v>
      </c>
      <c r="N101" s="58"/>
      <c r="O101" s="55">
        <f t="shared" ref="O101:O111" si="117">K101*1.03</f>
        <v>0</v>
      </c>
      <c r="P101" s="57">
        <f t="shared" ref="P101:P111" si="118">L101*1.03</f>
        <v>0</v>
      </c>
      <c r="Q101" s="57">
        <f t="shared" ref="Q101:Q111" si="119">SUM(O101:P101)</f>
        <v>0</v>
      </c>
      <c r="R101" s="58"/>
      <c r="S101" s="55">
        <f t="shared" ref="S101:S111" si="120">O101*1.03</f>
        <v>0</v>
      </c>
      <c r="T101" s="57">
        <f t="shared" ref="T101:T111" si="121">P101*1.03</f>
        <v>0</v>
      </c>
      <c r="U101" s="57">
        <f t="shared" ref="U101:U111" si="122">SUM(S101:T101)</f>
        <v>0</v>
      </c>
      <c r="V101" s="59"/>
      <c r="W101" s="124">
        <f t="shared" ref="W101:W112" si="123">C101+G101+K101+O101+S101</f>
        <v>0</v>
      </c>
      <c r="X101" s="57">
        <f t="shared" ref="X101:X112" si="124">D101+H101+L101+P101+T101</f>
        <v>0</v>
      </c>
      <c r="Y101" s="84">
        <f t="shared" ref="Y101:Y112" si="125">E101+I101+M101+Q101+U101</f>
        <v>0</v>
      </c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</row>
    <row r="102" spans="1:77" s="61" customFormat="1" x14ac:dyDescent="0.25">
      <c r="A102" s="87"/>
      <c r="B102" s="52"/>
      <c r="C102" s="124">
        <v>0</v>
      </c>
      <c r="D102" s="56">
        <v>0</v>
      </c>
      <c r="E102" s="56">
        <f t="shared" si="110"/>
        <v>0</v>
      </c>
      <c r="F102" s="58"/>
      <c r="G102" s="55">
        <f t="shared" si="111"/>
        <v>0</v>
      </c>
      <c r="H102" s="57">
        <f t="shared" si="112"/>
        <v>0</v>
      </c>
      <c r="I102" s="57">
        <f t="shared" si="113"/>
        <v>0</v>
      </c>
      <c r="J102" s="58"/>
      <c r="K102" s="55">
        <f t="shared" si="114"/>
        <v>0</v>
      </c>
      <c r="L102" s="57">
        <f t="shared" si="115"/>
        <v>0</v>
      </c>
      <c r="M102" s="57">
        <f t="shared" si="116"/>
        <v>0</v>
      </c>
      <c r="N102" s="58"/>
      <c r="O102" s="55">
        <f t="shared" si="117"/>
        <v>0</v>
      </c>
      <c r="P102" s="57">
        <f t="shared" si="118"/>
        <v>0</v>
      </c>
      <c r="Q102" s="57">
        <f t="shared" si="119"/>
        <v>0</v>
      </c>
      <c r="R102" s="58"/>
      <c r="S102" s="55">
        <f t="shared" si="120"/>
        <v>0</v>
      </c>
      <c r="T102" s="57">
        <f t="shared" si="121"/>
        <v>0</v>
      </c>
      <c r="U102" s="57">
        <f t="shared" si="122"/>
        <v>0</v>
      </c>
      <c r="V102" s="59"/>
      <c r="W102" s="124">
        <f t="shared" si="123"/>
        <v>0</v>
      </c>
      <c r="X102" s="57">
        <f t="shared" si="124"/>
        <v>0</v>
      </c>
      <c r="Y102" s="84">
        <f t="shared" si="125"/>
        <v>0</v>
      </c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</row>
    <row r="103" spans="1:77" s="61" customFormat="1" x14ac:dyDescent="0.25">
      <c r="A103" s="52"/>
      <c r="B103" s="54"/>
      <c r="C103" s="124">
        <v>0</v>
      </c>
      <c r="D103" s="56">
        <v>0</v>
      </c>
      <c r="E103" s="56">
        <f t="shared" si="110"/>
        <v>0</v>
      </c>
      <c r="F103" s="58"/>
      <c r="G103" s="55">
        <f t="shared" si="111"/>
        <v>0</v>
      </c>
      <c r="H103" s="57">
        <f t="shared" si="112"/>
        <v>0</v>
      </c>
      <c r="I103" s="57">
        <f t="shared" si="113"/>
        <v>0</v>
      </c>
      <c r="J103" s="58"/>
      <c r="K103" s="55">
        <f t="shared" si="114"/>
        <v>0</v>
      </c>
      <c r="L103" s="57">
        <f t="shared" si="115"/>
        <v>0</v>
      </c>
      <c r="M103" s="57">
        <f t="shared" si="116"/>
        <v>0</v>
      </c>
      <c r="N103" s="58"/>
      <c r="O103" s="55">
        <f t="shared" si="117"/>
        <v>0</v>
      </c>
      <c r="P103" s="57">
        <f t="shared" si="118"/>
        <v>0</v>
      </c>
      <c r="Q103" s="57">
        <f t="shared" si="119"/>
        <v>0</v>
      </c>
      <c r="R103" s="58"/>
      <c r="S103" s="55">
        <f t="shared" si="120"/>
        <v>0</v>
      </c>
      <c r="T103" s="57">
        <f t="shared" si="121"/>
        <v>0</v>
      </c>
      <c r="U103" s="57">
        <f t="shared" si="122"/>
        <v>0</v>
      </c>
      <c r="V103" s="59"/>
      <c r="W103" s="124">
        <f t="shared" si="123"/>
        <v>0</v>
      </c>
      <c r="X103" s="57">
        <f t="shared" si="124"/>
        <v>0</v>
      </c>
      <c r="Y103" s="84">
        <f t="shared" si="125"/>
        <v>0</v>
      </c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</row>
    <row r="104" spans="1:77" s="61" customFormat="1" x14ac:dyDescent="0.25">
      <c r="A104" s="52"/>
      <c r="B104" s="52"/>
      <c r="C104" s="124">
        <v>0</v>
      </c>
      <c r="D104" s="56">
        <v>0</v>
      </c>
      <c r="E104" s="56">
        <f t="shared" si="110"/>
        <v>0</v>
      </c>
      <c r="F104" s="58"/>
      <c r="G104" s="55">
        <f t="shared" si="111"/>
        <v>0</v>
      </c>
      <c r="H104" s="57">
        <f t="shared" si="112"/>
        <v>0</v>
      </c>
      <c r="I104" s="57">
        <f t="shared" si="113"/>
        <v>0</v>
      </c>
      <c r="J104" s="58"/>
      <c r="K104" s="55">
        <f t="shared" si="114"/>
        <v>0</v>
      </c>
      <c r="L104" s="57">
        <f t="shared" si="115"/>
        <v>0</v>
      </c>
      <c r="M104" s="57">
        <f t="shared" si="116"/>
        <v>0</v>
      </c>
      <c r="N104" s="58"/>
      <c r="O104" s="55">
        <f t="shared" si="117"/>
        <v>0</v>
      </c>
      <c r="P104" s="57">
        <f t="shared" si="118"/>
        <v>0</v>
      </c>
      <c r="Q104" s="57">
        <f t="shared" si="119"/>
        <v>0</v>
      </c>
      <c r="R104" s="58"/>
      <c r="S104" s="55">
        <f t="shared" si="120"/>
        <v>0</v>
      </c>
      <c r="T104" s="57">
        <f t="shared" si="121"/>
        <v>0</v>
      </c>
      <c r="U104" s="57">
        <f t="shared" si="122"/>
        <v>0</v>
      </c>
      <c r="V104" s="59"/>
      <c r="W104" s="124">
        <f t="shared" si="123"/>
        <v>0</v>
      </c>
      <c r="X104" s="57">
        <f t="shared" si="124"/>
        <v>0</v>
      </c>
      <c r="Y104" s="84">
        <f t="shared" si="125"/>
        <v>0</v>
      </c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s="61" customFormat="1" x14ac:dyDescent="0.25">
      <c r="A105" s="87"/>
      <c r="B105" s="52"/>
      <c r="C105" s="124">
        <v>0</v>
      </c>
      <c r="D105" s="56">
        <v>0</v>
      </c>
      <c r="E105" s="56">
        <f t="shared" si="110"/>
        <v>0</v>
      </c>
      <c r="F105" s="58"/>
      <c r="G105" s="55">
        <f t="shared" si="111"/>
        <v>0</v>
      </c>
      <c r="H105" s="57">
        <f t="shared" si="112"/>
        <v>0</v>
      </c>
      <c r="I105" s="57">
        <f t="shared" si="113"/>
        <v>0</v>
      </c>
      <c r="J105" s="58"/>
      <c r="K105" s="55">
        <f t="shared" si="114"/>
        <v>0</v>
      </c>
      <c r="L105" s="57">
        <f t="shared" si="115"/>
        <v>0</v>
      </c>
      <c r="M105" s="57">
        <f t="shared" si="116"/>
        <v>0</v>
      </c>
      <c r="N105" s="58"/>
      <c r="O105" s="55">
        <f t="shared" si="117"/>
        <v>0</v>
      </c>
      <c r="P105" s="57">
        <f t="shared" si="118"/>
        <v>0</v>
      </c>
      <c r="Q105" s="57">
        <f t="shared" si="119"/>
        <v>0</v>
      </c>
      <c r="R105" s="58"/>
      <c r="S105" s="55">
        <f t="shared" si="120"/>
        <v>0</v>
      </c>
      <c r="T105" s="57">
        <f t="shared" si="121"/>
        <v>0</v>
      </c>
      <c r="U105" s="57">
        <f t="shared" si="122"/>
        <v>0</v>
      </c>
      <c r="V105" s="59"/>
      <c r="W105" s="124">
        <f t="shared" si="123"/>
        <v>0</v>
      </c>
      <c r="X105" s="57">
        <f t="shared" si="124"/>
        <v>0</v>
      </c>
      <c r="Y105" s="84">
        <f t="shared" si="125"/>
        <v>0</v>
      </c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s="61" customFormat="1" x14ac:dyDescent="0.25">
      <c r="A106" s="87"/>
      <c r="B106" s="52"/>
      <c r="C106" s="124">
        <v>0</v>
      </c>
      <c r="D106" s="56">
        <v>0</v>
      </c>
      <c r="E106" s="56">
        <f t="shared" si="110"/>
        <v>0</v>
      </c>
      <c r="F106" s="58"/>
      <c r="G106" s="55">
        <f t="shared" si="111"/>
        <v>0</v>
      </c>
      <c r="H106" s="57">
        <f t="shared" si="112"/>
        <v>0</v>
      </c>
      <c r="I106" s="57">
        <f t="shared" si="113"/>
        <v>0</v>
      </c>
      <c r="J106" s="58"/>
      <c r="K106" s="55">
        <f t="shared" si="114"/>
        <v>0</v>
      </c>
      <c r="L106" s="57">
        <f t="shared" si="115"/>
        <v>0</v>
      </c>
      <c r="M106" s="57">
        <f t="shared" si="116"/>
        <v>0</v>
      </c>
      <c r="N106" s="58"/>
      <c r="O106" s="55">
        <f t="shared" si="117"/>
        <v>0</v>
      </c>
      <c r="P106" s="57">
        <f t="shared" si="118"/>
        <v>0</v>
      </c>
      <c r="Q106" s="57">
        <f t="shared" si="119"/>
        <v>0</v>
      </c>
      <c r="R106" s="58"/>
      <c r="S106" s="55">
        <f t="shared" si="120"/>
        <v>0</v>
      </c>
      <c r="T106" s="57">
        <f t="shared" si="121"/>
        <v>0</v>
      </c>
      <c r="U106" s="57">
        <f t="shared" si="122"/>
        <v>0</v>
      </c>
      <c r="V106" s="59"/>
      <c r="W106" s="124">
        <f t="shared" si="123"/>
        <v>0</v>
      </c>
      <c r="X106" s="57">
        <f t="shared" si="124"/>
        <v>0</v>
      </c>
      <c r="Y106" s="84">
        <f t="shared" si="125"/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2"/>
      <c r="C107" s="124">
        <v>0</v>
      </c>
      <c r="D107" s="56">
        <v>0</v>
      </c>
      <c r="E107" s="56">
        <f t="shared" si="110"/>
        <v>0</v>
      </c>
      <c r="F107" s="58"/>
      <c r="G107" s="55">
        <f t="shared" si="111"/>
        <v>0</v>
      </c>
      <c r="H107" s="57">
        <f t="shared" si="112"/>
        <v>0</v>
      </c>
      <c r="I107" s="57">
        <f t="shared" si="113"/>
        <v>0</v>
      </c>
      <c r="J107" s="58"/>
      <c r="K107" s="55">
        <f t="shared" si="114"/>
        <v>0</v>
      </c>
      <c r="L107" s="57">
        <f t="shared" si="115"/>
        <v>0</v>
      </c>
      <c r="M107" s="57">
        <f t="shared" si="116"/>
        <v>0</v>
      </c>
      <c r="N107" s="58"/>
      <c r="O107" s="55">
        <f t="shared" si="117"/>
        <v>0</v>
      </c>
      <c r="P107" s="57">
        <f t="shared" si="118"/>
        <v>0</v>
      </c>
      <c r="Q107" s="57">
        <f t="shared" si="119"/>
        <v>0</v>
      </c>
      <c r="R107" s="58"/>
      <c r="S107" s="55">
        <f t="shared" si="120"/>
        <v>0</v>
      </c>
      <c r="T107" s="57">
        <f t="shared" si="121"/>
        <v>0</v>
      </c>
      <c r="U107" s="57">
        <f t="shared" si="122"/>
        <v>0</v>
      </c>
      <c r="V107" s="59"/>
      <c r="W107" s="124">
        <f t="shared" si="123"/>
        <v>0</v>
      </c>
      <c r="X107" s="57">
        <f t="shared" si="124"/>
        <v>0</v>
      </c>
      <c r="Y107" s="84">
        <f t="shared" si="125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52"/>
      <c r="B108" s="54"/>
      <c r="C108" s="124">
        <v>0</v>
      </c>
      <c r="D108" s="56">
        <v>0</v>
      </c>
      <c r="E108" s="56">
        <f t="shared" si="110"/>
        <v>0</v>
      </c>
      <c r="F108" s="58"/>
      <c r="G108" s="55">
        <f t="shared" si="111"/>
        <v>0</v>
      </c>
      <c r="H108" s="57">
        <f t="shared" si="112"/>
        <v>0</v>
      </c>
      <c r="I108" s="57">
        <f t="shared" si="113"/>
        <v>0</v>
      </c>
      <c r="J108" s="58"/>
      <c r="K108" s="55">
        <f t="shared" si="114"/>
        <v>0</v>
      </c>
      <c r="L108" s="57">
        <f t="shared" si="115"/>
        <v>0</v>
      </c>
      <c r="M108" s="57">
        <f t="shared" si="116"/>
        <v>0</v>
      </c>
      <c r="N108" s="58"/>
      <c r="O108" s="55">
        <f t="shared" si="117"/>
        <v>0</v>
      </c>
      <c r="P108" s="57">
        <f t="shared" si="118"/>
        <v>0</v>
      </c>
      <c r="Q108" s="57">
        <f t="shared" si="119"/>
        <v>0</v>
      </c>
      <c r="R108" s="58"/>
      <c r="S108" s="55">
        <f t="shared" si="120"/>
        <v>0</v>
      </c>
      <c r="T108" s="57">
        <f t="shared" si="121"/>
        <v>0</v>
      </c>
      <c r="U108" s="57">
        <f t="shared" si="122"/>
        <v>0</v>
      </c>
      <c r="V108" s="59"/>
      <c r="W108" s="124">
        <f t="shared" si="123"/>
        <v>0</v>
      </c>
      <c r="X108" s="57">
        <f t="shared" si="124"/>
        <v>0</v>
      </c>
      <c r="Y108" s="84">
        <f t="shared" si="125"/>
        <v>0</v>
      </c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110"/>
        <v>0</v>
      </c>
      <c r="F109" s="74"/>
      <c r="G109" s="55">
        <f t="shared" si="111"/>
        <v>0</v>
      </c>
      <c r="H109" s="57">
        <f t="shared" si="112"/>
        <v>0</v>
      </c>
      <c r="I109" s="57">
        <f t="shared" si="113"/>
        <v>0</v>
      </c>
      <c r="J109" s="74"/>
      <c r="K109" s="55">
        <f t="shared" si="114"/>
        <v>0</v>
      </c>
      <c r="L109" s="57">
        <f t="shared" si="115"/>
        <v>0</v>
      </c>
      <c r="M109" s="57">
        <f t="shared" si="116"/>
        <v>0</v>
      </c>
      <c r="N109" s="74"/>
      <c r="O109" s="55">
        <f t="shared" si="117"/>
        <v>0</v>
      </c>
      <c r="P109" s="57">
        <f t="shared" si="118"/>
        <v>0</v>
      </c>
      <c r="Q109" s="57">
        <f t="shared" si="119"/>
        <v>0</v>
      </c>
      <c r="R109" s="74"/>
      <c r="S109" s="55">
        <f t="shared" si="120"/>
        <v>0</v>
      </c>
      <c r="T109" s="57">
        <f t="shared" si="121"/>
        <v>0</v>
      </c>
      <c r="U109" s="57">
        <f t="shared" si="122"/>
        <v>0</v>
      </c>
      <c r="V109" s="59"/>
      <c r="W109" s="124">
        <f t="shared" si="123"/>
        <v>0</v>
      </c>
      <c r="X109" s="57">
        <f t="shared" si="124"/>
        <v>0</v>
      </c>
      <c r="Y109" s="84">
        <f t="shared" si="125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110"/>
        <v>0</v>
      </c>
      <c r="F110" s="74"/>
      <c r="G110" s="55">
        <f t="shared" si="111"/>
        <v>0</v>
      </c>
      <c r="H110" s="57">
        <f t="shared" si="112"/>
        <v>0</v>
      </c>
      <c r="I110" s="57">
        <f t="shared" si="113"/>
        <v>0</v>
      </c>
      <c r="J110" s="74"/>
      <c r="K110" s="55">
        <f t="shared" si="114"/>
        <v>0</v>
      </c>
      <c r="L110" s="57">
        <f t="shared" si="115"/>
        <v>0</v>
      </c>
      <c r="M110" s="57">
        <f t="shared" si="116"/>
        <v>0</v>
      </c>
      <c r="N110" s="74"/>
      <c r="O110" s="55">
        <f t="shared" si="117"/>
        <v>0</v>
      </c>
      <c r="P110" s="57">
        <f t="shared" si="118"/>
        <v>0</v>
      </c>
      <c r="Q110" s="57">
        <f t="shared" si="119"/>
        <v>0</v>
      </c>
      <c r="R110" s="74"/>
      <c r="S110" s="55">
        <f t="shared" si="120"/>
        <v>0</v>
      </c>
      <c r="T110" s="57">
        <f t="shared" si="121"/>
        <v>0</v>
      </c>
      <c r="U110" s="57">
        <f t="shared" si="122"/>
        <v>0</v>
      </c>
      <c r="V110" s="59"/>
      <c r="W110" s="124">
        <f t="shared" si="123"/>
        <v>0</v>
      </c>
      <c r="X110" s="57">
        <f t="shared" si="124"/>
        <v>0</v>
      </c>
      <c r="Y110" s="84">
        <f t="shared" si="125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110"/>
        <v>0</v>
      </c>
      <c r="F111" s="74"/>
      <c r="G111" s="55">
        <f t="shared" si="111"/>
        <v>0</v>
      </c>
      <c r="H111" s="57">
        <f t="shared" si="112"/>
        <v>0</v>
      </c>
      <c r="I111" s="57">
        <f t="shared" si="113"/>
        <v>0</v>
      </c>
      <c r="J111" s="74"/>
      <c r="K111" s="55">
        <f t="shared" si="114"/>
        <v>0</v>
      </c>
      <c r="L111" s="57">
        <f t="shared" si="115"/>
        <v>0</v>
      </c>
      <c r="M111" s="57">
        <f t="shared" si="116"/>
        <v>0</v>
      </c>
      <c r="N111" s="74"/>
      <c r="O111" s="55">
        <f t="shared" si="117"/>
        <v>0</v>
      </c>
      <c r="P111" s="57">
        <f t="shared" si="118"/>
        <v>0</v>
      </c>
      <c r="Q111" s="57">
        <f t="shared" si="119"/>
        <v>0</v>
      </c>
      <c r="R111" s="74"/>
      <c r="S111" s="55">
        <f t="shared" si="120"/>
        <v>0</v>
      </c>
      <c r="T111" s="57">
        <f t="shared" si="121"/>
        <v>0</v>
      </c>
      <c r="U111" s="57">
        <f t="shared" si="122"/>
        <v>0</v>
      </c>
      <c r="V111" s="59"/>
      <c r="W111" s="124">
        <f t="shared" si="123"/>
        <v>0</v>
      </c>
      <c r="X111" s="57">
        <f t="shared" si="124"/>
        <v>0</v>
      </c>
      <c r="Y111" s="84">
        <f t="shared" si="125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0</v>
      </c>
      <c r="D112" s="125">
        <f>SUM(D101:D111)</f>
        <v>0</v>
      </c>
      <c r="E112" s="125">
        <f>SUM(E101:E111)</f>
        <v>0</v>
      </c>
      <c r="F112" s="81"/>
      <c r="G112" s="79">
        <f>SUM(G101:G111)</f>
        <v>0</v>
      </c>
      <c r="H112" s="80">
        <f>SUM(H101:H111)</f>
        <v>0</v>
      </c>
      <c r="I112" s="80">
        <f>SUM(I101:I111)</f>
        <v>0</v>
      </c>
      <c r="J112" s="81"/>
      <c r="K112" s="79">
        <f>SUM(K101:K111)</f>
        <v>0</v>
      </c>
      <c r="L112" s="80">
        <f>SUM(L101:L111)</f>
        <v>0</v>
      </c>
      <c r="M112" s="80">
        <f>SUM(M101:M111)</f>
        <v>0</v>
      </c>
      <c r="N112" s="81"/>
      <c r="O112" s="79">
        <f>SUM(O101:O111)</f>
        <v>0</v>
      </c>
      <c r="P112" s="80">
        <f>SUM(P101:P111)</f>
        <v>0</v>
      </c>
      <c r="Q112" s="80">
        <f>SUM(Q101:Q111)</f>
        <v>0</v>
      </c>
      <c r="R112" s="81"/>
      <c r="S112" s="79">
        <f>SUM(S101:S111)</f>
        <v>0</v>
      </c>
      <c r="T112" s="80">
        <f>SUM(T101:T111)</f>
        <v>0</v>
      </c>
      <c r="U112" s="80">
        <f>SUM(U101:U111)</f>
        <v>0</v>
      </c>
      <c r="V112" s="82"/>
      <c r="W112" s="228">
        <f t="shared" si="123"/>
        <v>0</v>
      </c>
      <c r="X112" s="80">
        <f t="shared" si="124"/>
        <v>0</v>
      </c>
      <c r="Y112" s="80">
        <f t="shared" si="125"/>
        <v>0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>C112+C99</f>
        <v>11000</v>
      </c>
      <c r="D113" s="101">
        <f t="shared" ref="D113:Y113" si="126">D112+D99</f>
        <v>0</v>
      </c>
      <c r="E113" s="101">
        <f t="shared" si="126"/>
        <v>11000</v>
      </c>
      <c r="F113" s="101">
        <f t="shared" si="126"/>
        <v>0</v>
      </c>
      <c r="G113" s="101">
        <f t="shared" si="126"/>
        <v>11000</v>
      </c>
      <c r="H113" s="101">
        <f t="shared" si="126"/>
        <v>0</v>
      </c>
      <c r="I113" s="101">
        <f t="shared" si="126"/>
        <v>11000</v>
      </c>
      <c r="J113" s="101">
        <f t="shared" si="126"/>
        <v>0</v>
      </c>
      <c r="K113" s="101">
        <f t="shared" si="126"/>
        <v>11000</v>
      </c>
      <c r="L113" s="101">
        <f t="shared" si="126"/>
        <v>0</v>
      </c>
      <c r="M113" s="101">
        <f t="shared" si="126"/>
        <v>11000</v>
      </c>
      <c r="N113" s="101">
        <f t="shared" si="126"/>
        <v>0</v>
      </c>
      <c r="O113" s="101">
        <f t="shared" si="126"/>
        <v>11000</v>
      </c>
      <c r="P113" s="101">
        <f t="shared" si="126"/>
        <v>0</v>
      </c>
      <c r="Q113" s="101">
        <f t="shared" si="126"/>
        <v>11000</v>
      </c>
      <c r="R113" s="101">
        <f t="shared" si="126"/>
        <v>0</v>
      </c>
      <c r="S113" s="101">
        <f t="shared" si="126"/>
        <v>0</v>
      </c>
      <c r="T113" s="101">
        <f t="shared" si="126"/>
        <v>0</v>
      </c>
      <c r="U113" s="101">
        <f t="shared" si="126"/>
        <v>0</v>
      </c>
      <c r="V113" s="101">
        <f t="shared" si="126"/>
        <v>0</v>
      </c>
      <c r="W113" s="101">
        <f t="shared" si="126"/>
        <v>44000</v>
      </c>
      <c r="X113" s="101">
        <f t="shared" si="126"/>
        <v>0</v>
      </c>
      <c r="Y113" s="101">
        <f t="shared" si="126"/>
        <v>44000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f>C92*0.35</f>
        <v>0</v>
      </c>
      <c r="D115" s="56">
        <v>0</v>
      </c>
      <c r="E115" s="56">
        <f t="shared" ref="E115" si="127">SUM(C115:D115)</f>
        <v>0</v>
      </c>
      <c r="F115" s="58"/>
      <c r="G115" s="55">
        <f>G92*0.35</f>
        <v>0</v>
      </c>
      <c r="H115" s="57">
        <v>0</v>
      </c>
      <c r="I115" s="57">
        <f t="shared" ref="I115" si="128">SUM(G115:H115)</f>
        <v>0</v>
      </c>
      <c r="J115" s="58"/>
      <c r="K115" s="55">
        <f>K92*0.35</f>
        <v>0</v>
      </c>
      <c r="L115" s="57">
        <v>0</v>
      </c>
      <c r="M115" s="57">
        <f t="shared" ref="M115" si="129">SUM(K115:L115)</f>
        <v>0</v>
      </c>
      <c r="N115" s="58"/>
      <c r="O115" s="55">
        <f>O92*0.35</f>
        <v>0</v>
      </c>
      <c r="P115" s="57">
        <v>0</v>
      </c>
      <c r="Q115" s="57">
        <f t="shared" ref="Q115" si="130">SUM(O115:P115)</f>
        <v>0</v>
      </c>
      <c r="R115" s="58"/>
      <c r="S115" s="55">
        <f>S92*0.35</f>
        <v>0</v>
      </c>
      <c r="T115" s="57">
        <v>0</v>
      </c>
      <c r="U115" s="57">
        <f t="shared" ref="U115" si="131">SUM(S115:T115)</f>
        <v>0</v>
      </c>
      <c r="V115" s="59"/>
      <c r="W115" s="124">
        <f t="shared" ref="W115:Y121" si="132">C115+G115+K115+O115+S115</f>
        <v>0</v>
      </c>
      <c r="X115" s="57">
        <f t="shared" si="132"/>
        <v>0</v>
      </c>
      <c r="Y115" s="84">
        <f t="shared" si="132"/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customFormat="1" ht="12.75" customHeight="1" x14ac:dyDescent="0.25">
      <c r="A116" s="303">
        <v>0.4</v>
      </c>
      <c r="B116" s="292" t="s">
        <v>216</v>
      </c>
      <c r="C116" s="293">
        <f>C94*$A$116</f>
        <v>2000</v>
      </c>
      <c r="D116" s="294"/>
      <c r="E116" s="294">
        <f t="shared" ref="E116:E121" si="133">SUM(C116:D116)</f>
        <v>2000</v>
      </c>
      <c r="F116" s="295"/>
      <c r="G116" s="293">
        <f>G94*$A$116</f>
        <v>2000</v>
      </c>
      <c r="H116" s="294"/>
      <c r="I116" s="294">
        <f t="shared" ref="I116:I121" si="134">SUM(G116:H116)</f>
        <v>2000</v>
      </c>
      <c r="J116" s="295"/>
      <c r="K116" s="293">
        <f>K94*$A$116</f>
        <v>2000</v>
      </c>
      <c r="L116" s="294"/>
      <c r="M116" s="294">
        <f t="shared" ref="M116:M121" si="135">SUM(K116:L116)</f>
        <v>2000</v>
      </c>
      <c r="N116" s="295"/>
      <c r="O116" s="293">
        <f>O94*$A$116</f>
        <v>2000</v>
      </c>
      <c r="P116" s="294"/>
      <c r="Q116" s="294">
        <f t="shared" ref="Q116:Q121" si="136">SUM(O116:P116)</f>
        <v>2000</v>
      </c>
      <c r="R116" s="295"/>
      <c r="S116" s="293">
        <f>S94*$A$30</f>
        <v>0</v>
      </c>
      <c r="T116" s="294"/>
      <c r="U116" s="294">
        <f t="shared" ref="U116:U121" si="137">SUM(S116:T116)</f>
        <v>0</v>
      </c>
      <c r="V116" s="296"/>
      <c r="W116" s="293">
        <f t="shared" si="132"/>
        <v>8000</v>
      </c>
      <c r="X116" s="294">
        <f t="shared" si="132"/>
        <v>0</v>
      </c>
      <c r="Y116" s="294">
        <f t="shared" si="132"/>
        <v>8000</v>
      </c>
      <c r="Z116" s="292"/>
      <c r="AA116" s="292"/>
      <c r="AB116" s="292"/>
      <c r="AC116" s="292"/>
      <c r="AD116" s="29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</row>
    <row r="117" spans="1:77" customFormat="1" ht="12.75" customHeight="1" x14ac:dyDescent="0.25">
      <c r="A117" s="300"/>
      <c r="B117" s="292"/>
      <c r="C117" s="293"/>
      <c r="D117" s="294"/>
      <c r="E117" s="294">
        <f t="shared" si="133"/>
        <v>0</v>
      </c>
      <c r="F117" s="295"/>
      <c r="G117" s="293"/>
      <c r="H117" s="294"/>
      <c r="I117" s="294">
        <f t="shared" si="134"/>
        <v>0</v>
      </c>
      <c r="J117" s="295"/>
      <c r="K117" s="293"/>
      <c r="L117" s="294"/>
      <c r="M117" s="294">
        <f t="shared" si="135"/>
        <v>0</v>
      </c>
      <c r="N117" s="295"/>
      <c r="O117" s="293"/>
      <c r="P117" s="294"/>
      <c r="Q117" s="294">
        <f t="shared" si="136"/>
        <v>0</v>
      </c>
      <c r="R117" s="295"/>
      <c r="S117" s="293"/>
      <c r="T117" s="294"/>
      <c r="U117" s="294">
        <f t="shared" si="137"/>
        <v>0</v>
      </c>
      <c r="V117" s="296"/>
      <c r="W117" s="293">
        <f t="shared" si="132"/>
        <v>0</v>
      </c>
      <c r="X117" s="294">
        <f t="shared" si="132"/>
        <v>0</v>
      </c>
      <c r="Y117" s="294">
        <f t="shared" si="132"/>
        <v>0</v>
      </c>
      <c r="Z117" s="292"/>
      <c r="AA117" s="292"/>
      <c r="AB117" s="292"/>
      <c r="AC117" s="292"/>
      <c r="AD117" s="29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</row>
    <row r="118" spans="1:77" customFormat="1" ht="12.75" customHeight="1" x14ac:dyDescent="0.25">
      <c r="A118" s="303">
        <v>0.4</v>
      </c>
      <c r="B118" s="292" t="s">
        <v>264</v>
      </c>
      <c r="C118" s="293">
        <f>C96*$A$118</f>
        <v>2400</v>
      </c>
      <c r="D118" s="294"/>
      <c r="E118" s="294">
        <f t="shared" si="133"/>
        <v>2400</v>
      </c>
      <c r="F118" s="295"/>
      <c r="G118" s="293">
        <f>G96*$A$118</f>
        <v>2400</v>
      </c>
      <c r="H118" s="294"/>
      <c r="I118" s="294">
        <f t="shared" si="134"/>
        <v>2400</v>
      </c>
      <c r="J118" s="295"/>
      <c r="K118" s="293">
        <f>K96*$A$118</f>
        <v>2400</v>
      </c>
      <c r="L118" s="294"/>
      <c r="M118" s="294">
        <f t="shared" si="135"/>
        <v>2400</v>
      </c>
      <c r="N118" s="295"/>
      <c r="O118" s="293">
        <f>O96*$A$118</f>
        <v>2400</v>
      </c>
      <c r="P118" s="294"/>
      <c r="Q118" s="294">
        <f t="shared" si="136"/>
        <v>2400</v>
      </c>
      <c r="R118" s="295"/>
      <c r="S118" s="293">
        <f>S96*$A$32</f>
        <v>0</v>
      </c>
      <c r="T118" s="294"/>
      <c r="U118" s="294">
        <f t="shared" si="137"/>
        <v>0</v>
      </c>
      <c r="V118" s="296"/>
      <c r="W118" s="293">
        <f t="shared" si="132"/>
        <v>9600</v>
      </c>
      <c r="X118" s="294">
        <f t="shared" si="132"/>
        <v>0</v>
      </c>
      <c r="Y118" s="294">
        <f t="shared" si="132"/>
        <v>9600</v>
      </c>
      <c r="Z118" s="292"/>
      <c r="AA118" s="292"/>
      <c r="AB118" s="292"/>
      <c r="AC118" s="292"/>
      <c r="AD118" s="29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</row>
    <row r="119" spans="1:77" customFormat="1" ht="12.75" customHeight="1" x14ac:dyDescent="0.25">
      <c r="A119" s="300"/>
      <c r="B119" s="292"/>
      <c r="C119" s="293"/>
      <c r="D119" s="294"/>
      <c r="E119" s="294">
        <f t="shared" si="133"/>
        <v>0</v>
      </c>
      <c r="F119" s="295"/>
      <c r="G119" s="293"/>
      <c r="H119" s="294"/>
      <c r="I119" s="294">
        <f t="shared" si="134"/>
        <v>0</v>
      </c>
      <c r="J119" s="295"/>
      <c r="K119" s="293"/>
      <c r="L119" s="294"/>
      <c r="M119" s="294">
        <f t="shared" si="135"/>
        <v>0</v>
      </c>
      <c r="N119" s="295"/>
      <c r="O119" s="293"/>
      <c r="P119" s="294"/>
      <c r="Q119" s="294">
        <f t="shared" si="136"/>
        <v>0</v>
      </c>
      <c r="R119" s="295"/>
      <c r="S119" s="293"/>
      <c r="T119" s="294"/>
      <c r="U119" s="294">
        <f t="shared" si="137"/>
        <v>0</v>
      </c>
      <c r="V119" s="296"/>
      <c r="W119" s="293">
        <f t="shared" si="132"/>
        <v>0</v>
      </c>
      <c r="X119" s="294">
        <f t="shared" si="132"/>
        <v>0</v>
      </c>
      <c r="Y119" s="294">
        <f t="shared" si="132"/>
        <v>0</v>
      </c>
      <c r="Z119" s="292"/>
      <c r="AA119" s="292"/>
      <c r="AB119" s="292"/>
      <c r="AC119" s="292"/>
      <c r="AD119" s="292"/>
      <c r="AE119" s="292"/>
      <c r="AF119" s="292"/>
      <c r="AG119" s="292"/>
      <c r="AH119" s="292"/>
      <c r="AI119" s="292"/>
      <c r="AJ119" s="292"/>
      <c r="AK119" s="292"/>
      <c r="AL119" s="292"/>
      <c r="AM119" s="292"/>
      <c r="AN119" s="292"/>
      <c r="AO119" s="292"/>
      <c r="AP119" s="292"/>
      <c r="AQ119" s="292"/>
      <c r="AR119" s="292"/>
      <c r="AS119" s="292"/>
      <c r="AT119" s="292"/>
    </row>
    <row r="120" spans="1:77" customFormat="1" ht="12.75" customHeight="1" x14ac:dyDescent="0.25">
      <c r="A120" s="300"/>
      <c r="B120" s="292"/>
      <c r="C120" s="293"/>
      <c r="D120" s="294"/>
      <c r="E120" s="294">
        <f t="shared" si="133"/>
        <v>0</v>
      </c>
      <c r="F120" s="295"/>
      <c r="G120" s="293"/>
      <c r="H120" s="294"/>
      <c r="I120" s="294">
        <f t="shared" si="134"/>
        <v>0</v>
      </c>
      <c r="J120" s="295"/>
      <c r="K120" s="293"/>
      <c r="L120" s="294"/>
      <c r="M120" s="294">
        <f t="shared" si="135"/>
        <v>0</v>
      </c>
      <c r="N120" s="295"/>
      <c r="O120" s="293"/>
      <c r="P120" s="294"/>
      <c r="Q120" s="294">
        <f t="shared" si="136"/>
        <v>0</v>
      </c>
      <c r="R120" s="295"/>
      <c r="S120" s="311"/>
      <c r="T120" s="294"/>
      <c r="U120" s="294">
        <f t="shared" si="137"/>
        <v>0</v>
      </c>
      <c r="V120" s="296"/>
      <c r="W120" s="293">
        <f t="shared" si="132"/>
        <v>0</v>
      </c>
      <c r="X120" s="294">
        <f t="shared" si="132"/>
        <v>0</v>
      </c>
      <c r="Y120" s="294">
        <f t="shared" si="132"/>
        <v>0</v>
      </c>
      <c r="Z120" s="292"/>
      <c r="AA120" s="292"/>
      <c r="AB120" s="292"/>
      <c r="AC120" s="292"/>
      <c r="AD120" s="292"/>
      <c r="AE120" s="292"/>
      <c r="AF120" s="292"/>
      <c r="AG120" s="292"/>
      <c r="AH120" s="292"/>
      <c r="AI120" s="292"/>
      <c r="AJ120" s="292"/>
      <c r="AK120" s="292"/>
      <c r="AL120" s="292"/>
      <c r="AM120" s="292"/>
      <c r="AN120" s="292"/>
      <c r="AO120" s="292"/>
      <c r="AP120" s="292"/>
      <c r="AQ120" s="292"/>
      <c r="AR120" s="292"/>
      <c r="AS120" s="292"/>
      <c r="AT120" s="292"/>
    </row>
    <row r="121" spans="1:77" customFormat="1" ht="12.75" customHeight="1" x14ac:dyDescent="0.25">
      <c r="A121" s="310"/>
      <c r="B121" s="292"/>
      <c r="C121" s="293"/>
      <c r="D121" s="294"/>
      <c r="E121" s="294">
        <f t="shared" si="133"/>
        <v>0</v>
      </c>
      <c r="F121" s="295"/>
      <c r="G121" s="293"/>
      <c r="H121" s="294"/>
      <c r="I121" s="294">
        <f t="shared" si="134"/>
        <v>0</v>
      </c>
      <c r="J121" s="295"/>
      <c r="K121" s="293"/>
      <c r="L121" s="294"/>
      <c r="M121" s="294">
        <f t="shared" si="135"/>
        <v>0</v>
      </c>
      <c r="N121" s="295"/>
      <c r="O121" s="293"/>
      <c r="P121" s="294"/>
      <c r="Q121" s="294">
        <f t="shared" si="136"/>
        <v>0</v>
      </c>
      <c r="R121" s="295"/>
      <c r="S121" s="293"/>
      <c r="T121" s="294"/>
      <c r="U121" s="294">
        <f t="shared" si="137"/>
        <v>0</v>
      </c>
      <c r="V121" s="296"/>
      <c r="W121" s="293">
        <f t="shared" si="132"/>
        <v>0</v>
      </c>
      <c r="X121" s="294">
        <f t="shared" si="132"/>
        <v>0</v>
      </c>
      <c r="Y121" s="294">
        <f t="shared" si="132"/>
        <v>0</v>
      </c>
      <c r="Z121" s="292"/>
      <c r="AA121" s="292"/>
      <c r="AB121" s="292"/>
      <c r="AC121" s="292"/>
      <c r="AD121" s="292"/>
      <c r="AE121" s="292"/>
      <c r="AF121" s="292"/>
      <c r="AG121" s="292"/>
      <c r="AH121" s="29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2"/>
      <c r="AT121" s="292"/>
    </row>
    <row r="122" spans="1:77" customFormat="1" ht="12.75" customHeight="1" x14ac:dyDescent="0.25">
      <c r="A122" s="310"/>
      <c r="B122" s="292"/>
      <c r="C122" s="293"/>
      <c r="D122" s="294"/>
      <c r="E122" s="294"/>
      <c r="F122" s="295"/>
      <c r="G122" s="293"/>
      <c r="H122" s="294"/>
      <c r="I122" s="294"/>
      <c r="J122" s="295"/>
      <c r="K122" s="293"/>
      <c r="L122" s="294"/>
      <c r="M122" s="294"/>
      <c r="N122" s="295"/>
      <c r="O122" s="293"/>
      <c r="P122" s="294"/>
      <c r="Q122" s="294"/>
      <c r="R122" s="295"/>
      <c r="S122" s="293"/>
      <c r="T122" s="294"/>
      <c r="U122" s="294"/>
      <c r="V122" s="296"/>
      <c r="W122" s="293"/>
      <c r="X122" s="294"/>
      <c r="Y122" s="294"/>
      <c r="Z122" s="292"/>
      <c r="AA122" s="292"/>
      <c r="AB122" s="292"/>
      <c r="AC122" s="292"/>
      <c r="AD122" s="292"/>
      <c r="AE122" s="292"/>
      <c r="AF122" s="292"/>
      <c r="AG122" s="292"/>
      <c r="AH122" s="292"/>
      <c r="AI122" s="292"/>
      <c r="AJ122" s="292"/>
      <c r="AK122" s="292"/>
      <c r="AL122" s="292"/>
      <c r="AM122" s="292"/>
      <c r="AN122" s="292"/>
      <c r="AO122" s="292"/>
      <c r="AP122" s="292"/>
      <c r="AQ122" s="292"/>
      <c r="AR122" s="292"/>
      <c r="AS122" s="292"/>
      <c r="AT122" s="292"/>
    </row>
    <row r="123" spans="1:77" s="61" customFormat="1" x14ac:dyDescent="0.25">
      <c r="A123" s="51"/>
      <c r="B123" s="52"/>
      <c r="C123" s="124"/>
      <c r="D123" s="56"/>
      <c r="E123" s="56"/>
      <c r="F123" s="58"/>
      <c r="G123" s="55"/>
      <c r="H123" s="57"/>
      <c r="I123" s="57"/>
      <c r="J123" s="58"/>
      <c r="K123" s="55"/>
      <c r="L123" s="57"/>
      <c r="M123" s="57"/>
      <c r="N123" s="58"/>
      <c r="O123" s="55"/>
      <c r="P123" s="57"/>
      <c r="Q123" s="57"/>
      <c r="R123" s="58"/>
      <c r="S123" s="55"/>
      <c r="T123" s="57"/>
      <c r="U123" s="57"/>
      <c r="V123" s="59"/>
      <c r="W123" s="124"/>
      <c r="X123" s="57"/>
      <c r="Y123" s="8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4400</v>
      </c>
      <c r="D124" s="125">
        <f>SUM(D115:D123)</f>
        <v>0</v>
      </c>
      <c r="E124" s="125">
        <f>SUM(E115:E123)</f>
        <v>4400</v>
      </c>
      <c r="F124" s="81"/>
      <c r="G124" s="79">
        <f>SUM(G115:G123)</f>
        <v>4400</v>
      </c>
      <c r="H124" s="80">
        <f>SUM(H115:H123)</f>
        <v>0</v>
      </c>
      <c r="I124" s="80">
        <f>SUM(I115:I123)</f>
        <v>4400</v>
      </c>
      <c r="J124" s="81"/>
      <c r="K124" s="79">
        <f>SUM(K115:K123)</f>
        <v>4400</v>
      </c>
      <c r="L124" s="80">
        <f>SUM(L115:L123)</f>
        <v>0</v>
      </c>
      <c r="M124" s="80">
        <f>SUM(M115:M123)</f>
        <v>4400</v>
      </c>
      <c r="N124" s="81"/>
      <c r="O124" s="79">
        <f>SUM(O115:O123)</f>
        <v>4400</v>
      </c>
      <c r="P124" s="80">
        <f>SUM(P115:P123)</f>
        <v>0</v>
      </c>
      <c r="Q124" s="80">
        <f>SUM(Q115:Q123)</f>
        <v>4400</v>
      </c>
      <c r="R124" s="81"/>
      <c r="S124" s="79">
        <f>SUM(S115:S123)</f>
        <v>0</v>
      </c>
      <c r="T124" s="80">
        <f>SUM(T115:T123)</f>
        <v>0</v>
      </c>
      <c r="U124" s="80">
        <f>SUM(U115:U123)</f>
        <v>0</v>
      </c>
      <c r="V124" s="82"/>
      <c r="W124" s="228">
        <f>C124+G124+K124+O124+S124</f>
        <v>17600</v>
      </c>
      <c r="X124" s="80">
        <f>D124+H124+L124+P124+T124</f>
        <v>0</v>
      </c>
      <c r="Y124" s="84">
        <f>E124+I124+M124+Q124+U124</f>
        <v>17600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138">C124+C113</f>
        <v>15400</v>
      </c>
      <c r="D125" s="101">
        <f t="shared" si="138"/>
        <v>0</v>
      </c>
      <c r="E125" s="101">
        <f t="shared" si="138"/>
        <v>15400</v>
      </c>
      <c r="F125" s="101">
        <f t="shared" si="138"/>
        <v>0</v>
      </c>
      <c r="G125" s="101">
        <f t="shared" si="138"/>
        <v>15400</v>
      </c>
      <c r="H125" s="101">
        <f t="shared" si="138"/>
        <v>0</v>
      </c>
      <c r="I125" s="101">
        <f t="shared" si="138"/>
        <v>15400</v>
      </c>
      <c r="J125" s="101">
        <f t="shared" si="138"/>
        <v>0</v>
      </c>
      <c r="K125" s="101">
        <f t="shared" si="138"/>
        <v>15400</v>
      </c>
      <c r="L125" s="101">
        <f t="shared" si="138"/>
        <v>0</v>
      </c>
      <c r="M125" s="101">
        <f t="shared" si="138"/>
        <v>15400</v>
      </c>
      <c r="N125" s="101">
        <f t="shared" si="138"/>
        <v>0</v>
      </c>
      <c r="O125" s="101">
        <f t="shared" si="138"/>
        <v>15400</v>
      </c>
      <c r="P125" s="101">
        <f t="shared" si="138"/>
        <v>0</v>
      </c>
      <c r="Q125" s="101">
        <f t="shared" si="138"/>
        <v>15400</v>
      </c>
      <c r="R125" s="101">
        <f t="shared" si="138"/>
        <v>0</v>
      </c>
      <c r="S125" s="101">
        <f t="shared" si="138"/>
        <v>0</v>
      </c>
      <c r="T125" s="101">
        <f t="shared" si="138"/>
        <v>0</v>
      </c>
      <c r="U125" s="101">
        <f t="shared" si="138"/>
        <v>0</v>
      </c>
      <c r="V125" s="101">
        <f t="shared" si="138"/>
        <v>0</v>
      </c>
      <c r="W125" s="101">
        <f t="shared" si="138"/>
        <v>61600</v>
      </c>
      <c r="X125" s="101">
        <f t="shared" si="138"/>
        <v>0</v>
      </c>
      <c r="Y125" s="101">
        <f t="shared" si="138"/>
        <v>61600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x14ac:dyDescent="0.25">
      <c r="A127" s="52"/>
      <c r="B127" s="52"/>
      <c r="C127" s="124">
        <v>0</v>
      </c>
      <c r="D127" s="56">
        <v>0</v>
      </c>
      <c r="E127" s="56">
        <f t="shared" ref="E127:E140" si="139">SUM(C127:D127)</f>
        <v>0</v>
      </c>
      <c r="F127" s="58"/>
      <c r="G127" s="55">
        <v>0</v>
      </c>
      <c r="H127" s="57">
        <v>0</v>
      </c>
      <c r="I127" s="57">
        <f t="shared" ref="I127:I140" si="140">SUM(G127:H127)</f>
        <v>0</v>
      </c>
      <c r="J127" s="58"/>
      <c r="K127" s="55">
        <v>0</v>
      </c>
      <c r="L127" s="57">
        <v>0</v>
      </c>
      <c r="M127" s="57">
        <f t="shared" ref="M127:M140" si="141">SUM(K127:L127)</f>
        <v>0</v>
      </c>
      <c r="N127" s="58"/>
      <c r="O127" s="55">
        <v>0</v>
      </c>
      <c r="P127" s="57">
        <v>0</v>
      </c>
      <c r="Q127" s="57">
        <f t="shared" ref="Q127:Q140" si="142">SUM(O127:P127)</f>
        <v>0</v>
      </c>
      <c r="R127" s="58"/>
      <c r="S127" s="55">
        <v>0</v>
      </c>
      <c r="T127" s="57">
        <v>0</v>
      </c>
      <c r="U127" s="57">
        <f t="shared" ref="U127:U140" si="143">SUM(S127:T127)</f>
        <v>0</v>
      </c>
      <c r="V127" s="59"/>
      <c r="W127" s="124">
        <f t="shared" ref="W127:W141" si="144">C127+G127+K127+O127+S127</f>
        <v>0</v>
      </c>
      <c r="X127" s="57">
        <f t="shared" ref="X127:X141" si="145">D127+H127+L127+P127+T127</f>
        <v>0</v>
      </c>
      <c r="Y127" s="84">
        <f t="shared" ref="Y127:Y141" si="146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x14ac:dyDescent="0.25">
      <c r="A128" s="52"/>
      <c r="B128" s="52"/>
      <c r="C128" s="124">
        <v>0</v>
      </c>
      <c r="D128" s="56">
        <v>0</v>
      </c>
      <c r="E128" s="56">
        <f t="shared" si="139"/>
        <v>0</v>
      </c>
      <c r="F128" s="58"/>
      <c r="G128" s="55">
        <v>0</v>
      </c>
      <c r="H128" s="57">
        <v>0</v>
      </c>
      <c r="I128" s="57">
        <f t="shared" si="140"/>
        <v>0</v>
      </c>
      <c r="J128" s="58"/>
      <c r="K128" s="55">
        <v>0</v>
      </c>
      <c r="L128" s="57">
        <v>0</v>
      </c>
      <c r="M128" s="57">
        <f t="shared" si="141"/>
        <v>0</v>
      </c>
      <c r="N128" s="58"/>
      <c r="O128" s="55">
        <v>0</v>
      </c>
      <c r="P128" s="57">
        <v>0</v>
      </c>
      <c r="Q128" s="57">
        <f t="shared" si="142"/>
        <v>0</v>
      </c>
      <c r="R128" s="58"/>
      <c r="S128" s="55">
        <v>0</v>
      </c>
      <c r="T128" s="57">
        <v>0</v>
      </c>
      <c r="U128" s="57">
        <f t="shared" si="143"/>
        <v>0</v>
      </c>
      <c r="V128" s="59"/>
      <c r="W128" s="124">
        <f t="shared" si="144"/>
        <v>0</v>
      </c>
      <c r="X128" s="57">
        <f t="shared" si="145"/>
        <v>0</v>
      </c>
      <c r="Y128" s="84">
        <f t="shared" si="146"/>
        <v>0</v>
      </c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</row>
    <row r="129" spans="1:77" s="61" customFormat="1" x14ac:dyDescent="0.25">
      <c r="A129" s="52"/>
      <c r="B129" s="52"/>
      <c r="C129" s="124">
        <v>0</v>
      </c>
      <c r="D129" s="56">
        <v>0</v>
      </c>
      <c r="E129" s="56">
        <f t="shared" si="139"/>
        <v>0</v>
      </c>
      <c r="F129" s="58"/>
      <c r="G129" s="55">
        <v>0</v>
      </c>
      <c r="H129" s="57">
        <v>0</v>
      </c>
      <c r="I129" s="57">
        <f t="shared" si="140"/>
        <v>0</v>
      </c>
      <c r="J129" s="58"/>
      <c r="K129" s="55">
        <v>0</v>
      </c>
      <c r="L129" s="57">
        <v>0</v>
      </c>
      <c r="M129" s="57">
        <f t="shared" si="141"/>
        <v>0</v>
      </c>
      <c r="N129" s="58"/>
      <c r="O129" s="55">
        <v>0</v>
      </c>
      <c r="P129" s="57">
        <v>0</v>
      </c>
      <c r="Q129" s="57">
        <f t="shared" si="142"/>
        <v>0</v>
      </c>
      <c r="R129" s="58"/>
      <c r="S129" s="55">
        <v>0</v>
      </c>
      <c r="T129" s="57">
        <v>0</v>
      </c>
      <c r="U129" s="57">
        <f t="shared" si="143"/>
        <v>0</v>
      </c>
      <c r="V129" s="59"/>
      <c r="W129" s="124">
        <f t="shared" si="144"/>
        <v>0</v>
      </c>
      <c r="X129" s="57">
        <f t="shared" si="145"/>
        <v>0</v>
      </c>
      <c r="Y129" s="84">
        <f t="shared" si="146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139"/>
        <v>0</v>
      </c>
      <c r="F130" s="58"/>
      <c r="G130" s="55">
        <v>0</v>
      </c>
      <c r="H130" s="57">
        <v>0</v>
      </c>
      <c r="I130" s="57">
        <f t="shared" si="140"/>
        <v>0</v>
      </c>
      <c r="J130" s="58"/>
      <c r="K130" s="55">
        <v>0</v>
      </c>
      <c r="L130" s="57">
        <v>0</v>
      </c>
      <c r="M130" s="57">
        <f t="shared" si="141"/>
        <v>0</v>
      </c>
      <c r="N130" s="58"/>
      <c r="O130" s="55">
        <v>0</v>
      </c>
      <c r="P130" s="57">
        <v>0</v>
      </c>
      <c r="Q130" s="57">
        <f t="shared" si="142"/>
        <v>0</v>
      </c>
      <c r="R130" s="58"/>
      <c r="S130" s="55">
        <v>0</v>
      </c>
      <c r="T130" s="57">
        <v>0</v>
      </c>
      <c r="U130" s="57">
        <f t="shared" si="143"/>
        <v>0</v>
      </c>
      <c r="V130" s="59"/>
      <c r="W130" s="124">
        <f t="shared" si="144"/>
        <v>0</v>
      </c>
      <c r="X130" s="57">
        <f t="shared" si="145"/>
        <v>0</v>
      </c>
      <c r="Y130" s="84">
        <f t="shared" si="146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139"/>
        <v>0</v>
      </c>
      <c r="F131" s="58"/>
      <c r="G131" s="55">
        <v>0</v>
      </c>
      <c r="H131" s="57">
        <v>0</v>
      </c>
      <c r="I131" s="57">
        <f t="shared" si="140"/>
        <v>0</v>
      </c>
      <c r="J131" s="58"/>
      <c r="K131" s="55">
        <v>0</v>
      </c>
      <c r="L131" s="57">
        <v>0</v>
      </c>
      <c r="M131" s="57">
        <f t="shared" si="141"/>
        <v>0</v>
      </c>
      <c r="N131" s="58"/>
      <c r="O131" s="55">
        <v>0</v>
      </c>
      <c r="P131" s="57">
        <v>0</v>
      </c>
      <c r="Q131" s="57">
        <f t="shared" si="142"/>
        <v>0</v>
      </c>
      <c r="R131" s="58"/>
      <c r="S131" s="55">
        <v>0</v>
      </c>
      <c r="T131" s="57">
        <v>0</v>
      </c>
      <c r="U131" s="57">
        <f t="shared" si="143"/>
        <v>0</v>
      </c>
      <c r="V131" s="59"/>
      <c r="W131" s="124">
        <f t="shared" si="144"/>
        <v>0</v>
      </c>
      <c r="X131" s="57">
        <f t="shared" si="145"/>
        <v>0</v>
      </c>
      <c r="Y131" s="84">
        <f t="shared" si="146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139"/>
        <v>0</v>
      </c>
      <c r="F132" s="58"/>
      <c r="G132" s="55">
        <v>0</v>
      </c>
      <c r="H132" s="57">
        <v>0</v>
      </c>
      <c r="I132" s="57">
        <f t="shared" si="140"/>
        <v>0</v>
      </c>
      <c r="J132" s="58"/>
      <c r="K132" s="55">
        <v>0</v>
      </c>
      <c r="L132" s="57">
        <v>0</v>
      </c>
      <c r="M132" s="57">
        <f t="shared" si="141"/>
        <v>0</v>
      </c>
      <c r="N132" s="58"/>
      <c r="O132" s="55">
        <v>0</v>
      </c>
      <c r="P132" s="57">
        <v>0</v>
      </c>
      <c r="Q132" s="57">
        <f t="shared" si="142"/>
        <v>0</v>
      </c>
      <c r="R132" s="58"/>
      <c r="S132" s="55">
        <v>0</v>
      </c>
      <c r="T132" s="57">
        <v>0</v>
      </c>
      <c r="U132" s="57">
        <f t="shared" si="143"/>
        <v>0</v>
      </c>
      <c r="V132" s="59"/>
      <c r="W132" s="124">
        <f t="shared" si="144"/>
        <v>0</v>
      </c>
      <c r="X132" s="57">
        <f t="shared" si="145"/>
        <v>0</v>
      </c>
      <c r="Y132" s="84">
        <f t="shared" si="146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139"/>
        <v>0</v>
      </c>
      <c r="F133" s="58"/>
      <c r="G133" s="55">
        <v>0</v>
      </c>
      <c r="H133" s="57">
        <v>0</v>
      </c>
      <c r="I133" s="57">
        <f t="shared" si="140"/>
        <v>0</v>
      </c>
      <c r="J133" s="58"/>
      <c r="K133" s="55">
        <v>0</v>
      </c>
      <c r="L133" s="57">
        <v>0</v>
      </c>
      <c r="M133" s="57">
        <f t="shared" si="141"/>
        <v>0</v>
      </c>
      <c r="N133" s="58"/>
      <c r="O133" s="55">
        <v>0</v>
      </c>
      <c r="P133" s="57">
        <v>0</v>
      </c>
      <c r="Q133" s="57">
        <f t="shared" si="142"/>
        <v>0</v>
      </c>
      <c r="R133" s="58"/>
      <c r="S133" s="55">
        <v>0</v>
      </c>
      <c r="T133" s="57">
        <v>0</v>
      </c>
      <c r="U133" s="57">
        <f t="shared" si="143"/>
        <v>0</v>
      </c>
      <c r="V133" s="59"/>
      <c r="W133" s="124">
        <f t="shared" si="144"/>
        <v>0</v>
      </c>
      <c r="X133" s="57">
        <f t="shared" si="145"/>
        <v>0</v>
      </c>
      <c r="Y133" s="84">
        <f t="shared" si="146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139"/>
        <v>0</v>
      </c>
      <c r="F134" s="58"/>
      <c r="G134" s="55">
        <v>0</v>
      </c>
      <c r="H134" s="57">
        <v>0</v>
      </c>
      <c r="I134" s="57">
        <f t="shared" si="140"/>
        <v>0</v>
      </c>
      <c r="J134" s="58"/>
      <c r="K134" s="55">
        <v>0</v>
      </c>
      <c r="L134" s="57">
        <v>0</v>
      </c>
      <c r="M134" s="57">
        <f t="shared" si="141"/>
        <v>0</v>
      </c>
      <c r="N134" s="58"/>
      <c r="O134" s="55">
        <v>0</v>
      </c>
      <c r="P134" s="57">
        <v>0</v>
      </c>
      <c r="Q134" s="57">
        <f t="shared" si="142"/>
        <v>0</v>
      </c>
      <c r="R134" s="58"/>
      <c r="S134" s="55">
        <v>0</v>
      </c>
      <c r="T134" s="57">
        <v>0</v>
      </c>
      <c r="U134" s="57">
        <f t="shared" si="143"/>
        <v>0</v>
      </c>
      <c r="V134" s="59"/>
      <c r="W134" s="124">
        <f t="shared" si="144"/>
        <v>0</v>
      </c>
      <c r="X134" s="57">
        <f t="shared" si="145"/>
        <v>0</v>
      </c>
      <c r="Y134" s="84">
        <f t="shared" si="146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139"/>
        <v>0</v>
      </c>
      <c r="F135" s="58"/>
      <c r="G135" s="55">
        <v>0</v>
      </c>
      <c r="H135" s="57">
        <v>0</v>
      </c>
      <c r="I135" s="57">
        <f t="shared" si="140"/>
        <v>0</v>
      </c>
      <c r="J135" s="58"/>
      <c r="K135" s="55">
        <v>0</v>
      </c>
      <c r="L135" s="57">
        <v>0</v>
      </c>
      <c r="M135" s="57">
        <f t="shared" si="141"/>
        <v>0</v>
      </c>
      <c r="N135" s="58"/>
      <c r="O135" s="55">
        <v>0</v>
      </c>
      <c r="P135" s="57">
        <v>0</v>
      </c>
      <c r="Q135" s="57">
        <f t="shared" si="142"/>
        <v>0</v>
      </c>
      <c r="R135" s="58"/>
      <c r="S135" s="55">
        <v>0</v>
      </c>
      <c r="T135" s="57">
        <v>0</v>
      </c>
      <c r="U135" s="57">
        <f t="shared" si="143"/>
        <v>0</v>
      </c>
      <c r="V135" s="59"/>
      <c r="W135" s="124">
        <f t="shared" si="144"/>
        <v>0</v>
      </c>
      <c r="X135" s="57">
        <f t="shared" si="145"/>
        <v>0</v>
      </c>
      <c r="Y135" s="84">
        <f t="shared" si="146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139"/>
        <v>0</v>
      </c>
      <c r="F136" s="58"/>
      <c r="G136" s="55">
        <v>0</v>
      </c>
      <c r="H136" s="57">
        <v>0</v>
      </c>
      <c r="I136" s="57">
        <f t="shared" si="140"/>
        <v>0</v>
      </c>
      <c r="J136" s="58"/>
      <c r="K136" s="55">
        <v>0</v>
      </c>
      <c r="L136" s="57">
        <v>0</v>
      </c>
      <c r="M136" s="57">
        <f t="shared" si="141"/>
        <v>0</v>
      </c>
      <c r="N136" s="58"/>
      <c r="O136" s="55">
        <v>0</v>
      </c>
      <c r="P136" s="57">
        <v>0</v>
      </c>
      <c r="Q136" s="57">
        <f t="shared" si="142"/>
        <v>0</v>
      </c>
      <c r="R136" s="58"/>
      <c r="S136" s="55">
        <v>0</v>
      </c>
      <c r="T136" s="57">
        <v>0</v>
      </c>
      <c r="U136" s="57">
        <f t="shared" si="143"/>
        <v>0</v>
      </c>
      <c r="V136" s="59"/>
      <c r="W136" s="124">
        <f t="shared" si="144"/>
        <v>0</v>
      </c>
      <c r="X136" s="57">
        <f t="shared" si="145"/>
        <v>0</v>
      </c>
      <c r="Y136" s="84">
        <f t="shared" si="146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139"/>
        <v>0</v>
      </c>
      <c r="F137" s="58"/>
      <c r="G137" s="55">
        <v>0</v>
      </c>
      <c r="H137" s="57">
        <v>0</v>
      </c>
      <c r="I137" s="57">
        <f t="shared" si="140"/>
        <v>0</v>
      </c>
      <c r="J137" s="58"/>
      <c r="K137" s="55">
        <v>0</v>
      </c>
      <c r="L137" s="57">
        <v>0</v>
      </c>
      <c r="M137" s="57">
        <f t="shared" si="141"/>
        <v>0</v>
      </c>
      <c r="N137" s="58"/>
      <c r="O137" s="55">
        <v>0</v>
      </c>
      <c r="P137" s="57">
        <v>0</v>
      </c>
      <c r="Q137" s="57">
        <f t="shared" si="142"/>
        <v>0</v>
      </c>
      <c r="R137" s="58"/>
      <c r="S137" s="55">
        <v>0</v>
      </c>
      <c r="T137" s="57">
        <v>0</v>
      </c>
      <c r="U137" s="57">
        <f t="shared" si="143"/>
        <v>0</v>
      </c>
      <c r="V137" s="59"/>
      <c r="W137" s="124">
        <f t="shared" si="144"/>
        <v>0</v>
      </c>
      <c r="X137" s="57">
        <f t="shared" si="145"/>
        <v>0</v>
      </c>
      <c r="Y137" s="84">
        <f t="shared" si="146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139"/>
        <v>0</v>
      </c>
      <c r="F138" s="58"/>
      <c r="G138" s="55">
        <v>0</v>
      </c>
      <c r="H138" s="57">
        <v>0</v>
      </c>
      <c r="I138" s="57">
        <f t="shared" si="140"/>
        <v>0</v>
      </c>
      <c r="J138" s="58"/>
      <c r="K138" s="55">
        <v>0</v>
      </c>
      <c r="L138" s="57">
        <v>0</v>
      </c>
      <c r="M138" s="57">
        <f t="shared" si="141"/>
        <v>0</v>
      </c>
      <c r="N138" s="58"/>
      <c r="O138" s="55">
        <v>0</v>
      </c>
      <c r="P138" s="57">
        <v>0</v>
      </c>
      <c r="Q138" s="57">
        <f t="shared" si="142"/>
        <v>0</v>
      </c>
      <c r="R138" s="58"/>
      <c r="S138" s="55">
        <v>0</v>
      </c>
      <c r="T138" s="57">
        <v>0</v>
      </c>
      <c r="U138" s="57">
        <f t="shared" si="143"/>
        <v>0</v>
      </c>
      <c r="V138" s="59"/>
      <c r="W138" s="124">
        <f t="shared" si="144"/>
        <v>0</v>
      </c>
      <c r="X138" s="57">
        <f t="shared" si="145"/>
        <v>0</v>
      </c>
      <c r="Y138" s="84">
        <f t="shared" si="146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139"/>
        <v>0</v>
      </c>
      <c r="F139" s="58"/>
      <c r="G139" s="55">
        <v>0</v>
      </c>
      <c r="H139" s="57">
        <v>0</v>
      </c>
      <c r="I139" s="57">
        <f t="shared" si="140"/>
        <v>0</v>
      </c>
      <c r="J139" s="58"/>
      <c r="K139" s="55">
        <v>0</v>
      </c>
      <c r="L139" s="57">
        <v>0</v>
      </c>
      <c r="M139" s="57">
        <f t="shared" si="141"/>
        <v>0</v>
      </c>
      <c r="N139" s="58"/>
      <c r="O139" s="55">
        <v>0</v>
      </c>
      <c r="P139" s="57">
        <v>0</v>
      </c>
      <c r="Q139" s="57">
        <f t="shared" si="142"/>
        <v>0</v>
      </c>
      <c r="R139" s="58"/>
      <c r="S139" s="55">
        <v>0</v>
      </c>
      <c r="T139" s="57">
        <v>0</v>
      </c>
      <c r="U139" s="57">
        <f t="shared" si="143"/>
        <v>0</v>
      </c>
      <c r="V139" s="59"/>
      <c r="W139" s="124">
        <f t="shared" si="144"/>
        <v>0</v>
      </c>
      <c r="X139" s="57">
        <f t="shared" si="145"/>
        <v>0</v>
      </c>
      <c r="Y139" s="84">
        <f t="shared" si="146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139"/>
        <v>0</v>
      </c>
      <c r="F140" s="58"/>
      <c r="G140" s="55">
        <v>0</v>
      </c>
      <c r="H140" s="57">
        <v>0</v>
      </c>
      <c r="I140" s="57">
        <f t="shared" si="140"/>
        <v>0</v>
      </c>
      <c r="J140" s="58"/>
      <c r="K140" s="55">
        <v>0</v>
      </c>
      <c r="L140" s="57">
        <v>0</v>
      </c>
      <c r="M140" s="57">
        <f t="shared" si="141"/>
        <v>0</v>
      </c>
      <c r="N140" s="58"/>
      <c r="O140" s="55">
        <v>0</v>
      </c>
      <c r="P140" s="57">
        <v>0</v>
      </c>
      <c r="Q140" s="57">
        <f t="shared" si="142"/>
        <v>0</v>
      </c>
      <c r="R140" s="58"/>
      <c r="S140" s="55">
        <v>0</v>
      </c>
      <c r="T140" s="57">
        <v>0</v>
      </c>
      <c r="U140" s="57">
        <f t="shared" si="143"/>
        <v>0</v>
      </c>
      <c r="V140" s="59"/>
      <c r="W140" s="124">
        <f t="shared" si="144"/>
        <v>0</v>
      </c>
      <c r="X140" s="57">
        <f t="shared" si="145"/>
        <v>0</v>
      </c>
      <c r="Y140" s="84">
        <f t="shared" si="146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144"/>
        <v>0</v>
      </c>
      <c r="X141" s="80">
        <f t="shared" si="145"/>
        <v>0</v>
      </c>
      <c r="Y141" s="80">
        <f t="shared" si="146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s="61" customFormat="1" x14ac:dyDescent="0.25">
      <c r="A143" s="52"/>
      <c r="B143" s="160" t="s">
        <v>57</v>
      </c>
      <c r="C143" s="124">
        <v>0</v>
      </c>
      <c r="D143" s="56">
        <v>0</v>
      </c>
      <c r="E143" s="56">
        <f t="shared" ref="E143:E148" si="147">SUM(C143:D143)</f>
        <v>0</v>
      </c>
      <c r="F143" s="58"/>
      <c r="G143" s="55">
        <f>C143</f>
        <v>0</v>
      </c>
      <c r="H143" s="57">
        <v>0</v>
      </c>
      <c r="I143" s="57">
        <f t="shared" ref="I143:I148" si="148">SUM(G143:H143)</f>
        <v>0</v>
      </c>
      <c r="J143" s="58"/>
      <c r="K143" s="55">
        <f>G143</f>
        <v>0</v>
      </c>
      <c r="L143" s="57">
        <v>0</v>
      </c>
      <c r="M143" s="57">
        <f t="shared" ref="M143:M148" si="149">SUM(K143:L143)</f>
        <v>0</v>
      </c>
      <c r="N143" s="58"/>
      <c r="O143" s="55">
        <f>K143</f>
        <v>0</v>
      </c>
      <c r="P143" s="57">
        <v>0</v>
      </c>
      <c r="Q143" s="57">
        <f t="shared" ref="Q143:Q148" si="150">SUM(O143:P143)</f>
        <v>0</v>
      </c>
      <c r="R143" s="58"/>
      <c r="S143" s="55">
        <f>O143</f>
        <v>0</v>
      </c>
      <c r="T143" s="57">
        <v>0</v>
      </c>
      <c r="U143" s="57">
        <f t="shared" ref="U143:U148" si="151">SUM(S143:T143)</f>
        <v>0</v>
      </c>
      <c r="V143" s="59"/>
      <c r="W143" s="124">
        <f t="shared" ref="W143:Y149" si="152">C143+G143+K143+O143+S143</f>
        <v>0</v>
      </c>
      <c r="X143" s="57">
        <f t="shared" si="152"/>
        <v>0</v>
      </c>
      <c r="Y143" s="84">
        <f t="shared" si="152"/>
        <v>0</v>
      </c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</row>
    <row r="144" spans="1:77" s="61" customFormat="1" x14ac:dyDescent="0.25">
      <c r="A144" s="52"/>
      <c r="B144" s="52"/>
      <c r="C144" s="124">
        <v>0</v>
      </c>
      <c r="D144" s="56">
        <v>0</v>
      </c>
      <c r="E144" s="56">
        <f t="shared" si="147"/>
        <v>0</v>
      </c>
      <c r="F144" s="58"/>
      <c r="G144" s="55">
        <v>0</v>
      </c>
      <c r="H144" s="57">
        <v>0</v>
      </c>
      <c r="I144" s="57">
        <f t="shared" si="148"/>
        <v>0</v>
      </c>
      <c r="J144" s="58"/>
      <c r="K144" s="55">
        <v>0</v>
      </c>
      <c r="L144" s="57">
        <v>0</v>
      </c>
      <c r="M144" s="57">
        <f t="shared" si="149"/>
        <v>0</v>
      </c>
      <c r="N144" s="58"/>
      <c r="O144" s="55">
        <v>0</v>
      </c>
      <c r="P144" s="57">
        <v>0</v>
      </c>
      <c r="Q144" s="57">
        <f t="shared" si="150"/>
        <v>0</v>
      </c>
      <c r="R144" s="58"/>
      <c r="S144" s="55">
        <v>0</v>
      </c>
      <c r="T144" s="57">
        <v>0</v>
      </c>
      <c r="U144" s="57">
        <f t="shared" si="151"/>
        <v>0</v>
      </c>
      <c r="V144" s="59"/>
      <c r="W144" s="124">
        <f t="shared" si="152"/>
        <v>0</v>
      </c>
      <c r="X144" s="57">
        <f t="shared" si="152"/>
        <v>0</v>
      </c>
      <c r="Y144" s="84">
        <f t="shared" si="152"/>
        <v>0</v>
      </c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</row>
    <row r="145" spans="1:77" s="61" customFormat="1" x14ac:dyDescent="0.25">
      <c r="A145" s="52"/>
      <c r="B145" s="52"/>
      <c r="C145" s="124">
        <v>0</v>
      </c>
      <c r="D145" s="56">
        <v>0</v>
      </c>
      <c r="E145" s="56">
        <f t="shared" si="147"/>
        <v>0</v>
      </c>
      <c r="F145" s="58"/>
      <c r="G145" s="55">
        <v>0</v>
      </c>
      <c r="H145" s="57">
        <v>0</v>
      </c>
      <c r="I145" s="57">
        <f t="shared" si="148"/>
        <v>0</v>
      </c>
      <c r="J145" s="58"/>
      <c r="K145" s="55">
        <v>0</v>
      </c>
      <c r="L145" s="57">
        <v>0</v>
      </c>
      <c r="M145" s="57">
        <f t="shared" si="149"/>
        <v>0</v>
      </c>
      <c r="N145" s="58"/>
      <c r="O145" s="55">
        <v>0</v>
      </c>
      <c r="P145" s="57">
        <v>0</v>
      </c>
      <c r="Q145" s="57">
        <f t="shared" si="150"/>
        <v>0</v>
      </c>
      <c r="R145" s="58"/>
      <c r="S145" s="55">
        <v>0</v>
      </c>
      <c r="T145" s="57">
        <v>0</v>
      </c>
      <c r="U145" s="57">
        <f t="shared" si="151"/>
        <v>0</v>
      </c>
      <c r="V145" s="59"/>
      <c r="W145" s="124">
        <f t="shared" si="152"/>
        <v>0</v>
      </c>
      <c r="X145" s="57">
        <f t="shared" si="152"/>
        <v>0</v>
      </c>
      <c r="Y145" s="84">
        <f t="shared" si="152"/>
        <v>0</v>
      </c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147"/>
        <v>0</v>
      </c>
      <c r="F146" s="58"/>
      <c r="G146" s="55">
        <v>0</v>
      </c>
      <c r="H146" s="57">
        <v>0</v>
      </c>
      <c r="I146" s="57">
        <f t="shared" si="148"/>
        <v>0</v>
      </c>
      <c r="J146" s="58"/>
      <c r="K146" s="55">
        <v>0</v>
      </c>
      <c r="L146" s="57">
        <v>0</v>
      </c>
      <c r="M146" s="57">
        <f t="shared" si="149"/>
        <v>0</v>
      </c>
      <c r="N146" s="58"/>
      <c r="O146" s="55">
        <v>0</v>
      </c>
      <c r="P146" s="57">
        <v>0</v>
      </c>
      <c r="Q146" s="57">
        <f t="shared" si="150"/>
        <v>0</v>
      </c>
      <c r="R146" s="58"/>
      <c r="S146" s="55">
        <v>0</v>
      </c>
      <c r="T146" s="57">
        <v>0</v>
      </c>
      <c r="U146" s="57">
        <f t="shared" si="151"/>
        <v>0</v>
      </c>
      <c r="V146" s="59"/>
      <c r="W146" s="124">
        <f t="shared" si="152"/>
        <v>0</v>
      </c>
      <c r="X146" s="57">
        <f t="shared" si="152"/>
        <v>0</v>
      </c>
      <c r="Y146" s="84">
        <f t="shared" si="152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147"/>
        <v>0</v>
      </c>
      <c r="F147" s="58"/>
      <c r="G147" s="55">
        <v>0</v>
      </c>
      <c r="H147" s="57">
        <v>0</v>
      </c>
      <c r="I147" s="57">
        <f t="shared" si="148"/>
        <v>0</v>
      </c>
      <c r="J147" s="58"/>
      <c r="K147" s="55">
        <v>0</v>
      </c>
      <c r="L147" s="57">
        <v>0</v>
      </c>
      <c r="M147" s="57">
        <f t="shared" si="149"/>
        <v>0</v>
      </c>
      <c r="N147" s="58"/>
      <c r="O147" s="55">
        <v>0</v>
      </c>
      <c r="P147" s="57">
        <v>0</v>
      </c>
      <c r="Q147" s="57">
        <f t="shared" si="150"/>
        <v>0</v>
      </c>
      <c r="R147" s="58"/>
      <c r="S147" s="55">
        <v>0</v>
      </c>
      <c r="T147" s="57">
        <v>0</v>
      </c>
      <c r="U147" s="57">
        <f t="shared" si="151"/>
        <v>0</v>
      </c>
      <c r="V147" s="59"/>
      <c r="W147" s="124">
        <f t="shared" si="152"/>
        <v>0</v>
      </c>
      <c r="X147" s="57">
        <f t="shared" si="152"/>
        <v>0</v>
      </c>
      <c r="Y147" s="84">
        <f t="shared" si="152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147"/>
        <v>0</v>
      </c>
      <c r="F148" s="58"/>
      <c r="G148" s="55">
        <v>0</v>
      </c>
      <c r="H148" s="57">
        <v>0</v>
      </c>
      <c r="I148" s="57">
        <f t="shared" si="148"/>
        <v>0</v>
      </c>
      <c r="J148" s="58"/>
      <c r="K148" s="55">
        <v>0</v>
      </c>
      <c r="L148" s="57">
        <v>0</v>
      </c>
      <c r="M148" s="57">
        <f t="shared" si="149"/>
        <v>0</v>
      </c>
      <c r="N148" s="58"/>
      <c r="O148" s="55">
        <v>0</v>
      </c>
      <c r="P148" s="57">
        <v>0</v>
      </c>
      <c r="Q148" s="57">
        <f t="shared" si="150"/>
        <v>0</v>
      </c>
      <c r="R148" s="58"/>
      <c r="S148" s="55">
        <v>0</v>
      </c>
      <c r="T148" s="57">
        <v>0</v>
      </c>
      <c r="U148" s="57">
        <f t="shared" si="151"/>
        <v>0</v>
      </c>
      <c r="V148" s="59"/>
      <c r="W148" s="124">
        <f t="shared" si="152"/>
        <v>0</v>
      </c>
      <c r="X148" s="57">
        <f t="shared" si="152"/>
        <v>0</v>
      </c>
      <c r="Y148" s="84">
        <f t="shared" si="152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0</v>
      </c>
      <c r="D149" s="125">
        <f>SUM(D143:D148)</f>
        <v>0</v>
      </c>
      <c r="E149" s="125">
        <f>SUM(E143:E148)</f>
        <v>0</v>
      </c>
      <c r="F149" s="81"/>
      <c r="G149" s="79">
        <f>SUM(G143:G148)</f>
        <v>0</v>
      </c>
      <c r="H149" s="80">
        <f>SUM(H143:H148)</f>
        <v>0</v>
      </c>
      <c r="I149" s="80">
        <f>SUM(I143:I148)</f>
        <v>0</v>
      </c>
      <c r="J149" s="81"/>
      <c r="K149" s="79">
        <f>SUM(K143:K148)</f>
        <v>0</v>
      </c>
      <c r="L149" s="80">
        <f>SUM(L143:L148)</f>
        <v>0</v>
      </c>
      <c r="M149" s="80">
        <f>SUM(M143:M148)</f>
        <v>0</v>
      </c>
      <c r="N149" s="81"/>
      <c r="O149" s="79">
        <f>SUM(O143:O148)</f>
        <v>0</v>
      </c>
      <c r="P149" s="80">
        <f>SUM(P143:P148)</f>
        <v>0</v>
      </c>
      <c r="Q149" s="80">
        <f>SUM(Q143:Q148)</f>
        <v>0</v>
      </c>
      <c r="R149" s="81"/>
      <c r="S149" s="79">
        <f>SUM(S143:S148)</f>
        <v>0</v>
      </c>
      <c r="T149" s="80">
        <f>SUM(T143:T148)</f>
        <v>0</v>
      </c>
      <c r="U149" s="80">
        <f>SUM(U143:U148)</f>
        <v>0</v>
      </c>
      <c r="V149" s="82"/>
      <c r="W149" s="228">
        <f t="shared" si="152"/>
        <v>0</v>
      </c>
      <c r="X149" s="80">
        <f t="shared" si="152"/>
        <v>0</v>
      </c>
      <c r="Y149" s="80">
        <f t="shared" si="152"/>
        <v>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/>
      <c r="B151" s="61" t="s">
        <v>57</v>
      </c>
      <c r="C151" s="124">
        <f>6*1500*0</f>
        <v>0</v>
      </c>
      <c r="D151" s="56">
        <v>0</v>
      </c>
      <c r="E151" s="56">
        <f>SUM(C151:D151)</f>
        <v>0</v>
      </c>
      <c r="F151" s="58"/>
      <c r="G151" s="55">
        <f>C151</f>
        <v>0</v>
      </c>
      <c r="H151" s="56">
        <v>0</v>
      </c>
      <c r="I151" s="56">
        <f>SUM(G151:H151)</f>
        <v>0</v>
      </c>
      <c r="J151" s="58"/>
      <c r="K151" s="55">
        <f>G151</f>
        <v>0</v>
      </c>
      <c r="L151" s="56">
        <v>0</v>
      </c>
      <c r="M151" s="56">
        <f>SUM(K151:L151)</f>
        <v>0</v>
      </c>
      <c r="N151" s="58"/>
      <c r="O151" s="55">
        <f>K151</f>
        <v>0</v>
      </c>
      <c r="P151" s="56">
        <v>0</v>
      </c>
      <c r="Q151" s="56">
        <f>SUM(O151:P151)</f>
        <v>0</v>
      </c>
      <c r="R151" s="58"/>
      <c r="S151" s="55">
        <f>O151</f>
        <v>0</v>
      </c>
      <c r="T151" s="56">
        <v>0</v>
      </c>
      <c r="U151" s="56">
        <f>SUM(S151:T151)</f>
        <v>0</v>
      </c>
      <c r="V151" s="59"/>
      <c r="W151" s="124">
        <f t="shared" ref="W151:Y155" si="153">C151+G151+K151+O151+S151</f>
        <v>0</v>
      </c>
      <c r="X151" s="57">
        <f t="shared" si="153"/>
        <v>0</v>
      </c>
      <c r="Y151" s="84">
        <f t="shared" si="153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77" customFormat="1" x14ac:dyDescent="0.25">
      <c r="A152" s="54"/>
      <c r="B152" s="61" t="s">
        <v>57</v>
      </c>
      <c r="C152" s="124">
        <f>3*4000*0</f>
        <v>0</v>
      </c>
      <c r="D152" s="56">
        <v>0</v>
      </c>
      <c r="E152" s="56">
        <f>SUM(C152:D152)</f>
        <v>0</v>
      </c>
      <c r="F152" s="58"/>
      <c r="G152" s="55">
        <f>3*4000*0</f>
        <v>0</v>
      </c>
      <c r="H152" s="56">
        <v>0</v>
      </c>
      <c r="I152" s="56">
        <f>SUM(G152:H152)</f>
        <v>0</v>
      </c>
      <c r="J152" s="58"/>
      <c r="K152" s="55">
        <f>3*4000*0</f>
        <v>0</v>
      </c>
      <c r="L152" s="56">
        <v>0</v>
      </c>
      <c r="M152" s="56">
        <f>SUM(K152:L152)</f>
        <v>0</v>
      </c>
      <c r="N152" s="58"/>
      <c r="O152" s="55">
        <f>3*4000*0</f>
        <v>0</v>
      </c>
      <c r="P152" s="56">
        <v>0</v>
      </c>
      <c r="Q152" s="56">
        <f>SUM(O152:P152)</f>
        <v>0</v>
      </c>
      <c r="R152" s="58"/>
      <c r="S152" s="55">
        <f>3*4000*0</f>
        <v>0</v>
      </c>
      <c r="T152" s="56">
        <v>0</v>
      </c>
      <c r="U152" s="56">
        <f>SUM(S152:T152)</f>
        <v>0</v>
      </c>
      <c r="V152" s="59"/>
      <c r="W152" s="124">
        <f t="shared" si="153"/>
        <v>0</v>
      </c>
      <c r="X152" s="57">
        <f t="shared" si="153"/>
        <v>0</v>
      </c>
      <c r="Y152" s="84">
        <f t="shared" si="153"/>
        <v>0</v>
      </c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</row>
    <row r="153" spans="1:77" s="77" customFormat="1" x14ac:dyDescent="0.25">
      <c r="A153" s="54"/>
      <c r="B153" s="61" t="s">
        <v>57</v>
      </c>
      <c r="C153" s="124">
        <v>0</v>
      </c>
      <c r="D153" s="56">
        <v>0</v>
      </c>
      <c r="E153" s="56">
        <f>SUM(C153:D153)</f>
        <v>0</v>
      </c>
      <c r="F153" s="58"/>
      <c r="G153" s="55">
        <f>5*5000*0</f>
        <v>0</v>
      </c>
      <c r="H153" s="56">
        <v>0</v>
      </c>
      <c r="I153" s="56">
        <f>SUM(G153:H153)</f>
        <v>0</v>
      </c>
      <c r="J153" s="58"/>
      <c r="K153" s="55">
        <f>G153</f>
        <v>0</v>
      </c>
      <c r="L153" s="56">
        <v>0</v>
      </c>
      <c r="M153" s="56">
        <f>SUM(K153:L153)</f>
        <v>0</v>
      </c>
      <c r="N153" s="58"/>
      <c r="O153" s="55">
        <f>K153</f>
        <v>0</v>
      </c>
      <c r="P153" s="56">
        <v>0</v>
      </c>
      <c r="Q153" s="56">
        <f>SUM(O153:P153)</f>
        <v>0</v>
      </c>
      <c r="R153" s="58"/>
      <c r="S153" s="55">
        <f>O153</f>
        <v>0</v>
      </c>
      <c r="T153" s="56">
        <v>0</v>
      </c>
      <c r="U153" s="56">
        <f>SUM(S153:T153)</f>
        <v>0</v>
      </c>
      <c r="V153" s="59"/>
      <c r="W153" s="124">
        <f t="shared" si="153"/>
        <v>0</v>
      </c>
      <c r="X153" s="57">
        <f t="shared" si="153"/>
        <v>0</v>
      </c>
      <c r="Y153" s="84">
        <f t="shared" si="153"/>
        <v>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s="61" customFormat="1" x14ac:dyDescent="0.25">
      <c r="A154" s="54"/>
      <c r="B154" s="54"/>
      <c r="C154" s="124">
        <v>0</v>
      </c>
      <c r="D154" s="56">
        <v>0</v>
      </c>
      <c r="E154" s="56">
        <f>SUM(C154:D154)</f>
        <v>0</v>
      </c>
      <c r="F154" s="58"/>
      <c r="G154" s="55">
        <v>0</v>
      </c>
      <c r="H154" s="56">
        <v>0</v>
      </c>
      <c r="I154" s="56">
        <f>SUM(G154:H154)</f>
        <v>0</v>
      </c>
      <c r="J154" s="58"/>
      <c r="K154" s="55">
        <v>0</v>
      </c>
      <c r="L154" s="56">
        <v>0</v>
      </c>
      <c r="M154" s="56">
        <f>SUM(K154:L154)</f>
        <v>0</v>
      </c>
      <c r="N154" s="58"/>
      <c r="O154" s="55">
        <v>0</v>
      </c>
      <c r="P154" s="56">
        <v>0</v>
      </c>
      <c r="Q154" s="56">
        <f>SUM(O154:P154)</f>
        <v>0</v>
      </c>
      <c r="R154" s="58"/>
      <c r="S154" s="55">
        <v>0</v>
      </c>
      <c r="T154" s="56">
        <v>0</v>
      </c>
      <c r="U154" s="56">
        <f>SUM(S154:T154)</f>
        <v>0</v>
      </c>
      <c r="V154" s="59"/>
      <c r="W154" s="124">
        <f t="shared" si="153"/>
        <v>0</v>
      </c>
      <c r="X154" s="57">
        <f t="shared" si="153"/>
        <v>0</v>
      </c>
      <c r="Y154" s="84">
        <f t="shared" si="153"/>
        <v>0</v>
      </c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0</v>
      </c>
      <c r="H155" s="80">
        <f>SUM(H151:H154)</f>
        <v>0</v>
      </c>
      <c r="I155" s="80">
        <f>SUM(I151:I154)</f>
        <v>0</v>
      </c>
      <c r="J155" s="81"/>
      <c r="K155" s="79">
        <f>SUM(K151:K154)</f>
        <v>0</v>
      </c>
      <c r="L155" s="80">
        <f>SUM(L151:L154)</f>
        <v>0</v>
      </c>
      <c r="M155" s="80">
        <f>SUM(M151:M154)</f>
        <v>0</v>
      </c>
      <c r="N155" s="81"/>
      <c r="O155" s="79">
        <f>SUM(O151:O154)</f>
        <v>0</v>
      </c>
      <c r="P155" s="80">
        <f>SUM(P151:P154)</f>
        <v>0</v>
      </c>
      <c r="Q155" s="80">
        <f>SUM(Q151:Q154)</f>
        <v>0</v>
      </c>
      <c r="R155" s="81"/>
      <c r="S155" s="79">
        <f>SUM(S151:S154)</f>
        <v>0</v>
      </c>
      <c r="T155" s="80">
        <f>SUM(T151:T154)</f>
        <v>0</v>
      </c>
      <c r="U155" s="80">
        <f>SUM(U151:U154)</f>
        <v>0</v>
      </c>
      <c r="V155" s="82"/>
      <c r="W155" s="228">
        <f t="shared" si="153"/>
        <v>0</v>
      </c>
      <c r="X155" s="80">
        <f t="shared" si="153"/>
        <v>0</v>
      </c>
      <c r="Y155" s="80">
        <f t="shared" si="153"/>
        <v>0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2"/>
      <c r="B157" s="52"/>
      <c r="C157" s="124">
        <v>0</v>
      </c>
      <c r="D157" s="56">
        <v>0</v>
      </c>
      <c r="E157" s="56">
        <f t="shared" ref="E157:E172" si="154">SUM(C157:D157)</f>
        <v>0</v>
      </c>
      <c r="F157" s="58"/>
      <c r="G157" s="55">
        <v>0</v>
      </c>
      <c r="H157" s="57">
        <v>0</v>
      </c>
      <c r="I157" s="57">
        <f t="shared" ref="I157:I172" si="155">SUM(G157:H157)</f>
        <v>0</v>
      </c>
      <c r="J157" s="58"/>
      <c r="K157" s="55">
        <v>0</v>
      </c>
      <c r="L157" s="57">
        <v>0</v>
      </c>
      <c r="M157" s="57">
        <f t="shared" ref="M157:M172" si="156">SUM(K157:L157)</f>
        <v>0</v>
      </c>
      <c r="N157" s="58"/>
      <c r="O157" s="55">
        <v>0</v>
      </c>
      <c r="P157" s="57">
        <v>0</v>
      </c>
      <c r="Q157" s="57">
        <f t="shared" ref="Q157:Q172" si="157">SUM(O157:P157)</f>
        <v>0</v>
      </c>
      <c r="R157" s="58"/>
      <c r="S157" s="55">
        <v>0</v>
      </c>
      <c r="T157" s="57">
        <v>0</v>
      </c>
      <c r="U157" s="57">
        <f t="shared" ref="U157:U172" si="158">SUM(S157:T157)</f>
        <v>0</v>
      </c>
      <c r="V157" s="59"/>
      <c r="W157" s="124">
        <f t="shared" ref="W157:W173" si="159">C157+G157+K157+O157+S157</f>
        <v>0</v>
      </c>
      <c r="X157" s="57">
        <f t="shared" ref="X157:X173" si="160">D157+H157+L157+P157+T157</f>
        <v>0</v>
      </c>
      <c r="Y157" s="84">
        <f t="shared" ref="Y157:Y173" si="161">E157+I157+M157+Q157+U157</f>
        <v>0</v>
      </c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</row>
    <row r="158" spans="1:77" s="61" customFormat="1" x14ac:dyDescent="0.25">
      <c r="A158" s="203" t="s">
        <v>57</v>
      </c>
      <c r="B158" s="52" t="s">
        <v>57</v>
      </c>
      <c r="C158" s="124">
        <f>(15000-5000)*0</f>
        <v>0</v>
      </c>
      <c r="D158" s="56">
        <v>0</v>
      </c>
      <c r="E158" s="56">
        <f t="shared" si="154"/>
        <v>0</v>
      </c>
      <c r="F158" s="58"/>
      <c r="G158" s="55">
        <f>C158</f>
        <v>0</v>
      </c>
      <c r="H158" s="57">
        <v>0</v>
      </c>
      <c r="I158" s="57">
        <f t="shared" si="155"/>
        <v>0</v>
      </c>
      <c r="J158" s="58"/>
      <c r="K158" s="55">
        <f>G158</f>
        <v>0</v>
      </c>
      <c r="L158" s="57">
        <v>0</v>
      </c>
      <c r="M158" s="57">
        <f t="shared" si="156"/>
        <v>0</v>
      </c>
      <c r="N158" s="58"/>
      <c r="O158" s="55">
        <f>K158</f>
        <v>0</v>
      </c>
      <c r="P158" s="57">
        <v>0</v>
      </c>
      <c r="Q158" s="57">
        <f t="shared" si="157"/>
        <v>0</v>
      </c>
      <c r="R158" s="58"/>
      <c r="S158" s="55">
        <f>O158</f>
        <v>0</v>
      </c>
      <c r="T158" s="57">
        <v>0</v>
      </c>
      <c r="U158" s="57">
        <f t="shared" si="158"/>
        <v>0</v>
      </c>
      <c r="V158" s="59"/>
      <c r="W158" s="124">
        <f t="shared" si="159"/>
        <v>0</v>
      </c>
      <c r="X158" s="57">
        <f t="shared" si="160"/>
        <v>0</v>
      </c>
      <c r="Y158" s="84">
        <f t="shared" si="161"/>
        <v>0</v>
      </c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</row>
    <row r="159" spans="1:77" s="61" customFormat="1" x14ac:dyDescent="0.25">
      <c r="A159" s="52"/>
      <c r="B159" s="54" t="s">
        <v>57</v>
      </c>
      <c r="C159" s="124">
        <f>3000*2*0</f>
        <v>0</v>
      </c>
      <c r="D159" s="56">
        <v>0</v>
      </c>
      <c r="E159" s="56">
        <f t="shared" si="154"/>
        <v>0</v>
      </c>
      <c r="F159" s="58"/>
      <c r="G159" s="55">
        <f>3000*2*0</f>
        <v>0</v>
      </c>
      <c r="H159" s="57">
        <v>0</v>
      </c>
      <c r="I159" s="57">
        <f t="shared" si="155"/>
        <v>0</v>
      </c>
      <c r="J159" s="58"/>
      <c r="K159" s="55">
        <f>G159</f>
        <v>0</v>
      </c>
      <c r="L159" s="57">
        <v>0</v>
      </c>
      <c r="M159" s="57">
        <f t="shared" si="156"/>
        <v>0</v>
      </c>
      <c r="N159" s="58"/>
      <c r="O159" s="55">
        <f>3000*2*0</f>
        <v>0</v>
      </c>
      <c r="P159" s="57">
        <v>0</v>
      </c>
      <c r="Q159" s="57">
        <f t="shared" si="157"/>
        <v>0</v>
      </c>
      <c r="R159" s="58"/>
      <c r="S159" s="55">
        <v>0</v>
      </c>
      <c r="T159" s="57">
        <v>0</v>
      </c>
      <c r="U159" s="57">
        <f t="shared" si="158"/>
        <v>0</v>
      </c>
      <c r="V159" s="59"/>
      <c r="W159" s="124">
        <f t="shared" si="159"/>
        <v>0</v>
      </c>
      <c r="X159" s="56">
        <f t="shared" si="160"/>
        <v>0</v>
      </c>
      <c r="Y159" s="85">
        <f t="shared" si="161"/>
        <v>0</v>
      </c>
      <c r="Z159" s="160"/>
      <c r="AA159" s="160"/>
      <c r="AB159" s="160"/>
      <c r="AC159" s="160"/>
    </row>
    <row r="160" spans="1:77" s="61" customFormat="1" x14ac:dyDescent="0.25">
      <c r="A160" s="54"/>
      <c r="B160" s="52" t="s">
        <v>57</v>
      </c>
      <c r="C160" s="124">
        <f>5*500*0</f>
        <v>0</v>
      </c>
      <c r="D160" s="56">
        <v>0</v>
      </c>
      <c r="E160" s="56">
        <f t="shared" si="154"/>
        <v>0</v>
      </c>
      <c r="F160" s="58"/>
      <c r="G160" s="55">
        <f>5*500*0</f>
        <v>0</v>
      </c>
      <c r="H160" s="57">
        <v>0</v>
      </c>
      <c r="I160" s="57">
        <f t="shared" si="155"/>
        <v>0</v>
      </c>
      <c r="J160" s="58"/>
      <c r="K160" s="55">
        <f>G160</f>
        <v>0</v>
      </c>
      <c r="L160" s="57">
        <v>0</v>
      </c>
      <c r="M160" s="57">
        <f t="shared" si="156"/>
        <v>0</v>
      </c>
      <c r="N160" s="58"/>
      <c r="O160" s="55">
        <f>K160</f>
        <v>0</v>
      </c>
      <c r="P160" s="57">
        <v>0</v>
      </c>
      <c r="Q160" s="57">
        <f t="shared" si="157"/>
        <v>0</v>
      </c>
      <c r="R160" s="58"/>
      <c r="S160" s="55">
        <f>O160</f>
        <v>0</v>
      </c>
      <c r="T160" s="57">
        <v>0</v>
      </c>
      <c r="U160" s="57">
        <f t="shared" si="158"/>
        <v>0</v>
      </c>
      <c r="V160" s="59"/>
      <c r="W160" s="124">
        <f t="shared" si="159"/>
        <v>0</v>
      </c>
      <c r="X160" s="57">
        <f t="shared" si="160"/>
        <v>0</v>
      </c>
      <c r="Y160" s="84">
        <f t="shared" si="161"/>
        <v>0</v>
      </c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</row>
    <row r="161" spans="1:77" s="61" customFormat="1" x14ac:dyDescent="0.25">
      <c r="A161" s="54"/>
      <c r="B161" s="54" t="s">
        <v>57</v>
      </c>
      <c r="C161" s="124">
        <v>0</v>
      </c>
      <c r="D161" s="56">
        <v>0</v>
      </c>
      <c r="E161" s="56">
        <f t="shared" si="154"/>
        <v>0</v>
      </c>
      <c r="F161" s="58"/>
      <c r="G161" s="55">
        <f>(8)*500*0</f>
        <v>0</v>
      </c>
      <c r="H161" s="57">
        <f>7685*0</f>
        <v>0</v>
      </c>
      <c r="I161" s="57">
        <f t="shared" si="155"/>
        <v>0</v>
      </c>
      <c r="J161" s="58"/>
      <c r="K161" s="55">
        <f>G161</f>
        <v>0</v>
      </c>
      <c r="L161" s="57">
        <v>0</v>
      </c>
      <c r="M161" s="57">
        <f t="shared" si="156"/>
        <v>0</v>
      </c>
      <c r="N161" s="58"/>
      <c r="O161" s="55">
        <f>K161</f>
        <v>0</v>
      </c>
      <c r="P161" s="57">
        <v>0</v>
      </c>
      <c r="Q161" s="57">
        <f t="shared" si="157"/>
        <v>0</v>
      </c>
      <c r="R161" s="58"/>
      <c r="S161" s="55">
        <f>O161</f>
        <v>0</v>
      </c>
      <c r="T161" s="57">
        <v>0</v>
      </c>
      <c r="U161" s="57">
        <f t="shared" si="158"/>
        <v>0</v>
      </c>
      <c r="V161" s="59"/>
      <c r="W161" s="124">
        <f t="shared" si="159"/>
        <v>0</v>
      </c>
      <c r="X161" s="196">
        <f t="shared" si="160"/>
        <v>0</v>
      </c>
      <c r="Y161" s="194">
        <f t="shared" si="161"/>
        <v>0</v>
      </c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1" customFormat="1" x14ac:dyDescent="0.25">
      <c r="A162" s="52"/>
      <c r="B162" s="52"/>
      <c r="C162" s="124">
        <v>0</v>
      </c>
      <c r="D162" s="56">
        <v>0</v>
      </c>
      <c r="E162" s="56">
        <f t="shared" si="154"/>
        <v>0</v>
      </c>
      <c r="F162" s="58"/>
      <c r="G162" s="55">
        <v>0</v>
      </c>
      <c r="H162" s="57">
        <v>0</v>
      </c>
      <c r="I162" s="57">
        <f t="shared" si="155"/>
        <v>0</v>
      </c>
      <c r="J162" s="58"/>
      <c r="K162" s="55">
        <v>0</v>
      </c>
      <c r="L162" s="57">
        <v>0</v>
      </c>
      <c r="M162" s="57">
        <f t="shared" si="156"/>
        <v>0</v>
      </c>
      <c r="N162" s="58"/>
      <c r="O162" s="55">
        <v>0</v>
      </c>
      <c r="P162" s="57">
        <v>0</v>
      </c>
      <c r="Q162" s="57">
        <f t="shared" si="157"/>
        <v>0</v>
      </c>
      <c r="R162" s="58"/>
      <c r="S162" s="55">
        <v>0</v>
      </c>
      <c r="T162" s="57">
        <v>0</v>
      </c>
      <c r="U162" s="57">
        <f t="shared" si="158"/>
        <v>0</v>
      </c>
      <c r="V162" s="59"/>
      <c r="W162" s="124">
        <f t="shared" si="159"/>
        <v>0</v>
      </c>
      <c r="X162" s="57">
        <f t="shared" si="160"/>
        <v>0</v>
      </c>
      <c r="Y162" s="84">
        <f t="shared" si="161"/>
        <v>0</v>
      </c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</row>
    <row r="163" spans="1:77" s="61" customFormat="1" x14ac:dyDescent="0.25">
      <c r="A163" s="87"/>
      <c r="B163" s="52"/>
      <c r="C163" s="124">
        <v>0</v>
      </c>
      <c r="D163" s="56">
        <v>0</v>
      </c>
      <c r="E163" s="56">
        <f t="shared" si="154"/>
        <v>0</v>
      </c>
      <c r="F163" s="58"/>
      <c r="G163" s="55">
        <v>0</v>
      </c>
      <c r="H163" s="57">
        <v>0</v>
      </c>
      <c r="I163" s="57">
        <f t="shared" si="155"/>
        <v>0</v>
      </c>
      <c r="J163" s="58"/>
      <c r="K163" s="55">
        <v>0</v>
      </c>
      <c r="L163" s="57">
        <v>0</v>
      </c>
      <c r="M163" s="57">
        <f t="shared" si="156"/>
        <v>0</v>
      </c>
      <c r="N163" s="58"/>
      <c r="O163" s="55">
        <v>0</v>
      </c>
      <c r="P163" s="57">
        <v>0</v>
      </c>
      <c r="Q163" s="57">
        <f t="shared" si="157"/>
        <v>0</v>
      </c>
      <c r="R163" s="58"/>
      <c r="S163" s="55">
        <v>0</v>
      </c>
      <c r="T163" s="57">
        <v>0</v>
      </c>
      <c r="U163" s="57">
        <f t="shared" si="158"/>
        <v>0</v>
      </c>
      <c r="V163" s="59"/>
      <c r="W163" s="124">
        <f t="shared" si="159"/>
        <v>0</v>
      </c>
      <c r="X163" s="57">
        <f t="shared" si="160"/>
        <v>0</v>
      </c>
      <c r="Y163" s="84">
        <f t="shared" si="161"/>
        <v>0</v>
      </c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s="61" customFormat="1" x14ac:dyDescent="0.25">
      <c r="A164" s="52"/>
      <c r="B164" s="52"/>
      <c r="C164" s="124">
        <v>0</v>
      </c>
      <c r="D164" s="56">
        <v>0</v>
      </c>
      <c r="E164" s="56">
        <f t="shared" si="154"/>
        <v>0</v>
      </c>
      <c r="F164" s="58"/>
      <c r="G164" s="55">
        <v>0</v>
      </c>
      <c r="H164" s="57">
        <v>0</v>
      </c>
      <c r="I164" s="57">
        <f t="shared" si="155"/>
        <v>0</v>
      </c>
      <c r="J164" s="58"/>
      <c r="K164" s="55">
        <v>0</v>
      </c>
      <c r="L164" s="57">
        <v>0</v>
      </c>
      <c r="M164" s="57">
        <f t="shared" si="156"/>
        <v>0</v>
      </c>
      <c r="N164" s="58"/>
      <c r="O164" s="55">
        <v>0</v>
      </c>
      <c r="P164" s="57">
        <v>0</v>
      </c>
      <c r="Q164" s="57">
        <f t="shared" si="157"/>
        <v>0</v>
      </c>
      <c r="R164" s="58"/>
      <c r="S164" s="55">
        <v>0</v>
      </c>
      <c r="T164" s="57">
        <v>0</v>
      </c>
      <c r="U164" s="57">
        <f t="shared" si="158"/>
        <v>0</v>
      </c>
      <c r="V164" s="59"/>
      <c r="W164" s="124">
        <f t="shared" si="159"/>
        <v>0</v>
      </c>
      <c r="X164" s="57">
        <f t="shared" si="160"/>
        <v>0</v>
      </c>
      <c r="Y164" s="84">
        <f t="shared" si="161"/>
        <v>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/>
      <c r="C165" s="124">
        <v>0</v>
      </c>
      <c r="D165" s="56">
        <v>0</v>
      </c>
      <c r="E165" s="56">
        <f t="shared" si="154"/>
        <v>0</v>
      </c>
      <c r="F165" s="58"/>
      <c r="G165" s="55">
        <v>0</v>
      </c>
      <c r="H165" s="57">
        <v>0</v>
      </c>
      <c r="I165" s="57">
        <f t="shared" si="155"/>
        <v>0</v>
      </c>
      <c r="J165" s="58"/>
      <c r="K165" s="55">
        <v>0</v>
      </c>
      <c r="L165" s="57">
        <v>0</v>
      </c>
      <c r="M165" s="57">
        <f t="shared" si="156"/>
        <v>0</v>
      </c>
      <c r="N165" s="58"/>
      <c r="O165" s="55">
        <v>0</v>
      </c>
      <c r="P165" s="57">
        <v>0</v>
      </c>
      <c r="Q165" s="57">
        <f t="shared" si="157"/>
        <v>0</v>
      </c>
      <c r="R165" s="58"/>
      <c r="S165" s="55">
        <v>0</v>
      </c>
      <c r="T165" s="57">
        <v>0</v>
      </c>
      <c r="U165" s="57">
        <f t="shared" si="158"/>
        <v>0</v>
      </c>
      <c r="V165" s="59"/>
      <c r="W165" s="124">
        <f t="shared" si="159"/>
        <v>0</v>
      </c>
      <c r="X165" s="57">
        <f t="shared" si="160"/>
        <v>0</v>
      </c>
      <c r="Y165" s="84">
        <f t="shared" si="161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2"/>
      <c r="C166" s="124">
        <v>0</v>
      </c>
      <c r="D166" s="56">
        <v>0</v>
      </c>
      <c r="E166" s="56">
        <f t="shared" si="154"/>
        <v>0</v>
      </c>
      <c r="F166" s="58"/>
      <c r="G166" s="55">
        <v>0</v>
      </c>
      <c r="H166" s="57">
        <v>0</v>
      </c>
      <c r="I166" s="57">
        <f t="shared" si="155"/>
        <v>0</v>
      </c>
      <c r="J166" s="58"/>
      <c r="K166" s="55">
        <v>0</v>
      </c>
      <c r="L166" s="57">
        <v>0</v>
      </c>
      <c r="M166" s="57">
        <f t="shared" si="156"/>
        <v>0</v>
      </c>
      <c r="N166" s="58"/>
      <c r="O166" s="55">
        <v>0</v>
      </c>
      <c r="P166" s="57">
        <v>0</v>
      </c>
      <c r="Q166" s="57">
        <f t="shared" si="157"/>
        <v>0</v>
      </c>
      <c r="R166" s="58"/>
      <c r="S166" s="55">
        <v>0</v>
      </c>
      <c r="T166" s="57">
        <v>0</v>
      </c>
      <c r="U166" s="57">
        <f t="shared" si="158"/>
        <v>0</v>
      </c>
      <c r="V166" s="59"/>
      <c r="W166" s="124">
        <f t="shared" si="159"/>
        <v>0</v>
      </c>
      <c r="X166" s="57">
        <f t="shared" si="160"/>
        <v>0</v>
      </c>
      <c r="Y166" s="84">
        <f t="shared" si="161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154"/>
        <v>0</v>
      </c>
      <c r="F167" s="58"/>
      <c r="G167" s="55">
        <v>0</v>
      </c>
      <c r="H167" s="57">
        <v>0</v>
      </c>
      <c r="I167" s="57">
        <f t="shared" si="155"/>
        <v>0</v>
      </c>
      <c r="J167" s="58"/>
      <c r="K167" s="55">
        <v>0</v>
      </c>
      <c r="L167" s="57">
        <v>0</v>
      </c>
      <c r="M167" s="57">
        <f t="shared" si="156"/>
        <v>0</v>
      </c>
      <c r="N167" s="58"/>
      <c r="O167" s="55">
        <v>0</v>
      </c>
      <c r="P167" s="57">
        <v>0</v>
      </c>
      <c r="Q167" s="57">
        <f t="shared" si="157"/>
        <v>0</v>
      </c>
      <c r="R167" s="58"/>
      <c r="S167" s="55">
        <v>0</v>
      </c>
      <c r="T167" s="57">
        <v>0</v>
      </c>
      <c r="U167" s="57">
        <f t="shared" si="158"/>
        <v>0</v>
      </c>
      <c r="V167" s="59"/>
      <c r="W167" s="124">
        <f t="shared" si="159"/>
        <v>0</v>
      </c>
      <c r="X167" s="57">
        <f t="shared" si="160"/>
        <v>0</v>
      </c>
      <c r="Y167" s="84">
        <f t="shared" si="161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154"/>
        <v>0</v>
      </c>
      <c r="F168" s="58"/>
      <c r="G168" s="55">
        <v>0</v>
      </c>
      <c r="H168" s="57">
        <v>0</v>
      </c>
      <c r="I168" s="57">
        <f t="shared" si="155"/>
        <v>0</v>
      </c>
      <c r="J168" s="58"/>
      <c r="K168" s="55">
        <v>0</v>
      </c>
      <c r="L168" s="57">
        <v>0</v>
      </c>
      <c r="M168" s="57">
        <f t="shared" si="156"/>
        <v>0</v>
      </c>
      <c r="N168" s="58"/>
      <c r="O168" s="55">
        <v>0</v>
      </c>
      <c r="P168" s="57">
        <v>0</v>
      </c>
      <c r="Q168" s="57">
        <f t="shared" si="157"/>
        <v>0</v>
      </c>
      <c r="R168" s="58"/>
      <c r="S168" s="55">
        <v>0</v>
      </c>
      <c r="T168" s="57">
        <v>0</v>
      </c>
      <c r="U168" s="57">
        <f t="shared" si="158"/>
        <v>0</v>
      </c>
      <c r="V168" s="59"/>
      <c r="W168" s="124">
        <f t="shared" si="159"/>
        <v>0</v>
      </c>
      <c r="X168" s="57">
        <f t="shared" si="160"/>
        <v>0</v>
      </c>
      <c r="Y168" s="84">
        <f t="shared" si="161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154"/>
        <v>0</v>
      </c>
      <c r="F169" s="58"/>
      <c r="G169" s="55">
        <v>0</v>
      </c>
      <c r="H169" s="57">
        <v>0</v>
      </c>
      <c r="I169" s="57">
        <f t="shared" si="155"/>
        <v>0</v>
      </c>
      <c r="J169" s="58"/>
      <c r="K169" s="55">
        <v>0</v>
      </c>
      <c r="L169" s="57">
        <v>0</v>
      </c>
      <c r="M169" s="57">
        <f t="shared" si="156"/>
        <v>0</v>
      </c>
      <c r="N169" s="58"/>
      <c r="O169" s="55">
        <v>0</v>
      </c>
      <c r="P169" s="57">
        <v>0</v>
      </c>
      <c r="Q169" s="57">
        <f t="shared" si="157"/>
        <v>0</v>
      </c>
      <c r="R169" s="58"/>
      <c r="S169" s="55">
        <v>0</v>
      </c>
      <c r="T169" s="57">
        <v>0</v>
      </c>
      <c r="U169" s="57">
        <f t="shared" si="158"/>
        <v>0</v>
      </c>
      <c r="V169" s="59"/>
      <c r="W169" s="124">
        <f t="shared" si="159"/>
        <v>0</v>
      </c>
      <c r="X169" s="57">
        <f t="shared" si="160"/>
        <v>0</v>
      </c>
      <c r="Y169" s="84">
        <f t="shared" si="161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154"/>
        <v>0</v>
      </c>
      <c r="F170" s="58"/>
      <c r="G170" s="55">
        <v>0</v>
      </c>
      <c r="H170" s="57">
        <v>0</v>
      </c>
      <c r="I170" s="57">
        <f t="shared" si="155"/>
        <v>0</v>
      </c>
      <c r="J170" s="58"/>
      <c r="K170" s="55">
        <v>0</v>
      </c>
      <c r="L170" s="57">
        <v>0</v>
      </c>
      <c r="M170" s="57">
        <f t="shared" si="156"/>
        <v>0</v>
      </c>
      <c r="N170" s="58"/>
      <c r="O170" s="55">
        <v>0</v>
      </c>
      <c r="P170" s="57">
        <v>0</v>
      </c>
      <c r="Q170" s="57">
        <f t="shared" si="157"/>
        <v>0</v>
      </c>
      <c r="R170" s="58"/>
      <c r="S170" s="55">
        <v>0</v>
      </c>
      <c r="T170" s="57">
        <v>0</v>
      </c>
      <c r="U170" s="57">
        <f t="shared" si="158"/>
        <v>0</v>
      </c>
      <c r="V170" s="59"/>
      <c r="W170" s="124">
        <f t="shared" si="159"/>
        <v>0</v>
      </c>
      <c r="X170" s="57">
        <f t="shared" si="160"/>
        <v>0</v>
      </c>
      <c r="Y170" s="84">
        <f t="shared" si="161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154"/>
        <v>0</v>
      </c>
      <c r="F171" s="58"/>
      <c r="G171" s="55">
        <v>0</v>
      </c>
      <c r="H171" s="57">
        <v>0</v>
      </c>
      <c r="I171" s="57">
        <f t="shared" si="155"/>
        <v>0</v>
      </c>
      <c r="J171" s="58"/>
      <c r="K171" s="55">
        <v>0</v>
      </c>
      <c r="L171" s="57">
        <v>0</v>
      </c>
      <c r="M171" s="57">
        <f t="shared" si="156"/>
        <v>0</v>
      </c>
      <c r="N171" s="58"/>
      <c r="O171" s="55">
        <v>0</v>
      </c>
      <c r="P171" s="57">
        <v>0</v>
      </c>
      <c r="Q171" s="57">
        <f t="shared" si="157"/>
        <v>0</v>
      </c>
      <c r="R171" s="58"/>
      <c r="S171" s="55">
        <v>0</v>
      </c>
      <c r="T171" s="57">
        <v>0</v>
      </c>
      <c r="U171" s="57">
        <f t="shared" si="158"/>
        <v>0</v>
      </c>
      <c r="V171" s="59"/>
      <c r="W171" s="124">
        <f t="shared" si="159"/>
        <v>0</v>
      </c>
      <c r="X171" s="57">
        <f t="shared" si="160"/>
        <v>0</v>
      </c>
      <c r="Y171" s="84">
        <f t="shared" si="161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154"/>
        <v>0</v>
      </c>
      <c r="F172" s="58"/>
      <c r="G172" s="55">
        <v>0</v>
      </c>
      <c r="H172" s="57">
        <v>0</v>
      </c>
      <c r="I172" s="57">
        <f t="shared" si="155"/>
        <v>0</v>
      </c>
      <c r="J172" s="58"/>
      <c r="K172" s="55">
        <v>0</v>
      </c>
      <c r="L172" s="57">
        <v>0</v>
      </c>
      <c r="M172" s="57">
        <f t="shared" si="156"/>
        <v>0</v>
      </c>
      <c r="N172" s="58"/>
      <c r="O172" s="55">
        <v>0</v>
      </c>
      <c r="P172" s="57">
        <v>0</v>
      </c>
      <c r="Q172" s="57">
        <f t="shared" si="157"/>
        <v>0</v>
      </c>
      <c r="R172" s="58"/>
      <c r="S172" s="55">
        <v>0</v>
      </c>
      <c r="T172" s="57">
        <v>0</v>
      </c>
      <c r="U172" s="57">
        <f t="shared" si="158"/>
        <v>0</v>
      </c>
      <c r="V172" s="59"/>
      <c r="W172" s="124">
        <f t="shared" si="159"/>
        <v>0</v>
      </c>
      <c r="X172" s="57">
        <f t="shared" si="160"/>
        <v>0</v>
      </c>
      <c r="Y172" s="84">
        <f t="shared" si="161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0</v>
      </c>
      <c r="D173" s="153">
        <f>SUM(D157:D172)</f>
        <v>0</v>
      </c>
      <c r="E173" s="153">
        <f>SUM(E157:E172)</f>
        <v>0</v>
      </c>
      <c r="F173" s="154"/>
      <c r="G173" s="152">
        <f>SUM(G157:G172)</f>
        <v>0</v>
      </c>
      <c r="H173" s="155">
        <f>SUM(H157:H172)</f>
        <v>0</v>
      </c>
      <c r="I173" s="155">
        <f>SUM(I157:I172)</f>
        <v>0</v>
      </c>
      <c r="J173" s="154"/>
      <c r="K173" s="152">
        <f>SUM(K157:K172)</f>
        <v>0</v>
      </c>
      <c r="L173" s="155">
        <f>SUM(L157:L172)</f>
        <v>0</v>
      </c>
      <c r="M173" s="155">
        <f>SUM(M157:M172)</f>
        <v>0</v>
      </c>
      <c r="N173" s="154"/>
      <c r="O173" s="152">
        <f>SUM(O157:O172)</f>
        <v>0</v>
      </c>
      <c r="P173" s="155">
        <f>SUM(P157:P172)</f>
        <v>0</v>
      </c>
      <c r="Q173" s="155">
        <f>SUM(Q157:Q172)</f>
        <v>0</v>
      </c>
      <c r="R173" s="154"/>
      <c r="S173" s="152">
        <f>SUM(S157:S172)</f>
        <v>0</v>
      </c>
      <c r="T173" s="155">
        <f>SUM(T157:T172)</f>
        <v>0</v>
      </c>
      <c r="U173" s="155">
        <f>SUM(U157:U172)</f>
        <v>0</v>
      </c>
      <c r="V173" s="82"/>
      <c r="W173" s="228">
        <f t="shared" si="159"/>
        <v>0</v>
      </c>
      <c r="X173" s="80">
        <f t="shared" si="160"/>
        <v>0</v>
      </c>
      <c r="Y173" s="80">
        <f t="shared" si="161"/>
        <v>0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>(C173+ C155+C149+C141+C125)</f>
        <v>15400</v>
      </c>
      <c r="D174" s="104">
        <f t="shared" ref="D174:Y174" si="162">(D173+ D155+D149+D141+D125)</f>
        <v>0</v>
      </c>
      <c r="E174" s="104">
        <f t="shared" si="162"/>
        <v>15400</v>
      </c>
      <c r="F174" s="104">
        <f t="shared" si="162"/>
        <v>0</v>
      </c>
      <c r="G174" s="104">
        <f t="shared" si="162"/>
        <v>15400</v>
      </c>
      <c r="H174" s="104">
        <f t="shared" si="162"/>
        <v>0</v>
      </c>
      <c r="I174" s="104">
        <f t="shared" si="162"/>
        <v>15400</v>
      </c>
      <c r="J174" s="104">
        <f t="shared" si="162"/>
        <v>0</v>
      </c>
      <c r="K174" s="104">
        <f t="shared" si="162"/>
        <v>15400</v>
      </c>
      <c r="L174" s="104">
        <f t="shared" si="162"/>
        <v>0</v>
      </c>
      <c r="M174" s="104">
        <f t="shared" si="162"/>
        <v>15400</v>
      </c>
      <c r="N174" s="104">
        <f t="shared" si="162"/>
        <v>0</v>
      </c>
      <c r="O174" s="104">
        <f t="shared" si="162"/>
        <v>15400</v>
      </c>
      <c r="P174" s="104">
        <f t="shared" si="162"/>
        <v>0</v>
      </c>
      <c r="Q174" s="104">
        <f t="shared" si="162"/>
        <v>15400</v>
      </c>
      <c r="R174" s="104">
        <f t="shared" si="162"/>
        <v>0</v>
      </c>
      <c r="S174" s="104">
        <f t="shared" si="162"/>
        <v>0</v>
      </c>
      <c r="T174" s="104">
        <f t="shared" si="162"/>
        <v>0</v>
      </c>
      <c r="U174" s="104">
        <f t="shared" si="162"/>
        <v>0</v>
      </c>
      <c r="V174" s="104">
        <f t="shared" si="162"/>
        <v>0</v>
      </c>
      <c r="W174" s="104">
        <f t="shared" si="162"/>
        <v>61600</v>
      </c>
      <c r="X174" s="104">
        <f t="shared" si="162"/>
        <v>0</v>
      </c>
      <c r="Y174" s="104">
        <f t="shared" si="162"/>
        <v>61600</v>
      </c>
      <c r="Z174" s="105">
        <f>(SUM(C174+G174+K174)/3)</f>
        <v>15400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((C125+C149+C173)*0.405)+0.4</f>
        <v>6237.4</v>
      </c>
      <c r="D175" s="104">
        <v>0</v>
      </c>
      <c r="E175" s="104">
        <f>C175</f>
        <v>6237.4</v>
      </c>
      <c r="F175" s="104">
        <f>(F125+F149+F173)*0.39</f>
        <v>0</v>
      </c>
      <c r="G175" s="104">
        <f>((G125+G149+G173)*0.405)</f>
        <v>6237</v>
      </c>
      <c r="H175" s="104">
        <v>0</v>
      </c>
      <c r="I175" s="104">
        <f>G175</f>
        <v>6237</v>
      </c>
      <c r="J175" s="104">
        <f>(J125+J149+J173)*0.39</f>
        <v>0</v>
      </c>
      <c r="K175" s="104">
        <f>(K125+K149+K173)*0.405</f>
        <v>6237</v>
      </c>
      <c r="L175" s="104">
        <v>0</v>
      </c>
      <c r="M175" s="104">
        <f>K175</f>
        <v>6237</v>
      </c>
      <c r="N175" s="104">
        <f>(N125+N149+N173)*0.39</f>
        <v>0</v>
      </c>
      <c r="O175" s="104">
        <f>(O125+O149+O173)*0.405</f>
        <v>6237</v>
      </c>
      <c r="P175" s="104">
        <v>0</v>
      </c>
      <c r="Q175" s="104">
        <f>O175</f>
        <v>6237</v>
      </c>
      <c r="R175" s="104">
        <f>(R125+R149+R173)*0.39</f>
        <v>0</v>
      </c>
      <c r="S175" s="104">
        <f>(S125+S149+S173)*0.405</f>
        <v>0</v>
      </c>
      <c r="T175" s="104">
        <v>0</v>
      </c>
      <c r="U175" s="104">
        <f>S175</f>
        <v>0</v>
      </c>
      <c r="V175" s="104">
        <f>(V125+V149+V173)*0.39</f>
        <v>0</v>
      </c>
      <c r="W175" s="104">
        <f>(W125+W149+W173)*0.405</f>
        <v>24948</v>
      </c>
      <c r="X175" s="104">
        <v>0</v>
      </c>
      <c r="Y175" s="104">
        <f>W175</f>
        <v>24948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</f>
        <v>21637.4</v>
      </c>
      <c r="D176" s="104">
        <f t="shared" ref="D176:Y176" si="163">D174+D175</f>
        <v>0</v>
      </c>
      <c r="E176" s="104">
        <f t="shared" si="163"/>
        <v>21637.4</v>
      </c>
      <c r="F176" s="104">
        <f t="shared" si="163"/>
        <v>0</v>
      </c>
      <c r="G176" s="104">
        <f t="shared" si="163"/>
        <v>21637</v>
      </c>
      <c r="H176" s="104">
        <f t="shared" si="163"/>
        <v>0</v>
      </c>
      <c r="I176" s="104">
        <f t="shared" si="163"/>
        <v>21637</v>
      </c>
      <c r="J176" s="104">
        <f t="shared" si="163"/>
        <v>0</v>
      </c>
      <c r="K176" s="104">
        <f t="shared" si="163"/>
        <v>21637</v>
      </c>
      <c r="L176" s="104">
        <f t="shared" si="163"/>
        <v>0</v>
      </c>
      <c r="M176" s="104">
        <f t="shared" si="163"/>
        <v>21637</v>
      </c>
      <c r="N176" s="104">
        <f t="shared" si="163"/>
        <v>0</v>
      </c>
      <c r="O176" s="104">
        <f t="shared" si="163"/>
        <v>21637</v>
      </c>
      <c r="P176" s="104">
        <f t="shared" si="163"/>
        <v>0</v>
      </c>
      <c r="Q176" s="104">
        <f t="shared" si="163"/>
        <v>21637</v>
      </c>
      <c r="R176" s="104">
        <f t="shared" si="163"/>
        <v>0</v>
      </c>
      <c r="S176" s="104">
        <f t="shared" si="163"/>
        <v>0</v>
      </c>
      <c r="T176" s="104">
        <f t="shared" si="163"/>
        <v>0</v>
      </c>
      <c r="U176" s="104">
        <f t="shared" si="163"/>
        <v>0</v>
      </c>
      <c r="V176" s="104">
        <f t="shared" si="163"/>
        <v>0</v>
      </c>
      <c r="W176" s="104">
        <f t="shared" si="163"/>
        <v>86548</v>
      </c>
      <c r="X176" s="104">
        <f t="shared" si="163"/>
        <v>0</v>
      </c>
      <c r="Y176" s="104">
        <f t="shared" si="163"/>
        <v>86548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158" customFormat="1" x14ac:dyDescent="0.25">
      <c r="A177" s="91"/>
      <c r="B177" s="91"/>
      <c r="C177" s="156"/>
      <c r="D177" s="156"/>
      <c r="E177" s="105"/>
      <c r="F177" s="91"/>
      <c r="G177" s="156"/>
      <c r="H177" s="156"/>
      <c r="I177" s="105"/>
      <c r="J177" s="91"/>
      <c r="K177" s="156"/>
      <c r="L177" s="156"/>
      <c r="M177" s="105"/>
      <c r="N177" s="91"/>
      <c r="O177" s="156"/>
      <c r="P177" s="156"/>
      <c r="Q177" s="105"/>
      <c r="R177" s="91"/>
      <c r="S177" s="156"/>
      <c r="T177" s="156"/>
      <c r="U177" s="105"/>
      <c r="V177" s="157"/>
      <c r="W177" s="105"/>
      <c r="X177" s="105"/>
      <c r="Y177" s="156"/>
      <c r="Z177" s="105"/>
      <c r="AA177" s="105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77" customFormat="1" x14ac:dyDescent="0.25">
      <c r="A179" s="74" t="s">
        <v>5</v>
      </c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5"/>
      <c r="W179" s="74"/>
      <c r="X179" s="74"/>
      <c r="Y179" s="7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</row>
    <row r="180" spans="1:77" s="61" customFormat="1" x14ac:dyDescent="0.25">
      <c r="A180" s="52"/>
      <c r="B180" s="52" t="s">
        <v>180</v>
      </c>
      <c r="C180" s="124">
        <f>5000*3*0</f>
        <v>0</v>
      </c>
      <c r="D180" s="56"/>
      <c r="E180" s="56">
        <f t="shared" ref="E180" si="164">SUM(C180:D180)</f>
        <v>0</v>
      </c>
      <c r="F180" s="58"/>
      <c r="G180" s="55">
        <f>15000*1.03</f>
        <v>15450</v>
      </c>
      <c r="H180" s="57"/>
      <c r="I180" s="57">
        <f t="shared" ref="I180" si="165">SUM(G180:H180)</f>
        <v>15450</v>
      </c>
      <c r="J180" s="58"/>
      <c r="K180" s="55">
        <f>G180*1.03</f>
        <v>15913.5</v>
      </c>
      <c r="L180" s="57"/>
      <c r="M180" s="57">
        <f t="shared" ref="M180" si="166">SUM(K180:L180)</f>
        <v>15913.5</v>
      </c>
      <c r="N180" s="58"/>
      <c r="O180" s="55">
        <f>K180*1.03</f>
        <v>16390.904999999999</v>
      </c>
      <c r="P180" s="57"/>
      <c r="Q180" s="57">
        <f t="shared" ref="Q180" si="167">SUM(O180:P180)</f>
        <v>16390.904999999999</v>
      </c>
      <c r="R180" s="58"/>
      <c r="S180" s="55">
        <f>K180*1.03*1.03*0</f>
        <v>0</v>
      </c>
      <c r="T180" s="57"/>
      <c r="U180" s="57">
        <f t="shared" ref="U180" si="168">SUM(S180:T180)</f>
        <v>0</v>
      </c>
      <c r="V180" s="59"/>
      <c r="W180" s="124">
        <f t="shared" ref="W180:Y180" si="169">C180+G180+K180+O180+S180</f>
        <v>47754.404999999999</v>
      </c>
      <c r="X180" s="57">
        <f t="shared" si="169"/>
        <v>0</v>
      </c>
      <c r="Y180" s="84">
        <f t="shared" si="169"/>
        <v>47754.404999999999</v>
      </c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</row>
    <row r="181" spans="1:77" s="61" customFormat="1" x14ac:dyDescent="0.25">
      <c r="A181" s="54"/>
      <c r="B181" s="61" t="s">
        <v>57</v>
      </c>
      <c r="C181" s="124">
        <f>0</f>
        <v>0</v>
      </c>
      <c r="D181" s="56">
        <v>0</v>
      </c>
      <c r="E181" s="56">
        <f t="shared" ref="E181:E185" si="170">SUM(C181:D181)</f>
        <v>0</v>
      </c>
      <c r="F181" s="58"/>
      <c r="G181" s="55">
        <f>C181*1.03</f>
        <v>0</v>
      </c>
      <c r="H181" s="57">
        <f>D181*1.03</f>
        <v>0</v>
      </c>
      <c r="I181" s="57">
        <f t="shared" ref="I181:I185" si="171">SUM(G181:H181)</f>
        <v>0</v>
      </c>
      <c r="J181" s="58"/>
      <c r="K181" s="55">
        <f>G181*1.03</f>
        <v>0</v>
      </c>
      <c r="L181" s="57">
        <f>H181*1.03</f>
        <v>0</v>
      </c>
      <c r="M181" s="57">
        <f t="shared" ref="M181:M185" si="172">SUM(K181:L181)</f>
        <v>0</v>
      </c>
      <c r="N181" s="58"/>
      <c r="O181" s="55">
        <f>K181*1.03</f>
        <v>0</v>
      </c>
      <c r="P181" s="57">
        <f>L181*1.03</f>
        <v>0</v>
      </c>
      <c r="Q181" s="57">
        <f t="shared" ref="Q181:Q185" si="173">SUM(O181:P181)</f>
        <v>0</v>
      </c>
      <c r="R181" s="58"/>
      <c r="S181" s="55">
        <f>(O181*1.03)</f>
        <v>0</v>
      </c>
      <c r="T181" s="57">
        <f>P181*1.03</f>
        <v>0</v>
      </c>
      <c r="U181" s="57">
        <f t="shared" ref="U181:U185" si="174">SUM(S181:T181)</f>
        <v>0</v>
      </c>
      <c r="V181" s="59"/>
      <c r="W181" s="124">
        <f t="shared" ref="W181:Y186" si="175">C181+G181+K181+O181+S181</f>
        <v>0</v>
      </c>
      <c r="X181" s="57">
        <f t="shared" si="175"/>
        <v>0</v>
      </c>
      <c r="Y181" s="84">
        <f t="shared" si="175"/>
        <v>0</v>
      </c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</row>
    <row r="182" spans="1:77" s="61" customFormat="1" x14ac:dyDescent="0.25">
      <c r="B182" s="61" t="s">
        <v>216</v>
      </c>
      <c r="C182" s="124">
        <f>5000</f>
        <v>5000</v>
      </c>
      <c r="D182" s="56">
        <f>5000*0</f>
        <v>0</v>
      </c>
      <c r="E182" s="56">
        <f t="shared" ref="E182:E183" si="176">SUM(C182:D182)</f>
        <v>5000</v>
      </c>
      <c r="F182" s="58"/>
      <c r="G182" s="55">
        <f>C182*1.03</f>
        <v>5150</v>
      </c>
      <c r="H182" s="57">
        <f>D182*1.03</f>
        <v>0</v>
      </c>
      <c r="I182" s="57">
        <f t="shared" si="171"/>
        <v>5150</v>
      </c>
      <c r="J182" s="58"/>
      <c r="K182" s="55">
        <f>G182*1.03</f>
        <v>5304.5</v>
      </c>
      <c r="L182" s="57">
        <f>H182*1.03</f>
        <v>0</v>
      </c>
      <c r="M182" s="57">
        <f t="shared" si="172"/>
        <v>5304.5</v>
      </c>
      <c r="N182" s="58"/>
      <c r="O182" s="55">
        <f>K182*1.03</f>
        <v>5463.6350000000002</v>
      </c>
      <c r="P182" s="57">
        <f>L182*1.03</f>
        <v>0</v>
      </c>
      <c r="Q182" s="57">
        <f t="shared" si="173"/>
        <v>5463.6350000000002</v>
      </c>
      <c r="R182" s="58"/>
      <c r="S182" s="55">
        <f>O182*1.03*0</f>
        <v>0</v>
      </c>
      <c r="T182" s="57">
        <f>P182*1.03</f>
        <v>0</v>
      </c>
      <c r="U182" s="57">
        <f t="shared" si="174"/>
        <v>0</v>
      </c>
      <c r="V182" s="59"/>
      <c r="W182" s="124">
        <f t="shared" si="175"/>
        <v>20918.135000000002</v>
      </c>
      <c r="X182" s="57">
        <f t="shared" si="175"/>
        <v>0</v>
      </c>
      <c r="Y182" s="202">
        <f t="shared" si="175"/>
        <v>20918.135000000002</v>
      </c>
    </row>
    <row r="183" spans="1:77" s="61" customFormat="1" x14ac:dyDescent="0.25">
      <c r="A183" s="52"/>
      <c r="B183" s="54" t="s">
        <v>167</v>
      </c>
      <c r="C183" s="124">
        <f>3000*2</f>
        <v>6000</v>
      </c>
      <c r="D183" s="56">
        <v>0</v>
      </c>
      <c r="E183" s="56">
        <f t="shared" si="176"/>
        <v>6000</v>
      </c>
      <c r="F183" s="58"/>
      <c r="G183" s="55">
        <f>3000*2</f>
        <v>6000</v>
      </c>
      <c r="H183" s="57">
        <v>0</v>
      </c>
      <c r="I183" s="57">
        <f t="shared" ref="I183" si="177">SUM(G183:H183)</f>
        <v>6000</v>
      </c>
      <c r="J183" s="58"/>
      <c r="K183" s="55">
        <f>G183</f>
        <v>6000</v>
      </c>
      <c r="L183" s="57">
        <v>0</v>
      </c>
      <c r="M183" s="57">
        <f t="shared" ref="M183" si="178">SUM(K183:L183)</f>
        <v>6000</v>
      </c>
      <c r="N183" s="58"/>
      <c r="O183" s="55">
        <f>3000*2</f>
        <v>6000</v>
      </c>
      <c r="P183" s="57">
        <v>0</v>
      </c>
      <c r="Q183" s="57">
        <f t="shared" ref="Q183" si="179">SUM(O183:P183)</f>
        <v>6000</v>
      </c>
      <c r="R183" s="58"/>
      <c r="S183" s="55">
        <v>0</v>
      </c>
      <c r="T183" s="57">
        <v>0</v>
      </c>
      <c r="U183" s="57">
        <f t="shared" ref="U183" si="180">SUM(S183:T183)</f>
        <v>0</v>
      </c>
      <c r="V183" s="59"/>
      <c r="W183" s="124">
        <f t="shared" si="175"/>
        <v>24000</v>
      </c>
      <c r="X183" s="56">
        <f t="shared" si="175"/>
        <v>0</v>
      </c>
      <c r="Y183" s="85">
        <f t="shared" si="175"/>
        <v>24000</v>
      </c>
      <c r="Z183" s="160"/>
      <c r="AA183" s="160"/>
      <c r="AB183" s="160"/>
      <c r="AC183" s="160"/>
    </row>
    <row r="184" spans="1:77" s="61" customFormat="1" x14ac:dyDescent="0.25">
      <c r="A184" s="52"/>
      <c r="B184" s="52"/>
      <c r="C184" s="124">
        <v>0</v>
      </c>
      <c r="D184" s="56">
        <v>0</v>
      </c>
      <c r="E184" s="56">
        <f t="shared" si="170"/>
        <v>0</v>
      </c>
      <c r="F184" s="58"/>
      <c r="G184" s="55">
        <f t="shared" ref="G184:H185" si="181">C184*1.05</f>
        <v>0</v>
      </c>
      <c r="H184" s="57">
        <f t="shared" si="181"/>
        <v>0</v>
      </c>
      <c r="I184" s="57">
        <f t="shared" si="171"/>
        <v>0</v>
      </c>
      <c r="J184" s="58"/>
      <c r="K184" s="55">
        <f t="shared" ref="K184:L185" si="182">G184*1.05</f>
        <v>0</v>
      </c>
      <c r="L184" s="57">
        <f t="shared" si="182"/>
        <v>0</v>
      </c>
      <c r="M184" s="57">
        <f t="shared" si="172"/>
        <v>0</v>
      </c>
      <c r="N184" s="58"/>
      <c r="O184" s="55">
        <f t="shared" ref="O184:P185" si="183">K184*1.05</f>
        <v>0</v>
      </c>
      <c r="P184" s="57">
        <f t="shared" si="183"/>
        <v>0</v>
      </c>
      <c r="Q184" s="57">
        <f t="shared" si="173"/>
        <v>0</v>
      </c>
      <c r="R184" s="58"/>
      <c r="S184" s="55">
        <f t="shared" ref="S184:T185" si="184">O184*1.05</f>
        <v>0</v>
      </c>
      <c r="T184" s="57">
        <f t="shared" si="184"/>
        <v>0</v>
      </c>
      <c r="U184" s="57">
        <f t="shared" si="174"/>
        <v>0</v>
      </c>
      <c r="V184" s="59"/>
      <c r="W184" s="124">
        <f t="shared" si="175"/>
        <v>0</v>
      </c>
      <c r="X184" s="57">
        <f t="shared" si="175"/>
        <v>0</v>
      </c>
      <c r="Y184" s="84">
        <f t="shared" si="175"/>
        <v>0</v>
      </c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</row>
    <row r="185" spans="1:77" s="61" customFormat="1" x14ac:dyDescent="0.25">
      <c r="A185" s="52"/>
      <c r="B185" s="52"/>
      <c r="C185" s="124">
        <v>0</v>
      </c>
      <c r="D185" s="56">
        <v>0</v>
      </c>
      <c r="E185" s="56">
        <f t="shared" si="170"/>
        <v>0</v>
      </c>
      <c r="F185" s="58"/>
      <c r="G185" s="55">
        <f t="shared" si="181"/>
        <v>0</v>
      </c>
      <c r="H185" s="57">
        <f t="shared" si="181"/>
        <v>0</v>
      </c>
      <c r="I185" s="57">
        <f t="shared" si="171"/>
        <v>0</v>
      </c>
      <c r="J185" s="58"/>
      <c r="K185" s="55">
        <f t="shared" si="182"/>
        <v>0</v>
      </c>
      <c r="L185" s="57">
        <f t="shared" si="182"/>
        <v>0</v>
      </c>
      <c r="M185" s="57">
        <f t="shared" si="172"/>
        <v>0</v>
      </c>
      <c r="N185" s="58"/>
      <c r="O185" s="55">
        <f t="shared" si="183"/>
        <v>0</v>
      </c>
      <c r="P185" s="57">
        <f t="shared" si="183"/>
        <v>0</v>
      </c>
      <c r="Q185" s="57">
        <f t="shared" si="173"/>
        <v>0</v>
      </c>
      <c r="R185" s="58"/>
      <c r="S185" s="55">
        <f t="shared" si="184"/>
        <v>0</v>
      </c>
      <c r="T185" s="57">
        <f t="shared" si="184"/>
        <v>0</v>
      </c>
      <c r="U185" s="57">
        <f t="shared" si="174"/>
        <v>0</v>
      </c>
      <c r="V185" s="59"/>
      <c r="W185" s="124">
        <f t="shared" si="175"/>
        <v>0</v>
      </c>
      <c r="X185" s="57">
        <f t="shared" si="175"/>
        <v>0</v>
      </c>
      <c r="Y185" s="84">
        <f t="shared" si="175"/>
        <v>0</v>
      </c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</row>
    <row r="186" spans="1:77" s="83" customFormat="1" x14ac:dyDescent="0.25">
      <c r="A186" s="78"/>
      <c r="B186" s="78" t="s">
        <v>9</v>
      </c>
      <c r="C186" s="228">
        <f>SUM(C180:C185)</f>
        <v>11000</v>
      </c>
      <c r="D186" s="125">
        <f>SUM(D180:D185)</f>
        <v>0</v>
      </c>
      <c r="E186" s="125">
        <f>SUM(E180:E185)</f>
        <v>11000</v>
      </c>
      <c r="F186" s="81"/>
      <c r="G186" s="79">
        <f>SUM(G180:G185)</f>
        <v>26600</v>
      </c>
      <c r="H186" s="80">
        <f>SUM(H180:H185)</f>
        <v>0</v>
      </c>
      <c r="I186" s="80">
        <f>SUM(I180:I185)</f>
        <v>26600</v>
      </c>
      <c r="J186" s="81"/>
      <c r="K186" s="79">
        <f>SUM(K180:K185)</f>
        <v>27218</v>
      </c>
      <c r="L186" s="80">
        <f>SUM(L180:L185)</f>
        <v>0</v>
      </c>
      <c r="M186" s="80">
        <f>SUM(M180:M185)</f>
        <v>27218</v>
      </c>
      <c r="N186" s="81"/>
      <c r="O186" s="79">
        <f>SUM(O180:O185)</f>
        <v>27854.54</v>
      </c>
      <c r="P186" s="80">
        <f>SUM(P180:P185)</f>
        <v>0</v>
      </c>
      <c r="Q186" s="80">
        <f>SUM(Q180:Q185)</f>
        <v>27854.54</v>
      </c>
      <c r="R186" s="81"/>
      <c r="S186" s="79">
        <f>SUM(S180:S185)</f>
        <v>0</v>
      </c>
      <c r="T186" s="80">
        <f>SUM(T180:T185)</f>
        <v>0</v>
      </c>
      <c r="U186" s="80">
        <f>SUM(U180:U185)</f>
        <v>0</v>
      </c>
      <c r="V186" s="82"/>
      <c r="W186" s="228">
        <f t="shared" si="175"/>
        <v>92672.540000000008</v>
      </c>
      <c r="X186" s="80">
        <f t="shared" si="175"/>
        <v>0</v>
      </c>
      <c r="Y186" s="80">
        <f t="shared" si="175"/>
        <v>92672.540000000008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A188" s="52"/>
      <c r="B188" s="61" t="s">
        <v>57</v>
      </c>
      <c r="C188" s="124">
        <v>0</v>
      </c>
      <c r="D188" s="56">
        <v>0</v>
      </c>
      <c r="E188" s="56">
        <f t="shared" ref="E188:E194" si="185">SUM(C188:D188)</f>
        <v>0</v>
      </c>
      <c r="F188" s="58"/>
      <c r="G188" s="55">
        <f t="shared" ref="G188:H194" si="186">C188*1.03</f>
        <v>0</v>
      </c>
      <c r="H188" s="57">
        <f t="shared" si="186"/>
        <v>0</v>
      </c>
      <c r="I188" s="57">
        <f t="shared" ref="I188:I194" si="187">SUM(G188:H188)</f>
        <v>0</v>
      </c>
      <c r="J188" s="58"/>
      <c r="K188" s="55">
        <f t="shared" ref="K188:L194" si="188">G188*1.03</f>
        <v>0</v>
      </c>
      <c r="L188" s="57">
        <f t="shared" si="188"/>
        <v>0</v>
      </c>
      <c r="M188" s="57">
        <f t="shared" ref="M188:M194" si="189">SUM(K188:L188)</f>
        <v>0</v>
      </c>
      <c r="N188" s="58"/>
      <c r="O188" s="55">
        <f t="shared" ref="O188:P194" si="190">K188*1.03</f>
        <v>0</v>
      </c>
      <c r="P188" s="57">
        <f t="shared" si="190"/>
        <v>0</v>
      </c>
      <c r="Q188" s="57">
        <f t="shared" ref="Q188:Q194" si="191">SUM(O188:P188)</f>
        <v>0</v>
      </c>
      <c r="R188" s="58"/>
      <c r="S188" s="55">
        <f t="shared" ref="S188:T194" si="192">O188*1.03</f>
        <v>0</v>
      </c>
      <c r="T188" s="57">
        <f t="shared" si="192"/>
        <v>0</v>
      </c>
      <c r="U188" s="57">
        <f t="shared" ref="U188:U194" si="193">SUM(S188:T188)</f>
        <v>0</v>
      </c>
      <c r="V188" s="59"/>
      <c r="W188" s="124">
        <f t="shared" ref="W188:Y195" si="194">C188+G188+K188+O188+S188</f>
        <v>0</v>
      </c>
      <c r="X188" s="57">
        <f t="shared" si="194"/>
        <v>0</v>
      </c>
      <c r="Y188" s="84">
        <f t="shared" si="194"/>
        <v>0</v>
      </c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</row>
    <row r="189" spans="1:77" s="61" customFormat="1" x14ac:dyDescent="0.25">
      <c r="A189" s="52"/>
      <c r="B189" s="52" t="s">
        <v>208</v>
      </c>
      <c r="C189" s="124">
        <v>0</v>
      </c>
      <c r="D189" s="56">
        <v>0</v>
      </c>
      <c r="E189" s="56">
        <f t="shared" si="185"/>
        <v>0</v>
      </c>
      <c r="F189" s="58"/>
      <c r="G189" s="55">
        <f t="shared" ref="G189:H189" si="195">C189*1.05</f>
        <v>0</v>
      </c>
      <c r="H189" s="57">
        <f t="shared" si="195"/>
        <v>0</v>
      </c>
      <c r="I189" s="57">
        <f t="shared" si="187"/>
        <v>0</v>
      </c>
      <c r="J189" s="58"/>
      <c r="K189" s="55">
        <f>50923/2</f>
        <v>25461.5</v>
      </c>
      <c r="L189" s="57">
        <f t="shared" ref="L189" si="196">H189*1.05</f>
        <v>0</v>
      </c>
      <c r="M189" s="57">
        <f t="shared" si="189"/>
        <v>25461.5</v>
      </c>
      <c r="N189" s="58"/>
      <c r="O189" s="55">
        <f>K189*1.05</f>
        <v>26734.575000000001</v>
      </c>
      <c r="P189" s="57">
        <f t="shared" ref="P189" si="197">L189*1.05</f>
        <v>0</v>
      </c>
      <c r="Q189" s="57">
        <f t="shared" si="191"/>
        <v>26734.575000000001</v>
      </c>
      <c r="R189" s="58"/>
      <c r="S189" s="55">
        <f>O189*1.03*0</f>
        <v>0</v>
      </c>
      <c r="T189" s="57">
        <f t="shared" ref="T189" si="198">P189*1.05</f>
        <v>0</v>
      </c>
      <c r="U189" s="57">
        <f t="shared" si="193"/>
        <v>0</v>
      </c>
      <c r="V189" s="59"/>
      <c r="W189" s="124">
        <f t="shared" si="194"/>
        <v>52196.074999999997</v>
      </c>
      <c r="X189" s="57">
        <f t="shared" si="194"/>
        <v>0</v>
      </c>
      <c r="Y189" s="84">
        <f t="shared" si="194"/>
        <v>52196.074999999997</v>
      </c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</row>
    <row r="190" spans="1:77" s="61" customFormat="1" x14ac:dyDescent="0.25">
      <c r="A190" s="52"/>
      <c r="B190" s="185" t="s">
        <v>57</v>
      </c>
      <c r="C190" s="124">
        <v>0</v>
      </c>
      <c r="D190" s="56">
        <v>0</v>
      </c>
      <c r="E190" s="56">
        <f t="shared" si="185"/>
        <v>0</v>
      </c>
      <c r="F190" s="58"/>
      <c r="G190" s="55">
        <f t="shared" si="186"/>
        <v>0</v>
      </c>
      <c r="H190" s="57">
        <f t="shared" si="186"/>
        <v>0</v>
      </c>
      <c r="I190" s="57">
        <f t="shared" si="187"/>
        <v>0</v>
      </c>
      <c r="J190" s="58"/>
      <c r="K190" s="55">
        <f t="shared" si="188"/>
        <v>0</v>
      </c>
      <c r="L190" s="57">
        <f t="shared" si="188"/>
        <v>0</v>
      </c>
      <c r="M190" s="57">
        <f t="shared" si="189"/>
        <v>0</v>
      </c>
      <c r="N190" s="58"/>
      <c r="O190" s="55">
        <f t="shared" si="190"/>
        <v>0</v>
      </c>
      <c r="P190" s="57">
        <f t="shared" si="190"/>
        <v>0</v>
      </c>
      <c r="Q190" s="57">
        <f t="shared" si="191"/>
        <v>0</v>
      </c>
      <c r="R190" s="58"/>
      <c r="S190" s="55">
        <f t="shared" si="192"/>
        <v>0</v>
      </c>
      <c r="T190" s="57">
        <f t="shared" si="192"/>
        <v>0</v>
      </c>
      <c r="U190" s="57">
        <f t="shared" si="193"/>
        <v>0</v>
      </c>
      <c r="V190" s="59"/>
      <c r="W190" s="124">
        <f t="shared" si="194"/>
        <v>0</v>
      </c>
      <c r="X190" s="57">
        <f t="shared" si="194"/>
        <v>0</v>
      </c>
      <c r="Y190" s="84">
        <f t="shared" si="194"/>
        <v>0</v>
      </c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s="61" customFormat="1" x14ac:dyDescent="0.25">
      <c r="A191" s="87"/>
      <c r="B191" s="52"/>
      <c r="C191" s="124">
        <v>0</v>
      </c>
      <c r="D191" s="56">
        <v>0</v>
      </c>
      <c r="E191" s="56">
        <f t="shared" si="185"/>
        <v>0</v>
      </c>
      <c r="F191" s="58"/>
      <c r="G191" s="55">
        <f t="shared" si="186"/>
        <v>0</v>
      </c>
      <c r="H191" s="57">
        <f t="shared" si="186"/>
        <v>0</v>
      </c>
      <c r="I191" s="57">
        <f t="shared" si="187"/>
        <v>0</v>
      </c>
      <c r="J191" s="58"/>
      <c r="K191" s="55">
        <f t="shared" si="188"/>
        <v>0</v>
      </c>
      <c r="L191" s="57">
        <f t="shared" si="188"/>
        <v>0</v>
      </c>
      <c r="M191" s="57">
        <f t="shared" si="189"/>
        <v>0</v>
      </c>
      <c r="N191" s="58"/>
      <c r="O191" s="55">
        <f t="shared" si="190"/>
        <v>0</v>
      </c>
      <c r="P191" s="57">
        <f t="shared" si="190"/>
        <v>0</v>
      </c>
      <c r="Q191" s="57">
        <f t="shared" si="191"/>
        <v>0</v>
      </c>
      <c r="R191" s="58"/>
      <c r="S191" s="55">
        <f t="shared" si="192"/>
        <v>0</v>
      </c>
      <c r="T191" s="57">
        <f t="shared" si="192"/>
        <v>0</v>
      </c>
      <c r="U191" s="57">
        <f t="shared" si="193"/>
        <v>0</v>
      </c>
      <c r="V191" s="59"/>
      <c r="W191" s="124">
        <f t="shared" si="194"/>
        <v>0</v>
      </c>
      <c r="X191" s="57">
        <f t="shared" si="194"/>
        <v>0</v>
      </c>
      <c r="Y191" s="84">
        <f t="shared" si="194"/>
        <v>0</v>
      </c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</row>
    <row r="192" spans="1:77" s="61" customFormat="1" x14ac:dyDescent="0.25">
      <c r="A192" s="52"/>
      <c r="B192" s="52"/>
      <c r="C192" s="124">
        <v>0</v>
      </c>
      <c r="D192" s="56">
        <v>0</v>
      </c>
      <c r="E192" s="56">
        <f t="shared" si="185"/>
        <v>0</v>
      </c>
      <c r="F192" s="58"/>
      <c r="G192" s="55">
        <f t="shared" si="186"/>
        <v>0</v>
      </c>
      <c r="H192" s="57">
        <f t="shared" si="186"/>
        <v>0</v>
      </c>
      <c r="I192" s="57">
        <f t="shared" si="187"/>
        <v>0</v>
      </c>
      <c r="J192" s="58"/>
      <c r="K192" s="55">
        <f t="shared" si="188"/>
        <v>0</v>
      </c>
      <c r="L192" s="57">
        <f t="shared" si="188"/>
        <v>0</v>
      </c>
      <c r="M192" s="57">
        <f t="shared" si="189"/>
        <v>0</v>
      </c>
      <c r="N192" s="58"/>
      <c r="O192" s="55">
        <f t="shared" si="190"/>
        <v>0</v>
      </c>
      <c r="P192" s="57">
        <f t="shared" si="190"/>
        <v>0</v>
      </c>
      <c r="Q192" s="57">
        <f t="shared" si="191"/>
        <v>0</v>
      </c>
      <c r="R192" s="58"/>
      <c r="S192" s="55">
        <f t="shared" si="192"/>
        <v>0</v>
      </c>
      <c r="T192" s="57">
        <f t="shared" si="192"/>
        <v>0</v>
      </c>
      <c r="U192" s="57">
        <f t="shared" si="193"/>
        <v>0</v>
      </c>
      <c r="V192" s="59"/>
      <c r="W192" s="124">
        <f t="shared" si="194"/>
        <v>0</v>
      </c>
      <c r="X192" s="57">
        <f t="shared" si="194"/>
        <v>0</v>
      </c>
      <c r="Y192" s="84">
        <f t="shared" si="194"/>
        <v>0</v>
      </c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si="185"/>
        <v>0</v>
      </c>
      <c r="F193" s="58"/>
      <c r="G193" s="55">
        <f t="shared" si="186"/>
        <v>0</v>
      </c>
      <c r="H193" s="57">
        <f t="shared" si="186"/>
        <v>0</v>
      </c>
      <c r="I193" s="57">
        <f t="shared" si="187"/>
        <v>0</v>
      </c>
      <c r="J193" s="58"/>
      <c r="K193" s="55">
        <f t="shared" si="188"/>
        <v>0</v>
      </c>
      <c r="L193" s="57">
        <f t="shared" si="188"/>
        <v>0</v>
      </c>
      <c r="M193" s="57">
        <f t="shared" si="189"/>
        <v>0</v>
      </c>
      <c r="N193" s="58"/>
      <c r="O193" s="55">
        <f t="shared" si="190"/>
        <v>0</v>
      </c>
      <c r="P193" s="57">
        <f t="shared" si="190"/>
        <v>0</v>
      </c>
      <c r="Q193" s="57">
        <f t="shared" si="191"/>
        <v>0</v>
      </c>
      <c r="R193" s="58"/>
      <c r="S193" s="55">
        <f t="shared" si="192"/>
        <v>0</v>
      </c>
      <c r="T193" s="57">
        <f t="shared" si="192"/>
        <v>0</v>
      </c>
      <c r="U193" s="57">
        <f t="shared" si="193"/>
        <v>0</v>
      </c>
      <c r="V193" s="59"/>
      <c r="W193" s="124">
        <f t="shared" si="194"/>
        <v>0</v>
      </c>
      <c r="X193" s="57">
        <f t="shared" si="194"/>
        <v>0</v>
      </c>
      <c r="Y193" s="84">
        <f t="shared" si="194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185"/>
        <v>0</v>
      </c>
      <c r="F194" s="74"/>
      <c r="G194" s="55">
        <f t="shared" si="186"/>
        <v>0</v>
      </c>
      <c r="H194" s="57">
        <f t="shared" si="186"/>
        <v>0</v>
      </c>
      <c r="I194" s="57">
        <f t="shared" si="187"/>
        <v>0</v>
      </c>
      <c r="J194" s="74"/>
      <c r="K194" s="55">
        <f t="shared" si="188"/>
        <v>0</v>
      </c>
      <c r="L194" s="57">
        <f t="shared" si="188"/>
        <v>0</v>
      </c>
      <c r="M194" s="57">
        <f t="shared" si="189"/>
        <v>0</v>
      </c>
      <c r="N194" s="74"/>
      <c r="O194" s="55">
        <f t="shared" si="190"/>
        <v>0</v>
      </c>
      <c r="P194" s="57">
        <f t="shared" si="190"/>
        <v>0</v>
      </c>
      <c r="Q194" s="57">
        <f t="shared" si="191"/>
        <v>0</v>
      </c>
      <c r="R194" s="74"/>
      <c r="S194" s="55">
        <f t="shared" si="192"/>
        <v>0</v>
      </c>
      <c r="T194" s="57">
        <f t="shared" si="192"/>
        <v>0</v>
      </c>
      <c r="U194" s="57">
        <f t="shared" si="193"/>
        <v>0</v>
      </c>
      <c r="V194" s="59"/>
      <c r="W194" s="124">
        <f t="shared" si="194"/>
        <v>0</v>
      </c>
      <c r="X194" s="57">
        <f t="shared" si="194"/>
        <v>0</v>
      </c>
      <c r="Y194" s="84">
        <f t="shared" si="194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0</v>
      </c>
      <c r="D195" s="125">
        <f>SUM(D188:D194)</f>
        <v>0</v>
      </c>
      <c r="E195" s="125">
        <f>SUM(E188:E194)</f>
        <v>0</v>
      </c>
      <c r="F195" s="81"/>
      <c r="G195" s="79">
        <f>SUM(G188:G194)</f>
        <v>0</v>
      </c>
      <c r="H195" s="80">
        <f>SUM(H188:H194)</f>
        <v>0</v>
      </c>
      <c r="I195" s="80">
        <f>SUM(I188:I194)</f>
        <v>0</v>
      </c>
      <c r="J195" s="81"/>
      <c r="K195" s="79">
        <f>SUM(K188:K194)</f>
        <v>25461.5</v>
      </c>
      <c r="L195" s="80">
        <f>SUM(L188:L194)</f>
        <v>0</v>
      </c>
      <c r="M195" s="80">
        <f>SUM(M188:M194)</f>
        <v>25461.5</v>
      </c>
      <c r="N195" s="81"/>
      <c r="O195" s="79">
        <f>SUM(O188:O194)</f>
        <v>26734.575000000001</v>
      </c>
      <c r="P195" s="80">
        <f>SUM(P188:P194)</f>
        <v>0</v>
      </c>
      <c r="Q195" s="80">
        <f>SUM(Q188:Q194)</f>
        <v>26734.575000000001</v>
      </c>
      <c r="R195" s="81"/>
      <c r="S195" s="79">
        <f>SUM(S188:S194)</f>
        <v>0</v>
      </c>
      <c r="T195" s="80">
        <f>SUM(T188:T194)</f>
        <v>0</v>
      </c>
      <c r="U195" s="80">
        <f>SUM(U188:U194)</f>
        <v>0</v>
      </c>
      <c r="V195" s="82"/>
      <c r="W195" s="228">
        <f t="shared" si="194"/>
        <v>52196.074999999997</v>
      </c>
      <c r="X195" s="80">
        <f t="shared" si="194"/>
        <v>0</v>
      </c>
      <c r="Y195" s="80">
        <f t="shared" si="194"/>
        <v>52196.074999999997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 t="shared" ref="C196:X196" si="199">C195+C186</f>
        <v>11000</v>
      </c>
      <c r="D196" s="107">
        <f t="shared" si="199"/>
        <v>0</v>
      </c>
      <c r="E196" s="107">
        <f t="shared" si="199"/>
        <v>11000</v>
      </c>
      <c r="F196" s="107">
        <f t="shared" si="199"/>
        <v>0</v>
      </c>
      <c r="G196" s="107">
        <f t="shared" si="199"/>
        <v>26600</v>
      </c>
      <c r="H196" s="107">
        <f t="shared" si="199"/>
        <v>0</v>
      </c>
      <c r="I196" s="107">
        <f t="shared" si="199"/>
        <v>26600</v>
      </c>
      <c r="J196" s="107">
        <f t="shared" si="199"/>
        <v>0</v>
      </c>
      <c r="K196" s="107">
        <f t="shared" si="199"/>
        <v>52679.5</v>
      </c>
      <c r="L196" s="107">
        <f t="shared" si="199"/>
        <v>0</v>
      </c>
      <c r="M196" s="107">
        <f t="shared" si="199"/>
        <v>52679.5</v>
      </c>
      <c r="N196" s="107">
        <f t="shared" si="199"/>
        <v>0</v>
      </c>
      <c r="O196" s="107">
        <f t="shared" si="199"/>
        <v>54589.115000000005</v>
      </c>
      <c r="P196" s="107">
        <f t="shared" si="199"/>
        <v>0</v>
      </c>
      <c r="Q196" s="107">
        <f t="shared" si="199"/>
        <v>54589.115000000005</v>
      </c>
      <c r="R196" s="107">
        <f t="shared" si="199"/>
        <v>0</v>
      </c>
      <c r="S196" s="107">
        <f t="shared" si="199"/>
        <v>0</v>
      </c>
      <c r="T196" s="107">
        <f t="shared" si="199"/>
        <v>0</v>
      </c>
      <c r="U196" s="107">
        <f t="shared" si="199"/>
        <v>0</v>
      </c>
      <c r="V196" s="107">
        <f t="shared" si="199"/>
        <v>0</v>
      </c>
      <c r="W196" s="107">
        <f t="shared" si="199"/>
        <v>144868.61499999999</v>
      </c>
      <c r="X196" s="107">
        <f t="shared" si="199"/>
        <v>0</v>
      </c>
      <c r="Y196" s="108">
        <f>E196+I196+M196+Q196+U196</f>
        <v>144868.61499999999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77" customFormat="1" x14ac:dyDescent="0.25">
      <c r="A197" s="74" t="s">
        <v>6</v>
      </c>
      <c r="B197" s="74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129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s="61" customFormat="1" x14ac:dyDescent="0.25">
      <c r="A198" s="50">
        <v>3.6999999999999998E-2</v>
      </c>
      <c r="B198" s="52" t="s">
        <v>107</v>
      </c>
      <c r="C198" s="124">
        <f>C188*0.35</f>
        <v>0</v>
      </c>
      <c r="D198" s="56">
        <v>0</v>
      </c>
      <c r="E198" s="56">
        <f t="shared" ref="E198" si="200">SUM(C198:D198)</f>
        <v>0</v>
      </c>
      <c r="F198" s="58"/>
      <c r="G198" s="55">
        <f>G180*0.35*0</f>
        <v>0</v>
      </c>
      <c r="H198" s="57">
        <v>0</v>
      </c>
      <c r="I198" s="57">
        <f t="shared" ref="I198" si="201">SUM(G198:H198)</f>
        <v>0</v>
      </c>
      <c r="J198" s="58"/>
      <c r="K198" s="124">
        <f>K195*(A198*1.03*1.03*1.03)</f>
        <v>1029.4313348885</v>
      </c>
      <c r="L198" s="57">
        <v>0</v>
      </c>
      <c r="M198" s="57">
        <f t="shared" ref="M198" si="202">SUM(K198:L198)</f>
        <v>1029.4313348885</v>
      </c>
      <c r="N198" s="58"/>
      <c r="O198" s="55">
        <f>O195*(A198*1.03*1.03*1.03*1.03)</f>
        <v>1113.3299886819127</v>
      </c>
      <c r="P198" s="57">
        <v>0</v>
      </c>
      <c r="Q198" s="57">
        <f t="shared" ref="Q198" si="203">SUM(O198:P198)</f>
        <v>1113.3299886819127</v>
      </c>
      <c r="R198" s="58"/>
      <c r="S198" s="55">
        <f>S188*0.35</f>
        <v>0</v>
      </c>
      <c r="T198" s="57">
        <v>0</v>
      </c>
      <c r="U198" s="57">
        <f t="shared" ref="U198" si="204">SUM(S198:T198)</f>
        <v>0</v>
      </c>
      <c r="V198" s="59"/>
      <c r="W198" s="124">
        <f t="shared" ref="W198:Y198" si="205">C198+G198+K198+O198+S198</f>
        <v>2142.761323570413</v>
      </c>
      <c r="X198" s="57">
        <f t="shared" si="205"/>
        <v>0</v>
      </c>
      <c r="Y198" s="84">
        <f t="shared" si="205"/>
        <v>2142.761323570413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C186*(A199*1.03)</f>
        <v>1189.6499999999999</v>
      </c>
      <c r="D199" s="56">
        <f>D186*(A199*1.03)</f>
        <v>0</v>
      </c>
      <c r="E199" s="56">
        <f t="shared" ref="E199:E203" si="206">SUM(C199:D199)</f>
        <v>1189.6499999999999</v>
      </c>
      <c r="F199" s="58"/>
      <c r="G199" s="124">
        <f>G186*(A199*1.03*1.03)</f>
        <v>2963.0936999999999</v>
      </c>
      <c r="H199" s="56">
        <f>H186*(A199*1.03*1.03)</f>
        <v>0</v>
      </c>
      <c r="I199" s="57">
        <f t="shared" ref="I199:I203" si="207">SUM(G199:H199)</f>
        <v>2963.0936999999999</v>
      </c>
      <c r="J199" s="58"/>
      <c r="K199" s="124">
        <f>K186*(A199*1.03*1.03*1.03)</f>
        <v>3122.8935660299999</v>
      </c>
      <c r="L199" s="56">
        <f>L186*(A199*1.03*1.03*1.03)</f>
        <v>0</v>
      </c>
      <c r="M199" s="57">
        <f t="shared" ref="M199" si="208">SUM(K199:L199)</f>
        <v>3122.8935660299999</v>
      </c>
      <c r="N199" s="58"/>
      <c r="O199" s="124">
        <f>O186*(A199*1.03*1.03*1.03*1.03)</f>
        <v>3291.805667692227</v>
      </c>
      <c r="P199" s="56">
        <f>P186*(A199*1.03*1.03*1.03*1.03)</f>
        <v>0</v>
      </c>
      <c r="Q199" s="57">
        <f t="shared" ref="Q199" si="209">SUM(O199:P199)</f>
        <v>3291.805667692227</v>
      </c>
      <c r="R199" s="58"/>
      <c r="S199" s="124">
        <f>S186*(A199*1.03*1.03*1.03*1.03*1.03)</f>
        <v>0</v>
      </c>
      <c r="T199" s="56">
        <f>T186*(A199*1.03*1.03*1.03*1.03*1.03)</f>
        <v>0</v>
      </c>
      <c r="U199" s="57">
        <f t="shared" ref="U199" si="210">SUM(S199:T199)</f>
        <v>0</v>
      </c>
      <c r="V199" s="59"/>
      <c r="W199" s="124">
        <f t="shared" ref="W199:Y204" si="211">C199+G199+K199+O199+S199</f>
        <v>10567.442933722228</v>
      </c>
      <c r="X199" s="57">
        <f t="shared" si="211"/>
        <v>0</v>
      </c>
      <c r="Y199" s="84">
        <f t="shared" si="211"/>
        <v>10567.442933722228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61" customFormat="1" x14ac:dyDescent="0.25">
      <c r="A200" s="3">
        <v>0.36099999999999999</v>
      </c>
      <c r="B200" s="52" t="s">
        <v>52</v>
      </c>
      <c r="C200" s="230">
        <f>C186*A200*0</f>
        <v>0</v>
      </c>
      <c r="D200" s="151">
        <v>0</v>
      </c>
      <c r="E200" s="151">
        <f t="shared" si="206"/>
        <v>0</v>
      </c>
      <c r="F200" s="189"/>
      <c r="G200" s="55">
        <f>G186*A200*0</f>
        <v>0</v>
      </c>
      <c r="H200" s="188">
        <f>D200*1.05</f>
        <v>0</v>
      </c>
      <c r="I200" s="188">
        <f t="shared" si="207"/>
        <v>0</v>
      </c>
      <c r="J200" s="189"/>
      <c r="K200" s="55">
        <f>K186*A200*0</f>
        <v>0</v>
      </c>
      <c r="L200" s="188">
        <f>H200*1.05</f>
        <v>0</v>
      </c>
      <c r="M200" s="188">
        <f t="shared" ref="M200:M203" si="212">SUM(K200:L200)</f>
        <v>0</v>
      </c>
      <c r="N200" s="189"/>
      <c r="O200" s="55">
        <f>O186*A200*0</f>
        <v>0</v>
      </c>
      <c r="P200" s="188">
        <f>L200*1.05</f>
        <v>0</v>
      </c>
      <c r="Q200" s="188">
        <f t="shared" ref="Q200:Q203" si="213">SUM(O200:P200)</f>
        <v>0</v>
      </c>
      <c r="R200" s="189"/>
      <c r="S200" s="55">
        <f>(S186*A200)*0</f>
        <v>0</v>
      </c>
      <c r="T200" s="57">
        <f>P200*1.05</f>
        <v>0</v>
      </c>
      <c r="U200" s="57">
        <f t="shared" ref="U200:U203" si="214">SUM(S200:T200)</f>
        <v>0</v>
      </c>
      <c r="V200" s="59"/>
      <c r="W200" s="124">
        <f t="shared" si="211"/>
        <v>0</v>
      </c>
      <c r="X200" s="57">
        <f t="shared" si="211"/>
        <v>0</v>
      </c>
      <c r="Y200" s="84">
        <f t="shared" si="211"/>
        <v>0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61" customFormat="1" x14ac:dyDescent="0.25">
      <c r="A201" s="50">
        <v>0.34899999999999998</v>
      </c>
      <c r="B201" s="52" t="s">
        <v>109</v>
      </c>
      <c r="C201" s="124">
        <f>C189*0.43</f>
        <v>0</v>
      </c>
      <c r="D201" s="56">
        <v>0</v>
      </c>
      <c r="E201" s="56">
        <f t="shared" si="206"/>
        <v>0</v>
      </c>
      <c r="F201" s="58"/>
      <c r="G201" s="55">
        <f>C201*1.1</f>
        <v>0</v>
      </c>
      <c r="H201" s="57">
        <f>D201*1.1</f>
        <v>0</v>
      </c>
      <c r="I201" s="57">
        <f t="shared" si="207"/>
        <v>0</v>
      </c>
      <c r="J201" s="58"/>
      <c r="K201" s="55">
        <f>G201*1.1</f>
        <v>0</v>
      </c>
      <c r="L201" s="57">
        <f>H201*1.1</f>
        <v>0</v>
      </c>
      <c r="M201" s="57">
        <f t="shared" ref="M201" si="215">SUM(K201:L201)</f>
        <v>0</v>
      </c>
      <c r="N201" s="58"/>
      <c r="O201" s="55">
        <f>K201*1.1</f>
        <v>0</v>
      </c>
      <c r="P201" s="57">
        <f>L201*1.1</f>
        <v>0</v>
      </c>
      <c r="Q201" s="57">
        <f t="shared" ref="Q201" si="216">SUM(O201:P201)</f>
        <v>0</v>
      </c>
      <c r="R201" s="58"/>
      <c r="S201" s="55">
        <f>O201*1.1</f>
        <v>0</v>
      </c>
      <c r="T201" s="57">
        <f>P201*1.1</f>
        <v>0</v>
      </c>
      <c r="U201" s="57">
        <f t="shared" ref="U201" si="217">SUM(S201:T201)</f>
        <v>0</v>
      </c>
      <c r="V201" s="59"/>
      <c r="W201" s="124">
        <f t="shared" si="211"/>
        <v>0</v>
      </c>
      <c r="X201" s="57">
        <f t="shared" si="211"/>
        <v>0</v>
      </c>
      <c r="Y201" s="84">
        <f t="shared" si="211"/>
        <v>0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f>C189*0.089</f>
        <v>0</v>
      </c>
      <c r="D202" s="56">
        <v>0</v>
      </c>
      <c r="E202" s="56">
        <f t="shared" si="206"/>
        <v>0</v>
      </c>
      <c r="F202" s="58"/>
      <c r="G202" s="55">
        <f>C202*1.05</f>
        <v>0</v>
      </c>
      <c r="H202" s="57">
        <f>D202*1.05</f>
        <v>0</v>
      </c>
      <c r="I202" s="57">
        <f t="shared" si="207"/>
        <v>0</v>
      </c>
      <c r="J202" s="58"/>
      <c r="K202" s="55">
        <f>G202*1.05</f>
        <v>0</v>
      </c>
      <c r="L202" s="57">
        <f>H202*1.05</f>
        <v>0</v>
      </c>
      <c r="M202" s="57">
        <f t="shared" si="212"/>
        <v>0</v>
      </c>
      <c r="N202" s="58"/>
      <c r="O202" s="55">
        <f>K202*1.05</f>
        <v>0</v>
      </c>
      <c r="P202" s="57">
        <f>L202*1.05</f>
        <v>0</v>
      </c>
      <c r="Q202" s="57">
        <f t="shared" si="213"/>
        <v>0</v>
      </c>
      <c r="R202" s="58"/>
      <c r="S202" s="55">
        <f>O202*1.05</f>
        <v>0</v>
      </c>
      <c r="T202" s="57">
        <f>P202*1.05</f>
        <v>0</v>
      </c>
      <c r="U202" s="57">
        <f t="shared" si="214"/>
        <v>0</v>
      </c>
      <c r="V202" s="59"/>
      <c r="W202" s="124">
        <f t="shared" si="211"/>
        <v>0</v>
      </c>
      <c r="X202" s="57">
        <f t="shared" si="211"/>
        <v>0</v>
      </c>
      <c r="Y202" s="84">
        <f t="shared" si="211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f>C191*0.089</f>
        <v>0</v>
      </c>
      <c r="D203" s="56">
        <v>0</v>
      </c>
      <c r="E203" s="56">
        <f t="shared" si="206"/>
        <v>0</v>
      </c>
      <c r="F203" s="58"/>
      <c r="G203" s="55">
        <f>C203*1.05</f>
        <v>0</v>
      </c>
      <c r="H203" s="57">
        <f>D203*1.05</f>
        <v>0</v>
      </c>
      <c r="I203" s="57">
        <f t="shared" si="207"/>
        <v>0</v>
      </c>
      <c r="J203" s="58"/>
      <c r="K203" s="55">
        <f>G203*1.05</f>
        <v>0</v>
      </c>
      <c r="L203" s="57">
        <f>H203*1.05</f>
        <v>0</v>
      </c>
      <c r="M203" s="57">
        <f t="shared" si="212"/>
        <v>0</v>
      </c>
      <c r="N203" s="58"/>
      <c r="O203" s="55">
        <f>K203*1.05</f>
        <v>0</v>
      </c>
      <c r="P203" s="57">
        <f>L203*1.05</f>
        <v>0</v>
      </c>
      <c r="Q203" s="57">
        <f t="shared" si="213"/>
        <v>0</v>
      </c>
      <c r="R203" s="58"/>
      <c r="S203" s="55">
        <f>O203*1.05</f>
        <v>0</v>
      </c>
      <c r="T203" s="57">
        <f>P203*1.05</f>
        <v>0</v>
      </c>
      <c r="U203" s="57">
        <f t="shared" si="214"/>
        <v>0</v>
      </c>
      <c r="V203" s="59"/>
      <c r="W203" s="124">
        <f t="shared" si="211"/>
        <v>0</v>
      </c>
      <c r="X203" s="57">
        <f t="shared" si="211"/>
        <v>0</v>
      </c>
      <c r="Y203" s="84">
        <f t="shared" si="211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1189.6499999999999</v>
      </c>
      <c r="D204" s="125">
        <f>SUM(D198:D203)</f>
        <v>0</v>
      </c>
      <c r="E204" s="125">
        <f>SUM(E198:E203)</f>
        <v>1189.6499999999999</v>
      </c>
      <c r="F204" s="81"/>
      <c r="G204" s="79">
        <f>SUM(G198:G203)</f>
        <v>2963.0936999999999</v>
      </c>
      <c r="H204" s="80">
        <f>SUM(H198:H203)</f>
        <v>0</v>
      </c>
      <c r="I204" s="80">
        <f>SUM(I198:I203)</f>
        <v>2963.0936999999999</v>
      </c>
      <c r="J204" s="81"/>
      <c r="K204" s="79">
        <f>SUM(K198:K203)</f>
        <v>4152.3249009185001</v>
      </c>
      <c r="L204" s="80">
        <f>SUM(L198:L203)</f>
        <v>0</v>
      </c>
      <c r="M204" s="80">
        <f>SUM(M198:M203)</f>
        <v>4152.3249009185001</v>
      </c>
      <c r="N204" s="81"/>
      <c r="O204" s="79">
        <f>SUM(O198:O203)</f>
        <v>4405.1356563741392</v>
      </c>
      <c r="P204" s="80">
        <f>SUM(P198:P203)</f>
        <v>0</v>
      </c>
      <c r="Q204" s="80">
        <f>SUM(Q198:Q203)</f>
        <v>4405.1356563741392</v>
      </c>
      <c r="R204" s="81"/>
      <c r="S204" s="79">
        <f>SUM(S198:S203)</f>
        <v>0</v>
      </c>
      <c r="T204" s="80">
        <f>SUM(T198:T203)</f>
        <v>0</v>
      </c>
      <c r="U204" s="80">
        <f>SUM(U198:U203)</f>
        <v>0</v>
      </c>
      <c r="V204" s="82"/>
      <c r="W204" s="228">
        <f t="shared" si="211"/>
        <v>12710.20425729264</v>
      </c>
      <c r="X204" s="80">
        <f t="shared" si="211"/>
        <v>0</v>
      </c>
      <c r="Y204" s="80">
        <f t="shared" si="211"/>
        <v>12710.20425729264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218">C204+C196</f>
        <v>12189.65</v>
      </c>
      <c r="D205" s="107">
        <f t="shared" si="218"/>
        <v>0</v>
      </c>
      <c r="E205" s="107">
        <f t="shared" si="218"/>
        <v>12189.65</v>
      </c>
      <c r="F205" s="107">
        <f t="shared" si="218"/>
        <v>0</v>
      </c>
      <c r="G205" s="107">
        <f t="shared" si="218"/>
        <v>29563.093700000001</v>
      </c>
      <c r="H205" s="107">
        <f t="shared" si="218"/>
        <v>0</v>
      </c>
      <c r="I205" s="107">
        <f t="shared" si="218"/>
        <v>29563.093700000001</v>
      </c>
      <c r="J205" s="107">
        <f t="shared" si="218"/>
        <v>0</v>
      </c>
      <c r="K205" s="107">
        <f t="shared" si="218"/>
        <v>56831.824900918502</v>
      </c>
      <c r="L205" s="107">
        <f t="shared" si="218"/>
        <v>0</v>
      </c>
      <c r="M205" s="107">
        <f t="shared" si="218"/>
        <v>56831.824900918502</v>
      </c>
      <c r="N205" s="107">
        <f t="shared" si="218"/>
        <v>0</v>
      </c>
      <c r="O205" s="107">
        <f t="shared" si="218"/>
        <v>58994.250656374148</v>
      </c>
      <c r="P205" s="107">
        <f t="shared" si="218"/>
        <v>0</v>
      </c>
      <c r="Q205" s="107">
        <f t="shared" si="218"/>
        <v>58994.250656374148</v>
      </c>
      <c r="R205" s="107">
        <f t="shared" si="218"/>
        <v>0</v>
      </c>
      <c r="S205" s="107">
        <f t="shared" si="218"/>
        <v>0</v>
      </c>
      <c r="T205" s="107">
        <f t="shared" si="218"/>
        <v>0</v>
      </c>
      <c r="U205" s="107">
        <f t="shared" si="218"/>
        <v>0</v>
      </c>
      <c r="V205" s="107">
        <f t="shared" si="218"/>
        <v>0</v>
      </c>
      <c r="W205" s="107">
        <f t="shared" si="218"/>
        <v>157578.81925729263</v>
      </c>
      <c r="X205" s="107">
        <f t="shared" si="218"/>
        <v>0</v>
      </c>
      <c r="Y205" s="107">
        <f t="shared" si="218"/>
        <v>157578.81925729263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52"/>
      <c r="C207" s="124">
        <v>0</v>
      </c>
      <c r="D207" s="56">
        <v>0</v>
      </c>
      <c r="E207" s="56">
        <f t="shared" ref="E207:E216" si="219">SUM(C207:D207)</f>
        <v>0</v>
      </c>
      <c r="F207" s="58"/>
      <c r="G207" s="55">
        <v>0</v>
      </c>
      <c r="H207" s="57">
        <v>0</v>
      </c>
      <c r="I207" s="57">
        <f t="shared" ref="I207:I216" si="220">SUM(G207:H207)</f>
        <v>0</v>
      </c>
      <c r="J207" s="58"/>
      <c r="K207" s="55">
        <v>0</v>
      </c>
      <c r="L207" s="57">
        <v>0</v>
      </c>
      <c r="M207" s="57">
        <f t="shared" ref="M207:M216" si="221">SUM(K207:L207)</f>
        <v>0</v>
      </c>
      <c r="N207" s="58"/>
      <c r="O207" s="55">
        <v>0</v>
      </c>
      <c r="P207" s="57">
        <v>0</v>
      </c>
      <c r="Q207" s="57">
        <f t="shared" ref="Q207:Q216" si="222">SUM(O207:P207)</f>
        <v>0</v>
      </c>
      <c r="R207" s="58"/>
      <c r="S207" s="55">
        <v>0</v>
      </c>
      <c r="T207" s="57">
        <v>0</v>
      </c>
      <c r="U207" s="57">
        <f t="shared" ref="U207:U216" si="223">SUM(S207:T207)</f>
        <v>0</v>
      </c>
      <c r="V207" s="59"/>
      <c r="W207" s="124">
        <f t="shared" ref="W207:W217" si="224">C207+G207+K207+O207+S207</f>
        <v>0</v>
      </c>
      <c r="X207" s="57">
        <f t="shared" ref="X207:X217" si="225">D207+H207+L207+P207+T207</f>
        <v>0</v>
      </c>
      <c r="Y207" s="84">
        <f t="shared" ref="Y207:Y217" si="226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A208" s="52"/>
      <c r="B208" s="52"/>
      <c r="C208" s="124">
        <v>0</v>
      </c>
      <c r="D208" s="56">
        <v>0</v>
      </c>
      <c r="E208" s="56">
        <f t="shared" si="219"/>
        <v>0</v>
      </c>
      <c r="F208" s="58"/>
      <c r="G208" s="55">
        <v>0</v>
      </c>
      <c r="H208" s="57">
        <v>0</v>
      </c>
      <c r="I208" s="57">
        <f t="shared" si="220"/>
        <v>0</v>
      </c>
      <c r="J208" s="58"/>
      <c r="K208" s="55">
        <v>0</v>
      </c>
      <c r="L208" s="57">
        <v>0</v>
      </c>
      <c r="M208" s="57">
        <f t="shared" si="221"/>
        <v>0</v>
      </c>
      <c r="N208" s="58"/>
      <c r="O208" s="55">
        <v>0</v>
      </c>
      <c r="P208" s="57">
        <v>0</v>
      </c>
      <c r="Q208" s="57">
        <f t="shared" si="222"/>
        <v>0</v>
      </c>
      <c r="R208" s="58"/>
      <c r="S208" s="55">
        <v>0</v>
      </c>
      <c r="T208" s="57">
        <v>0</v>
      </c>
      <c r="U208" s="57">
        <f t="shared" si="223"/>
        <v>0</v>
      </c>
      <c r="V208" s="59"/>
      <c r="W208" s="124">
        <f t="shared" si="224"/>
        <v>0</v>
      </c>
      <c r="X208" s="57">
        <f t="shared" si="225"/>
        <v>0</v>
      </c>
      <c r="Y208" s="84">
        <f t="shared" si="226"/>
        <v>0</v>
      </c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s="61" customFormat="1" x14ac:dyDescent="0.25">
      <c r="A209" s="52"/>
      <c r="B209" s="52"/>
      <c r="C209" s="124">
        <v>0</v>
      </c>
      <c r="D209" s="56">
        <v>0</v>
      </c>
      <c r="E209" s="56">
        <f t="shared" si="219"/>
        <v>0</v>
      </c>
      <c r="F209" s="58"/>
      <c r="G209" s="55">
        <v>0</v>
      </c>
      <c r="H209" s="57">
        <v>0</v>
      </c>
      <c r="I209" s="57">
        <f t="shared" si="220"/>
        <v>0</v>
      </c>
      <c r="J209" s="58"/>
      <c r="K209" s="55">
        <v>0</v>
      </c>
      <c r="L209" s="57">
        <v>0</v>
      </c>
      <c r="M209" s="57">
        <f t="shared" si="221"/>
        <v>0</v>
      </c>
      <c r="N209" s="58"/>
      <c r="O209" s="55">
        <v>0</v>
      </c>
      <c r="P209" s="57">
        <v>0</v>
      </c>
      <c r="Q209" s="57">
        <f t="shared" si="222"/>
        <v>0</v>
      </c>
      <c r="R209" s="58"/>
      <c r="S209" s="55">
        <v>0</v>
      </c>
      <c r="T209" s="57">
        <v>0</v>
      </c>
      <c r="U209" s="57">
        <f t="shared" si="223"/>
        <v>0</v>
      </c>
      <c r="V209" s="59"/>
      <c r="W209" s="124">
        <f t="shared" si="224"/>
        <v>0</v>
      </c>
      <c r="X209" s="57">
        <f t="shared" si="225"/>
        <v>0</v>
      </c>
      <c r="Y209" s="84">
        <f t="shared" si="226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52"/>
      <c r="B210" s="52"/>
      <c r="C210" s="124">
        <v>0</v>
      </c>
      <c r="D210" s="56">
        <v>0</v>
      </c>
      <c r="E210" s="56">
        <f t="shared" si="219"/>
        <v>0</v>
      </c>
      <c r="F210" s="58"/>
      <c r="G210" s="55">
        <v>0</v>
      </c>
      <c r="H210" s="57">
        <v>0</v>
      </c>
      <c r="I210" s="57">
        <f t="shared" si="220"/>
        <v>0</v>
      </c>
      <c r="J210" s="58"/>
      <c r="K210" s="55">
        <v>0</v>
      </c>
      <c r="L210" s="57">
        <v>0</v>
      </c>
      <c r="M210" s="57">
        <f t="shared" si="221"/>
        <v>0</v>
      </c>
      <c r="N210" s="58"/>
      <c r="O210" s="55">
        <v>0</v>
      </c>
      <c r="P210" s="57">
        <v>0</v>
      </c>
      <c r="Q210" s="57">
        <f t="shared" si="222"/>
        <v>0</v>
      </c>
      <c r="R210" s="58"/>
      <c r="S210" s="55">
        <v>0</v>
      </c>
      <c r="T210" s="57">
        <v>0</v>
      </c>
      <c r="U210" s="57">
        <f t="shared" si="223"/>
        <v>0</v>
      </c>
      <c r="V210" s="59"/>
      <c r="W210" s="124">
        <f t="shared" si="224"/>
        <v>0</v>
      </c>
      <c r="X210" s="57">
        <f t="shared" si="225"/>
        <v>0</v>
      </c>
      <c r="Y210" s="84">
        <f t="shared" si="226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52"/>
      <c r="B211" s="52"/>
      <c r="C211" s="124">
        <v>0</v>
      </c>
      <c r="D211" s="56">
        <v>0</v>
      </c>
      <c r="E211" s="56">
        <f t="shared" si="219"/>
        <v>0</v>
      </c>
      <c r="F211" s="58"/>
      <c r="G211" s="55">
        <v>0</v>
      </c>
      <c r="H211" s="57">
        <v>0</v>
      </c>
      <c r="I211" s="57">
        <f t="shared" si="220"/>
        <v>0</v>
      </c>
      <c r="J211" s="58"/>
      <c r="K211" s="55">
        <v>0</v>
      </c>
      <c r="L211" s="57">
        <v>0</v>
      </c>
      <c r="M211" s="57">
        <f t="shared" si="221"/>
        <v>0</v>
      </c>
      <c r="N211" s="58"/>
      <c r="O211" s="55">
        <v>0</v>
      </c>
      <c r="P211" s="57">
        <v>0</v>
      </c>
      <c r="Q211" s="57">
        <f t="shared" si="222"/>
        <v>0</v>
      </c>
      <c r="R211" s="58"/>
      <c r="S211" s="55">
        <v>0</v>
      </c>
      <c r="T211" s="57">
        <v>0</v>
      </c>
      <c r="U211" s="57">
        <f t="shared" si="223"/>
        <v>0</v>
      </c>
      <c r="V211" s="59"/>
      <c r="W211" s="124">
        <f t="shared" si="224"/>
        <v>0</v>
      </c>
      <c r="X211" s="57">
        <f t="shared" si="225"/>
        <v>0</v>
      </c>
      <c r="Y211" s="84">
        <f t="shared" si="226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52"/>
      <c r="B212" s="52"/>
      <c r="C212" s="124">
        <v>0</v>
      </c>
      <c r="D212" s="56">
        <v>0</v>
      </c>
      <c r="E212" s="56">
        <f t="shared" si="219"/>
        <v>0</v>
      </c>
      <c r="F212" s="58"/>
      <c r="G212" s="55">
        <v>0</v>
      </c>
      <c r="H212" s="57">
        <v>0</v>
      </c>
      <c r="I212" s="57">
        <f t="shared" si="220"/>
        <v>0</v>
      </c>
      <c r="J212" s="58"/>
      <c r="K212" s="55">
        <v>0</v>
      </c>
      <c r="L212" s="57">
        <v>0</v>
      </c>
      <c r="M212" s="57">
        <f t="shared" si="221"/>
        <v>0</v>
      </c>
      <c r="N212" s="58"/>
      <c r="O212" s="55">
        <v>0</v>
      </c>
      <c r="P212" s="57">
        <v>0</v>
      </c>
      <c r="Q212" s="57">
        <f t="shared" si="222"/>
        <v>0</v>
      </c>
      <c r="R212" s="58"/>
      <c r="S212" s="55">
        <v>0</v>
      </c>
      <c r="T212" s="57">
        <v>0</v>
      </c>
      <c r="U212" s="57">
        <f t="shared" si="223"/>
        <v>0</v>
      </c>
      <c r="V212" s="59"/>
      <c r="W212" s="124">
        <f t="shared" si="224"/>
        <v>0</v>
      </c>
      <c r="X212" s="57">
        <f t="shared" si="225"/>
        <v>0</v>
      </c>
      <c r="Y212" s="84">
        <f t="shared" si="226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219"/>
        <v>0</v>
      </c>
      <c r="F213" s="58"/>
      <c r="G213" s="55">
        <v>0</v>
      </c>
      <c r="H213" s="57">
        <v>0</v>
      </c>
      <c r="I213" s="57">
        <f t="shared" si="220"/>
        <v>0</v>
      </c>
      <c r="J213" s="58"/>
      <c r="K213" s="55">
        <v>0</v>
      </c>
      <c r="L213" s="57">
        <v>0</v>
      </c>
      <c r="M213" s="57">
        <f t="shared" si="221"/>
        <v>0</v>
      </c>
      <c r="N213" s="58"/>
      <c r="O213" s="55">
        <v>0</v>
      </c>
      <c r="P213" s="57">
        <v>0</v>
      </c>
      <c r="Q213" s="57">
        <f t="shared" si="222"/>
        <v>0</v>
      </c>
      <c r="R213" s="58"/>
      <c r="S213" s="55">
        <v>0</v>
      </c>
      <c r="T213" s="57">
        <v>0</v>
      </c>
      <c r="U213" s="57">
        <f t="shared" si="223"/>
        <v>0</v>
      </c>
      <c r="V213" s="59"/>
      <c r="W213" s="124">
        <f t="shared" si="224"/>
        <v>0</v>
      </c>
      <c r="X213" s="57">
        <f t="shared" si="225"/>
        <v>0</v>
      </c>
      <c r="Y213" s="84">
        <f t="shared" si="226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219"/>
        <v>0</v>
      </c>
      <c r="F214" s="58"/>
      <c r="G214" s="55">
        <v>0</v>
      </c>
      <c r="H214" s="57">
        <v>0</v>
      </c>
      <c r="I214" s="57">
        <f t="shared" si="220"/>
        <v>0</v>
      </c>
      <c r="J214" s="58"/>
      <c r="K214" s="55">
        <v>0</v>
      </c>
      <c r="L214" s="57">
        <v>0</v>
      </c>
      <c r="M214" s="57">
        <f t="shared" si="221"/>
        <v>0</v>
      </c>
      <c r="N214" s="58"/>
      <c r="O214" s="55">
        <v>0</v>
      </c>
      <c r="P214" s="57">
        <v>0</v>
      </c>
      <c r="Q214" s="57">
        <f t="shared" si="222"/>
        <v>0</v>
      </c>
      <c r="R214" s="58"/>
      <c r="S214" s="55">
        <v>0</v>
      </c>
      <c r="T214" s="57">
        <v>0</v>
      </c>
      <c r="U214" s="57">
        <f t="shared" si="223"/>
        <v>0</v>
      </c>
      <c r="V214" s="59"/>
      <c r="W214" s="124">
        <f t="shared" si="224"/>
        <v>0</v>
      </c>
      <c r="X214" s="57">
        <f t="shared" si="225"/>
        <v>0</v>
      </c>
      <c r="Y214" s="84">
        <f t="shared" si="226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219"/>
        <v>0</v>
      </c>
      <c r="F215" s="58"/>
      <c r="G215" s="55">
        <v>0</v>
      </c>
      <c r="H215" s="57">
        <v>0</v>
      </c>
      <c r="I215" s="57">
        <f t="shared" si="220"/>
        <v>0</v>
      </c>
      <c r="J215" s="58"/>
      <c r="K215" s="55">
        <v>0</v>
      </c>
      <c r="L215" s="57">
        <v>0</v>
      </c>
      <c r="M215" s="57">
        <f t="shared" si="221"/>
        <v>0</v>
      </c>
      <c r="N215" s="58"/>
      <c r="O215" s="55">
        <v>0</v>
      </c>
      <c r="P215" s="57">
        <v>0</v>
      </c>
      <c r="Q215" s="57">
        <f t="shared" si="222"/>
        <v>0</v>
      </c>
      <c r="R215" s="58"/>
      <c r="S215" s="55">
        <v>0</v>
      </c>
      <c r="T215" s="57">
        <v>0</v>
      </c>
      <c r="U215" s="57">
        <f t="shared" si="223"/>
        <v>0</v>
      </c>
      <c r="V215" s="59"/>
      <c r="W215" s="124">
        <f t="shared" si="224"/>
        <v>0</v>
      </c>
      <c r="X215" s="57">
        <f t="shared" si="225"/>
        <v>0</v>
      </c>
      <c r="Y215" s="84">
        <f t="shared" si="226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219"/>
        <v>0</v>
      </c>
      <c r="F216" s="58"/>
      <c r="G216" s="55">
        <v>0</v>
      </c>
      <c r="H216" s="57">
        <v>0</v>
      </c>
      <c r="I216" s="57">
        <f t="shared" si="220"/>
        <v>0</v>
      </c>
      <c r="J216" s="58"/>
      <c r="K216" s="55">
        <v>0</v>
      </c>
      <c r="L216" s="57">
        <v>0</v>
      </c>
      <c r="M216" s="57">
        <f t="shared" si="221"/>
        <v>0</v>
      </c>
      <c r="N216" s="58"/>
      <c r="O216" s="55">
        <v>0</v>
      </c>
      <c r="P216" s="57">
        <v>0</v>
      </c>
      <c r="Q216" s="57">
        <f t="shared" si="222"/>
        <v>0</v>
      </c>
      <c r="R216" s="58"/>
      <c r="S216" s="55">
        <v>0</v>
      </c>
      <c r="T216" s="57">
        <v>0</v>
      </c>
      <c r="U216" s="57">
        <f t="shared" si="223"/>
        <v>0</v>
      </c>
      <c r="V216" s="59"/>
      <c r="W216" s="124">
        <f t="shared" si="224"/>
        <v>0</v>
      </c>
      <c r="X216" s="57">
        <f t="shared" si="225"/>
        <v>0</v>
      </c>
      <c r="Y216" s="84">
        <f t="shared" si="226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0</v>
      </c>
      <c r="H217" s="125">
        <f>SUM(H207:H216)</f>
        <v>0</v>
      </c>
      <c r="I217" s="125">
        <f>SUM(I207:I216)</f>
        <v>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224"/>
        <v>0</v>
      </c>
      <c r="X217" s="80">
        <f t="shared" si="225"/>
        <v>0</v>
      </c>
      <c r="Y217" s="80">
        <f t="shared" si="226"/>
        <v>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2"/>
      <c r="B219" s="160" t="s">
        <v>57</v>
      </c>
      <c r="C219" s="124">
        <v>0</v>
      </c>
      <c r="D219" s="56">
        <v>0</v>
      </c>
      <c r="E219" s="56">
        <f t="shared" ref="E219:E224" si="227">SUM(C219:D219)</f>
        <v>0</v>
      </c>
      <c r="F219" s="58"/>
      <c r="G219" s="55">
        <f>C219</f>
        <v>0</v>
      </c>
      <c r="H219" s="57">
        <v>0</v>
      </c>
      <c r="I219" s="57">
        <f t="shared" ref="I219:I224" si="228">SUM(G219:H219)</f>
        <v>0</v>
      </c>
      <c r="J219" s="58"/>
      <c r="K219" s="55">
        <f>G219</f>
        <v>0</v>
      </c>
      <c r="L219" s="57">
        <v>0</v>
      </c>
      <c r="M219" s="57">
        <f t="shared" ref="M219:M224" si="229">SUM(K219:L219)</f>
        <v>0</v>
      </c>
      <c r="N219" s="58"/>
      <c r="O219" s="55">
        <f>K219</f>
        <v>0</v>
      </c>
      <c r="P219" s="57">
        <v>0</v>
      </c>
      <c r="Q219" s="57">
        <f t="shared" ref="Q219:Q224" si="230">SUM(O219:P219)</f>
        <v>0</v>
      </c>
      <c r="R219" s="58"/>
      <c r="S219" s="55">
        <f>O219</f>
        <v>0</v>
      </c>
      <c r="T219" s="57">
        <v>0</v>
      </c>
      <c r="U219" s="57">
        <f t="shared" ref="U219:U224" si="231">SUM(S219:T219)</f>
        <v>0</v>
      </c>
      <c r="V219" s="59"/>
      <c r="W219" s="124">
        <f t="shared" ref="W219:Y225" si="232">C219+G219+K219+O219+S219</f>
        <v>0</v>
      </c>
      <c r="X219" s="57">
        <f t="shared" si="232"/>
        <v>0</v>
      </c>
      <c r="Y219" s="84">
        <f t="shared" si="232"/>
        <v>0</v>
      </c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</row>
    <row r="220" spans="1:77" s="61" customFormat="1" x14ac:dyDescent="0.25">
      <c r="A220" s="52"/>
      <c r="B220" s="52" t="s">
        <v>164</v>
      </c>
      <c r="C220" s="124">
        <f>5000*0</f>
        <v>0</v>
      </c>
      <c r="D220" s="56">
        <v>0</v>
      </c>
      <c r="E220" s="56">
        <f t="shared" si="227"/>
        <v>0</v>
      </c>
      <c r="F220" s="58"/>
      <c r="G220" s="55">
        <v>5000</v>
      </c>
      <c r="H220" s="57">
        <v>0</v>
      </c>
      <c r="I220" s="57">
        <f t="shared" si="228"/>
        <v>5000</v>
      </c>
      <c r="J220" s="58"/>
      <c r="K220" s="55">
        <v>5000</v>
      </c>
      <c r="L220" s="57">
        <v>0</v>
      </c>
      <c r="M220" s="57">
        <f t="shared" si="229"/>
        <v>5000</v>
      </c>
      <c r="N220" s="58"/>
      <c r="O220" s="55">
        <f>K220</f>
        <v>5000</v>
      </c>
      <c r="P220" s="57">
        <v>0</v>
      </c>
      <c r="Q220" s="57">
        <f t="shared" si="230"/>
        <v>5000</v>
      </c>
      <c r="R220" s="58"/>
      <c r="S220" s="55">
        <v>0</v>
      </c>
      <c r="T220" s="57">
        <v>0</v>
      </c>
      <c r="U220" s="57">
        <f t="shared" si="231"/>
        <v>0</v>
      </c>
      <c r="V220" s="59"/>
      <c r="W220" s="124">
        <f t="shared" si="232"/>
        <v>15000</v>
      </c>
      <c r="X220" s="57">
        <f t="shared" si="232"/>
        <v>0</v>
      </c>
      <c r="Y220" s="84">
        <f t="shared" si="232"/>
        <v>15000</v>
      </c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</row>
    <row r="221" spans="1:77" s="61" customFormat="1" x14ac:dyDescent="0.25">
      <c r="A221" s="52"/>
      <c r="B221" s="52"/>
      <c r="C221" s="124">
        <v>0</v>
      </c>
      <c r="D221" s="56">
        <v>0</v>
      </c>
      <c r="E221" s="56">
        <f t="shared" si="227"/>
        <v>0</v>
      </c>
      <c r="F221" s="58"/>
      <c r="G221" s="55">
        <v>0</v>
      </c>
      <c r="H221" s="57">
        <v>0</v>
      </c>
      <c r="I221" s="57">
        <f t="shared" si="228"/>
        <v>0</v>
      </c>
      <c r="J221" s="58"/>
      <c r="K221" s="55">
        <v>0</v>
      </c>
      <c r="L221" s="57">
        <v>0</v>
      </c>
      <c r="M221" s="57">
        <f t="shared" si="229"/>
        <v>0</v>
      </c>
      <c r="N221" s="58"/>
      <c r="O221" s="55">
        <v>0</v>
      </c>
      <c r="P221" s="57">
        <v>0</v>
      </c>
      <c r="Q221" s="57">
        <f t="shared" si="230"/>
        <v>0</v>
      </c>
      <c r="R221" s="58"/>
      <c r="S221" s="55">
        <v>0</v>
      </c>
      <c r="T221" s="57">
        <v>0</v>
      </c>
      <c r="U221" s="57">
        <f t="shared" si="231"/>
        <v>0</v>
      </c>
      <c r="V221" s="59"/>
      <c r="W221" s="124">
        <f t="shared" si="232"/>
        <v>0</v>
      </c>
      <c r="X221" s="57">
        <f t="shared" si="232"/>
        <v>0</v>
      </c>
      <c r="Y221" s="84">
        <f t="shared" si="232"/>
        <v>0</v>
      </c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</row>
    <row r="222" spans="1:77" s="61" customFormat="1" x14ac:dyDescent="0.25">
      <c r="A222" s="52"/>
      <c r="B222" s="52"/>
      <c r="C222" s="124">
        <v>0</v>
      </c>
      <c r="D222" s="56">
        <v>0</v>
      </c>
      <c r="E222" s="56">
        <f t="shared" si="227"/>
        <v>0</v>
      </c>
      <c r="F222" s="58"/>
      <c r="G222" s="55">
        <v>0</v>
      </c>
      <c r="H222" s="57">
        <v>0</v>
      </c>
      <c r="I222" s="57">
        <f t="shared" si="228"/>
        <v>0</v>
      </c>
      <c r="J222" s="58"/>
      <c r="K222" s="55">
        <v>0</v>
      </c>
      <c r="L222" s="57">
        <v>0</v>
      </c>
      <c r="M222" s="57">
        <f t="shared" si="229"/>
        <v>0</v>
      </c>
      <c r="N222" s="58"/>
      <c r="O222" s="55">
        <v>0</v>
      </c>
      <c r="P222" s="57">
        <v>0</v>
      </c>
      <c r="Q222" s="57">
        <f t="shared" si="230"/>
        <v>0</v>
      </c>
      <c r="R222" s="58"/>
      <c r="S222" s="55">
        <v>0</v>
      </c>
      <c r="T222" s="57">
        <v>0</v>
      </c>
      <c r="U222" s="57">
        <f t="shared" si="231"/>
        <v>0</v>
      </c>
      <c r="V222" s="59"/>
      <c r="W222" s="124">
        <f t="shared" si="232"/>
        <v>0</v>
      </c>
      <c r="X222" s="57">
        <f t="shared" si="232"/>
        <v>0</v>
      </c>
      <c r="Y222" s="84">
        <f t="shared" si="232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227"/>
        <v>0</v>
      </c>
      <c r="F223" s="58"/>
      <c r="G223" s="55">
        <v>0</v>
      </c>
      <c r="H223" s="57">
        <v>0</v>
      </c>
      <c r="I223" s="57">
        <f t="shared" si="228"/>
        <v>0</v>
      </c>
      <c r="J223" s="58"/>
      <c r="K223" s="55">
        <v>0</v>
      </c>
      <c r="L223" s="57">
        <v>0</v>
      </c>
      <c r="M223" s="57">
        <f t="shared" si="229"/>
        <v>0</v>
      </c>
      <c r="N223" s="58"/>
      <c r="O223" s="55">
        <v>0</v>
      </c>
      <c r="P223" s="57">
        <v>0</v>
      </c>
      <c r="Q223" s="57">
        <f t="shared" si="230"/>
        <v>0</v>
      </c>
      <c r="R223" s="58"/>
      <c r="S223" s="55">
        <v>0</v>
      </c>
      <c r="T223" s="57">
        <v>0</v>
      </c>
      <c r="U223" s="57">
        <f t="shared" si="231"/>
        <v>0</v>
      </c>
      <c r="V223" s="59"/>
      <c r="W223" s="124">
        <f t="shared" si="232"/>
        <v>0</v>
      </c>
      <c r="X223" s="57">
        <f t="shared" si="232"/>
        <v>0</v>
      </c>
      <c r="Y223" s="84">
        <f t="shared" si="232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227"/>
        <v>0</v>
      </c>
      <c r="F224" s="58"/>
      <c r="G224" s="55">
        <v>0</v>
      </c>
      <c r="H224" s="57">
        <v>0</v>
      </c>
      <c r="I224" s="57">
        <f t="shared" si="228"/>
        <v>0</v>
      </c>
      <c r="J224" s="58"/>
      <c r="K224" s="55">
        <v>0</v>
      </c>
      <c r="L224" s="57">
        <v>0</v>
      </c>
      <c r="M224" s="57">
        <f t="shared" si="229"/>
        <v>0</v>
      </c>
      <c r="N224" s="58"/>
      <c r="O224" s="55">
        <v>0</v>
      </c>
      <c r="P224" s="57">
        <v>0</v>
      </c>
      <c r="Q224" s="57">
        <f t="shared" si="230"/>
        <v>0</v>
      </c>
      <c r="R224" s="58"/>
      <c r="S224" s="55">
        <v>0</v>
      </c>
      <c r="T224" s="57">
        <v>0</v>
      </c>
      <c r="U224" s="57">
        <f t="shared" si="231"/>
        <v>0</v>
      </c>
      <c r="V224" s="59"/>
      <c r="W224" s="124">
        <f t="shared" si="232"/>
        <v>0</v>
      </c>
      <c r="X224" s="57">
        <f t="shared" si="232"/>
        <v>0</v>
      </c>
      <c r="Y224" s="84">
        <f t="shared" si="232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0</v>
      </c>
      <c r="D225" s="125">
        <f>SUM(D219:D224)</f>
        <v>0</v>
      </c>
      <c r="E225" s="125">
        <f>SUM(E219:E224)</f>
        <v>0</v>
      </c>
      <c r="F225" s="81"/>
      <c r="G225" s="79">
        <f>SUM(G219:G224)</f>
        <v>5000</v>
      </c>
      <c r="H225" s="80">
        <f>SUM(H219:H224)</f>
        <v>0</v>
      </c>
      <c r="I225" s="80">
        <f>SUM(I219:I224)</f>
        <v>5000</v>
      </c>
      <c r="J225" s="81"/>
      <c r="K225" s="79">
        <f>SUM(K219:K224)</f>
        <v>5000</v>
      </c>
      <c r="L225" s="80">
        <f>SUM(L219:L224)</f>
        <v>0</v>
      </c>
      <c r="M225" s="80">
        <f>SUM(M219:M224)</f>
        <v>5000</v>
      </c>
      <c r="N225" s="81"/>
      <c r="O225" s="79">
        <f>SUM(O219:O224)</f>
        <v>5000</v>
      </c>
      <c r="P225" s="80">
        <f>SUM(P219:P224)</f>
        <v>0</v>
      </c>
      <c r="Q225" s="80">
        <f>SUM(Q219:Q224)</f>
        <v>5000</v>
      </c>
      <c r="R225" s="81"/>
      <c r="S225" s="79">
        <f>SUM(S219:S224)</f>
        <v>0</v>
      </c>
      <c r="T225" s="80">
        <f>SUM(T219:T224)</f>
        <v>0</v>
      </c>
      <c r="U225" s="80">
        <f>SUM(U219:U224)</f>
        <v>0</v>
      </c>
      <c r="V225" s="82"/>
      <c r="W225" s="228">
        <f t="shared" si="232"/>
        <v>15000</v>
      </c>
      <c r="X225" s="80">
        <f t="shared" si="232"/>
        <v>0</v>
      </c>
      <c r="Y225" s="80">
        <f t="shared" si="232"/>
        <v>15000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/>
      <c r="B227" s="61" t="s">
        <v>57</v>
      </c>
      <c r="C227" s="124">
        <f>6*1500*0</f>
        <v>0</v>
      </c>
      <c r="D227" s="56">
        <v>0</v>
      </c>
      <c r="E227" s="56">
        <f>SUM(C227:D227)</f>
        <v>0</v>
      </c>
      <c r="F227" s="58"/>
      <c r="G227" s="55">
        <f>C227</f>
        <v>0</v>
      </c>
      <c r="H227" s="56">
        <v>0</v>
      </c>
      <c r="I227" s="56">
        <f>SUM(G227:H227)</f>
        <v>0</v>
      </c>
      <c r="J227" s="58"/>
      <c r="K227" s="55">
        <f>G227</f>
        <v>0</v>
      </c>
      <c r="L227" s="56">
        <v>0</v>
      </c>
      <c r="M227" s="56">
        <f>SUM(K227:L227)</f>
        <v>0</v>
      </c>
      <c r="N227" s="58"/>
      <c r="O227" s="55">
        <f>K227</f>
        <v>0</v>
      </c>
      <c r="P227" s="56">
        <v>0</v>
      </c>
      <c r="Q227" s="56">
        <f>SUM(O227:P227)</f>
        <v>0</v>
      </c>
      <c r="R227" s="58"/>
      <c r="S227" s="55">
        <f>O227</f>
        <v>0</v>
      </c>
      <c r="T227" s="56">
        <v>0</v>
      </c>
      <c r="U227" s="56">
        <f>SUM(S227:T227)</f>
        <v>0</v>
      </c>
      <c r="V227" s="59"/>
      <c r="W227" s="124">
        <f t="shared" ref="W227:Y231" si="233">C227+G227+K227+O227+S227</f>
        <v>0</v>
      </c>
      <c r="X227" s="57">
        <f t="shared" si="233"/>
        <v>0</v>
      </c>
      <c r="Y227" s="84">
        <f t="shared" si="233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 t="s">
        <v>57</v>
      </c>
      <c r="B228" s="52" t="s">
        <v>181</v>
      </c>
      <c r="C228" s="124">
        <f>2*7000*0</f>
        <v>0</v>
      </c>
      <c r="D228" s="56">
        <v>0</v>
      </c>
      <c r="E228" s="56">
        <f>SUM(C228:D228)</f>
        <v>0</v>
      </c>
      <c r="F228" s="58"/>
      <c r="G228" s="55">
        <f>C228</f>
        <v>0</v>
      </c>
      <c r="H228" s="56">
        <v>0</v>
      </c>
      <c r="I228" s="56">
        <f>SUM(G228:H228)</f>
        <v>0</v>
      </c>
      <c r="J228" s="58"/>
      <c r="K228" s="55">
        <f>51727/4</f>
        <v>12931.75</v>
      </c>
      <c r="L228" s="56">
        <v>0</v>
      </c>
      <c r="M228" s="56">
        <f>SUM(K228:L228)</f>
        <v>12931.75</v>
      </c>
      <c r="N228" s="58"/>
      <c r="O228" s="55">
        <f>K228*1.05</f>
        <v>13578.337500000001</v>
      </c>
      <c r="P228" s="56">
        <v>0</v>
      </c>
      <c r="Q228" s="56">
        <f>SUM(O228:P228)</f>
        <v>13578.337500000001</v>
      </c>
      <c r="R228" s="58"/>
      <c r="S228" s="55">
        <f>O228*0</f>
        <v>0</v>
      </c>
      <c r="T228" s="56">
        <v>0</v>
      </c>
      <c r="U228" s="56">
        <f>SUM(S228:T228)</f>
        <v>0</v>
      </c>
      <c r="V228" s="59"/>
      <c r="W228" s="124">
        <f t="shared" si="233"/>
        <v>26510.087500000001</v>
      </c>
      <c r="X228" s="57">
        <f t="shared" si="233"/>
        <v>0</v>
      </c>
      <c r="Y228" s="84">
        <f t="shared" si="233"/>
        <v>26510.087500000001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61" t="s">
        <v>57</v>
      </c>
      <c r="C229" s="124">
        <v>0</v>
      </c>
      <c r="D229" s="56">
        <v>0</v>
      </c>
      <c r="E229" s="56">
        <f>SUM(C229:D229)</f>
        <v>0</v>
      </c>
      <c r="F229" s="58"/>
      <c r="G229" s="55">
        <f>5*5000*0</f>
        <v>0</v>
      </c>
      <c r="H229" s="56">
        <v>0</v>
      </c>
      <c r="I229" s="56">
        <f>SUM(G229:H229)</f>
        <v>0</v>
      </c>
      <c r="J229" s="58"/>
      <c r="K229" s="55">
        <f>G229</f>
        <v>0</v>
      </c>
      <c r="L229" s="56">
        <v>0</v>
      </c>
      <c r="M229" s="56">
        <f>SUM(K229:L229)</f>
        <v>0</v>
      </c>
      <c r="N229" s="58"/>
      <c r="O229" s="55">
        <f>K229</f>
        <v>0</v>
      </c>
      <c r="P229" s="56">
        <v>0</v>
      </c>
      <c r="Q229" s="56">
        <f>SUM(O229:P229)</f>
        <v>0</v>
      </c>
      <c r="R229" s="58"/>
      <c r="S229" s="55">
        <f>O229</f>
        <v>0</v>
      </c>
      <c r="T229" s="56">
        <v>0</v>
      </c>
      <c r="U229" s="56">
        <f>SUM(S229:T229)</f>
        <v>0</v>
      </c>
      <c r="V229" s="59"/>
      <c r="W229" s="124">
        <f t="shared" si="233"/>
        <v>0</v>
      </c>
      <c r="X229" s="57">
        <f t="shared" si="233"/>
        <v>0</v>
      </c>
      <c r="Y229" s="84">
        <f t="shared" si="233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61" customFormat="1" x14ac:dyDescent="0.25">
      <c r="A230" s="54"/>
      <c r="B230" s="54"/>
      <c r="C230" s="124">
        <v>0</v>
      </c>
      <c r="D230" s="56">
        <v>0</v>
      </c>
      <c r="E230" s="56">
        <f>SUM(C230:D230)</f>
        <v>0</v>
      </c>
      <c r="F230" s="58"/>
      <c r="G230" s="55">
        <v>0</v>
      </c>
      <c r="H230" s="56">
        <v>0</v>
      </c>
      <c r="I230" s="56">
        <f>SUM(G230:H230)</f>
        <v>0</v>
      </c>
      <c r="J230" s="58"/>
      <c r="K230" s="55">
        <v>0</v>
      </c>
      <c r="L230" s="56">
        <v>0</v>
      </c>
      <c r="M230" s="56">
        <f>SUM(K230:L230)</f>
        <v>0</v>
      </c>
      <c r="N230" s="58"/>
      <c r="O230" s="55">
        <v>0</v>
      </c>
      <c r="P230" s="56">
        <v>0</v>
      </c>
      <c r="Q230" s="56">
        <f>SUM(O230:P230)</f>
        <v>0</v>
      </c>
      <c r="R230" s="58"/>
      <c r="S230" s="55">
        <v>0</v>
      </c>
      <c r="T230" s="56">
        <v>0</v>
      </c>
      <c r="U230" s="56">
        <f>SUM(S230:T230)</f>
        <v>0</v>
      </c>
      <c r="V230" s="59"/>
      <c r="W230" s="124">
        <f t="shared" si="233"/>
        <v>0</v>
      </c>
      <c r="X230" s="57">
        <f t="shared" si="233"/>
        <v>0</v>
      </c>
      <c r="Y230" s="84">
        <f t="shared" si="233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0</v>
      </c>
      <c r="H231" s="80">
        <f>SUM(H227:H230)</f>
        <v>0</v>
      </c>
      <c r="I231" s="80">
        <f>SUM(I227:I230)</f>
        <v>0</v>
      </c>
      <c r="J231" s="81"/>
      <c r="K231" s="79">
        <f>SUM(K227:K230)</f>
        <v>12931.75</v>
      </c>
      <c r="L231" s="80">
        <f>SUM(L227:L230)</f>
        <v>0</v>
      </c>
      <c r="M231" s="80">
        <f>SUM(M227:M230)</f>
        <v>12931.75</v>
      </c>
      <c r="N231" s="81"/>
      <c r="O231" s="79">
        <f>SUM(O227:O230)</f>
        <v>13578.337500000001</v>
      </c>
      <c r="P231" s="80">
        <f>SUM(P227:P230)</f>
        <v>0</v>
      </c>
      <c r="Q231" s="80">
        <f>SUM(Q227:Q230)</f>
        <v>13578.337500000001</v>
      </c>
      <c r="R231" s="81"/>
      <c r="S231" s="79">
        <f>SUM(S227:S230)</f>
        <v>0</v>
      </c>
      <c r="T231" s="125">
        <f>SUM(T227:T230)</f>
        <v>0</v>
      </c>
      <c r="U231" s="125">
        <f>SUM(U227:U230)</f>
        <v>0</v>
      </c>
      <c r="V231" s="82"/>
      <c r="W231" s="228">
        <f t="shared" si="233"/>
        <v>26510.087500000001</v>
      </c>
      <c r="X231" s="80">
        <f t="shared" si="233"/>
        <v>0</v>
      </c>
      <c r="Y231" s="80">
        <f t="shared" si="233"/>
        <v>26510.087500000001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2"/>
      <c r="B233" s="52" t="s">
        <v>165</v>
      </c>
      <c r="C233" s="124">
        <v>0</v>
      </c>
      <c r="D233" s="56">
        <v>0</v>
      </c>
      <c r="E233" s="56">
        <f t="shared" ref="E233" si="234">SUM(C233:D233)</f>
        <v>0</v>
      </c>
      <c r="F233" s="58"/>
      <c r="G233" s="55">
        <v>10000</v>
      </c>
      <c r="H233" s="57">
        <v>20021</v>
      </c>
      <c r="I233" s="57">
        <f t="shared" ref="I233" si="235">SUM(G233:H233)</f>
        <v>30021</v>
      </c>
      <c r="J233" s="58"/>
      <c r="K233" s="55">
        <f>10000+3400</f>
        <v>13400</v>
      </c>
      <c r="L233" s="57">
        <f>H233</f>
        <v>20021</v>
      </c>
      <c r="M233" s="57">
        <f t="shared" ref="M233" si="236">SUM(K233:L233)</f>
        <v>33421</v>
      </c>
      <c r="N233" s="58"/>
      <c r="O233" s="55">
        <f>G233</f>
        <v>10000</v>
      </c>
      <c r="P233" s="57">
        <f>L233</f>
        <v>20021</v>
      </c>
      <c r="Q233" s="57">
        <f t="shared" ref="Q233" si="237">SUM(O233:P233)</f>
        <v>30021</v>
      </c>
      <c r="R233" s="58"/>
      <c r="S233" s="55">
        <v>0</v>
      </c>
      <c r="T233" s="57">
        <v>0</v>
      </c>
      <c r="U233" s="57">
        <f t="shared" ref="U233" si="238">SUM(S233:T233)</f>
        <v>0</v>
      </c>
      <c r="V233" s="59"/>
      <c r="W233" s="124">
        <f t="shared" ref="W233:Y233" si="239">C233+G233+K233+O233+S233</f>
        <v>33400</v>
      </c>
      <c r="X233" s="57">
        <f t="shared" si="239"/>
        <v>60063</v>
      </c>
      <c r="Y233" s="84">
        <f t="shared" si="239"/>
        <v>93463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</row>
    <row r="234" spans="1:77" s="61" customFormat="1" x14ac:dyDescent="0.25">
      <c r="A234" s="54"/>
      <c r="B234" s="52" t="s">
        <v>57</v>
      </c>
      <c r="C234" s="124">
        <f>5*500*0</f>
        <v>0</v>
      </c>
      <c r="D234" s="56">
        <v>0</v>
      </c>
      <c r="E234" s="56">
        <f t="shared" ref="E234:E244" si="240">SUM(C234:D234)</f>
        <v>0</v>
      </c>
      <c r="F234" s="58"/>
      <c r="G234" s="55">
        <f>5*500*0</f>
        <v>0</v>
      </c>
      <c r="H234" s="57">
        <v>0</v>
      </c>
      <c r="I234" s="57">
        <f t="shared" ref="I234:I244" si="241">SUM(G234:H234)</f>
        <v>0</v>
      </c>
      <c r="J234" s="58"/>
      <c r="K234" s="55">
        <f>G234</f>
        <v>0</v>
      </c>
      <c r="L234" s="57">
        <v>0</v>
      </c>
      <c r="M234" s="57">
        <f t="shared" ref="M234:M244" si="242">SUM(K234:L234)</f>
        <v>0</v>
      </c>
      <c r="N234" s="58"/>
      <c r="O234" s="55">
        <f>K234</f>
        <v>0</v>
      </c>
      <c r="P234" s="57">
        <v>0</v>
      </c>
      <c r="Q234" s="57">
        <f t="shared" ref="Q234:Q244" si="243">SUM(O234:P234)</f>
        <v>0</v>
      </c>
      <c r="R234" s="58"/>
      <c r="S234" s="55">
        <f>O234</f>
        <v>0</v>
      </c>
      <c r="T234" s="57">
        <v>0</v>
      </c>
      <c r="U234" s="57">
        <f t="shared" ref="U234:U244" si="244">SUM(S234:T234)</f>
        <v>0</v>
      </c>
      <c r="V234" s="59"/>
      <c r="W234" s="124">
        <f t="shared" ref="W234:W245" si="245">C234+G234+K234+O234+S234</f>
        <v>0</v>
      </c>
      <c r="X234" s="57">
        <f t="shared" ref="X234:X245" si="246">D234+H234+L234+P234+T234</f>
        <v>0</v>
      </c>
      <c r="Y234" s="84">
        <f t="shared" ref="Y234:Y245" si="247">E234+I234+M234+Q234+U234</f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</row>
    <row r="235" spans="1:77" s="61" customFormat="1" x14ac:dyDescent="0.25">
      <c r="A235" s="52"/>
      <c r="B235" s="54" t="s">
        <v>57</v>
      </c>
      <c r="C235" s="124">
        <f>3000*2*0</f>
        <v>0</v>
      </c>
      <c r="D235" s="56">
        <v>0</v>
      </c>
      <c r="E235" s="56">
        <f t="shared" si="240"/>
        <v>0</v>
      </c>
      <c r="F235" s="58"/>
      <c r="G235" s="55">
        <f>3000*2*0</f>
        <v>0</v>
      </c>
      <c r="H235" s="57">
        <v>0</v>
      </c>
      <c r="I235" s="57">
        <f t="shared" si="241"/>
        <v>0</v>
      </c>
      <c r="J235" s="58"/>
      <c r="K235" s="55">
        <f>G235</f>
        <v>0</v>
      </c>
      <c r="L235" s="57">
        <v>0</v>
      </c>
      <c r="M235" s="57">
        <f t="shared" si="242"/>
        <v>0</v>
      </c>
      <c r="N235" s="58"/>
      <c r="O235" s="55">
        <f>3000*2*0</f>
        <v>0</v>
      </c>
      <c r="P235" s="57">
        <v>0</v>
      </c>
      <c r="Q235" s="57">
        <f t="shared" si="243"/>
        <v>0</v>
      </c>
      <c r="R235" s="58"/>
      <c r="S235" s="55">
        <v>0</v>
      </c>
      <c r="T235" s="57">
        <v>0</v>
      </c>
      <c r="U235" s="57">
        <f t="shared" si="244"/>
        <v>0</v>
      </c>
      <c r="V235" s="59"/>
      <c r="W235" s="124">
        <f t="shared" si="245"/>
        <v>0</v>
      </c>
      <c r="X235" s="56">
        <f t="shared" si="246"/>
        <v>0</v>
      </c>
      <c r="Y235" s="85">
        <f t="shared" si="247"/>
        <v>0</v>
      </c>
      <c r="Z235" s="160"/>
      <c r="AA235" s="160"/>
      <c r="AB235" s="160"/>
      <c r="AC235" s="160"/>
    </row>
    <row r="236" spans="1:77" s="61" customFormat="1" x14ac:dyDescent="0.25">
      <c r="A236" s="52"/>
      <c r="B236" s="52"/>
      <c r="C236" s="124">
        <v>0</v>
      </c>
      <c r="D236" s="56">
        <v>0</v>
      </c>
      <c r="E236" s="56">
        <f t="shared" si="240"/>
        <v>0</v>
      </c>
      <c r="F236" s="58"/>
      <c r="G236" s="55">
        <v>0</v>
      </c>
      <c r="H236" s="57">
        <v>0</v>
      </c>
      <c r="I236" s="57">
        <f t="shared" si="241"/>
        <v>0</v>
      </c>
      <c r="J236" s="58"/>
      <c r="K236" s="55">
        <v>0</v>
      </c>
      <c r="L236" s="57">
        <v>0</v>
      </c>
      <c r="M236" s="57">
        <f t="shared" si="242"/>
        <v>0</v>
      </c>
      <c r="N236" s="58"/>
      <c r="O236" s="55">
        <v>0</v>
      </c>
      <c r="P236" s="57">
        <v>0</v>
      </c>
      <c r="Q236" s="57">
        <f t="shared" si="243"/>
        <v>0</v>
      </c>
      <c r="R236" s="58"/>
      <c r="S236" s="55">
        <v>0</v>
      </c>
      <c r="T236" s="57">
        <v>0</v>
      </c>
      <c r="U236" s="57">
        <f t="shared" si="244"/>
        <v>0</v>
      </c>
      <c r="V236" s="59"/>
      <c r="W236" s="124">
        <f t="shared" si="245"/>
        <v>0</v>
      </c>
      <c r="X236" s="57">
        <f t="shared" si="246"/>
        <v>0</v>
      </c>
      <c r="Y236" s="84">
        <f t="shared" si="247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</row>
    <row r="237" spans="1:77" s="61" customFormat="1" x14ac:dyDescent="0.25">
      <c r="A237" s="54"/>
      <c r="B237" s="54" t="s">
        <v>57</v>
      </c>
      <c r="C237" s="124">
        <v>0</v>
      </c>
      <c r="D237" s="56">
        <v>0</v>
      </c>
      <c r="E237" s="56">
        <f t="shared" si="240"/>
        <v>0</v>
      </c>
      <c r="F237" s="58"/>
      <c r="G237" s="55">
        <f>(8)*500*0</f>
        <v>0</v>
      </c>
      <c r="H237" s="57">
        <v>0</v>
      </c>
      <c r="I237" s="57">
        <f t="shared" si="241"/>
        <v>0</v>
      </c>
      <c r="J237" s="58"/>
      <c r="K237" s="55">
        <f>G237</f>
        <v>0</v>
      </c>
      <c r="L237" s="57">
        <v>0</v>
      </c>
      <c r="M237" s="57">
        <f t="shared" si="242"/>
        <v>0</v>
      </c>
      <c r="N237" s="58"/>
      <c r="O237" s="55">
        <f>K237</f>
        <v>0</v>
      </c>
      <c r="P237" s="57">
        <v>0</v>
      </c>
      <c r="Q237" s="57">
        <f t="shared" si="243"/>
        <v>0</v>
      </c>
      <c r="R237" s="58"/>
      <c r="S237" s="55">
        <f>O237</f>
        <v>0</v>
      </c>
      <c r="T237" s="57">
        <v>0</v>
      </c>
      <c r="U237" s="57">
        <f t="shared" si="244"/>
        <v>0</v>
      </c>
      <c r="V237" s="59"/>
      <c r="W237" s="124">
        <f t="shared" si="245"/>
        <v>0</v>
      </c>
      <c r="X237" s="196">
        <f t="shared" si="246"/>
        <v>0</v>
      </c>
      <c r="Y237" s="194">
        <f t="shared" si="247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</row>
    <row r="238" spans="1:77" s="61" customFormat="1" x14ac:dyDescent="0.25">
      <c r="A238" s="52"/>
      <c r="B238" s="52"/>
      <c r="C238" s="124">
        <v>0</v>
      </c>
      <c r="D238" s="56">
        <v>0</v>
      </c>
      <c r="E238" s="56">
        <f t="shared" si="240"/>
        <v>0</v>
      </c>
      <c r="F238" s="58"/>
      <c r="G238" s="55">
        <v>0</v>
      </c>
      <c r="H238" s="57">
        <v>0</v>
      </c>
      <c r="I238" s="57">
        <f t="shared" si="241"/>
        <v>0</v>
      </c>
      <c r="J238" s="58"/>
      <c r="K238" s="55">
        <v>0</v>
      </c>
      <c r="L238" s="57">
        <v>0</v>
      </c>
      <c r="M238" s="57">
        <f t="shared" si="242"/>
        <v>0</v>
      </c>
      <c r="N238" s="58"/>
      <c r="O238" s="55">
        <v>0</v>
      </c>
      <c r="P238" s="57">
        <v>0</v>
      </c>
      <c r="Q238" s="57">
        <f t="shared" si="243"/>
        <v>0</v>
      </c>
      <c r="R238" s="58"/>
      <c r="S238" s="55">
        <v>0</v>
      </c>
      <c r="T238" s="57">
        <v>0</v>
      </c>
      <c r="U238" s="57">
        <f t="shared" si="244"/>
        <v>0</v>
      </c>
      <c r="V238" s="59"/>
      <c r="W238" s="124">
        <f t="shared" si="245"/>
        <v>0</v>
      </c>
      <c r="X238" s="57">
        <f t="shared" si="246"/>
        <v>0</v>
      </c>
      <c r="Y238" s="84">
        <f t="shared" si="247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</row>
    <row r="239" spans="1:77" s="61" customFormat="1" x14ac:dyDescent="0.25">
      <c r="A239" s="52"/>
      <c r="B239" s="52"/>
      <c r="C239" s="124">
        <v>0</v>
      </c>
      <c r="D239" s="56">
        <v>0</v>
      </c>
      <c r="E239" s="56">
        <f t="shared" si="240"/>
        <v>0</v>
      </c>
      <c r="F239" s="58"/>
      <c r="G239" s="55">
        <v>0</v>
      </c>
      <c r="H239" s="57">
        <v>0</v>
      </c>
      <c r="I239" s="57">
        <f t="shared" si="241"/>
        <v>0</v>
      </c>
      <c r="J239" s="58"/>
      <c r="K239" s="55">
        <v>0</v>
      </c>
      <c r="L239" s="57">
        <v>0</v>
      </c>
      <c r="M239" s="57">
        <f t="shared" si="242"/>
        <v>0</v>
      </c>
      <c r="N239" s="58"/>
      <c r="O239" s="55">
        <v>0</v>
      </c>
      <c r="P239" s="57">
        <v>0</v>
      </c>
      <c r="Q239" s="57">
        <f t="shared" si="243"/>
        <v>0</v>
      </c>
      <c r="R239" s="58"/>
      <c r="S239" s="55">
        <v>0</v>
      </c>
      <c r="T239" s="57">
        <v>0</v>
      </c>
      <c r="U239" s="57">
        <f t="shared" si="244"/>
        <v>0</v>
      </c>
      <c r="V239" s="59"/>
      <c r="W239" s="124">
        <f t="shared" si="245"/>
        <v>0</v>
      </c>
      <c r="X239" s="57">
        <f t="shared" si="246"/>
        <v>0</v>
      </c>
      <c r="Y239" s="84">
        <f t="shared" si="247"/>
        <v>0</v>
      </c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</row>
    <row r="240" spans="1:77" s="61" customFormat="1" x14ac:dyDescent="0.25">
      <c r="A240" s="52"/>
      <c r="B240" s="52"/>
      <c r="C240" s="124">
        <v>0</v>
      </c>
      <c r="D240" s="56">
        <v>0</v>
      </c>
      <c r="E240" s="56">
        <f t="shared" si="240"/>
        <v>0</v>
      </c>
      <c r="F240" s="58"/>
      <c r="G240" s="55">
        <v>0</v>
      </c>
      <c r="H240" s="57">
        <v>0</v>
      </c>
      <c r="I240" s="57">
        <f t="shared" si="241"/>
        <v>0</v>
      </c>
      <c r="J240" s="58"/>
      <c r="K240" s="55">
        <v>0</v>
      </c>
      <c r="L240" s="57">
        <v>0</v>
      </c>
      <c r="M240" s="57">
        <f t="shared" si="242"/>
        <v>0</v>
      </c>
      <c r="N240" s="58"/>
      <c r="O240" s="55">
        <v>0</v>
      </c>
      <c r="P240" s="57">
        <v>0</v>
      </c>
      <c r="Q240" s="57">
        <f t="shared" si="243"/>
        <v>0</v>
      </c>
      <c r="R240" s="58"/>
      <c r="S240" s="55">
        <v>0</v>
      </c>
      <c r="T240" s="57">
        <v>0</v>
      </c>
      <c r="U240" s="57">
        <f t="shared" si="244"/>
        <v>0</v>
      </c>
      <c r="V240" s="59"/>
      <c r="W240" s="124">
        <f t="shared" si="245"/>
        <v>0</v>
      </c>
      <c r="X240" s="57">
        <f t="shared" si="246"/>
        <v>0</v>
      </c>
      <c r="Y240" s="84">
        <f t="shared" si="247"/>
        <v>0</v>
      </c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240"/>
        <v>0</v>
      </c>
      <c r="F241" s="58"/>
      <c r="G241" s="55">
        <v>0</v>
      </c>
      <c r="H241" s="57">
        <v>0</v>
      </c>
      <c r="I241" s="57">
        <f t="shared" si="241"/>
        <v>0</v>
      </c>
      <c r="J241" s="58"/>
      <c r="K241" s="55">
        <v>0</v>
      </c>
      <c r="L241" s="57">
        <v>0</v>
      </c>
      <c r="M241" s="57">
        <f t="shared" si="242"/>
        <v>0</v>
      </c>
      <c r="N241" s="58"/>
      <c r="O241" s="55">
        <v>0</v>
      </c>
      <c r="P241" s="57">
        <v>0</v>
      </c>
      <c r="Q241" s="57">
        <f t="shared" si="243"/>
        <v>0</v>
      </c>
      <c r="R241" s="58"/>
      <c r="S241" s="55">
        <v>0</v>
      </c>
      <c r="T241" s="57">
        <v>0</v>
      </c>
      <c r="U241" s="57">
        <f t="shared" si="244"/>
        <v>0</v>
      </c>
      <c r="V241" s="59"/>
      <c r="W241" s="124">
        <f t="shared" si="245"/>
        <v>0</v>
      </c>
      <c r="X241" s="57">
        <f t="shared" si="246"/>
        <v>0</v>
      </c>
      <c r="Y241" s="84">
        <f t="shared" si="247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240"/>
        <v>0</v>
      </c>
      <c r="F242" s="58"/>
      <c r="G242" s="55">
        <v>0</v>
      </c>
      <c r="H242" s="57">
        <v>0</v>
      </c>
      <c r="I242" s="57">
        <f t="shared" si="241"/>
        <v>0</v>
      </c>
      <c r="J242" s="58"/>
      <c r="K242" s="55">
        <v>0</v>
      </c>
      <c r="L242" s="57">
        <v>0</v>
      </c>
      <c r="M242" s="57">
        <f t="shared" si="242"/>
        <v>0</v>
      </c>
      <c r="N242" s="58"/>
      <c r="O242" s="55">
        <v>0</v>
      </c>
      <c r="P242" s="57">
        <v>0</v>
      </c>
      <c r="Q242" s="57">
        <f t="shared" si="243"/>
        <v>0</v>
      </c>
      <c r="R242" s="58"/>
      <c r="S242" s="55">
        <v>0</v>
      </c>
      <c r="T242" s="57">
        <v>0</v>
      </c>
      <c r="U242" s="57">
        <f t="shared" si="244"/>
        <v>0</v>
      </c>
      <c r="V242" s="59"/>
      <c r="W242" s="124">
        <f t="shared" si="245"/>
        <v>0</v>
      </c>
      <c r="X242" s="57">
        <f t="shared" si="246"/>
        <v>0</v>
      </c>
      <c r="Y242" s="84">
        <f t="shared" si="247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240"/>
        <v>0</v>
      </c>
      <c r="F243" s="58"/>
      <c r="G243" s="55">
        <v>0</v>
      </c>
      <c r="H243" s="57">
        <v>0</v>
      </c>
      <c r="I243" s="57">
        <f t="shared" si="241"/>
        <v>0</v>
      </c>
      <c r="J243" s="58"/>
      <c r="K243" s="55">
        <v>0</v>
      </c>
      <c r="L243" s="57">
        <v>0</v>
      </c>
      <c r="M243" s="57">
        <f t="shared" si="242"/>
        <v>0</v>
      </c>
      <c r="N243" s="58"/>
      <c r="O243" s="55">
        <v>0</v>
      </c>
      <c r="P243" s="57">
        <v>0</v>
      </c>
      <c r="Q243" s="57">
        <f t="shared" si="243"/>
        <v>0</v>
      </c>
      <c r="R243" s="58"/>
      <c r="S243" s="55">
        <v>0</v>
      </c>
      <c r="T243" s="57">
        <v>0</v>
      </c>
      <c r="U243" s="57">
        <f t="shared" si="244"/>
        <v>0</v>
      </c>
      <c r="V243" s="59"/>
      <c r="W243" s="124">
        <f t="shared" si="245"/>
        <v>0</v>
      </c>
      <c r="X243" s="57">
        <f t="shared" si="246"/>
        <v>0</v>
      </c>
      <c r="Y243" s="84">
        <f t="shared" si="247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240"/>
        <v>0</v>
      </c>
      <c r="F244" s="58"/>
      <c r="G244" s="55">
        <v>0</v>
      </c>
      <c r="H244" s="57">
        <v>0</v>
      </c>
      <c r="I244" s="57">
        <f t="shared" si="241"/>
        <v>0</v>
      </c>
      <c r="J244" s="58"/>
      <c r="K244" s="55">
        <v>0</v>
      </c>
      <c r="L244" s="57">
        <v>0</v>
      </c>
      <c r="M244" s="57">
        <f t="shared" si="242"/>
        <v>0</v>
      </c>
      <c r="N244" s="58"/>
      <c r="O244" s="55">
        <v>0</v>
      </c>
      <c r="P244" s="57">
        <v>0</v>
      </c>
      <c r="Q244" s="57">
        <f t="shared" si="243"/>
        <v>0</v>
      </c>
      <c r="R244" s="58"/>
      <c r="S244" s="55">
        <v>0</v>
      </c>
      <c r="T244" s="57">
        <v>0</v>
      </c>
      <c r="U244" s="57">
        <f t="shared" si="244"/>
        <v>0</v>
      </c>
      <c r="V244" s="59"/>
      <c r="W244" s="124">
        <f t="shared" si="245"/>
        <v>0</v>
      </c>
      <c r="X244" s="57">
        <f t="shared" si="246"/>
        <v>0</v>
      </c>
      <c r="Y244" s="84">
        <f t="shared" si="247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0</v>
      </c>
      <c r="D245" s="153">
        <f>SUM(D233:D244)</f>
        <v>0</v>
      </c>
      <c r="E245" s="153">
        <f>SUM(E233:E244)</f>
        <v>0</v>
      </c>
      <c r="F245" s="154"/>
      <c r="G245" s="152">
        <f>SUM(G233:G244)</f>
        <v>10000</v>
      </c>
      <c r="H245" s="155">
        <f>SUM(H233:H244)</f>
        <v>20021</v>
      </c>
      <c r="I245" s="155">
        <f>SUM(I233:I244)</f>
        <v>30021</v>
      </c>
      <c r="J245" s="154"/>
      <c r="K245" s="152">
        <f>SUM(K233:K244)</f>
        <v>13400</v>
      </c>
      <c r="L245" s="155">
        <f>SUM(L233:L244)</f>
        <v>20021</v>
      </c>
      <c r="M245" s="155">
        <f>SUM(M233:M244)</f>
        <v>33421</v>
      </c>
      <c r="N245" s="154"/>
      <c r="O245" s="152">
        <f>SUM(O233:O244)</f>
        <v>10000</v>
      </c>
      <c r="P245" s="155">
        <f>SUM(P233:P244)</f>
        <v>20021</v>
      </c>
      <c r="Q245" s="155">
        <f>SUM(Q233:Q244)</f>
        <v>30021</v>
      </c>
      <c r="R245" s="154"/>
      <c r="S245" s="152">
        <f>SUM(S233:S244)</f>
        <v>0</v>
      </c>
      <c r="T245" s="155">
        <f>SUM(T233:T244)</f>
        <v>0</v>
      </c>
      <c r="U245" s="155">
        <f>SUM(U233:U244)</f>
        <v>0</v>
      </c>
      <c r="V245" s="82"/>
      <c r="W245" s="228">
        <f t="shared" si="245"/>
        <v>33400</v>
      </c>
      <c r="X245" s="80">
        <f t="shared" si="246"/>
        <v>60063</v>
      </c>
      <c r="Y245" s="80">
        <f t="shared" si="247"/>
        <v>93463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>SUM(C205+C217+C225+C231+C245)</f>
        <v>12189.65</v>
      </c>
      <c r="D246" s="111">
        <f t="shared" ref="D246:Y246" si="248">SUM(D205+D217+D225+D231+D245)</f>
        <v>0</v>
      </c>
      <c r="E246" s="111">
        <f t="shared" si="248"/>
        <v>12189.65</v>
      </c>
      <c r="F246" s="111">
        <f t="shared" si="248"/>
        <v>0</v>
      </c>
      <c r="G246" s="111">
        <f t="shared" si="248"/>
        <v>44563.093699999998</v>
      </c>
      <c r="H246" s="111">
        <f t="shared" si="248"/>
        <v>20021</v>
      </c>
      <c r="I246" s="111">
        <f t="shared" si="248"/>
        <v>64584.093699999998</v>
      </c>
      <c r="J246" s="111">
        <f t="shared" si="248"/>
        <v>0</v>
      </c>
      <c r="K246" s="111">
        <f t="shared" si="248"/>
        <v>88163.574900918495</v>
      </c>
      <c r="L246" s="111">
        <f t="shared" si="248"/>
        <v>20021</v>
      </c>
      <c r="M246" s="111">
        <f t="shared" si="248"/>
        <v>108184.57490091849</v>
      </c>
      <c r="N246" s="111">
        <f t="shared" si="248"/>
        <v>0</v>
      </c>
      <c r="O246" s="111">
        <f t="shared" si="248"/>
        <v>87572.588156374142</v>
      </c>
      <c r="P246" s="111">
        <f t="shared" si="248"/>
        <v>20021</v>
      </c>
      <c r="Q246" s="111">
        <f t="shared" si="248"/>
        <v>107593.58815637414</v>
      </c>
      <c r="R246" s="111">
        <f t="shared" si="248"/>
        <v>0</v>
      </c>
      <c r="S246" s="111">
        <f t="shared" si="248"/>
        <v>0</v>
      </c>
      <c r="T246" s="111">
        <f t="shared" si="248"/>
        <v>0</v>
      </c>
      <c r="U246" s="111">
        <f t="shared" si="248"/>
        <v>0</v>
      </c>
      <c r="V246" s="111">
        <f t="shared" si="248"/>
        <v>0</v>
      </c>
      <c r="W246" s="111">
        <f t="shared" si="248"/>
        <v>232488.90675729263</v>
      </c>
      <c r="X246" s="111">
        <f t="shared" si="248"/>
        <v>60063</v>
      </c>
      <c r="Y246" s="111">
        <f t="shared" si="248"/>
        <v>292551.90675729263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(C205+C225+C245)*0.42</f>
        <v>5119.6529999999993</v>
      </c>
      <c r="D247" s="111">
        <v>0</v>
      </c>
      <c r="E247" s="111">
        <f>C247</f>
        <v>5119.6529999999993</v>
      </c>
      <c r="F247" s="111">
        <f>F196*0.47</f>
        <v>0</v>
      </c>
      <c r="G247" s="111">
        <f>(G205+G225+G245)*0.42</f>
        <v>18716.499354</v>
      </c>
      <c r="H247" s="111">
        <v>0</v>
      </c>
      <c r="I247" s="111">
        <f>G247</f>
        <v>18716.499354</v>
      </c>
      <c r="J247" s="111">
        <f>J196*0.47</f>
        <v>0</v>
      </c>
      <c r="K247" s="111">
        <f>(K205+K225+K245)*0.42</f>
        <v>31597.366458385768</v>
      </c>
      <c r="L247" s="111">
        <v>0</v>
      </c>
      <c r="M247" s="111">
        <f>K247</f>
        <v>31597.366458385768</v>
      </c>
      <c r="N247" s="111">
        <f>N196*0.47</f>
        <v>0</v>
      </c>
      <c r="O247" s="111">
        <f>(O205+O225+O245)*0.42</f>
        <v>31077.585275677142</v>
      </c>
      <c r="P247" s="111">
        <v>0</v>
      </c>
      <c r="Q247" s="111">
        <f>O247</f>
        <v>31077.585275677142</v>
      </c>
      <c r="R247" s="111">
        <f>R196*0.47</f>
        <v>0</v>
      </c>
      <c r="S247" s="111">
        <f>(S205+S225+S245)*0.42</f>
        <v>0</v>
      </c>
      <c r="T247" s="111">
        <v>0</v>
      </c>
      <c r="U247" s="111">
        <f>S247</f>
        <v>0</v>
      </c>
      <c r="V247" s="111">
        <f>V196*0.47</f>
        <v>0</v>
      </c>
      <c r="W247" s="111">
        <f>(W205+W225+W245)*0.42</f>
        <v>86511.104088062901</v>
      </c>
      <c r="X247" s="111">
        <v>0</v>
      </c>
      <c r="Y247" s="111">
        <f>W247</f>
        <v>86511.104088062901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17309.303</v>
      </c>
      <c r="D248" s="111">
        <f t="shared" ref="D248:Y248" si="249">SUM(D246:D247)</f>
        <v>0</v>
      </c>
      <c r="E248" s="111">
        <f t="shared" si="249"/>
        <v>17309.303</v>
      </c>
      <c r="F248" s="111">
        <f t="shared" si="249"/>
        <v>0</v>
      </c>
      <c r="G248" s="111">
        <f t="shared" si="249"/>
        <v>63279.593053999997</v>
      </c>
      <c r="H248" s="111">
        <f t="shared" si="249"/>
        <v>20021</v>
      </c>
      <c r="I248" s="111">
        <f t="shared" si="249"/>
        <v>83300.593053999997</v>
      </c>
      <c r="J248" s="111">
        <f t="shared" si="249"/>
        <v>0</v>
      </c>
      <c r="K248" s="111">
        <f t="shared" si="249"/>
        <v>119760.94135930427</v>
      </c>
      <c r="L248" s="111">
        <f t="shared" si="249"/>
        <v>20021</v>
      </c>
      <c r="M248" s="111">
        <f t="shared" si="249"/>
        <v>139781.94135930427</v>
      </c>
      <c r="N248" s="111">
        <f t="shared" si="249"/>
        <v>0</v>
      </c>
      <c r="O248" s="111">
        <f t="shared" si="249"/>
        <v>118650.17343205129</v>
      </c>
      <c r="P248" s="111">
        <f t="shared" si="249"/>
        <v>20021</v>
      </c>
      <c r="Q248" s="111">
        <f t="shared" si="249"/>
        <v>138671.17343205129</v>
      </c>
      <c r="R248" s="111">
        <f t="shared" si="249"/>
        <v>0</v>
      </c>
      <c r="S248" s="111">
        <f t="shared" si="249"/>
        <v>0</v>
      </c>
      <c r="T248" s="111">
        <f t="shared" si="249"/>
        <v>0</v>
      </c>
      <c r="U248" s="111">
        <f t="shared" si="249"/>
        <v>0</v>
      </c>
      <c r="V248" s="111">
        <f t="shared" si="249"/>
        <v>0</v>
      </c>
      <c r="W248" s="111">
        <f t="shared" si="249"/>
        <v>319000.01084535551</v>
      </c>
      <c r="X248" s="111">
        <f t="shared" si="249"/>
        <v>60063</v>
      </c>
      <c r="Y248" s="111">
        <f t="shared" si="249"/>
        <v>379063.01084535551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3" customFormat="1" x14ac:dyDescent="0.25">
      <c r="C249" s="14"/>
      <c r="D249" s="14"/>
      <c r="E249" s="14"/>
      <c r="F249" s="14"/>
      <c r="G249" s="14"/>
      <c r="H249" s="14"/>
      <c r="I249" s="14"/>
      <c r="J249" s="14"/>
      <c r="K249" s="14"/>
      <c r="M249" s="14"/>
      <c r="N249" s="14"/>
      <c r="O249" s="14"/>
      <c r="Q249" s="14"/>
      <c r="R249" s="14"/>
      <c r="S249" s="14"/>
      <c r="U249" s="14"/>
      <c r="V249" s="16"/>
      <c r="W249" s="14"/>
      <c r="X249" s="14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169" customFormat="1" x14ac:dyDescent="0.25">
      <c r="A252" s="170" t="s">
        <v>57</v>
      </c>
      <c r="B252" s="169" t="s">
        <v>57</v>
      </c>
      <c r="C252" s="172">
        <v>0</v>
      </c>
      <c r="D252" s="173">
        <v>0</v>
      </c>
      <c r="E252" s="173">
        <f t="shared" ref="E252:E255" si="250">SUM(C252:D252)</f>
        <v>0</v>
      </c>
      <c r="F252" s="175"/>
      <c r="G252" s="172">
        <f>C252*1.03</f>
        <v>0</v>
      </c>
      <c r="H252" s="173">
        <f>D252*1.03</f>
        <v>0</v>
      </c>
      <c r="I252" s="173">
        <f t="shared" ref="I252:I255" si="251">SUM(G252:H252)</f>
        <v>0</v>
      </c>
      <c r="J252" s="175"/>
      <c r="K252" s="172">
        <f>G252*1.03</f>
        <v>0</v>
      </c>
      <c r="L252" s="173">
        <f>H252*1.03</f>
        <v>0</v>
      </c>
      <c r="M252" s="173">
        <f t="shared" ref="M252:M255" si="252">SUM(K252:L252)</f>
        <v>0</v>
      </c>
      <c r="N252" s="175"/>
      <c r="O252" s="172">
        <f>K252*1.03</f>
        <v>0</v>
      </c>
      <c r="P252" s="173">
        <f>L252*1.03</f>
        <v>0</v>
      </c>
      <c r="Q252" s="173">
        <f t="shared" ref="Q252:Q255" si="253">SUM(O252:P252)</f>
        <v>0</v>
      </c>
      <c r="R252" s="175"/>
      <c r="S252" s="172">
        <f>O252*1.03</f>
        <v>0</v>
      </c>
      <c r="T252" s="173">
        <f>P252*1.03</f>
        <v>0</v>
      </c>
      <c r="U252" s="173">
        <f t="shared" ref="U252:U255" si="254">SUM(S252:T252)</f>
        <v>0</v>
      </c>
      <c r="V252" s="176"/>
      <c r="W252" s="227">
        <f>C252+G252+K252+O252+S252</f>
        <v>0</v>
      </c>
      <c r="X252" s="173">
        <f t="shared" ref="X252:Y256" si="255">D252+H252+L252+P252+T252</f>
        <v>0</v>
      </c>
      <c r="Y252" s="177">
        <f t="shared" si="255"/>
        <v>0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si="250"/>
        <v>0</v>
      </c>
      <c r="F253" s="175"/>
      <c r="G253" s="172">
        <f t="shared" ref="G253:H255" si="256">C253*1.03</f>
        <v>0</v>
      </c>
      <c r="H253" s="173">
        <f t="shared" si="256"/>
        <v>0</v>
      </c>
      <c r="I253" s="173">
        <f t="shared" si="251"/>
        <v>0</v>
      </c>
      <c r="J253" s="175"/>
      <c r="K253" s="172">
        <f t="shared" ref="K253:L255" si="257">G253*1.03</f>
        <v>0</v>
      </c>
      <c r="L253" s="173">
        <f t="shared" si="257"/>
        <v>0</v>
      </c>
      <c r="M253" s="173">
        <f t="shared" si="252"/>
        <v>0</v>
      </c>
      <c r="N253" s="175"/>
      <c r="O253" s="172">
        <f t="shared" ref="O253:P255" si="258">K253*1.03</f>
        <v>0</v>
      </c>
      <c r="P253" s="173">
        <f t="shared" si="258"/>
        <v>0</v>
      </c>
      <c r="Q253" s="173">
        <f t="shared" si="253"/>
        <v>0</v>
      </c>
      <c r="R253" s="175"/>
      <c r="S253" s="172">
        <f t="shared" ref="S253:T255" si="259">O253*1.03</f>
        <v>0</v>
      </c>
      <c r="T253" s="173">
        <f t="shared" si="259"/>
        <v>0</v>
      </c>
      <c r="U253" s="173">
        <f t="shared" si="254"/>
        <v>0</v>
      </c>
      <c r="V253" s="176"/>
      <c r="W253" s="227">
        <f t="shared" ref="W253:W256" si="260">C253+G253+K253+O253+S253</f>
        <v>0</v>
      </c>
      <c r="X253" s="173">
        <f t="shared" si="255"/>
        <v>0</v>
      </c>
      <c r="Y253" s="177">
        <f t="shared" si="255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250"/>
        <v>0</v>
      </c>
      <c r="F254" s="175"/>
      <c r="G254" s="172">
        <f t="shared" si="256"/>
        <v>0</v>
      </c>
      <c r="H254" s="173">
        <f t="shared" si="256"/>
        <v>0</v>
      </c>
      <c r="I254" s="173">
        <f t="shared" si="251"/>
        <v>0</v>
      </c>
      <c r="J254" s="175"/>
      <c r="K254" s="172">
        <f t="shared" si="257"/>
        <v>0</v>
      </c>
      <c r="L254" s="173">
        <f t="shared" si="257"/>
        <v>0</v>
      </c>
      <c r="M254" s="173">
        <f t="shared" si="252"/>
        <v>0</v>
      </c>
      <c r="N254" s="175"/>
      <c r="O254" s="172">
        <f t="shared" si="258"/>
        <v>0</v>
      </c>
      <c r="P254" s="173">
        <f t="shared" si="258"/>
        <v>0</v>
      </c>
      <c r="Q254" s="173">
        <f t="shared" si="253"/>
        <v>0</v>
      </c>
      <c r="R254" s="175"/>
      <c r="S254" s="172">
        <f t="shared" si="259"/>
        <v>0</v>
      </c>
      <c r="T254" s="173">
        <f t="shared" si="259"/>
        <v>0</v>
      </c>
      <c r="U254" s="173">
        <f t="shared" si="254"/>
        <v>0</v>
      </c>
      <c r="V254" s="176"/>
      <c r="W254" s="227">
        <f t="shared" si="260"/>
        <v>0</v>
      </c>
      <c r="X254" s="173">
        <f t="shared" si="255"/>
        <v>0</v>
      </c>
      <c r="Y254" s="177">
        <f t="shared" si="255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250"/>
        <v>0</v>
      </c>
      <c r="F255" s="175"/>
      <c r="G255" s="172">
        <f t="shared" si="256"/>
        <v>0</v>
      </c>
      <c r="H255" s="173">
        <f t="shared" si="256"/>
        <v>0</v>
      </c>
      <c r="I255" s="173">
        <f t="shared" si="251"/>
        <v>0</v>
      </c>
      <c r="J255" s="175"/>
      <c r="K255" s="172">
        <f t="shared" si="257"/>
        <v>0</v>
      </c>
      <c r="L255" s="173">
        <f t="shared" si="257"/>
        <v>0</v>
      </c>
      <c r="M255" s="173">
        <f t="shared" si="252"/>
        <v>0</v>
      </c>
      <c r="N255" s="175"/>
      <c r="O255" s="172">
        <f t="shared" si="258"/>
        <v>0</v>
      </c>
      <c r="P255" s="173">
        <f t="shared" si="258"/>
        <v>0</v>
      </c>
      <c r="Q255" s="173">
        <f t="shared" si="253"/>
        <v>0</v>
      </c>
      <c r="R255" s="175"/>
      <c r="S255" s="172">
        <f t="shared" si="259"/>
        <v>0</v>
      </c>
      <c r="T255" s="173">
        <f t="shared" si="259"/>
        <v>0</v>
      </c>
      <c r="U255" s="173">
        <f t="shared" si="254"/>
        <v>0</v>
      </c>
      <c r="V255" s="176"/>
      <c r="W255" s="227">
        <f t="shared" si="260"/>
        <v>0</v>
      </c>
      <c r="X255" s="173">
        <f t="shared" si="255"/>
        <v>0</v>
      </c>
      <c r="Y255" s="177">
        <f t="shared" si="255"/>
        <v>0</v>
      </c>
    </row>
    <row r="256" spans="1:77" s="83" customFormat="1" x14ac:dyDescent="0.25">
      <c r="A256" s="78"/>
      <c r="B256" s="78" t="s">
        <v>9</v>
      </c>
      <c r="C256" s="228">
        <f>SUM(C252:C255)</f>
        <v>0</v>
      </c>
      <c r="D256" s="125">
        <f>SUM(D252:D255)</f>
        <v>0</v>
      </c>
      <c r="E256" s="125">
        <f>SUM(E252:E255)</f>
        <v>0</v>
      </c>
      <c r="F256" s="81"/>
      <c r="G256" s="79">
        <f>SUM(G252:G255)</f>
        <v>0</v>
      </c>
      <c r="H256" s="80">
        <f>SUM(H252:H255)</f>
        <v>0</v>
      </c>
      <c r="I256" s="80">
        <f>SUM(I252:I255)</f>
        <v>0</v>
      </c>
      <c r="J256" s="81"/>
      <c r="K256" s="79">
        <f>SUM(K252:K255)</f>
        <v>0</v>
      </c>
      <c r="L256" s="80">
        <f>SUM(L252:L255)</f>
        <v>0</v>
      </c>
      <c r="M256" s="80">
        <f>SUM(M252:M255)</f>
        <v>0</v>
      </c>
      <c r="N256" s="81"/>
      <c r="O256" s="79">
        <f>SUM(O252:O255)</f>
        <v>0</v>
      </c>
      <c r="P256" s="80">
        <f>SUM(P252:P255)</f>
        <v>0</v>
      </c>
      <c r="Q256" s="80">
        <f>SUM(Q252:Q255)</f>
        <v>0</v>
      </c>
      <c r="R256" s="81"/>
      <c r="S256" s="79">
        <f>SUM(S252:S255)</f>
        <v>0</v>
      </c>
      <c r="T256" s="80">
        <f>SUM(T252:T255)</f>
        <v>0</v>
      </c>
      <c r="U256" s="80">
        <f>SUM(U252:U255)</f>
        <v>0</v>
      </c>
      <c r="V256" s="82"/>
      <c r="W256" s="228">
        <f t="shared" si="260"/>
        <v>0</v>
      </c>
      <c r="X256" s="80">
        <f t="shared" si="255"/>
        <v>0</v>
      </c>
      <c r="Y256" s="80">
        <f t="shared" si="255"/>
        <v>0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:L261" si="261">G258*1.03</f>
        <v>0</v>
      </c>
      <c r="L258" s="57">
        <f t="shared" si="261"/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Y262" si="262">C258+G258+K258+O258+S258</f>
        <v>0</v>
      </c>
      <c r="X258" s="57">
        <f t="shared" si="262"/>
        <v>0</v>
      </c>
      <c r="Y258" s="57">
        <f t="shared" ref="Y258:Y261" si="263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24">
        <v>0</v>
      </c>
      <c r="D259" s="56">
        <v>0</v>
      </c>
      <c r="E259" s="56">
        <f t="shared" ref="E259:E261" si="264">SUM(C259:D259)</f>
        <v>0</v>
      </c>
      <c r="F259" s="58"/>
      <c r="G259" s="55">
        <f t="shared" ref="G259:H261" si="265">C259*1.03</f>
        <v>0</v>
      </c>
      <c r="H259" s="57">
        <f t="shared" si="265"/>
        <v>0</v>
      </c>
      <c r="I259" s="57">
        <f t="shared" ref="I259:I261" si="266">SUM(G259:H259)</f>
        <v>0</v>
      </c>
      <c r="J259" s="58"/>
      <c r="K259" s="55">
        <f t="shared" si="261"/>
        <v>0</v>
      </c>
      <c r="L259" s="57">
        <f t="shared" si="261"/>
        <v>0</v>
      </c>
      <c r="M259" s="57">
        <f t="shared" ref="M259:M261" si="267">SUM(K259:L259)</f>
        <v>0</v>
      </c>
      <c r="N259" s="58"/>
      <c r="O259" s="55">
        <f t="shared" ref="O259:P261" si="268">K259*1.03</f>
        <v>0</v>
      </c>
      <c r="P259" s="57">
        <f t="shared" si="268"/>
        <v>0</v>
      </c>
      <c r="Q259" s="57">
        <f t="shared" ref="Q259:Q261" si="269">SUM(O259:P259)</f>
        <v>0</v>
      </c>
      <c r="R259" s="58"/>
      <c r="S259" s="55">
        <f t="shared" ref="S259:T261" si="270">O259*1.03</f>
        <v>0</v>
      </c>
      <c r="T259" s="57">
        <f t="shared" si="270"/>
        <v>0</v>
      </c>
      <c r="U259" s="57">
        <f t="shared" ref="U259:U261" si="271">SUM(S259:T259)</f>
        <v>0</v>
      </c>
      <c r="V259" s="59"/>
      <c r="W259" s="124">
        <f t="shared" si="262"/>
        <v>0</v>
      </c>
      <c r="X259" s="57">
        <f t="shared" si="262"/>
        <v>0</v>
      </c>
      <c r="Y259" s="57">
        <f t="shared" si="263"/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si="264"/>
        <v>0</v>
      </c>
      <c r="F260" s="58"/>
      <c r="G260" s="55">
        <f t="shared" si="265"/>
        <v>0</v>
      </c>
      <c r="H260" s="57">
        <f t="shared" si="265"/>
        <v>0</v>
      </c>
      <c r="I260" s="57">
        <f t="shared" si="266"/>
        <v>0</v>
      </c>
      <c r="J260" s="58"/>
      <c r="K260" s="55">
        <f t="shared" si="261"/>
        <v>0</v>
      </c>
      <c r="L260" s="57">
        <f t="shared" si="261"/>
        <v>0</v>
      </c>
      <c r="M260" s="57">
        <f t="shared" si="267"/>
        <v>0</v>
      </c>
      <c r="N260" s="58"/>
      <c r="O260" s="55">
        <f t="shared" si="268"/>
        <v>0</v>
      </c>
      <c r="P260" s="57">
        <f t="shared" si="268"/>
        <v>0</v>
      </c>
      <c r="Q260" s="57">
        <f t="shared" si="269"/>
        <v>0</v>
      </c>
      <c r="R260" s="58"/>
      <c r="S260" s="55">
        <f t="shared" si="270"/>
        <v>0</v>
      </c>
      <c r="T260" s="57">
        <f t="shared" si="270"/>
        <v>0</v>
      </c>
      <c r="U260" s="57">
        <f t="shared" si="271"/>
        <v>0</v>
      </c>
      <c r="V260" s="59"/>
      <c r="W260" s="124">
        <f t="shared" si="262"/>
        <v>0</v>
      </c>
      <c r="X260" s="57">
        <f t="shared" si="262"/>
        <v>0</v>
      </c>
      <c r="Y260" s="57">
        <f t="shared" si="263"/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264"/>
        <v>0</v>
      </c>
      <c r="F261" s="58"/>
      <c r="G261" s="55">
        <f t="shared" si="265"/>
        <v>0</v>
      </c>
      <c r="H261" s="57">
        <f t="shared" si="265"/>
        <v>0</v>
      </c>
      <c r="I261" s="57">
        <f t="shared" si="266"/>
        <v>0</v>
      </c>
      <c r="J261" s="58"/>
      <c r="K261" s="55">
        <f t="shared" si="261"/>
        <v>0</v>
      </c>
      <c r="L261" s="57">
        <f t="shared" si="261"/>
        <v>0</v>
      </c>
      <c r="M261" s="57">
        <f t="shared" si="267"/>
        <v>0</v>
      </c>
      <c r="N261" s="58"/>
      <c r="O261" s="55">
        <f t="shared" si="268"/>
        <v>0</v>
      </c>
      <c r="P261" s="57">
        <f t="shared" si="268"/>
        <v>0</v>
      </c>
      <c r="Q261" s="57">
        <f t="shared" si="269"/>
        <v>0</v>
      </c>
      <c r="R261" s="58"/>
      <c r="S261" s="55">
        <f t="shared" si="270"/>
        <v>0</v>
      </c>
      <c r="T261" s="57">
        <f t="shared" si="270"/>
        <v>0</v>
      </c>
      <c r="U261" s="57">
        <f t="shared" si="271"/>
        <v>0</v>
      </c>
      <c r="V261" s="59"/>
      <c r="W261" s="124">
        <f t="shared" si="262"/>
        <v>0</v>
      </c>
      <c r="X261" s="57">
        <f t="shared" si="262"/>
        <v>0</v>
      </c>
      <c r="Y261" s="57">
        <f t="shared" si="263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262"/>
        <v>0</v>
      </c>
      <c r="X262" s="80">
        <f t="shared" si="262"/>
        <v>0</v>
      </c>
      <c r="Y262" s="80">
        <f t="shared" si="262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272">C262+C256</f>
        <v>0</v>
      </c>
      <c r="D263" s="242">
        <f t="shared" si="272"/>
        <v>0</v>
      </c>
      <c r="E263" s="242">
        <f t="shared" si="272"/>
        <v>0</v>
      </c>
      <c r="F263" s="242">
        <f t="shared" si="272"/>
        <v>0</v>
      </c>
      <c r="G263" s="242">
        <f t="shared" si="272"/>
        <v>0</v>
      </c>
      <c r="H263" s="242">
        <f t="shared" si="272"/>
        <v>0</v>
      </c>
      <c r="I263" s="242">
        <f t="shared" si="272"/>
        <v>0</v>
      </c>
      <c r="J263" s="242">
        <f t="shared" si="272"/>
        <v>0</v>
      </c>
      <c r="K263" s="242">
        <f t="shared" si="272"/>
        <v>0</v>
      </c>
      <c r="L263" s="242">
        <f t="shared" si="272"/>
        <v>0</v>
      </c>
      <c r="M263" s="242">
        <f t="shared" si="272"/>
        <v>0</v>
      </c>
      <c r="N263" s="242">
        <f t="shared" si="272"/>
        <v>0</v>
      </c>
      <c r="O263" s="242">
        <f t="shared" si="272"/>
        <v>0</v>
      </c>
      <c r="P263" s="242">
        <f t="shared" si="272"/>
        <v>0</v>
      </c>
      <c r="Q263" s="242">
        <f t="shared" si="272"/>
        <v>0</v>
      </c>
      <c r="R263" s="242">
        <f t="shared" si="272"/>
        <v>0</v>
      </c>
      <c r="S263" s="242">
        <f t="shared" si="272"/>
        <v>0</v>
      </c>
      <c r="T263" s="242">
        <f t="shared" si="272"/>
        <v>0</v>
      </c>
      <c r="U263" s="242">
        <f t="shared" si="272"/>
        <v>0</v>
      </c>
      <c r="V263" s="242">
        <f t="shared" si="272"/>
        <v>0</v>
      </c>
      <c r="W263" s="242">
        <f t="shared" si="272"/>
        <v>0</v>
      </c>
      <c r="X263" s="242">
        <f t="shared" si="272"/>
        <v>0</v>
      </c>
      <c r="Y263" s="243">
        <f>E263+I263+M263+Q263+U263</f>
        <v>0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56">
        <f t="shared" ref="E265:E267" si="273">SUM(C265:D265)</f>
        <v>0</v>
      </c>
      <c r="F265" s="58"/>
      <c r="G265" s="124">
        <f>G258*A265*1.03*1.03</f>
        <v>0</v>
      </c>
      <c r="H265" s="56">
        <f>H258*A265*1.03</f>
        <v>0</v>
      </c>
      <c r="I265" s="57">
        <f t="shared" ref="I265:I267" si="274">SUM(G265:H265)</f>
        <v>0</v>
      </c>
      <c r="J265" s="58"/>
      <c r="K265" s="124">
        <f>K258*A265*1.03*1.03*1.03</f>
        <v>0</v>
      </c>
      <c r="L265" s="56">
        <f>L258*A265*1.03*1.03</f>
        <v>0</v>
      </c>
      <c r="M265" s="57">
        <f t="shared" ref="M265:M267" si="275">SUM(K265:L265)</f>
        <v>0</v>
      </c>
      <c r="N265" s="58"/>
      <c r="O265" s="124">
        <f>O258*A265*1.03*1.03*1.03*1.03</f>
        <v>0</v>
      </c>
      <c r="P265" s="56">
        <f>P258*A265*1.03*1.03*1.03</f>
        <v>0</v>
      </c>
      <c r="Q265" s="57">
        <f t="shared" ref="Q265:Q267" si="276">SUM(O265:P265)</f>
        <v>0</v>
      </c>
      <c r="R265" s="58"/>
      <c r="S265" s="124">
        <f>S258*A265*1.03*1.03*1.03*1.03*1.03</f>
        <v>0</v>
      </c>
      <c r="T265" s="56">
        <f>T258*A265*1.03*1.03*1.03*1.03</f>
        <v>0</v>
      </c>
      <c r="U265" s="57">
        <f t="shared" ref="U265:U267" si="277">SUM(S265:T265)</f>
        <v>0</v>
      </c>
      <c r="V265" s="59"/>
      <c r="W265" s="124">
        <f t="shared" ref="W265:Y268" si="278">C265+G265+K265+O265+S265</f>
        <v>0</v>
      </c>
      <c r="X265" s="57">
        <f t="shared" si="278"/>
        <v>0</v>
      </c>
      <c r="Y265" s="84">
        <f t="shared" si="278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0</v>
      </c>
      <c r="D266" s="56">
        <f>D256*A266*1.03</f>
        <v>0</v>
      </c>
      <c r="E266" s="56">
        <f t="shared" si="273"/>
        <v>0</v>
      </c>
      <c r="F266" s="58"/>
      <c r="G266" s="124">
        <f>G256*A266*1.03*1.03</f>
        <v>0</v>
      </c>
      <c r="H266" s="56">
        <f>H256*A266*1.03*1.03</f>
        <v>0</v>
      </c>
      <c r="I266" s="57">
        <f t="shared" si="274"/>
        <v>0</v>
      </c>
      <c r="J266" s="58"/>
      <c r="K266" s="124">
        <f>K260*A266*1.03*1.03</f>
        <v>0</v>
      </c>
      <c r="L266" s="56">
        <f>L260*A266*1.03*1.03</f>
        <v>0</v>
      </c>
      <c r="M266" s="57">
        <f t="shared" si="275"/>
        <v>0</v>
      </c>
      <c r="N266" s="58"/>
      <c r="O266" s="124">
        <f>O260*A266*1.03*1.03*1.03</f>
        <v>0</v>
      </c>
      <c r="P266" s="56">
        <f>P260*A266*1.03*1.03*1.03</f>
        <v>0</v>
      </c>
      <c r="Q266" s="57">
        <f t="shared" si="276"/>
        <v>0</v>
      </c>
      <c r="R266" s="58"/>
      <c r="S266" s="124">
        <f>S260*A266*1.03*1.03*1.03*1.03</f>
        <v>0</v>
      </c>
      <c r="T266" s="56">
        <f>T260*A266*1.03*1.03*1.03*1.03</f>
        <v>0</v>
      </c>
      <c r="U266" s="57">
        <f t="shared" si="277"/>
        <v>0</v>
      </c>
      <c r="V266" s="59"/>
      <c r="W266" s="124">
        <f t="shared" si="278"/>
        <v>0</v>
      </c>
      <c r="X266" s="57">
        <f t="shared" si="278"/>
        <v>0</v>
      </c>
      <c r="Y266" s="84">
        <f t="shared" si="278"/>
        <v>0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56">
        <f t="shared" si="273"/>
        <v>0</v>
      </c>
      <c r="F267" s="58"/>
      <c r="G267" s="55">
        <f>C267*1.05</f>
        <v>0</v>
      </c>
      <c r="H267" s="57">
        <f>D267*1.05</f>
        <v>0</v>
      </c>
      <c r="I267" s="57">
        <f t="shared" si="274"/>
        <v>0</v>
      </c>
      <c r="J267" s="58"/>
      <c r="K267" s="55">
        <f>K256*A266*1.03*1.03*1.03</f>
        <v>0</v>
      </c>
      <c r="L267" s="56">
        <f>L256*A266*1.03*1.03*1.03</f>
        <v>0</v>
      </c>
      <c r="M267" s="57">
        <f t="shared" si="275"/>
        <v>0</v>
      </c>
      <c r="N267" s="58"/>
      <c r="O267" s="55">
        <f>O256*A266*1.03*1.03*1.03*1.03</f>
        <v>0</v>
      </c>
      <c r="P267" s="56">
        <f>P256*A266*1.03*1.03*1.03*1.03</f>
        <v>0</v>
      </c>
      <c r="Q267" s="57">
        <f t="shared" si="276"/>
        <v>0</v>
      </c>
      <c r="R267" s="58"/>
      <c r="S267" s="55">
        <f>S256*A266*1.03*1.03*1.03*1.03*1.03</f>
        <v>0</v>
      </c>
      <c r="T267" s="56">
        <f>T256*A266*1.03*1.03*1.03*1.03*1.03</f>
        <v>0</v>
      </c>
      <c r="U267" s="57">
        <f t="shared" si="277"/>
        <v>0</v>
      </c>
      <c r="V267" s="59"/>
      <c r="W267" s="124">
        <f t="shared" si="278"/>
        <v>0</v>
      </c>
      <c r="X267" s="57">
        <f t="shared" si="278"/>
        <v>0</v>
      </c>
      <c r="Y267" s="84">
        <f t="shared" si="278"/>
        <v>0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0</v>
      </c>
      <c r="D268" s="125">
        <f>SUM(D265:D267)</f>
        <v>0</v>
      </c>
      <c r="E268" s="125">
        <f>SUM(E265:E267)</f>
        <v>0</v>
      </c>
      <c r="F268" s="81"/>
      <c r="G268" s="79">
        <f>SUM(G265:G267)</f>
        <v>0</v>
      </c>
      <c r="H268" s="80">
        <f>SUM(H265:H267)</f>
        <v>0</v>
      </c>
      <c r="I268" s="80">
        <f>SUM(I265:I267)</f>
        <v>0</v>
      </c>
      <c r="J268" s="81"/>
      <c r="K268" s="79">
        <f>SUM(K265:K267)</f>
        <v>0</v>
      </c>
      <c r="L268" s="80">
        <f>SUM(L265:L267)</f>
        <v>0</v>
      </c>
      <c r="M268" s="80">
        <f>SUM(M265:M267)</f>
        <v>0</v>
      </c>
      <c r="N268" s="81"/>
      <c r="O268" s="79">
        <f>SUM(O265:O267)</f>
        <v>0</v>
      </c>
      <c r="P268" s="80">
        <f>SUM(P265:P267)</f>
        <v>0</v>
      </c>
      <c r="Q268" s="80">
        <f>SUM(Q265:Q267)</f>
        <v>0</v>
      </c>
      <c r="R268" s="81"/>
      <c r="S268" s="79">
        <f>SUM(S265:S267)</f>
        <v>0</v>
      </c>
      <c r="T268" s="80">
        <f>SUM(T265:T267)</f>
        <v>0</v>
      </c>
      <c r="U268" s="80">
        <f>SUM(U265:U267)</f>
        <v>0</v>
      </c>
      <c r="V268" s="82"/>
      <c r="W268" s="228">
        <f t="shared" si="278"/>
        <v>0</v>
      </c>
      <c r="X268" s="80">
        <f t="shared" si="278"/>
        <v>0</v>
      </c>
      <c r="Y268" s="80">
        <f t="shared" si="278"/>
        <v>0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279">C268+C263</f>
        <v>0</v>
      </c>
      <c r="D269" s="242">
        <f t="shared" si="279"/>
        <v>0</v>
      </c>
      <c r="E269" s="242">
        <f t="shared" si="279"/>
        <v>0</v>
      </c>
      <c r="F269" s="242">
        <f t="shared" si="279"/>
        <v>0</v>
      </c>
      <c r="G269" s="242">
        <f t="shared" si="279"/>
        <v>0</v>
      </c>
      <c r="H269" s="242">
        <f t="shared" si="279"/>
        <v>0</v>
      </c>
      <c r="I269" s="242">
        <f t="shared" si="279"/>
        <v>0</v>
      </c>
      <c r="J269" s="242">
        <f t="shared" si="279"/>
        <v>0</v>
      </c>
      <c r="K269" s="242">
        <f t="shared" si="279"/>
        <v>0</v>
      </c>
      <c r="L269" s="242">
        <f t="shared" si="279"/>
        <v>0</v>
      </c>
      <c r="M269" s="242">
        <f t="shared" si="279"/>
        <v>0</v>
      </c>
      <c r="N269" s="242">
        <f t="shared" si="279"/>
        <v>0</v>
      </c>
      <c r="O269" s="242">
        <f t="shared" si="279"/>
        <v>0</v>
      </c>
      <c r="P269" s="242">
        <f t="shared" si="279"/>
        <v>0</v>
      </c>
      <c r="Q269" s="242">
        <f t="shared" si="279"/>
        <v>0</v>
      </c>
      <c r="R269" s="242">
        <f t="shared" si="279"/>
        <v>0</v>
      </c>
      <c r="S269" s="242">
        <f t="shared" si="279"/>
        <v>0</v>
      </c>
      <c r="T269" s="242">
        <f t="shared" si="279"/>
        <v>0</v>
      </c>
      <c r="U269" s="242">
        <f t="shared" si="279"/>
        <v>0</v>
      </c>
      <c r="V269" s="242">
        <f t="shared" si="279"/>
        <v>0</v>
      </c>
      <c r="W269" s="242">
        <f t="shared" si="279"/>
        <v>0</v>
      </c>
      <c r="X269" s="242">
        <f t="shared" si="279"/>
        <v>0</v>
      </c>
      <c r="Y269" s="242">
        <f t="shared" si="279"/>
        <v>0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280">SUM(C271:D271)</f>
        <v>0</v>
      </c>
      <c r="F271" s="58"/>
      <c r="G271" s="55">
        <v>0</v>
      </c>
      <c r="H271" s="57">
        <v>0</v>
      </c>
      <c r="I271" s="57">
        <f t="shared" ref="I271:I273" si="281">SUM(G271:H271)</f>
        <v>0</v>
      </c>
      <c r="J271" s="58"/>
      <c r="K271" s="55">
        <v>0</v>
      </c>
      <c r="L271" s="57">
        <v>0</v>
      </c>
      <c r="M271" s="57">
        <f t="shared" ref="M271:M273" si="282">SUM(K271:L271)</f>
        <v>0</v>
      </c>
      <c r="N271" s="58"/>
      <c r="O271" s="55">
        <v>0</v>
      </c>
      <c r="P271" s="57">
        <v>0</v>
      </c>
      <c r="Q271" s="57">
        <f t="shared" ref="Q271:Q273" si="283">SUM(O271:P271)</f>
        <v>0</v>
      </c>
      <c r="R271" s="58"/>
      <c r="S271" s="55">
        <v>0</v>
      </c>
      <c r="T271" s="57">
        <v>0</v>
      </c>
      <c r="U271" s="57">
        <f t="shared" ref="U271:U273" si="284">SUM(S271:T271)</f>
        <v>0</v>
      </c>
      <c r="V271" s="59"/>
      <c r="W271" s="124">
        <f t="shared" ref="W271:Y274" si="285">C271+G271+K271+O271+S271</f>
        <v>0</v>
      </c>
      <c r="X271" s="57">
        <f t="shared" si="285"/>
        <v>0</v>
      </c>
      <c r="Y271" s="84">
        <f t="shared" si="285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280"/>
        <v>0</v>
      </c>
      <c r="F272" s="58"/>
      <c r="G272" s="55">
        <v>0</v>
      </c>
      <c r="H272" s="57">
        <v>0</v>
      </c>
      <c r="I272" s="57">
        <f t="shared" si="281"/>
        <v>0</v>
      </c>
      <c r="J272" s="58"/>
      <c r="K272" s="55">
        <v>0</v>
      </c>
      <c r="L272" s="57">
        <v>0</v>
      </c>
      <c r="M272" s="57">
        <f t="shared" si="282"/>
        <v>0</v>
      </c>
      <c r="N272" s="58"/>
      <c r="O272" s="55">
        <f>K272</f>
        <v>0</v>
      </c>
      <c r="P272" s="57">
        <v>0</v>
      </c>
      <c r="Q272" s="57">
        <f t="shared" si="283"/>
        <v>0</v>
      </c>
      <c r="R272" s="58"/>
      <c r="S272" s="55">
        <f>O272</f>
        <v>0</v>
      </c>
      <c r="T272" s="57">
        <v>0</v>
      </c>
      <c r="U272" s="57">
        <f t="shared" si="284"/>
        <v>0</v>
      </c>
      <c r="V272" s="59"/>
      <c r="W272" s="124">
        <f t="shared" si="285"/>
        <v>0</v>
      </c>
      <c r="X272" s="57">
        <f t="shared" si="285"/>
        <v>0</v>
      </c>
      <c r="Y272" s="84">
        <f t="shared" si="285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280"/>
        <v>0</v>
      </c>
      <c r="F273" s="58"/>
      <c r="G273" s="55">
        <v>0</v>
      </c>
      <c r="H273" s="57">
        <v>0</v>
      </c>
      <c r="I273" s="57">
        <f t="shared" si="281"/>
        <v>0</v>
      </c>
      <c r="J273" s="58"/>
      <c r="K273" s="55">
        <f>G273</f>
        <v>0</v>
      </c>
      <c r="L273" s="57">
        <v>0</v>
      </c>
      <c r="M273" s="57">
        <f t="shared" si="282"/>
        <v>0</v>
      </c>
      <c r="N273" s="58"/>
      <c r="O273" s="55">
        <v>0</v>
      </c>
      <c r="P273" s="57">
        <v>0</v>
      </c>
      <c r="Q273" s="57">
        <f t="shared" si="283"/>
        <v>0</v>
      </c>
      <c r="R273" s="58"/>
      <c r="S273" s="55">
        <f>O273</f>
        <v>0</v>
      </c>
      <c r="T273" s="57">
        <v>0</v>
      </c>
      <c r="U273" s="57">
        <f t="shared" si="284"/>
        <v>0</v>
      </c>
      <c r="V273" s="59"/>
      <c r="W273" s="124">
        <f t="shared" si="285"/>
        <v>0</v>
      </c>
      <c r="X273" s="57">
        <f t="shared" si="285"/>
        <v>0</v>
      </c>
      <c r="Y273" s="84">
        <f t="shared" si="285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285"/>
        <v>0</v>
      </c>
      <c r="X274" s="80">
        <f t="shared" si="285"/>
        <v>0</v>
      </c>
      <c r="Y274" s="80">
        <f t="shared" si="285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144</v>
      </c>
      <c r="C276" s="124">
        <f>12*800*0.5*0</f>
        <v>0</v>
      </c>
      <c r="D276" s="56">
        <f>12*800*0.5*0</f>
        <v>0</v>
      </c>
      <c r="E276" s="56">
        <f t="shared" ref="E276:E278" si="286">SUM(C276:D276)</f>
        <v>0</v>
      </c>
      <c r="F276" s="58"/>
      <c r="G276" s="55">
        <f>C276</f>
        <v>0</v>
      </c>
      <c r="H276" s="57">
        <f>D276</f>
        <v>0</v>
      </c>
      <c r="I276" s="57">
        <f t="shared" ref="I276:I278" si="287">SUM(G276:H276)</f>
        <v>0</v>
      </c>
      <c r="J276" s="58"/>
      <c r="K276" s="55">
        <f>G276</f>
        <v>0</v>
      </c>
      <c r="L276" s="57">
        <f>H276</f>
        <v>0</v>
      </c>
      <c r="M276" s="57">
        <f t="shared" ref="M276:M278" si="288">SUM(K276:L276)</f>
        <v>0</v>
      </c>
      <c r="N276" s="58"/>
      <c r="O276" s="55">
        <f>K276</f>
        <v>0</v>
      </c>
      <c r="P276" s="57">
        <f>L276</f>
        <v>0</v>
      </c>
      <c r="Q276" s="57">
        <f t="shared" ref="Q276:Q278" si="289">SUM(O276:P276)</f>
        <v>0</v>
      </c>
      <c r="R276" s="58"/>
      <c r="S276" s="55">
        <f>O276</f>
        <v>0</v>
      </c>
      <c r="T276" s="57">
        <f>P276</f>
        <v>0</v>
      </c>
      <c r="U276" s="57">
        <f t="shared" ref="U276:U278" si="290">SUM(S276:T276)</f>
        <v>0</v>
      </c>
      <c r="V276" s="59"/>
      <c r="W276" s="124">
        <f t="shared" ref="W276:Y279" si="291">C276+G276+K276+O276+S276</f>
        <v>0</v>
      </c>
      <c r="X276" s="57">
        <f t="shared" si="291"/>
        <v>0</v>
      </c>
      <c r="Y276" s="84">
        <f t="shared" si="291"/>
        <v>0</v>
      </c>
    </row>
    <row r="277" spans="1:77" s="61" customFormat="1" x14ac:dyDescent="0.25">
      <c r="A277" s="203"/>
      <c r="B277" s="52" t="s">
        <v>57</v>
      </c>
      <c r="C277" s="124">
        <f>2000*5*0.5*0</f>
        <v>0</v>
      </c>
      <c r="D277" s="56">
        <f>2000*5*0.5*0</f>
        <v>0</v>
      </c>
      <c r="E277" s="56">
        <f t="shared" si="286"/>
        <v>0</v>
      </c>
      <c r="F277" s="58"/>
      <c r="G277" s="55">
        <f>C277</f>
        <v>0</v>
      </c>
      <c r="H277" s="57">
        <f>D277</f>
        <v>0</v>
      </c>
      <c r="I277" s="57">
        <f t="shared" si="287"/>
        <v>0</v>
      </c>
      <c r="J277" s="58"/>
      <c r="K277" s="55">
        <f>G277</f>
        <v>0</v>
      </c>
      <c r="L277" s="57">
        <f>H277</f>
        <v>0</v>
      </c>
      <c r="M277" s="57">
        <f t="shared" si="288"/>
        <v>0</v>
      </c>
      <c r="N277" s="58"/>
      <c r="O277" s="55">
        <f>K277</f>
        <v>0</v>
      </c>
      <c r="P277" s="57">
        <f>L277</f>
        <v>0</v>
      </c>
      <c r="Q277" s="57">
        <f t="shared" si="289"/>
        <v>0</v>
      </c>
      <c r="R277" s="58"/>
      <c r="S277" s="55">
        <f>O277</f>
        <v>0</v>
      </c>
      <c r="T277" s="57">
        <f>P277</f>
        <v>0</v>
      </c>
      <c r="U277" s="57">
        <f t="shared" si="290"/>
        <v>0</v>
      </c>
      <c r="V277" s="59"/>
      <c r="W277" s="124">
        <f t="shared" si="291"/>
        <v>0</v>
      </c>
      <c r="X277" s="57">
        <f t="shared" si="291"/>
        <v>0</v>
      </c>
      <c r="Y277" s="84">
        <f t="shared" si="291"/>
        <v>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si="286"/>
        <v>0</v>
      </c>
      <c r="F278" s="58"/>
      <c r="G278" s="55">
        <v>0</v>
      </c>
      <c r="H278" s="57">
        <v>0</v>
      </c>
      <c r="I278" s="57">
        <f t="shared" si="287"/>
        <v>0</v>
      </c>
      <c r="J278" s="58"/>
      <c r="K278" s="55">
        <v>0</v>
      </c>
      <c r="L278" s="57">
        <v>0</v>
      </c>
      <c r="M278" s="57">
        <f t="shared" si="288"/>
        <v>0</v>
      </c>
      <c r="N278" s="58"/>
      <c r="O278" s="55">
        <v>0</v>
      </c>
      <c r="P278" s="57">
        <v>0</v>
      </c>
      <c r="Q278" s="57">
        <f t="shared" si="289"/>
        <v>0</v>
      </c>
      <c r="R278" s="58"/>
      <c r="S278" s="55">
        <v>0</v>
      </c>
      <c r="T278" s="57">
        <v>0</v>
      </c>
      <c r="U278" s="57">
        <f t="shared" si="290"/>
        <v>0</v>
      </c>
      <c r="V278" s="59"/>
      <c r="W278" s="124">
        <f t="shared" si="291"/>
        <v>0</v>
      </c>
      <c r="X278" s="57">
        <f t="shared" si="291"/>
        <v>0</v>
      </c>
      <c r="Y278" s="84">
        <f t="shared" si="291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0</v>
      </c>
      <c r="D279" s="125">
        <f>SUM(D276:D278)</f>
        <v>0</v>
      </c>
      <c r="E279" s="125">
        <f>SUM(E276:E278)</f>
        <v>0</v>
      </c>
      <c r="F279" s="81"/>
      <c r="G279" s="79">
        <f>SUM(G276:G278)</f>
        <v>0</v>
      </c>
      <c r="H279" s="80">
        <f>SUM(H276:H278)</f>
        <v>0</v>
      </c>
      <c r="I279" s="80">
        <f>SUM(I276:I278)</f>
        <v>0</v>
      </c>
      <c r="J279" s="81"/>
      <c r="K279" s="79">
        <f>SUM(K276:K278)</f>
        <v>0</v>
      </c>
      <c r="L279" s="80">
        <f>SUM(L276:L278)</f>
        <v>0</v>
      </c>
      <c r="M279" s="80">
        <f>SUM(M276:M278)</f>
        <v>0</v>
      </c>
      <c r="N279" s="81"/>
      <c r="O279" s="79">
        <f>SUM(O276:O278)</f>
        <v>0</v>
      </c>
      <c r="P279" s="80">
        <f>SUM(P276:P278)</f>
        <v>0</v>
      </c>
      <c r="Q279" s="80">
        <f>SUM(Q276:Q278)</f>
        <v>0</v>
      </c>
      <c r="R279" s="81"/>
      <c r="S279" s="79">
        <f>SUM(S276:S278)</f>
        <v>0</v>
      </c>
      <c r="T279" s="80">
        <f>SUM(T276:T278)</f>
        <v>0</v>
      </c>
      <c r="U279" s="80">
        <f>SUM(U276:U278)</f>
        <v>0</v>
      </c>
      <c r="V279" s="82"/>
      <c r="W279" s="228">
        <f t="shared" si="291"/>
        <v>0</v>
      </c>
      <c r="X279" s="80">
        <f t="shared" si="291"/>
        <v>0</v>
      </c>
      <c r="Y279" s="80">
        <f t="shared" si="291"/>
        <v>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Y283" si="292">C281+G281+K281+O281+S281</f>
        <v>0</v>
      </c>
      <c r="X281" s="57">
        <f t="shared" si="292"/>
        <v>0</v>
      </c>
      <c r="Y281" s="84">
        <f t="shared" si="292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292"/>
        <v>0</v>
      </c>
      <c r="X282" s="56">
        <f t="shared" si="292"/>
        <v>0</v>
      </c>
      <c r="Y282" s="85">
        <f t="shared" si="292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292"/>
        <v>0</v>
      </c>
      <c r="X283" s="80">
        <f t="shared" si="292"/>
        <v>0</v>
      </c>
      <c r="Y283" s="80">
        <f t="shared" si="292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169" customFormat="1" x14ac:dyDescent="0.25">
      <c r="B285" s="169" t="s">
        <v>116</v>
      </c>
      <c r="C285" s="172">
        <v>0</v>
      </c>
      <c r="D285" s="174">
        <v>0</v>
      </c>
      <c r="E285" s="173">
        <f t="shared" ref="E285" si="293">SUM(C285:D285)</f>
        <v>0</v>
      </c>
      <c r="F285" s="175"/>
      <c r="G285" s="172">
        <f>C285</f>
        <v>0</v>
      </c>
      <c r="H285" s="174">
        <v>0</v>
      </c>
      <c r="I285" s="173">
        <f t="shared" ref="I285" si="294">SUM(G285:H285)</f>
        <v>0</v>
      </c>
      <c r="J285" s="175"/>
      <c r="K285" s="172">
        <f>G285</f>
        <v>0</v>
      </c>
      <c r="L285" s="174">
        <v>0</v>
      </c>
      <c r="M285" s="173">
        <f t="shared" ref="M285" si="295">SUM(K285:L285)</f>
        <v>0</v>
      </c>
      <c r="N285" s="175"/>
      <c r="O285" s="172">
        <f>K285</f>
        <v>0</v>
      </c>
      <c r="P285" s="174">
        <v>0</v>
      </c>
      <c r="Q285" s="174">
        <f t="shared" ref="Q285" si="296">SUM(O285:P285)</f>
        <v>0</v>
      </c>
      <c r="R285" s="175"/>
      <c r="S285" s="172">
        <f>O285</f>
        <v>0</v>
      </c>
      <c r="T285" s="174">
        <v>0</v>
      </c>
      <c r="U285" s="173">
        <f t="shared" ref="U285" si="297">SUM(S285:T285)</f>
        <v>0</v>
      </c>
      <c r="V285" s="176"/>
      <c r="W285" s="227">
        <f t="shared" ref="W285:Y289" si="298">C285+G285+K285+O285+S285</f>
        <v>0</v>
      </c>
      <c r="X285" s="173">
        <f t="shared" si="298"/>
        <v>0</v>
      </c>
      <c r="Y285" s="186">
        <f t="shared" si="298"/>
        <v>0</v>
      </c>
    </row>
    <row r="286" spans="1:77" s="61" customFormat="1" x14ac:dyDescent="0.25">
      <c r="A286" s="203"/>
      <c r="B286" s="54" t="s">
        <v>57</v>
      </c>
      <c r="C286" s="124">
        <v>0</v>
      </c>
      <c r="D286" s="56">
        <v>0</v>
      </c>
      <c r="E286" s="56">
        <f t="shared" ref="E286:E288" si="299">SUM(C286:D286)</f>
        <v>0</v>
      </c>
      <c r="F286" s="58"/>
      <c r="G286" s="55">
        <v>0</v>
      </c>
      <c r="H286" s="57">
        <v>0</v>
      </c>
      <c r="I286" s="57">
        <f t="shared" ref="I286:I288" si="300">SUM(G286:H286)</f>
        <v>0</v>
      </c>
      <c r="J286" s="58"/>
      <c r="K286" s="55">
        <v>0</v>
      </c>
      <c r="L286" s="56">
        <v>0</v>
      </c>
      <c r="M286" s="57">
        <f t="shared" ref="M286:M288" si="301">SUM(K286:L286)</f>
        <v>0</v>
      </c>
      <c r="N286" s="58"/>
      <c r="O286" s="55">
        <v>0</v>
      </c>
      <c r="P286" s="57">
        <v>0</v>
      </c>
      <c r="Q286" s="57">
        <f t="shared" ref="Q286:Q288" si="302">SUM(O286:P286)</f>
        <v>0</v>
      </c>
      <c r="R286" s="58"/>
      <c r="S286" s="55">
        <v>0</v>
      </c>
      <c r="T286" s="56">
        <v>0</v>
      </c>
      <c r="U286" s="57">
        <f t="shared" ref="U286:U288" si="303">SUM(S286:T286)</f>
        <v>0</v>
      </c>
      <c r="V286" s="59"/>
      <c r="W286" s="124">
        <f t="shared" si="298"/>
        <v>0</v>
      </c>
      <c r="X286" s="57">
        <f t="shared" si="298"/>
        <v>0</v>
      </c>
      <c r="Y286" s="84">
        <f t="shared" si="298"/>
        <v>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si="299"/>
        <v>0</v>
      </c>
      <c r="F287" s="58"/>
      <c r="G287" s="55">
        <v>0</v>
      </c>
      <c r="H287" s="57"/>
      <c r="I287" s="57">
        <f t="shared" si="300"/>
        <v>0</v>
      </c>
      <c r="J287" s="58"/>
      <c r="K287" s="55">
        <v>0</v>
      </c>
      <c r="L287" s="56">
        <v>0</v>
      </c>
      <c r="M287" s="57">
        <f t="shared" si="301"/>
        <v>0</v>
      </c>
      <c r="N287" s="58"/>
      <c r="O287" s="55">
        <v>0</v>
      </c>
      <c r="P287" s="56">
        <v>0</v>
      </c>
      <c r="Q287" s="56">
        <f t="shared" si="302"/>
        <v>0</v>
      </c>
      <c r="R287" s="58"/>
      <c r="S287" s="55">
        <v>0</v>
      </c>
      <c r="T287" s="56">
        <v>0</v>
      </c>
      <c r="U287" s="57">
        <f t="shared" si="303"/>
        <v>0</v>
      </c>
      <c r="V287" s="59"/>
      <c r="W287" s="124">
        <f t="shared" si="298"/>
        <v>0</v>
      </c>
      <c r="X287" s="57">
        <f t="shared" si="298"/>
        <v>0</v>
      </c>
      <c r="Y287" s="84">
        <f t="shared" si="298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299"/>
        <v>0</v>
      </c>
      <c r="F288" s="58"/>
      <c r="G288" s="55">
        <v>0</v>
      </c>
      <c r="H288" s="57">
        <v>0</v>
      </c>
      <c r="I288" s="57">
        <f t="shared" si="300"/>
        <v>0</v>
      </c>
      <c r="J288" s="58"/>
      <c r="K288" s="55">
        <v>0</v>
      </c>
      <c r="L288" s="57">
        <v>0</v>
      </c>
      <c r="M288" s="57">
        <f t="shared" si="301"/>
        <v>0</v>
      </c>
      <c r="N288" s="58"/>
      <c r="O288" s="55">
        <v>0</v>
      </c>
      <c r="P288" s="57">
        <v>0</v>
      </c>
      <c r="Q288" s="57">
        <f t="shared" si="302"/>
        <v>0</v>
      </c>
      <c r="R288" s="58"/>
      <c r="S288" s="55">
        <v>0</v>
      </c>
      <c r="T288" s="57">
        <v>0</v>
      </c>
      <c r="U288" s="57">
        <f t="shared" si="303"/>
        <v>0</v>
      </c>
      <c r="V288" s="59"/>
      <c r="W288" s="124">
        <f t="shared" si="298"/>
        <v>0</v>
      </c>
      <c r="X288" s="57">
        <f t="shared" si="298"/>
        <v>0</v>
      </c>
      <c r="Y288" s="84">
        <f t="shared" si="298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0</v>
      </c>
      <c r="D289" s="153">
        <f>SUM(D285:D288)</f>
        <v>0</v>
      </c>
      <c r="E289" s="153">
        <f>SUM(E285:E288)</f>
        <v>0</v>
      </c>
      <c r="F289" s="154"/>
      <c r="G289" s="152">
        <f>SUM(G285:G288)</f>
        <v>0</v>
      </c>
      <c r="H289" s="155">
        <f>SUM(H285:H288)</f>
        <v>0</v>
      </c>
      <c r="I289" s="155">
        <f>SUM(I285:I288)</f>
        <v>0</v>
      </c>
      <c r="J289" s="154"/>
      <c r="K289" s="152">
        <f>SUM(K285:K288)</f>
        <v>0</v>
      </c>
      <c r="L289" s="155">
        <f>SUM(L285:L288)</f>
        <v>0</v>
      </c>
      <c r="M289" s="155">
        <f>SUM(M285:M288)</f>
        <v>0</v>
      </c>
      <c r="N289" s="154"/>
      <c r="O289" s="152">
        <f>SUM(O285:O288)</f>
        <v>0</v>
      </c>
      <c r="P289" s="155">
        <f>SUM(P285:P288)</f>
        <v>0</v>
      </c>
      <c r="Q289" s="155">
        <f>SUM(Q285:Q288)</f>
        <v>0</v>
      </c>
      <c r="R289" s="154"/>
      <c r="S289" s="152">
        <f>SUM(S285:S288)</f>
        <v>0</v>
      </c>
      <c r="T289" s="155">
        <f>SUM(T285:T288)</f>
        <v>0</v>
      </c>
      <c r="U289" s="155">
        <f>SUM(U285:U288)</f>
        <v>0</v>
      </c>
      <c r="V289" s="82"/>
      <c r="W289" s="228">
        <f t="shared" si="298"/>
        <v>0</v>
      </c>
      <c r="X289" s="80">
        <f t="shared" si="298"/>
        <v>0</v>
      </c>
      <c r="Y289" s="80">
        <f t="shared" si="298"/>
        <v>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304">SUM(C269+C274+C279+C283+C289)</f>
        <v>0</v>
      </c>
      <c r="D290" s="246">
        <f t="shared" si="304"/>
        <v>0</v>
      </c>
      <c r="E290" s="246">
        <f t="shared" si="304"/>
        <v>0</v>
      </c>
      <c r="F290" s="246">
        <f t="shared" si="304"/>
        <v>0</v>
      </c>
      <c r="G290" s="246">
        <f t="shared" si="304"/>
        <v>0</v>
      </c>
      <c r="H290" s="246">
        <f t="shared" si="304"/>
        <v>0</v>
      </c>
      <c r="I290" s="246">
        <f t="shared" si="304"/>
        <v>0</v>
      </c>
      <c r="J290" s="246">
        <f t="shared" si="304"/>
        <v>0</v>
      </c>
      <c r="K290" s="246">
        <f t="shared" si="304"/>
        <v>0</v>
      </c>
      <c r="L290" s="246">
        <f t="shared" si="304"/>
        <v>0</v>
      </c>
      <c r="M290" s="246">
        <f t="shared" si="304"/>
        <v>0</v>
      </c>
      <c r="N290" s="246">
        <f t="shared" si="304"/>
        <v>0</v>
      </c>
      <c r="O290" s="246">
        <f t="shared" si="304"/>
        <v>0</v>
      </c>
      <c r="P290" s="246">
        <f t="shared" si="304"/>
        <v>0</v>
      </c>
      <c r="Q290" s="246">
        <f t="shared" si="304"/>
        <v>0</v>
      </c>
      <c r="R290" s="246">
        <f t="shared" si="304"/>
        <v>0</v>
      </c>
      <c r="S290" s="246">
        <f t="shared" si="304"/>
        <v>0</v>
      </c>
      <c r="T290" s="246">
        <f t="shared" si="304"/>
        <v>0</v>
      </c>
      <c r="U290" s="246">
        <f t="shared" si="304"/>
        <v>0</v>
      </c>
      <c r="V290" s="246">
        <f t="shared" si="304"/>
        <v>0</v>
      </c>
      <c r="W290" s="246">
        <f t="shared" si="304"/>
        <v>0</v>
      </c>
      <c r="X290" s="246">
        <f t="shared" si="304"/>
        <v>0</v>
      </c>
      <c r="Y290" s="246">
        <f t="shared" si="304"/>
        <v>0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0</v>
      </c>
      <c r="D291" s="246">
        <v>0</v>
      </c>
      <c r="E291" s="246">
        <f>C291</f>
        <v>0</v>
      </c>
      <c r="F291" s="246">
        <f>F263*0.47</f>
        <v>0</v>
      </c>
      <c r="G291" s="246">
        <f>((G263)*0.56)</f>
        <v>0</v>
      </c>
      <c r="H291" s="246">
        <v>0</v>
      </c>
      <c r="I291" s="246">
        <f>G291</f>
        <v>0</v>
      </c>
      <c r="J291" s="246">
        <f>J263*0.47</f>
        <v>0</v>
      </c>
      <c r="K291" s="246">
        <f>((K263)*0.56)</f>
        <v>0</v>
      </c>
      <c r="L291" s="246">
        <v>0</v>
      </c>
      <c r="M291" s="246">
        <f>K291</f>
        <v>0</v>
      </c>
      <c r="N291" s="246">
        <f>N263*0.47</f>
        <v>0</v>
      </c>
      <c r="O291" s="246">
        <f>((O263)*0.56)</f>
        <v>0</v>
      </c>
      <c r="P291" s="246">
        <v>0</v>
      </c>
      <c r="Q291" s="246">
        <f>O291</f>
        <v>0</v>
      </c>
      <c r="R291" s="246">
        <f>R263*0.47</f>
        <v>0</v>
      </c>
      <c r="S291" s="246">
        <f>((S263)*0.56)</f>
        <v>0</v>
      </c>
      <c r="T291" s="246">
        <v>0</v>
      </c>
      <c r="U291" s="246">
        <f>S291</f>
        <v>0</v>
      </c>
      <c r="V291" s="246">
        <f>V263*0.47</f>
        <v>0</v>
      </c>
      <c r="W291" s="246">
        <f>((W263)*0.56)</f>
        <v>0</v>
      </c>
      <c r="X291" s="246">
        <v>0</v>
      </c>
      <c r="Y291" s="246">
        <f>W291</f>
        <v>0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0</v>
      </c>
      <c r="D292" s="246">
        <f t="shared" ref="D292:Y292" si="305">SUM(D290:D291)</f>
        <v>0</v>
      </c>
      <c r="E292" s="246">
        <f t="shared" si="305"/>
        <v>0</v>
      </c>
      <c r="F292" s="246">
        <f t="shared" si="305"/>
        <v>0</v>
      </c>
      <c r="G292" s="246">
        <f t="shared" si="305"/>
        <v>0</v>
      </c>
      <c r="H292" s="246">
        <f t="shared" si="305"/>
        <v>0</v>
      </c>
      <c r="I292" s="246">
        <f t="shared" si="305"/>
        <v>0</v>
      </c>
      <c r="J292" s="246">
        <f t="shared" si="305"/>
        <v>0</v>
      </c>
      <c r="K292" s="246">
        <f t="shared" si="305"/>
        <v>0</v>
      </c>
      <c r="L292" s="246">
        <f t="shared" si="305"/>
        <v>0</v>
      </c>
      <c r="M292" s="246">
        <f t="shared" si="305"/>
        <v>0</v>
      </c>
      <c r="N292" s="246">
        <f t="shared" si="305"/>
        <v>0</v>
      </c>
      <c r="O292" s="246">
        <f t="shared" si="305"/>
        <v>0</v>
      </c>
      <c r="P292" s="246">
        <f t="shared" si="305"/>
        <v>0</v>
      </c>
      <c r="Q292" s="246">
        <f t="shared" si="305"/>
        <v>0</v>
      </c>
      <c r="R292" s="246">
        <f t="shared" si="305"/>
        <v>0</v>
      </c>
      <c r="S292" s="246">
        <f t="shared" si="305"/>
        <v>0</v>
      </c>
      <c r="T292" s="246">
        <f t="shared" si="305"/>
        <v>0</v>
      </c>
      <c r="U292" s="246">
        <f t="shared" si="305"/>
        <v>0</v>
      </c>
      <c r="V292" s="246">
        <f t="shared" si="305"/>
        <v>0</v>
      </c>
      <c r="W292" s="246">
        <f t="shared" si="305"/>
        <v>0</v>
      </c>
      <c r="X292" s="246">
        <f t="shared" si="305"/>
        <v>0</v>
      </c>
      <c r="Y292" s="246">
        <f t="shared" si="305"/>
        <v>0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169" customFormat="1" x14ac:dyDescent="0.25">
      <c r="A296" s="170" t="s">
        <v>57</v>
      </c>
      <c r="B296" s="169" t="s">
        <v>57</v>
      </c>
      <c r="C296" s="172">
        <v>0</v>
      </c>
      <c r="D296" s="173">
        <v>0</v>
      </c>
      <c r="E296" s="173">
        <f t="shared" ref="E296:E299" si="306">SUM(C296:D296)</f>
        <v>0</v>
      </c>
      <c r="F296" s="175"/>
      <c r="G296" s="172">
        <f>C296*1.03</f>
        <v>0</v>
      </c>
      <c r="H296" s="173">
        <f>D296*1.03</f>
        <v>0</v>
      </c>
      <c r="I296" s="173">
        <f t="shared" ref="I296:I299" si="307">SUM(G296:H296)</f>
        <v>0</v>
      </c>
      <c r="J296" s="175"/>
      <c r="K296" s="172">
        <f>G296*1.03</f>
        <v>0</v>
      </c>
      <c r="L296" s="173">
        <f>H296*1.03</f>
        <v>0</v>
      </c>
      <c r="M296" s="173">
        <f t="shared" ref="M296:M299" si="308">SUM(K296:L296)</f>
        <v>0</v>
      </c>
      <c r="N296" s="175"/>
      <c r="O296" s="172">
        <f>K296*1.03</f>
        <v>0</v>
      </c>
      <c r="P296" s="173">
        <f>L296*1.03</f>
        <v>0</v>
      </c>
      <c r="Q296" s="173">
        <f t="shared" ref="Q296:Q299" si="309">SUM(O296:P296)</f>
        <v>0</v>
      </c>
      <c r="R296" s="175"/>
      <c r="S296" s="172">
        <f>O296*1.03</f>
        <v>0</v>
      </c>
      <c r="T296" s="173">
        <f>P296*1.03</f>
        <v>0</v>
      </c>
      <c r="U296" s="173">
        <f t="shared" ref="U296:U299" si="310">SUM(S296:T296)</f>
        <v>0</v>
      </c>
      <c r="V296" s="176"/>
      <c r="W296" s="227">
        <f>C296+G296+K296+O296+S296</f>
        <v>0</v>
      </c>
      <c r="X296" s="173">
        <f t="shared" ref="X296:Y300" si="311">D296+H296+L296+P296+T296</f>
        <v>0</v>
      </c>
      <c r="Y296" s="177">
        <f t="shared" si="311"/>
        <v>0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si="306"/>
        <v>0</v>
      </c>
      <c r="F297" s="175"/>
      <c r="G297" s="172">
        <f t="shared" ref="G297:H299" si="312">C297*1.03</f>
        <v>0</v>
      </c>
      <c r="H297" s="173">
        <f t="shared" si="312"/>
        <v>0</v>
      </c>
      <c r="I297" s="173">
        <f t="shared" si="307"/>
        <v>0</v>
      </c>
      <c r="J297" s="175"/>
      <c r="K297" s="172">
        <f t="shared" ref="K297:L299" si="313">G297*1.03</f>
        <v>0</v>
      </c>
      <c r="L297" s="173">
        <f t="shared" si="313"/>
        <v>0</v>
      </c>
      <c r="M297" s="173">
        <f t="shared" si="308"/>
        <v>0</v>
      </c>
      <c r="N297" s="175"/>
      <c r="O297" s="172">
        <f t="shared" ref="O297:P299" si="314">K297*1.03</f>
        <v>0</v>
      </c>
      <c r="P297" s="173">
        <f t="shared" si="314"/>
        <v>0</v>
      </c>
      <c r="Q297" s="173">
        <f t="shared" si="309"/>
        <v>0</v>
      </c>
      <c r="R297" s="175"/>
      <c r="S297" s="172">
        <f t="shared" ref="S297:T299" si="315">O297*1.03</f>
        <v>0</v>
      </c>
      <c r="T297" s="173">
        <f t="shared" si="315"/>
        <v>0</v>
      </c>
      <c r="U297" s="173">
        <f t="shared" si="310"/>
        <v>0</v>
      </c>
      <c r="V297" s="176"/>
      <c r="W297" s="227">
        <f t="shared" ref="W297:W300" si="316">C297+G297+K297+O297+S297</f>
        <v>0</v>
      </c>
      <c r="X297" s="173">
        <f t="shared" si="311"/>
        <v>0</v>
      </c>
      <c r="Y297" s="177">
        <f t="shared" si="311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306"/>
        <v>0</v>
      </c>
      <c r="F298" s="175"/>
      <c r="G298" s="172">
        <f t="shared" si="312"/>
        <v>0</v>
      </c>
      <c r="H298" s="173">
        <f t="shared" si="312"/>
        <v>0</v>
      </c>
      <c r="I298" s="173">
        <f t="shared" si="307"/>
        <v>0</v>
      </c>
      <c r="J298" s="175"/>
      <c r="K298" s="172">
        <f t="shared" si="313"/>
        <v>0</v>
      </c>
      <c r="L298" s="173">
        <f t="shared" si="313"/>
        <v>0</v>
      </c>
      <c r="M298" s="173">
        <f t="shared" si="308"/>
        <v>0</v>
      </c>
      <c r="N298" s="175"/>
      <c r="O298" s="172">
        <f t="shared" si="314"/>
        <v>0</v>
      </c>
      <c r="P298" s="173">
        <f t="shared" si="314"/>
        <v>0</v>
      </c>
      <c r="Q298" s="173">
        <f t="shared" si="309"/>
        <v>0</v>
      </c>
      <c r="R298" s="175"/>
      <c r="S298" s="172">
        <f t="shared" si="315"/>
        <v>0</v>
      </c>
      <c r="T298" s="173">
        <f t="shared" si="315"/>
        <v>0</v>
      </c>
      <c r="U298" s="173">
        <f t="shared" si="310"/>
        <v>0</v>
      </c>
      <c r="V298" s="176"/>
      <c r="W298" s="227">
        <f t="shared" si="316"/>
        <v>0</v>
      </c>
      <c r="X298" s="173">
        <f t="shared" si="311"/>
        <v>0</v>
      </c>
      <c r="Y298" s="177">
        <f t="shared" si="311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306"/>
        <v>0</v>
      </c>
      <c r="F299" s="175"/>
      <c r="G299" s="172">
        <f t="shared" si="312"/>
        <v>0</v>
      </c>
      <c r="H299" s="173">
        <f t="shared" si="312"/>
        <v>0</v>
      </c>
      <c r="I299" s="173">
        <f t="shared" si="307"/>
        <v>0</v>
      </c>
      <c r="J299" s="175"/>
      <c r="K299" s="172">
        <f t="shared" si="313"/>
        <v>0</v>
      </c>
      <c r="L299" s="173">
        <f t="shared" si="313"/>
        <v>0</v>
      </c>
      <c r="M299" s="173">
        <f t="shared" si="308"/>
        <v>0</v>
      </c>
      <c r="N299" s="175"/>
      <c r="O299" s="172">
        <f t="shared" si="314"/>
        <v>0</v>
      </c>
      <c r="P299" s="173">
        <f t="shared" si="314"/>
        <v>0</v>
      </c>
      <c r="Q299" s="173">
        <f t="shared" si="309"/>
        <v>0</v>
      </c>
      <c r="R299" s="175"/>
      <c r="S299" s="172">
        <f t="shared" si="315"/>
        <v>0</v>
      </c>
      <c r="T299" s="173">
        <f t="shared" si="315"/>
        <v>0</v>
      </c>
      <c r="U299" s="173">
        <f t="shared" si="310"/>
        <v>0</v>
      </c>
      <c r="V299" s="176"/>
      <c r="W299" s="227">
        <f t="shared" si="316"/>
        <v>0</v>
      </c>
      <c r="X299" s="173">
        <f t="shared" si="311"/>
        <v>0</v>
      </c>
      <c r="Y299" s="177">
        <f t="shared" si="311"/>
        <v>0</v>
      </c>
    </row>
    <row r="300" spans="1:77" s="83" customFormat="1" x14ac:dyDescent="0.25">
      <c r="A300" s="78"/>
      <c r="B300" s="78" t="s">
        <v>9</v>
      </c>
      <c r="C300" s="228">
        <f>SUM(C296:C299)</f>
        <v>0</v>
      </c>
      <c r="D300" s="125">
        <f>SUM(D296:D299)</f>
        <v>0</v>
      </c>
      <c r="E300" s="125">
        <f>SUM(E296:E299)</f>
        <v>0</v>
      </c>
      <c r="F300" s="81"/>
      <c r="G300" s="79">
        <f>SUM(G296:G299)</f>
        <v>0</v>
      </c>
      <c r="H300" s="80">
        <f>SUM(H296:H299)</f>
        <v>0</v>
      </c>
      <c r="I300" s="80">
        <f>SUM(I296:I299)</f>
        <v>0</v>
      </c>
      <c r="J300" s="81"/>
      <c r="K300" s="79">
        <f>SUM(K296:K299)</f>
        <v>0</v>
      </c>
      <c r="L300" s="80">
        <f>SUM(L296:L299)</f>
        <v>0</v>
      </c>
      <c r="M300" s="80">
        <f>SUM(M296:M299)</f>
        <v>0</v>
      </c>
      <c r="N300" s="81"/>
      <c r="O300" s="79">
        <f>SUM(O296:O299)</f>
        <v>0</v>
      </c>
      <c r="P300" s="80">
        <f>SUM(P296:P299)</f>
        <v>0</v>
      </c>
      <c r="Q300" s="80">
        <f>SUM(Q296:Q299)</f>
        <v>0</v>
      </c>
      <c r="R300" s="81"/>
      <c r="S300" s="79">
        <f>SUM(S296:S299)</f>
        <v>0</v>
      </c>
      <c r="T300" s="80">
        <f>SUM(T296:T299)</f>
        <v>0</v>
      </c>
      <c r="U300" s="80">
        <f>SUM(U296:U299)</f>
        <v>0</v>
      </c>
      <c r="V300" s="82"/>
      <c r="W300" s="228">
        <f t="shared" si="316"/>
        <v>0</v>
      </c>
      <c r="X300" s="80">
        <f t="shared" si="311"/>
        <v>0</v>
      </c>
      <c r="Y300" s="80">
        <f t="shared" si="311"/>
        <v>0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L305" si="317">G302*1.03</f>
        <v>0</v>
      </c>
      <c r="L302" s="57">
        <f t="shared" si="317"/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Y306" si="318">C302+G302+K302+O302+S302</f>
        <v>0</v>
      </c>
      <c r="X302" s="57">
        <f t="shared" si="318"/>
        <v>0</v>
      </c>
      <c r="Y302" s="57">
        <f t="shared" ref="Y302:Y305" si="319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320">SUM(C303:D303)</f>
        <v>0</v>
      </c>
      <c r="F303" s="58"/>
      <c r="G303" s="55">
        <f t="shared" ref="G303:H305" si="321">C303*1.03</f>
        <v>0</v>
      </c>
      <c r="H303" s="57">
        <f t="shared" si="321"/>
        <v>0</v>
      </c>
      <c r="I303" s="57">
        <f t="shared" ref="I303:I305" si="322">SUM(G303:H303)</f>
        <v>0</v>
      </c>
      <c r="J303" s="58"/>
      <c r="K303" s="55">
        <f t="shared" si="317"/>
        <v>0</v>
      </c>
      <c r="L303" s="57">
        <f t="shared" si="317"/>
        <v>0</v>
      </c>
      <c r="M303" s="57">
        <f t="shared" ref="M303:M305" si="323">SUM(K303:L303)</f>
        <v>0</v>
      </c>
      <c r="N303" s="58"/>
      <c r="O303" s="55">
        <f t="shared" ref="O303:P305" si="324">K303*1.03</f>
        <v>0</v>
      </c>
      <c r="P303" s="57">
        <f t="shared" si="324"/>
        <v>0</v>
      </c>
      <c r="Q303" s="57">
        <f t="shared" ref="Q303:Q305" si="325">SUM(O303:P303)</f>
        <v>0</v>
      </c>
      <c r="R303" s="58"/>
      <c r="S303" s="55">
        <f t="shared" ref="S303:T305" si="326">O303*1.03</f>
        <v>0</v>
      </c>
      <c r="T303" s="57">
        <f t="shared" si="326"/>
        <v>0</v>
      </c>
      <c r="U303" s="57">
        <f t="shared" ref="U303:U305" si="327">SUM(S303:T303)</f>
        <v>0</v>
      </c>
      <c r="V303" s="59"/>
      <c r="W303" s="124">
        <f t="shared" si="318"/>
        <v>0</v>
      </c>
      <c r="X303" s="57">
        <f t="shared" si="318"/>
        <v>0</v>
      </c>
      <c r="Y303" s="57">
        <f t="shared" si="319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320"/>
        <v>0</v>
      </c>
      <c r="F304" s="58"/>
      <c r="G304" s="55">
        <f t="shared" si="321"/>
        <v>0</v>
      </c>
      <c r="H304" s="57">
        <f t="shared" si="321"/>
        <v>0</v>
      </c>
      <c r="I304" s="57">
        <f t="shared" si="322"/>
        <v>0</v>
      </c>
      <c r="J304" s="58"/>
      <c r="K304" s="55">
        <f t="shared" si="317"/>
        <v>0</v>
      </c>
      <c r="L304" s="57">
        <f t="shared" si="317"/>
        <v>0</v>
      </c>
      <c r="M304" s="57">
        <f t="shared" si="323"/>
        <v>0</v>
      </c>
      <c r="N304" s="58"/>
      <c r="O304" s="55">
        <f t="shared" si="324"/>
        <v>0</v>
      </c>
      <c r="P304" s="57">
        <f t="shared" si="324"/>
        <v>0</v>
      </c>
      <c r="Q304" s="57">
        <f t="shared" si="325"/>
        <v>0</v>
      </c>
      <c r="R304" s="58"/>
      <c r="S304" s="55">
        <f t="shared" si="326"/>
        <v>0</v>
      </c>
      <c r="T304" s="57">
        <f t="shared" si="326"/>
        <v>0</v>
      </c>
      <c r="U304" s="57">
        <f t="shared" si="327"/>
        <v>0</v>
      </c>
      <c r="V304" s="59"/>
      <c r="W304" s="124">
        <f t="shared" si="318"/>
        <v>0</v>
      </c>
      <c r="X304" s="57">
        <f t="shared" si="318"/>
        <v>0</v>
      </c>
      <c r="Y304" s="57">
        <f t="shared" si="319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320"/>
        <v>0</v>
      </c>
      <c r="F305" s="58"/>
      <c r="G305" s="55">
        <f t="shared" si="321"/>
        <v>0</v>
      </c>
      <c r="H305" s="57">
        <f t="shared" si="321"/>
        <v>0</v>
      </c>
      <c r="I305" s="57">
        <f t="shared" si="322"/>
        <v>0</v>
      </c>
      <c r="J305" s="58"/>
      <c r="K305" s="55">
        <f t="shared" si="317"/>
        <v>0</v>
      </c>
      <c r="L305" s="57">
        <f t="shared" si="317"/>
        <v>0</v>
      </c>
      <c r="M305" s="57">
        <f t="shared" si="323"/>
        <v>0</v>
      </c>
      <c r="N305" s="58"/>
      <c r="O305" s="55">
        <f t="shared" si="324"/>
        <v>0</v>
      </c>
      <c r="P305" s="57">
        <f t="shared" si="324"/>
        <v>0</v>
      </c>
      <c r="Q305" s="57">
        <f t="shared" si="325"/>
        <v>0</v>
      </c>
      <c r="R305" s="58"/>
      <c r="S305" s="55">
        <f t="shared" si="326"/>
        <v>0</v>
      </c>
      <c r="T305" s="57">
        <f t="shared" si="326"/>
        <v>0</v>
      </c>
      <c r="U305" s="57">
        <f t="shared" si="327"/>
        <v>0</v>
      </c>
      <c r="V305" s="59"/>
      <c r="W305" s="124">
        <f t="shared" si="318"/>
        <v>0</v>
      </c>
      <c r="X305" s="57">
        <f t="shared" si="318"/>
        <v>0</v>
      </c>
      <c r="Y305" s="57">
        <f t="shared" si="319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318"/>
        <v>0</v>
      </c>
      <c r="X306" s="80">
        <f t="shared" si="318"/>
        <v>0</v>
      </c>
      <c r="Y306" s="80">
        <f t="shared" si="318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328">C306+C300</f>
        <v>0</v>
      </c>
      <c r="D307" s="248">
        <f t="shared" si="328"/>
        <v>0</v>
      </c>
      <c r="E307" s="248">
        <f t="shared" si="328"/>
        <v>0</v>
      </c>
      <c r="F307" s="248">
        <f t="shared" si="328"/>
        <v>0</v>
      </c>
      <c r="G307" s="248">
        <f t="shared" si="328"/>
        <v>0</v>
      </c>
      <c r="H307" s="248">
        <f t="shared" si="328"/>
        <v>0</v>
      </c>
      <c r="I307" s="248">
        <f t="shared" si="328"/>
        <v>0</v>
      </c>
      <c r="J307" s="248">
        <f t="shared" si="328"/>
        <v>0</v>
      </c>
      <c r="K307" s="248">
        <f t="shared" si="328"/>
        <v>0</v>
      </c>
      <c r="L307" s="248">
        <f t="shared" si="328"/>
        <v>0</v>
      </c>
      <c r="M307" s="248">
        <f t="shared" si="328"/>
        <v>0</v>
      </c>
      <c r="N307" s="248">
        <f t="shared" si="328"/>
        <v>0</v>
      </c>
      <c r="O307" s="248">
        <f t="shared" si="328"/>
        <v>0</v>
      </c>
      <c r="P307" s="248">
        <f t="shared" si="328"/>
        <v>0</v>
      </c>
      <c r="Q307" s="248">
        <f t="shared" si="328"/>
        <v>0</v>
      </c>
      <c r="R307" s="248">
        <f t="shared" si="328"/>
        <v>0</v>
      </c>
      <c r="S307" s="248">
        <f t="shared" si="328"/>
        <v>0</v>
      </c>
      <c r="T307" s="248">
        <f t="shared" si="328"/>
        <v>0</v>
      </c>
      <c r="U307" s="248">
        <f t="shared" si="328"/>
        <v>0</v>
      </c>
      <c r="V307" s="248">
        <f t="shared" si="328"/>
        <v>0</v>
      </c>
      <c r="W307" s="248">
        <f t="shared" si="328"/>
        <v>0</v>
      </c>
      <c r="X307" s="248">
        <f t="shared" si="328"/>
        <v>0</v>
      </c>
      <c r="Y307" s="249">
        <f>E307+I307+M307+Q307+U307</f>
        <v>0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329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330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331">SUM(K309:L309)</f>
        <v>0</v>
      </c>
      <c r="N309" s="58"/>
      <c r="O309" s="124">
        <f>O302*A309*1.03*1.03*1.03*1.03</f>
        <v>0</v>
      </c>
      <c r="P309" s="56">
        <f>P302*A309*1.03*1.03*1.03</f>
        <v>0</v>
      </c>
      <c r="Q309" s="57">
        <f t="shared" ref="Q309:Q311" si="332">SUM(O309:P309)</f>
        <v>0</v>
      </c>
      <c r="R309" s="58"/>
      <c r="S309" s="124">
        <f>S302*A309*1.03*1.03*1.03*1.03*1.03</f>
        <v>0</v>
      </c>
      <c r="T309" s="56">
        <f>T302*A309*1.03*1.03*1.03*1.03</f>
        <v>0</v>
      </c>
      <c r="U309" s="57">
        <f t="shared" ref="U309:U311" si="333">SUM(S309:T309)</f>
        <v>0</v>
      </c>
      <c r="V309" s="59"/>
      <c r="W309" s="124">
        <f t="shared" ref="W309:Y312" si="334">C309+G309+K309+O309+S309</f>
        <v>0</v>
      </c>
      <c r="X309" s="57">
        <f t="shared" si="334"/>
        <v>0</v>
      </c>
      <c r="Y309" s="84">
        <f t="shared" si="334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0.54779999999999995</v>
      </c>
      <c r="B310" s="52" t="s">
        <v>109</v>
      </c>
      <c r="C310" s="124">
        <f>C300*(A310*1.03)</f>
        <v>0</v>
      </c>
      <c r="D310" s="56">
        <f>D300*A310*1.03</f>
        <v>0</v>
      </c>
      <c r="E310" s="56">
        <f t="shared" si="329"/>
        <v>0</v>
      </c>
      <c r="F310" s="58"/>
      <c r="G310" s="124">
        <f>G300*A310*1.03*1.03</f>
        <v>0</v>
      </c>
      <c r="H310" s="56">
        <f>H300*A310*1.03*1.03</f>
        <v>0</v>
      </c>
      <c r="I310" s="57">
        <f t="shared" si="330"/>
        <v>0</v>
      </c>
      <c r="J310" s="58"/>
      <c r="K310" s="124">
        <f>K304*A310*1.03*1.03</f>
        <v>0</v>
      </c>
      <c r="L310" s="56">
        <f>L304*A310*1.03*1.03</f>
        <v>0</v>
      </c>
      <c r="M310" s="57">
        <f t="shared" si="331"/>
        <v>0</v>
      </c>
      <c r="N310" s="58"/>
      <c r="O310" s="124">
        <f>O304*A310*1.03*1.03*1.03</f>
        <v>0</v>
      </c>
      <c r="P310" s="56">
        <f>P304*A310*1.03*1.03*1.03</f>
        <v>0</v>
      </c>
      <c r="Q310" s="57">
        <f t="shared" si="332"/>
        <v>0</v>
      </c>
      <c r="R310" s="58"/>
      <c r="S310" s="124">
        <f>S304*A310*1.03*1.03*1.03*1.03</f>
        <v>0</v>
      </c>
      <c r="T310" s="56">
        <f>T304*A310*1.03*1.03*1.03*1.03</f>
        <v>0</v>
      </c>
      <c r="U310" s="57">
        <f t="shared" si="333"/>
        <v>0</v>
      </c>
      <c r="V310" s="59"/>
      <c r="W310" s="124">
        <f t="shared" si="334"/>
        <v>0</v>
      </c>
      <c r="X310" s="57">
        <f t="shared" si="334"/>
        <v>0</v>
      </c>
      <c r="Y310" s="84">
        <f t="shared" si="334"/>
        <v>0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329"/>
        <v>0</v>
      </c>
      <c r="F311" s="58"/>
      <c r="G311" s="55">
        <f>C311*1.05</f>
        <v>0</v>
      </c>
      <c r="H311" s="57">
        <f>D311*1.05</f>
        <v>0</v>
      </c>
      <c r="I311" s="57">
        <f t="shared" si="330"/>
        <v>0</v>
      </c>
      <c r="J311" s="58"/>
      <c r="K311" s="55">
        <f>K300*A310*1.03*1.03*1.03</f>
        <v>0</v>
      </c>
      <c r="L311" s="56">
        <f>L300*A310*1.03*1.03*1.03</f>
        <v>0</v>
      </c>
      <c r="M311" s="57">
        <f t="shared" si="331"/>
        <v>0</v>
      </c>
      <c r="N311" s="58"/>
      <c r="O311" s="55">
        <f>O300*A310*1.03*1.03*1.03*1.03</f>
        <v>0</v>
      </c>
      <c r="P311" s="56">
        <f>P300*A310*1.03*1.03*1.03*1.03</f>
        <v>0</v>
      </c>
      <c r="Q311" s="57">
        <f t="shared" si="332"/>
        <v>0</v>
      </c>
      <c r="R311" s="58"/>
      <c r="S311" s="55">
        <f>S300*A310*1.03*1.03*1.03*1.03*1.03</f>
        <v>0</v>
      </c>
      <c r="T311" s="56">
        <f>T300*A310*1.03*1.03*1.03*1.03*1.03</f>
        <v>0</v>
      </c>
      <c r="U311" s="57">
        <f t="shared" si="333"/>
        <v>0</v>
      </c>
      <c r="V311" s="59"/>
      <c r="W311" s="124">
        <f t="shared" si="334"/>
        <v>0</v>
      </c>
      <c r="X311" s="57">
        <f t="shared" si="334"/>
        <v>0</v>
      </c>
      <c r="Y311" s="84">
        <f t="shared" si="334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0</v>
      </c>
      <c r="D312" s="125">
        <f>SUM(D309:D311)</f>
        <v>0</v>
      </c>
      <c r="E312" s="125">
        <f>SUM(E309:E311)</f>
        <v>0</v>
      </c>
      <c r="F312" s="81"/>
      <c r="G312" s="79">
        <f>SUM(G309:G311)</f>
        <v>0</v>
      </c>
      <c r="H312" s="80">
        <f>SUM(H309:H311)</f>
        <v>0</v>
      </c>
      <c r="I312" s="80">
        <f>SUM(I309:I311)</f>
        <v>0</v>
      </c>
      <c r="J312" s="81"/>
      <c r="K312" s="79">
        <f>SUM(K309:K311)</f>
        <v>0</v>
      </c>
      <c r="L312" s="80">
        <f>SUM(L309:L311)</f>
        <v>0</v>
      </c>
      <c r="M312" s="80">
        <f>SUM(M309:M311)</f>
        <v>0</v>
      </c>
      <c r="N312" s="81"/>
      <c r="O312" s="79">
        <f>SUM(O309:O311)</f>
        <v>0</v>
      </c>
      <c r="P312" s="80">
        <f>SUM(P309:P311)</f>
        <v>0</v>
      </c>
      <c r="Q312" s="80">
        <f>SUM(Q309:Q311)</f>
        <v>0</v>
      </c>
      <c r="R312" s="81"/>
      <c r="S312" s="79">
        <f>SUM(S309:S311)</f>
        <v>0</v>
      </c>
      <c r="T312" s="80">
        <f>SUM(T309:T311)</f>
        <v>0</v>
      </c>
      <c r="U312" s="80">
        <f>SUM(U309:U311)</f>
        <v>0</v>
      </c>
      <c r="V312" s="82"/>
      <c r="W312" s="228">
        <f t="shared" si="334"/>
        <v>0</v>
      </c>
      <c r="X312" s="80">
        <f t="shared" si="334"/>
        <v>0</v>
      </c>
      <c r="Y312" s="80">
        <f t="shared" si="334"/>
        <v>0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335">C312+C307</f>
        <v>0</v>
      </c>
      <c r="D313" s="248">
        <f t="shared" si="335"/>
        <v>0</v>
      </c>
      <c r="E313" s="248">
        <f t="shared" si="335"/>
        <v>0</v>
      </c>
      <c r="F313" s="248">
        <f t="shared" si="335"/>
        <v>0</v>
      </c>
      <c r="G313" s="248">
        <f t="shared" si="335"/>
        <v>0</v>
      </c>
      <c r="H313" s="248">
        <f t="shared" si="335"/>
        <v>0</v>
      </c>
      <c r="I313" s="248">
        <f t="shared" si="335"/>
        <v>0</v>
      </c>
      <c r="J313" s="248">
        <f t="shared" si="335"/>
        <v>0</v>
      </c>
      <c r="K313" s="248">
        <f t="shared" si="335"/>
        <v>0</v>
      </c>
      <c r="L313" s="248">
        <f t="shared" si="335"/>
        <v>0</v>
      </c>
      <c r="M313" s="248">
        <f t="shared" si="335"/>
        <v>0</v>
      </c>
      <c r="N313" s="248">
        <f t="shared" si="335"/>
        <v>0</v>
      </c>
      <c r="O313" s="248">
        <f t="shared" si="335"/>
        <v>0</v>
      </c>
      <c r="P313" s="248">
        <f t="shared" si="335"/>
        <v>0</v>
      </c>
      <c r="Q313" s="248">
        <f t="shared" si="335"/>
        <v>0</v>
      </c>
      <c r="R313" s="248">
        <f t="shared" si="335"/>
        <v>0</v>
      </c>
      <c r="S313" s="248">
        <f t="shared" si="335"/>
        <v>0</v>
      </c>
      <c r="T313" s="248">
        <f t="shared" si="335"/>
        <v>0</v>
      </c>
      <c r="U313" s="248">
        <f t="shared" si="335"/>
        <v>0</v>
      </c>
      <c r="V313" s="248">
        <f t="shared" si="335"/>
        <v>0</v>
      </c>
      <c r="W313" s="248">
        <f t="shared" si="335"/>
        <v>0</v>
      </c>
      <c r="X313" s="248">
        <f t="shared" si="335"/>
        <v>0</v>
      </c>
      <c r="Y313" s="248">
        <f t="shared" si="335"/>
        <v>0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336">SUM(C315:D315)</f>
        <v>0</v>
      </c>
      <c r="F315" s="58"/>
      <c r="G315" s="55">
        <v>0</v>
      </c>
      <c r="H315" s="57">
        <v>0</v>
      </c>
      <c r="I315" s="57">
        <f t="shared" ref="I315:I317" si="337">SUM(G315:H315)</f>
        <v>0</v>
      </c>
      <c r="J315" s="58"/>
      <c r="K315" s="55">
        <v>0</v>
      </c>
      <c r="L315" s="57">
        <v>0</v>
      </c>
      <c r="M315" s="57">
        <f t="shared" ref="M315:M317" si="338">SUM(K315:L315)</f>
        <v>0</v>
      </c>
      <c r="N315" s="58"/>
      <c r="O315" s="55">
        <v>0</v>
      </c>
      <c r="P315" s="57">
        <v>0</v>
      </c>
      <c r="Q315" s="57">
        <f t="shared" ref="Q315:Q317" si="339">SUM(O315:P315)</f>
        <v>0</v>
      </c>
      <c r="R315" s="58"/>
      <c r="S315" s="55">
        <v>0</v>
      </c>
      <c r="T315" s="57">
        <v>0</v>
      </c>
      <c r="U315" s="57">
        <f t="shared" ref="U315:U317" si="340">SUM(S315:T315)</f>
        <v>0</v>
      </c>
      <c r="V315" s="59"/>
      <c r="W315" s="124">
        <f t="shared" ref="W315:Y318" si="341">C315+G315+K315+O315+S315</f>
        <v>0</v>
      </c>
      <c r="X315" s="57">
        <f t="shared" si="341"/>
        <v>0</v>
      </c>
      <c r="Y315" s="84">
        <f t="shared" si="341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336"/>
        <v>0</v>
      </c>
      <c r="F316" s="58"/>
      <c r="G316" s="55">
        <v>0</v>
      </c>
      <c r="H316" s="57">
        <v>0</v>
      </c>
      <c r="I316" s="57">
        <f t="shared" si="337"/>
        <v>0</v>
      </c>
      <c r="J316" s="58"/>
      <c r="K316" s="55">
        <v>0</v>
      </c>
      <c r="L316" s="57">
        <v>0</v>
      </c>
      <c r="M316" s="57">
        <f t="shared" si="338"/>
        <v>0</v>
      </c>
      <c r="N316" s="58"/>
      <c r="O316" s="55">
        <f>K316</f>
        <v>0</v>
      </c>
      <c r="P316" s="57">
        <v>0</v>
      </c>
      <c r="Q316" s="57">
        <f t="shared" si="339"/>
        <v>0</v>
      </c>
      <c r="R316" s="58"/>
      <c r="S316" s="55">
        <f>O316</f>
        <v>0</v>
      </c>
      <c r="T316" s="57">
        <v>0</v>
      </c>
      <c r="U316" s="57">
        <f t="shared" si="340"/>
        <v>0</v>
      </c>
      <c r="V316" s="59"/>
      <c r="W316" s="124">
        <f t="shared" si="341"/>
        <v>0</v>
      </c>
      <c r="X316" s="57">
        <f t="shared" si="341"/>
        <v>0</v>
      </c>
      <c r="Y316" s="84">
        <f t="shared" si="341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336"/>
        <v>0</v>
      </c>
      <c r="F317" s="58"/>
      <c r="G317" s="55">
        <v>0</v>
      </c>
      <c r="H317" s="57">
        <v>0</v>
      </c>
      <c r="I317" s="57">
        <f t="shared" si="337"/>
        <v>0</v>
      </c>
      <c r="J317" s="58"/>
      <c r="K317" s="55">
        <f>G317</f>
        <v>0</v>
      </c>
      <c r="L317" s="57">
        <v>0</v>
      </c>
      <c r="M317" s="57">
        <f t="shared" si="338"/>
        <v>0</v>
      </c>
      <c r="N317" s="58"/>
      <c r="O317" s="55">
        <v>0</v>
      </c>
      <c r="P317" s="57">
        <v>0</v>
      </c>
      <c r="Q317" s="57">
        <f t="shared" si="339"/>
        <v>0</v>
      </c>
      <c r="R317" s="58"/>
      <c r="S317" s="55">
        <f>O317</f>
        <v>0</v>
      </c>
      <c r="T317" s="57">
        <v>0</v>
      </c>
      <c r="U317" s="57">
        <f t="shared" si="340"/>
        <v>0</v>
      </c>
      <c r="V317" s="59"/>
      <c r="W317" s="124">
        <f t="shared" si="341"/>
        <v>0</v>
      </c>
      <c r="X317" s="57">
        <f t="shared" si="341"/>
        <v>0</v>
      </c>
      <c r="Y317" s="84">
        <f t="shared" si="341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341"/>
        <v>0</v>
      </c>
      <c r="X318" s="80">
        <f t="shared" si="341"/>
        <v>0</v>
      </c>
      <c r="Y318" s="80">
        <f t="shared" si="341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144</v>
      </c>
      <c r="C320" s="124">
        <f>12*800*0.5*0</f>
        <v>0</v>
      </c>
      <c r="D320" s="56">
        <f>12*800*0.5*0</f>
        <v>0</v>
      </c>
      <c r="E320" s="56">
        <f t="shared" ref="E320:E322" si="342">SUM(C320:D320)</f>
        <v>0</v>
      </c>
      <c r="F320" s="58"/>
      <c r="G320" s="55">
        <f>C320</f>
        <v>0</v>
      </c>
      <c r="H320" s="57">
        <f>D320</f>
        <v>0</v>
      </c>
      <c r="I320" s="57">
        <f t="shared" ref="I320:I322" si="343">SUM(G320:H320)</f>
        <v>0</v>
      </c>
      <c r="J320" s="58"/>
      <c r="K320" s="55">
        <f>G320</f>
        <v>0</v>
      </c>
      <c r="L320" s="57">
        <f>H320</f>
        <v>0</v>
      </c>
      <c r="M320" s="57">
        <f t="shared" ref="M320:M322" si="344">SUM(K320:L320)</f>
        <v>0</v>
      </c>
      <c r="N320" s="58"/>
      <c r="O320" s="55">
        <f>K320</f>
        <v>0</v>
      </c>
      <c r="P320" s="57">
        <f>L320</f>
        <v>0</v>
      </c>
      <c r="Q320" s="57">
        <f t="shared" ref="Q320:Q322" si="345">SUM(O320:P320)</f>
        <v>0</v>
      </c>
      <c r="R320" s="58"/>
      <c r="S320" s="55">
        <f>O320</f>
        <v>0</v>
      </c>
      <c r="T320" s="57">
        <f>P320</f>
        <v>0</v>
      </c>
      <c r="U320" s="57">
        <f t="shared" ref="U320:U322" si="346">SUM(S320:T320)</f>
        <v>0</v>
      </c>
      <c r="V320" s="59"/>
      <c r="W320" s="124">
        <f t="shared" ref="W320:Y323" si="347">C320+G320+K320+O320+S320</f>
        <v>0</v>
      </c>
      <c r="X320" s="57">
        <f t="shared" si="347"/>
        <v>0</v>
      </c>
      <c r="Y320" s="84">
        <f t="shared" si="347"/>
        <v>0</v>
      </c>
    </row>
    <row r="321" spans="1:77" s="61" customFormat="1" x14ac:dyDescent="0.25">
      <c r="A321" s="203"/>
      <c r="B321" s="52" t="s">
        <v>57</v>
      </c>
      <c r="C321" s="124">
        <f>2000*5*0.5*0</f>
        <v>0</v>
      </c>
      <c r="D321" s="56">
        <f>2000*5*0.5*0</f>
        <v>0</v>
      </c>
      <c r="E321" s="56">
        <f t="shared" si="342"/>
        <v>0</v>
      </c>
      <c r="F321" s="58"/>
      <c r="G321" s="55">
        <f>C321</f>
        <v>0</v>
      </c>
      <c r="H321" s="57">
        <f>D321</f>
        <v>0</v>
      </c>
      <c r="I321" s="57">
        <f t="shared" si="343"/>
        <v>0</v>
      </c>
      <c r="J321" s="58"/>
      <c r="K321" s="55">
        <f>G321</f>
        <v>0</v>
      </c>
      <c r="L321" s="57">
        <f>H321</f>
        <v>0</v>
      </c>
      <c r="M321" s="57">
        <f t="shared" si="344"/>
        <v>0</v>
      </c>
      <c r="N321" s="58"/>
      <c r="O321" s="55">
        <f>K321</f>
        <v>0</v>
      </c>
      <c r="P321" s="57">
        <f>L321</f>
        <v>0</v>
      </c>
      <c r="Q321" s="57">
        <f t="shared" si="345"/>
        <v>0</v>
      </c>
      <c r="R321" s="58"/>
      <c r="S321" s="55">
        <f>O321</f>
        <v>0</v>
      </c>
      <c r="T321" s="57">
        <f>P321</f>
        <v>0</v>
      </c>
      <c r="U321" s="57">
        <f t="shared" si="346"/>
        <v>0</v>
      </c>
      <c r="V321" s="59"/>
      <c r="W321" s="124">
        <f t="shared" si="347"/>
        <v>0</v>
      </c>
      <c r="X321" s="57">
        <f t="shared" si="347"/>
        <v>0</v>
      </c>
      <c r="Y321" s="84">
        <f t="shared" si="347"/>
        <v>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si="342"/>
        <v>0</v>
      </c>
      <c r="F322" s="58"/>
      <c r="G322" s="55">
        <v>0</v>
      </c>
      <c r="H322" s="57">
        <v>0</v>
      </c>
      <c r="I322" s="57">
        <f t="shared" si="343"/>
        <v>0</v>
      </c>
      <c r="J322" s="58"/>
      <c r="K322" s="55">
        <v>0</v>
      </c>
      <c r="L322" s="57">
        <v>0</v>
      </c>
      <c r="M322" s="57">
        <f t="shared" si="344"/>
        <v>0</v>
      </c>
      <c r="N322" s="58"/>
      <c r="O322" s="55">
        <v>0</v>
      </c>
      <c r="P322" s="57">
        <v>0</v>
      </c>
      <c r="Q322" s="57">
        <f t="shared" si="345"/>
        <v>0</v>
      </c>
      <c r="R322" s="58"/>
      <c r="S322" s="55">
        <v>0</v>
      </c>
      <c r="T322" s="57">
        <v>0</v>
      </c>
      <c r="U322" s="57">
        <f t="shared" si="346"/>
        <v>0</v>
      </c>
      <c r="V322" s="59"/>
      <c r="W322" s="124">
        <f t="shared" si="347"/>
        <v>0</v>
      </c>
      <c r="X322" s="57">
        <f t="shared" si="347"/>
        <v>0</v>
      </c>
      <c r="Y322" s="84">
        <f t="shared" si="347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0</v>
      </c>
      <c r="D323" s="125">
        <f>SUM(D320:D322)</f>
        <v>0</v>
      </c>
      <c r="E323" s="125">
        <f>SUM(E320:E322)</f>
        <v>0</v>
      </c>
      <c r="F323" s="81"/>
      <c r="G323" s="79">
        <f>SUM(G320:G322)</f>
        <v>0</v>
      </c>
      <c r="H323" s="80">
        <f>SUM(H320:H322)</f>
        <v>0</v>
      </c>
      <c r="I323" s="80">
        <f>SUM(I320:I322)</f>
        <v>0</v>
      </c>
      <c r="J323" s="81"/>
      <c r="K323" s="79">
        <f>SUM(K320:K322)</f>
        <v>0</v>
      </c>
      <c r="L323" s="80">
        <f>SUM(L320:L322)</f>
        <v>0</v>
      </c>
      <c r="M323" s="80">
        <f>SUM(M320:M322)</f>
        <v>0</v>
      </c>
      <c r="N323" s="81"/>
      <c r="O323" s="79">
        <f>SUM(O320:O322)</f>
        <v>0</v>
      </c>
      <c r="P323" s="80">
        <f>SUM(P320:P322)</f>
        <v>0</v>
      </c>
      <c r="Q323" s="80">
        <f>SUM(Q320:Q322)</f>
        <v>0</v>
      </c>
      <c r="R323" s="81"/>
      <c r="S323" s="79">
        <f>SUM(S320:S322)</f>
        <v>0</v>
      </c>
      <c r="T323" s="80">
        <f>SUM(T320:T322)</f>
        <v>0</v>
      </c>
      <c r="U323" s="80">
        <f>SUM(U320:U322)</f>
        <v>0</v>
      </c>
      <c r="V323" s="82"/>
      <c r="W323" s="228">
        <f t="shared" si="347"/>
        <v>0</v>
      </c>
      <c r="X323" s="80">
        <f t="shared" si="347"/>
        <v>0</v>
      </c>
      <c r="Y323" s="80">
        <f t="shared" si="347"/>
        <v>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Y327" si="348">C325+G325+K325+O325+S325</f>
        <v>0</v>
      </c>
      <c r="X325" s="57">
        <f t="shared" si="348"/>
        <v>0</v>
      </c>
      <c r="Y325" s="84">
        <f t="shared" si="348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348"/>
        <v>0</v>
      </c>
      <c r="X326" s="56">
        <f t="shared" si="348"/>
        <v>0</v>
      </c>
      <c r="Y326" s="85">
        <f t="shared" si="348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348"/>
        <v>0</v>
      </c>
      <c r="X327" s="80">
        <f t="shared" si="348"/>
        <v>0</v>
      </c>
      <c r="Y327" s="80">
        <f t="shared" si="348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169" customFormat="1" x14ac:dyDescent="0.25">
      <c r="B329" s="169" t="s">
        <v>116</v>
      </c>
      <c r="C329" s="172">
        <v>0</v>
      </c>
      <c r="D329" s="174">
        <v>0</v>
      </c>
      <c r="E329" s="173">
        <f t="shared" ref="E329" si="349">SUM(C329:D329)</f>
        <v>0</v>
      </c>
      <c r="F329" s="175"/>
      <c r="G329" s="172">
        <f>C329</f>
        <v>0</v>
      </c>
      <c r="H329" s="174">
        <v>0</v>
      </c>
      <c r="I329" s="173">
        <f t="shared" ref="I329" si="350">SUM(G329:H329)</f>
        <v>0</v>
      </c>
      <c r="J329" s="175"/>
      <c r="K329" s="172">
        <f>G329</f>
        <v>0</v>
      </c>
      <c r="L329" s="174">
        <v>0</v>
      </c>
      <c r="M329" s="173">
        <f t="shared" ref="M329" si="351">SUM(K329:L329)</f>
        <v>0</v>
      </c>
      <c r="N329" s="175"/>
      <c r="O329" s="172">
        <f>K329</f>
        <v>0</v>
      </c>
      <c r="P329" s="174">
        <v>0</v>
      </c>
      <c r="Q329" s="174">
        <f t="shared" ref="Q329" si="352">SUM(O329:P329)</f>
        <v>0</v>
      </c>
      <c r="R329" s="175"/>
      <c r="S329" s="172">
        <f>O329</f>
        <v>0</v>
      </c>
      <c r="T329" s="174">
        <v>0</v>
      </c>
      <c r="U329" s="173">
        <f t="shared" ref="U329" si="353">SUM(S329:T329)</f>
        <v>0</v>
      </c>
      <c r="V329" s="176"/>
      <c r="W329" s="227">
        <f t="shared" ref="W329:Y333" si="354">C329+G329+K329+O329+S329</f>
        <v>0</v>
      </c>
      <c r="X329" s="173">
        <f t="shared" si="354"/>
        <v>0</v>
      </c>
      <c r="Y329" s="186">
        <f t="shared" si="354"/>
        <v>0</v>
      </c>
    </row>
    <row r="330" spans="1:77" s="61" customFormat="1" x14ac:dyDescent="0.25">
      <c r="A330" s="203"/>
      <c r="B330" s="54" t="s">
        <v>57</v>
      </c>
      <c r="C330" s="124">
        <v>0</v>
      </c>
      <c r="D330" s="56">
        <v>0</v>
      </c>
      <c r="E330" s="56">
        <f t="shared" ref="E330:E332" si="355">SUM(C330:D330)</f>
        <v>0</v>
      </c>
      <c r="F330" s="58"/>
      <c r="G330" s="55">
        <v>0</v>
      </c>
      <c r="H330" s="57">
        <v>0</v>
      </c>
      <c r="I330" s="57">
        <f t="shared" ref="I330:I332" si="356">SUM(G330:H330)</f>
        <v>0</v>
      </c>
      <c r="J330" s="58"/>
      <c r="K330" s="55">
        <v>0</v>
      </c>
      <c r="L330" s="56">
        <v>0</v>
      </c>
      <c r="M330" s="57">
        <f t="shared" ref="M330:M332" si="357">SUM(K330:L330)</f>
        <v>0</v>
      </c>
      <c r="N330" s="58"/>
      <c r="O330" s="55">
        <v>0</v>
      </c>
      <c r="P330" s="57">
        <v>0</v>
      </c>
      <c r="Q330" s="57">
        <f t="shared" ref="Q330:Q332" si="358">SUM(O330:P330)</f>
        <v>0</v>
      </c>
      <c r="R330" s="58"/>
      <c r="S330" s="55">
        <v>0</v>
      </c>
      <c r="T330" s="56">
        <v>0</v>
      </c>
      <c r="U330" s="57">
        <f t="shared" ref="U330:U332" si="359">SUM(S330:T330)</f>
        <v>0</v>
      </c>
      <c r="V330" s="59"/>
      <c r="W330" s="124">
        <f t="shared" si="354"/>
        <v>0</v>
      </c>
      <c r="X330" s="57">
        <f t="shared" si="354"/>
        <v>0</v>
      </c>
      <c r="Y330" s="84">
        <f t="shared" si="354"/>
        <v>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si="355"/>
        <v>0</v>
      </c>
      <c r="F331" s="58"/>
      <c r="G331" s="55">
        <v>0</v>
      </c>
      <c r="H331" s="57"/>
      <c r="I331" s="57">
        <f t="shared" si="356"/>
        <v>0</v>
      </c>
      <c r="J331" s="58"/>
      <c r="K331" s="55">
        <v>0</v>
      </c>
      <c r="L331" s="56">
        <v>0</v>
      </c>
      <c r="M331" s="57">
        <f t="shared" si="357"/>
        <v>0</v>
      </c>
      <c r="N331" s="58"/>
      <c r="O331" s="55">
        <v>0</v>
      </c>
      <c r="P331" s="56">
        <v>0</v>
      </c>
      <c r="Q331" s="56">
        <f t="shared" si="358"/>
        <v>0</v>
      </c>
      <c r="R331" s="58"/>
      <c r="S331" s="55">
        <v>0</v>
      </c>
      <c r="T331" s="56">
        <v>0</v>
      </c>
      <c r="U331" s="57">
        <f t="shared" si="359"/>
        <v>0</v>
      </c>
      <c r="V331" s="59"/>
      <c r="W331" s="124">
        <f t="shared" si="354"/>
        <v>0</v>
      </c>
      <c r="X331" s="57">
        <f t="shared" si="354"/>
        <v>0</v>
      </c>
      <c r="Y331" s="84">
        <f t="shared" si="354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355"/>
        <v>0</v>
      </c>
      <c r="F332" s="58"/>
      <c r="G332" s="55">
        <v>0</v>
      </c>
      <c r="H332" s="57">
        <v>0</v>
      </c>
      <c r="I332" s="57">
        <f t="shared" si="356"/>
        <v>0</v>
      </c>
      <c r="J332" s="58"/>
      <c r="K332" s="55">
        <v>0</v>
      </c>
      <c r="L332" s="57">
        <v>0</v>
      </c>
      <c r="M332" s="57">
        <f t="shared" si="357"/>
        <v>0</v>
      </c>
      <c r="N332" s="58"/>
      <c r="O332" s="55">
        <v>0</v>
      </c>
      <c r="P332" s="57">
        <v>0</v>
      </c>
      <c r="Q332" s="57">
        <f t="shared" si="358"/>
        <v>0</v>
      </c>
      <c r="R332" s="58"/>
      <c r="S332" s="55">
        <v>0</v>
      </c>
      <c r="T332" s="57">
        <v>0</v>
      </c>
      <c r="U332" s="57">
        <f t="shared" si="359"/>
        <v>0</v>
      </c>
      <c r="V332" s="59"/>
      <c r="W332" s="124">
        <f t="shared" si="354"/>
        <v>0</v>
      </c>
      <c r="X332" s="57">
        <f t="shared" si="354"/>
        <v>0</v>
      </c>
      <c r="Y332" s="84">
        <f t="shared" si="354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0</v>
      </c>
      <c r="D333" s="153">
        <f>SUM(D329:D332)</f>
        <v>0</v>
      </c>
      <c r="E333" s="153">
        <f>SUM(E329:E332)</f>
        <v>0</v>
      </c>
      <c r="F333" s="154"/>
      <c r="G333" s="152">
        <f>SUM(G329:G332)</f>
        <v>0</v>
      </c>
      <c r="H333" s="155">
        <f>SUM(H329:H332)</f>
        <v>0</v>
      </c>
      <c r="I333" s="155">
        <f>SUM(I329:I332)</f>
        <v>0</v>
      </c>
      <c r="J333" s="154"/>
      <c r="K333" s="152">
        <f>SUM(K329:K332)</f>
        <v>0</v>
      </c>
      <c r="L333" s="155">
        <f>SUM(L329:L332)</f>
        <v>0</v>
      </c>
      <c r="M333" s="155">
        <f>SUM(M329:M332)</f>
        <v>0</v>
      </c>
      <c r="N333" s="154"/>
      <c r="O333" s="152">
        <f>SUM(O329:O332)</f>
        <v>0</v>
      </c>
      <c r="P333" s="155">
        <f>SUM(P329:P332)</f>
        <v>0</v>
      </c>
      <c r="Q333" s="155">
        <f>SUM(Q329:Q332)</f>
        <v>0</v>
      </c>
      <c r="R333" s="154"/>
      <c r="S333" s="152">
        <f>SUM(S329:S332)</f>
        <v>0</v>
      </c>
      <c r="T333" s="155">
        <f>SUM(T329:T332)</f>
        <v>0</v>
      </c>
      <c r="U333" s="155">
        <f>SUM(U329:U332)</f>
        <v>0</v>
      </c>
      <c r="V333" s="82"/>
      <c r="W333" s="228">
        <f t="shared" si="354"/>
        <v>0</v>
      </c>
      <c r="X333" s="80">
        <f t="shared" si="354"/>
        <v>0</v>
      </c>
      <c r="Y333" s="80">
        <f t="shared" si="354"/>
        <v>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360">SUM(C313+C318+C323+C327+C333)</f>
        <v>0</v>
      </c>
      <c r="D334" s="251">
        <f t="shared" si="360"/>
        <v>0</v>
      </c>
      <c r="E334" s="251">
        <f t="shared" si="360"/>
        <v>0</v>
      </c>
      <c r="F334" s="251">
        <f t="shared" si="360"/>
        <v>0</v>
      </c>
      <c r="G334" s="251">
        <f t="shared" si="360"/>
        <v>0</v>
      </c>
      <c r="H334" s="251">
        <f t="shared" si="360"/>
        <v>0</v>
      </c>
      <c r="I334" s="251">
        <f t="shared" si="360"/>
        <v>0</v>
      </c>
      <c r="J334" s="251">
        <f t="shared" si="360"/>
        <v>0</v>
      </c>
      <c r="K334" s="251">
        <f t="shared" si="360"/>
        <v>0</v>
      </c>
      <c r="L334" s="251">
        <f t="shared" si="360"/>
        <v>0</v>
      </c>
      <c r="M334" s="251">
        <f t="shared" si="360"/>
        <v>0</v>
      </c>
      <c r="N334" s="251">
        <f t="shared" si="360"/>
        <v>0</v>
      </c>
      <c r="O334" s="251">
        <f t="shared" si="360"/>
        <v>0</v>
      </c>
      <c r="P334" s="251">
        <f t="shared" si="360"/>
        <v>0</v>
      </c>
      <c r="Q334" s="251">
        <f t="shared" si="360"/>
        <v>0</v>
      </c>
      <c r="R334" s="251">
        <f t="shared" si="360"/>
        <v>0</v>
      </c>
      <c r="S334" s="251">
        <f t="shared" si="360"/>
        <v>0</v>
      </c>
      <c r="T334" s="251">
        <f t="shared" si="360"/>
        <v>0</v>
      </c>
      <c r="U334" s="251">
        <f t="shared" si="360"/>
        <v>0</v>
      </c>
      <c r="V334" s="251">
        <f t="shared" si="360"/>
        <v>0</v>
      </c>
      <c r="W334" s="251">
        <f t="shared" si="360"/>
        <v>0</v>
      </c>
      <c r="X334" s="251">
        <f t="shared" si="360"/>
        <v>0</v>
      </c>
      <c r="Y334" s="251">
        <f t="shared" si="360"/>
        <v>0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((C307)*0.56)</f>
        <v>0</v>
      </c>
      <c r="D335" s="251">
        <v>0</v>
      </c>
      <c r="E335" s="251">
        <f>C335</f>
        <v>0</v>
      </c>
      <c r="F335" s="251">
        <f>F307*0.47</f>
        <v>0</v>
      </c>
      <c r="G335" s="251">
        <f>((G307)*0.56)</f>
        <v>0</v>
      </c>
      <c r="H335" s="251">
        <v>0</v>
      </c>
      <c r="I335" s="251">
        <f>G335</f>
        <v>0</v>
      </c>
      <c r="J335" s="251">
        <f>J307*0.47</f>
        <v>0</v>
      </c>
      <c r="K335" s="251">
        <f>((K307)*0.56)</f>
        <v>0</v>
      </c>
      <c r="L335" s="251">
        <v>0</v>
      </c>
      <c r="M335" s="251">
        <f>K335</f>
        <v>0</v>
      </c>
      <c r="N335" s="251">
        <f>N307*0.47</f>
        <v>0</v>
      </c>
      <c r="O335" s="251">
        <f>((O307)*0.56)</f>
        <v>0</v>
      </c>
      <c r="P335" s="251">
        <v>0</v>
      </c>
      <c r="Q335" s="251">
        <f>O335</f>
        <v>0</v>
      </c>
      <c r="R335" s="251">
        <f>R307*0.47</f>
        <v>0</v>
      </c>
      <c r="S335" s="251">
        <f>((S307)*0.56)</f>
        <v>0</v>
      </c>
      <c r="T335" s="251">
        <v>0</v>
      </c>
      <c r="U335" s="251">
        <f>S335</f>
        <v>0</v>
      </c>
      <c r="V335" s="251">
        <f>V307*0.47</f>
        <v>0</v>
      </c>
      <c r="W335" s="251">
        <f>((W307)*0.56)</f>
        <v>0</v>
      </c>
      <c r="X335" s="251">
        <v>0</v>
      </c>
      <c r="Y335" s="251">
        <f>W335</f>
        <v>0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0</v>
      </c>
      <c r="D336" s="251">
        <f t="shared" ref="D336:Y336" si="361">SUM(D334:D335)</f>
        <v>0</v>
      </c>
      <c r="E336" s="251">
        <f t="shared" si="361"/>
        <v>0</v>
      </c>
      <c r="F336" s="251">
        <f t="shared" si="361"/>
        <v>0</v>
      </c>
      <c r="G336" s="251">
        <f t="shared" si="361"/>
        <v>0</v>
      </c>
      <c r="H336" s="251">
        <f t="shared" si="361"/>
        <v>0</v>
      </c>
      <c r="I336" s="251">
        <f t="shared" si="361"/>
        <v>0</v>
      </c>
      <c r="J336" s="251">
        <f t="shared" si="361"/>
        <v>0</v>
      </c>
      <c r="K336" s="251">
        <f t="shared" si="361"/>
        <v>0</v>
      </c>
      <c r="L336" s="251">
        <f t="shared" si="361"/>
        <v>0</v>
      </c>
      <c r="M336" s="251">
        <f t="shared" si="361"/>
        <v>0</v>
      </c>
      <c r="N336" s="251">
        <f t="shared" si="361"/>
        <v>0</v>
      </c>
      <c r="O336" s="251">
        <f t="shared" si="361"/>
        <v>0</v>
      </c>
      <c r="P336" s="251">
        <f t="shared" si="361"/>
        <v>0</v>
      </c>
      <c r="Q336" s="251">
        <f t="shared" si="361"/>
        <v>0</v>
      </c>
      <c r="R336" s="251">
        <f t="shared" si="361"/>
        <v>0</v>
      </c>
      <c r="S336" s="251">
        <f t="shared" si="361"/>
        <v>0</v>
      </c>
      <c r="T336" s="251">
        <f t="shared" si="361"/>
        <v>0</v>
      </c>
      <c r="U336" s="251">
        <f t="shared" si="361"/>
        <v>0</v>
      </c>
      <c r="V336" s="251">
        <f t="shared" si="361"/>
        <v>0</v>
      </c>
      <c r="W336" s="251">
        <f t="shared" si="361"/>
        <v>0</v>
      </c>
      <c r="X336" s="251">
        <f t="shared" si="361"/>
        <v>0</v>
      </c>
      <c r="Y336" s="251">
        <f t="shared" si="361"/>
        <v>0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127748.9296</v>
      </c>
      <c r="D339" s="121">
        <f t="shared" ref="D339:X339" si="362">D248+D176+D88+D292+D336</f>
        <v>21112.92352</v>
      </c>
      <c r="E339" s="121">
        <f t="shared" si="362"/>
        <v>148861.85311999999</v>
      </c>
      <c r="F339" s="121">
        <f t="shared" si="362"/>
        <v>0</v>
      </c>
      <c r="G339" s="121">
        <f t="shared" si="362"/>
        <v>283330.53632893995</v>
      </c>
      <c r="H339" s="121">
        <f t="shared" si="362"/>
        <v>41960.271451968001</v>
      </c>
      <c r="I339" s="121">
        <f t="shared" si="362"/>
        <v>325290.80778090796</v>
      </c>
      <c r="J339" s="121">
        <f t="shared" si="362"/>
        <v>0</v>
      </c>
      <c r="K339" s="121">
        <f t="shared" si="362"/>
        <v>342528.36208693811</v>
      </c>
      <c r="L339" s="121">
        <f t="shared" si="362"/>
        <v>42823.161099680852</v>
      </c>
      <c r="M339" s="121">
        <f t="shared" si="362"/>
        <v>385351.52318661899</v>
      </c>
      <c r="N339" s="121">
        <f t="shared" si="362"/>
        <v>0</v>
      </c>
      <c r="O339" s="121">
        <f t="shared" si="362"/>
        <v>344243.58353846555</v>
      </c>
      <c r="P339" s="121">
        <f t="shared" si="362"/>
        <v>43724.404367428055</v>
      </c>
      <c r="Q339" s="121">
        <f t="shared" si="362"/>
        <v>387967.98790589359</v>
      </c>
      <c r="R339" s="121">
        <f t="shared" si="362"/>
        <v>0</v>
      </c>
      <c r="S339" s="121">
        <f t="shared" si="362"/>
        <v>138209.20831228318</v>
      </c>
      <c r="T339" s="121">
        <f t="shared" si="362"/>
        <v>24644.911099884364</v>
      </c>
      <c r="U339" s="121">
        <f t="shared" si="362"/>
        <v>162854.11941216755</v>
      </c>
      <c r="V339" s="121">
        <f t="shared" si="362"/>
        <v>0</v>
      </c>
      <c r="W339" s="121">
        <f t="shared" si="362"/>
        <v>1236060.2198666267</v>
      </c>
      <c r="X339" s="121">
        <f t="shared" si="362"/>
        <v>174265.67153896129</v>
      </c>
      <c r="Y339" s="121">
        <f>Y248+Y176+Y88+Y292+Y336</f>
        <v>1410325.891405588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4" customFormat="1" x14ac:dyDescent="0.25">
      <c r="V340" s="45"/>
      <c r="W340" s="47"/>
      <c r="X340" s="47"/>
      <c r="Y340" s="46"/>
    </row>
    <row r="341" spans="1:77" s="4" customFormat="1" x14ac:dyDescent="0.25">
      <c r="V341" s="45"/>
      <c r="W341" s="47"/>
      <c r="X341" s="47"/>
      <c r="Y341" s="46"/>
    </row>
    <row r="342" spans="1:77" s="4" customFormat="1" x14ac:dyDescent="0.25">
      <c r="V342" s="45"/>
      <c r="W342" s="47"/>
      <c r="X342" s="47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12"/>
      <c r="X348" s="12"/>
      <c r="Y348" s="46"/>
    </row>
    <row r="349" spans="1:77" s="4" customFormat="1" x14ac:dyDescent="0.25">
      <c r="V349" s="45"/>
      <c r="W349" s="12"/>
      <c r="X349" s="12"/>
      <c r="Y349" s="46"/>
    </row>
    <row r="350" spans="1:77" s="4" customFormat="1" x14ac:dyDescent="0.25">
      <c r="V350" s="45"/>
      <c r="W350" s="12"/>
      <c r="X350" s="12"/>
      <c r="Y350" s="46"/>
    </row>
    <row r="351" spans="1:77" s="4" customFormat="1" x14ac:dyDescent="0.25">
      <c r="V351" s="45"/>
      <c r="W351" s="12"/>
      <c r="X351" s="12"/>
      <c r="Y351" s="46"/>
    </row>
    <row r="352" spans="1:77" s="4" customFormat="1" x14ac:dyDescent="0.25">
      <c r="V352" s="45"/>
      <c r="W352" s="12"/>
      <c r="X352" s="12"/>
      <c r="Y352" s="46"/>
    </row>
    <row r="353" spans="22:25" s="4" customFormat="1" x14ac:dyDescent="0.25">
      <c r="V353" s="45"/>
      <c r="W353" s="12"/>
      <c r="X353" s="12"/>
      <c r="Y353" s="46"/>
    </row>
    <row r="354" spans="22:25" s="4" customFormat="1" x14ac:dyDescent="0.25">
      <c r="V354" s="45"/>
      <c r="W354" s="12"/>
      <c r="X354" s="12"/>
      <c r="Y354" s="46"/>
    </row>
    <row r="355" spans="22:25" s="4" customFormat="1" x14ac:dyDescent="0.25">
      <c r="V355" s="45"/>
      <c r="W355" s="12"/>
      <c r="X355" s="12"/>
      <c r="Y355" s="46"/>
    </row>
    <row r="356" spans="22:25" s="4" customFormat="1" x14ac:dyDescent="0.25">
      <c r="V356" s="45"/>
      <c r="W356" s="12"/>
      <c r="X356" s="12"/>
      <c r="Y356" s="46"/>
    </row>
    <row r="357" spans="22:25" s="4" customFormat="1" x14ac:dyDescent="0.25">
      <c r="V357" s="45"/>
      <c r="W357" s="12"/>
      <c r="X357" s="12"/>
      <c r="Y357" s="46"/>
    </row>
    <row r="358" spans="22:25" s="4" customFormat="1" x14ac:dyDescent="0.25">
      <c r="V358" s="45"/>
      <c r="W358" s="12"/>
      <c r="X358" s="12"/>
      <c r="Y358" s="46"/>
    </row>
    <row r="359" spans="22:25" s="4" customFormat="1" x14ac:dyDescent="0.25">
      <c r="V359" s="45"/>
      <c r="W359" s="12"/>
      <c r="X359" s="12"/>
      <c r="Y359" s="46"/>
    </row>
    <row r="360" spans="22:25" s="4" customFormat="1" x14ac:dyDescent="0.25">
      <c r="V360" s="45"/>
      <c r="W360" s="12"/>
      <c r="X360" s="12"/>
      <c r="Y360" s="46"/>
    </row>
    <row r="361" spans="22:25" s="4" customFormat="1" x14ac:dyDescent="0.25">
      <c r="V361" s="45"/>
      <c r="W361" s="12"/>
      <c r="X361" s="12"/>
      <c r="Y361" s="46"/>
    </row>
    <row r="362" spans="22:25" s="4" customFormat="1" x14ac:dyDescent="0.25">
      <c r="V362" s="45"/>
      <c r="W362" s="12"/>
      <c r="X362" s="12"/>
      <c r="Y362" s="46"/>
    </row>
    <row r="363" spans="22:25" s="4" customFormat="1" x14ac:dyDescent="0.25">
      <c r="V363" s="45"/>
      <c r="W363" s="12"/>
      <c r="X363" s="12"/>
      <c r="Y363" s="46"/>
    </row>
    <row r="364" spans="22:25" s="4" customFormat="1" x14ac:dyDescent="0.25">
      <c r="V364" s="45"/>
      <c r="W364" s="12"/>
      <c r="X364" s="12"/>
      <c r="Y364" s="46"/>
    </row>
    <row r="365" spans="22:25" s="4" customFormat="1" x14ac:dyDescent="0.25">
      <c r="V365" s="45"/>
      <c r="W365" s="12"/>
      <c r="X365" s="12"/>
      <c r="Y365" s="46"/>
    </row>
    <row r="366" spans="22:25" s="4" customFormat="1" x14ac:dyDescent="0.25">
      <c r="V366" s="45"/>
      <c r="W366" s="12"/>
      <c r="X366" s="12"/>
      <c r="Y366" s="46"/>
    </row>
    <row r="367" spans="22:25" s="4" customFormat="1" x14ac:dyDescent="0.25">
      <c r="V367" s="45"/>
      <c r="W367" s="12"/>
      <c r="X367" s="12"/>
      <c r="Y367" s="46"/>
    </row>
    <row r="368" spans="22:25" s="4" customFormat="1" x14ac:dyDescent="0.25">
      <c r="V368" s="45"/>
      <c r="W368" s="12"/>
      <c r="X368" s="12"/>
      <c r="Y368" s="46"/>
    </row>
    <row r="369" spans="22:25" s="4" customFormat="1" x14ac:dyDescent="0.25">
      <c r="V369" s="45"/>
      <c r="W369" s="12"/>
      <c r="X369" s="12"/>
      <c r="Y369" s="46"/>
    </row>
    <row r="370" spans="22:25" s="4" customFormat="1" x14ac:dyDescent="0.25">
      <c r="V370" s="45"/>
      <c r="W370" s="12"/>
      <c r="X370" s="12"/>
      <c r="Y370" s="46"/>
    </row>
    <row r="371" spans="22:25" s="4" customFormat="1" x14ac:dyDescent="0.25">
      <c r="V371" s="45"/>
      <c r="W371" s="12"/>
      <c r="X371" s="12"/>
      <c r="Y371" s="46"/>
    </row>
    <row r="372" spans="22:25" s="4" customFormat="1" x14ac:dyDescent="0.25">
      <c r="V372" s="45"/>
      <c r="W372" s="12"/>
      <c r="X372" s="12"/>
      <c r="Y372" s="46"/>
    </row>
    <row r="373" spans="22:25" s="4" customFormat="1" x14ac:dyDescent="0.25">
      <c r="V373" s="45"/>
      <c r="W373" s="12"/>
      <c r="X373" s="12"/>
      <c r="Y373" s="46"/>
    </row>
    <row r="374" spans="22:25" s="4" customFormat="1" x14ac:dyDescent="0.25">
      <c r="V374" s="45"/>
      <c r="W374" s="12"/>
      <c r="X374" s="12"/>
      <c r="Y374" s="46"/>
    </row>
    <row r="375" spans="22:25" s="4" customFormat="1" x14ac:dyDescent="0.25">
      <c r="V375" s="45"/>
      <c r="W375" s="12"/>
      <c r="X375" s="12"/>
      <c r="Y375" s="46"/>
    </row>
    <row r="376" spans="22:25" s="4" customFormat="1" x14ac:dyDescent="0.25">
      <c r="V376" s="45"/>
      <c r="W376" s="12"/>
      <c r="X376" s="12"/>
      <c r="Y376" s="46"/>
    </row>
    <row r="377" spans="22:25" s="4" customFormat="1" x14ac:dyDescent="0.25">
      <c r="V377" s="45"/>
      <c r="W377" s="12"/>
      <c r="X377" s="12"/>
      <c r="Y377" s="46"/>
    </row>
    <row r="378" spans="22:25" s="4" customFormat="1" x14ac:dyDescent="0.25">
      <c r="V378" s="45"/>
      <c r="W378" s="12"/>
      <c r="X378" s="12"/>
      <c r="Y378" s="46"/>
    </row>
    <row r="379" spans="22:25" s="4" customFormat="1" x14ac:dyDescent="0.25">
      <c r="V379" s="45"/>
      <c r="W379" s="12"/>
      <c r="X379" s="12"/>
      <c r="Y379" s="46"/>
    </row>
    <row r="380" spans="22:25" s="4" customFormat="1" x14ac:dyDescent="0.25">
      <c r="V380" s="45"/>
      <c r="W380" s="12"/>
      <c r="X380" s="12"/>
      <c r="Y380" s="46"/>
    </row>
    <row r="381" spans="22:25" s="4" customFormat="1" x14ac:dyDescent="0.25">
      <c r="V381" s="45"/>
      <c r="W381" s="12"/>
      <c r="X381" s="12"/>
      <c r="Y381" s="46"/>
    </row>
    <row r="382" spans="22:25" s="4" customFormat="1" x14ac:dyDescent="0.25">
      <c r="V382" s="45"/>
      <c r="W382" s="12"/>
      <c r="X382" s="12"/>
      <c r="Y382" s="46"/>
    </row>
    <row r="383" spans="22:25" s="4" customFormat="1" x14ac:dyDescent="0.25">
      <c r="V383" s="45"/>
      <c r="W383" s="12"/>
      <c r="X383" s="12"/>
      <c r="Y383" s="46"/>
    </row>
    <row r="384" spans="22:25" s="4" customFormat="1" x14ac:dyDescent="0.25">
      <c r="V384" s="45"/>
      <c r="W384" s="12"/>
      <c r="X384" s="12"/>
      <c r="Y384" s="46"/>
    </row>
    <row r="385" spans="22:25" s="4" customFormat="1" x14ac:dyDescent="0.25">
      <c r="V385" s="45"/>
      <c r="W385" s="12"/>
      <c r="X385" s="12"/>
      <c r="Y385" s="46"/>
    </row>
    <row r="386" spans="22:25" s="4" customFormat="1" x14ac:dyDescent="0.25">
      <c r="V386" s="45"/>
      <c r="W386" s="12"/>
      <c r="X386" s="12"/>
      <c r="Y386" s="46"/>
    </row>
    <row r="387" spans="22:25" s="4" customFormat="1" x14ac:dyDescent="0.25">
      <c r="V387" s="45"/>
      <c r="W387" s="12"/>
      <c r="X387" s="12"/>
      <c r="Y387" s="46"/>
    </row>
    <row r="388" spans="22:25" s="4" customFormat="1" x14ac:dyDescent="0.25">
      <c r="V388" s="45"/>
      <c r="W388" s="12"/>
      <c r="X388" s="12"/>
      <c r="Y388" s="46"/>
    </row>
    <row r="389" spans="22:25" s="4" customFormat="1" x14ac:dyDescent="0.25">
      <c r="V389" s="45"/>
      <c r="W389" s="12"/>
      <c r="X389" s="12"/>
      <c r="Y389" s="46"/>
    </row>
    <row r="390" spans="22:25" s="4" customFormat="1" x14ac:dyDescent="0.25">
      <c r="V390" s="45"/>
      <c r="W390" s="12"/>
      <c r="X390" s="12"/>
      <c r="Y390" s="46"/>
    </row>
    <row r="391" spans="22:25" s="4" customFormat="1" x14ac:dyDescent="0.25">
      <c r="V391" s="45"/>
      <c r="W391" s="12"/>
      <c r="X391" s="12"/>
      <c r="Y391" s="46"/>
    </row>
    <row r="392" spans="22:25" s="4" customFormat="1" x14ac:dyDescent="0.25">
      <c r="V392" s="45"/>
      <c r="W392" s="12"/>
      <c r="X392" s="12"/>
      <c r="Y392" s="46"/>
    </row>
    <row r="393" spans="22:25" s="4" customFormat="1" x14ac:dyDescent="0.25">
      <c r="V393" s="45"/>
      <c r="W393" s="12"/>
      <c r="X393" s="12"/>
      <c r="Y393" s="46"/>
    </row>
    <row r="394" spans="22:25" s="4" customFormat="1" x14ac:dyDescent="0.25">
      <c r="V394" s="45"/>
      <c r="W394" s="12"/>
      <c r="X394" s="12"/>
      <c r="Y394" s="46"/>
    </row>
    <row r="395" spans="22:25" s="4" customFormat="1" x14ac:dyDescent="0.25">
      <c r="V395" s="45"/>
      <c r="W395" s="12"/>
      <c r="X395" s="12"/>
      <c r="Y395" s="46"/>
    </row>
    <row r="396" spans="22:25" s="4" customFormat="1" x14ac:dyDescent="0.25">
      <c r="V396" s="45"/>
      <c r="W396" s="12"/>
      <c r="X396" s="12"/>
      <c r="Y396" s="46"/>
    </row>
    <row r="397" spans="22:25" s="4" customFormat="1" x14ac:dyDescent="0.25">
      <c r="V397" s="45"/>
      <c r="W397" s="12"/>
      <c r="X397" s="12"/>
      <c r="Y397" s="46"/>
    </row>
    <row r="398" spans="22:25" s="4" customFormat="1" x14ac:dyDescent="0.25">
      <c r="V398" s="45"/>
      <c r="W398" s="12"/>
      <c r="X398" s="12"/>
      <c r="Y398" s="46"/>
    </row>
    <row r="399" spans="22:25" s="4" customFormat="1" x14ac:dyDescent="0.25">
      <c r="V399" s="45"/>
      <c r="W399" s="12"/>
      <c r="X399" s="12"/>
      <c r="Y399" s="46"/>
    </row>
    <row r="400" spans="22:25" s="4" customFormat="1" x14ac:dyDescent="0.25">
      <c r="V400" s="45"/>
      <c r="W400" s="12"/>
      <c r="X400" s="12"/>
      <c r="Y400" s="46"/>
    </row>
    <row r="401" spans="22:25" s="4" customFormat="1" x14ac:dyDescent="0.25">
      <c r="V401" s="45"/>
      <c r="W401" s="12"/>
      <c r="X401" s="12"/>
      <c r="Y401" s="46"/>
    </row>
    <row r="402" spans="22:25" s="4" customFormat="1" x14ac:dyDescent="0.25">
      <c r="V402" s="45"/>
      <c r="W402" s="12"/>
      <c r="X402" s="12"/>
      <c r="Y402" s="46"/>
    </row>
    <row r="403" spans="22:25" s="4" customFormat="1" x14ac:dyDescent="0.25">
      <c r="V403" s="45"/>
      <c r="W403" s="12"/>
      <c r="X403" s="12"/>
      <c r="Y403" s="46"/>
    </row>
    <row r="404" spans="22:25" s="4" customFormat="1" x14ac:dyDescent="0.25">
      <c r="V404" s="45"/>
      <c r="W404" s="12"/>
      <c r="X404" s="12"/>
      <c r="Y404" s="46"/>
    </row>
    <row r="405" spans="22:25" s="4" customFormat="1" x14ac:dyDescent="0.25">
      <c r="V405" s="45"/>
      <c r="W405" s="12"/>
      <c r="X405" s="12"/>
      <c r="Y405" s="46"/>
    </row>
    <row r="406" spans="22:25" s="4" customFormat="1" x14ac:dyDescent="0.25">
      <c r="V406" s="45"/>
      <c r="W406" s="12"/>
      <c r="X406" s="12"/>
      <c r="Y406" s="46"/>
    </row>
    <row r="407" spans="22:25" s="4" customFormat="1" x14ac:dyDescent="0.25">
      <c r="V407" s="45"/>
      <c r="W407" s="12"/>
      <c r="X407" s="12"/>
      <c r="Y407" s="46"/>
    </row>
    <row r="408" spans="22:25" s="4" customFormat="1" x14ac:dyDescent="0.25">
      <c r="V408" s="45"/>
      <c r="W408" s="12"/>
      <c r="X408" s="12"/>
      <c r="Y408" s="46"/>
    </row>
    <row r="409" spans="22:25" s="4" customFormat="1" x14ac:dyDescent="0.25">
      <c r="V409" s="45"/>
      <c r="W409" s="12"/>
      <c r="X409" s="12"/>
      <c r="Y409" s="46"/>
    </row>
    <row r="410" spans="22:25" s="4" customFormat="1" x14ac:dyDescent="0.25">
      <c r="V410" s="45"/>
      <c r="W410" s="12"/>
      <c r="X410" s="12"/>
      <c r="Y410" s="46"/>
    </row>
    <row r="411" spans="22:25" s="4" customFormat="1" x14ac:dyDescent="0.25">
      <c r="V411" s="45"/>
      <c r="W411" s="12"/>
      <c r="X411" s="12"/>
      <c r="Y411" s="46"/>
    </row>
    <row r="412" spans="22:25" s="4" customFormat="1" x14ac:dyDescent="0.25">
      <c r="V412" s="45"/>
      <c r="W412" s="12"/>
      <c r="X412" s="12"/>
      <c r="Y412" s="46"/>
    </row>
    <row r="413" spans="22:25" s="4" customFormat="1" x14ac:dyDescent="0.25">
      <c r="V413" s="45"/>
      <c r="W413" s="12"/>
      <c r="X413" s="12"/>
      <c r="Y413" s="46"/>
    </row>
    <row r="414" spans="22:25" s="4" customFormat="1" x14ac:dyDescent="0.25">
      <c r="V414" s="45"/>
      <c r="W414" s="12"/>
      <c r="X414" s="12"/>
      <c r="Y414" s="46"/>
    </row>
    <row r="415" spans="22:25" s="4" customFormat="1" x14ac:dyDescent="0.25">
      <c r="V415" s="45"/>
      <c r="W415" s="12"/>
      <c r="X415" s="12"/>
      <c r="Y415" s="46"/>
    </row>
    <row r="416" spans="22:25" s="4" customFormat="1" x14ac:dyDescent="0.25">
      <c r="V416" s="45"/>
      <c r="W416" s="12"/>
      <c r="X416" s="12"/>
      <c r="Y416" s="46"/>
    </row>
    <row r="417" spans="22:25" s="4" customFormat="1" x14ac:dyDescent="0.25">
      <c r="V417" s="45"/>
      <c r="W417" s="12"/>
      <c r="X417" s="12"/>
      <c r="Y417" s="46"/>
    </row>
    <row r="418" spans="22:25" s="4" customFormat="1" x14ac:dyDescent="0.25">
      <c r="V418" s="45"/>
      <c r="W418" s="12"/>
      <c r="X418" s="12"/>
      <c r="Y418" s="46"/>
    </row>
    <row r="419" spans="22:25" s="4" customFormat="1" x14ac:dyDescent="0.25">
      <c r="V419" s="45"/>
      <c r="W419" s="12"/>
      <c r="X419" s="12"/>
      <c r="Y419" s="46"/>
    </row>
    <row r="420" spans="22:25" s="4" customFormat="1" x14ac:dyDescent="0.25">
      <c r="V420" s="45"/>
      <c r="W420" s="12"/>
      <c r="X420" s="12"/>
      <c r="Y420" s="46"/>
    </row>
    <row r="421" spans="22:25" s="4" customFormat="1" x14ac:dyDescent="0.25">
      <c r="V421" s="45"/>
      <c r="W421" s="12"/>
      <c r="X421" s="12"/>
      <c r="Y421" s="46"/>
    </row>
    <row r="422" spans="22:25" s="4" customFormat="1" x14ac:dyDescent="0.25">
      <c r="V422" s="45"/>
      <c r="W422" s="12"/>
      <c r="X422" s="12"/>
      <c r="Y422" s="46"/>
    </row>
    <row r="423" spans="22:25" s="4" customFormat="1" x14ac:dyDescent="0.25">
      <c r="V423" s="45"/>
      <c r="W423" s="12"/>
      <c r="X423" s="12"/>
      <c r="Y423" s="46"/>
    </row>
    <row r="424" spans="22:25" s="4" customFormat="1" x14ac:dyDescent="0.25">
      <c r="V424" s="45"/>
      <c r="W424" s="12"/>
      <c r="X424" s="12"/>
      <c r="Y424" s="46"/>
    </row>
    <row r="425" spans="22:25" s="4" customFormat="1" x14ac:dyDescent="0.25">
      <c r="V425" s="45"/>
      <c r="W425" s="12"/>
      <c r="X425" s="12"/>
      <c r="Y425" s="46"/>
    </row>
    <row r="426" spans="22:25" s="4" customFormat="1" x14ac:dyDescent="0.25">
      <c r="V426" s="45"/>
      <c r="W426" s="12"/>
      <c r="X426" s="12"/>
      <c r="Y426" s="46"/>
    </row>
    <row r="427" spans="22:25" s="4" customFormat="1" x14ac:dyDescent="0.25">
      <c r="V427" s="45"/>
      <c r="W427" s="12"/>
      <c r="X427" s="12"/>
      <c r="Y427" s="46"/>
    </row>
    <row r="428" spans="22:25" s="4" customFormat="1" x14ac:dyDescent="0.25">
      <c r="V428" s="45"/>
      <c r="W428" s="12"/>
      <c r="X428" s="12"/>
      <c r="Y428" s="46"/>
    </row>
    <row r="429" spans="22:25" s="4" customFormat="1" x14ac:dyDescent="0.25">
      <c r="V429" s="45"/>
      <c r="W429" s="12"/>
      <c r="X429" s="12"/>
      <c r="Y429" s="46"/>
    </row>
    <row r="430" spans="22:25" s="4" customFormat="1" x14ac:dyDescent="0.25">
      <c r="V430" s="45"/>
      <c r="W430" s="12"/>
      <c r="X430" s="12"/>
      <c r="Y430" s="46"/>
    </row>
    <row r="431" spans="22:25" s="4" customFormat="1" x14ac:dyDescent="0.25">
      <c r="V431" s="45"/>
      <c r="W431" s="12"/>
      <c r="X431" s="12"/>
      <c r="Y431" s="46"/>
    </row>
    <row r="432" spans="22:25" s="4" customFormat="1" x14ac:dyDescent="0.25">
      <c r="V432" s="45"/>
      <c r="W432" s="12"/>
      <c r="X432" s="12"/>
      <c r="Y432" s="46"/>
    </row>
    <row r="433" spans="22:25" s="4" customFormat="1" x14ac:dyDescent="0.25">
      <c r="V433" s="45"/>
      <c r="W433" s="12"/>
      <c r="X433" s="12"/>
      <c r="Y433" s="46"/>
    </row>
    <row r="434" spans="22:25" s="4" customFormat="1" x14ac:dyDescent="0.25">
      <c r="V434" s="45"/>
      <c r="W434" s="12"/>
      <c r="X434" s="12"/>
      <c r="Y434" s="46"/>
    </row>
    <row r="435" spans="22:25" s="4" customFormat="1" x14ac:dyDescent="0.25">
      <c r="V435" s="45"/>
      <c r="W435" s="12"/>
      <c r="X435" s="12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</sheetData>
  <sheetProtection sort="0"/>
  <mergeCells count="13">
    <mergeCell ref="A250:Y250"/>
    <mergeCell ref="A294:Y294"/>
    <mergeCell ref="A178:Y178"/>
    <mergeCell ref="A4:Y4"/>
    <mergeCell ref="A90:Y90"/>
    <mergeCell ref="A1:Y1"/>
    <mergeCell ref="A2:B2"/>
    <mergeCell ref="C2:E2"/>
    <mergeCell ref="G2:I2"/>
    <mergeCell ref="K2:M2"/>
    <mergeCell ref="O2:Q2"/>
    <mergeCell ref="S2:U2"/>
    <mergeCell ref="W2:Y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Y451"/>
  <sheetViews>
    <sheetView zoomScale="80" zoomScaleNormal="80" workbookViewId="0">
      <pane xSplit="2" ySplit="4" topLeftCell="C195" activePane="bottomRight" state="frozen"/>
      <selection pane="topRight" activeCell="C1" sqref="C1"/>
      <selection pane="bottomLeft" activeCell="A5" sqref="A5"/>
      <selection pane="bottomRight" activeCell="H43" sqref="H43"/>
    </sheetView>
  </sheetViews>
  <sheetFormatPr defaultColWidth="8.88671875" defaultRowHeight="13.2" x14ac:dyDescent="0.25"/>
  <cols>
    <col min="1" max="1" width="10.88671875" style="7" customWidth="1"/>
    <col min="2" max="2" width="42.44140625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4.664062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4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25" s="61" customFormat="1" x14ac:dyDescent="0.25">
      <c r="A1" s="316" t="s">
        <v>100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25" s="61" customFormat="1" x14ac:dyDescent="0.25">
      <c r="A2" s="331">
        <v>44778</v>
      </c>
      <c r="B2" s="332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25" s="72" customFormat="1" ht="26.4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25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25" s="77" customForma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25" s="61" customFormat="1" x14ac:dyDescent="0.25">
      <c r="A6" s="52"/>
      <c r="B6" s="195" t="s">
        <v>70</v>
      </c>
      <c r="C6" s="55">
        <f>(72176*1.03)*0.25</f>
        <v>18585.32</v>
      </c>
      <c r="D6" s="56">
        <f>(72176*1.03)*(0.25-0.05)</f>
        <v>14868.256000000001</v>
      </c>
      <c r="E6" s="57">
        <f t="shared" ref="E6" si="0">SUM(C6:D6)</f>
        <v>33453.576000000001</v>
      </c>
      <c r="F6" s="58"/>
      <c r="G6" s="55">
        <f>C6*1.03</f>
        <v>19142.8796</v>
      </c>
      <c r="H6" s="57">
        <f>D6*1.03</f>
        <v>15314.303680000001</v>
      </c>
      <c r="I6" s="57">
        <f t="shared" ref="I6" si="1">SUM(G6:H6)</f>
        <v>34457.183279999997</v>
      </c>
      <c r="J6" s="58"/>
      <c r="K6" s="55">
        <f>G6*1.03</f>
        <v>19717.165988000001</v>
      </c>
      <c r="L6" s="57">
        <f>H6*1.03</f>
        <v>15773.732790400001</v>
      </c>
      <c r="M6" s="57">
        <f t="shared" ref="M6" si="2">SUM(K6:L6)</f>
        <v>35490.898778400006</v>
      </c>
      <c r="N6" s="58"/>
      <c r="O6" s="55">
        <f>K6*1.03</f>
        <v>20308.680967640001</v>
      </c>
      <c r="P6" s="57">
        <f>L6*1.03</f>
        <v>16246.944774112002</v>
      </c>
      <c r="Q6" s="57">
        <f t="shared" ref="Q6" si="3">SUM(O6:P6)</f>
        <v>36555.625741752003</v>
      </c>
      <c r="R6" s="58"/>
      <c r="S6" s="55">
        <f>O6*1.03</f>
        <v>20917.941396669201</v>
      </c>
      <c r="T6" s="57">
        <f>P6*1.03</f>
        <v>16734.353117335362</v>
      </c>
      <c r="U6" s="57">
        <f t="shared" ref="U6" si="4">SUM(S6:T6)</f>
        <v>37652.294514004563</v>
      </c>
      <c r="V6" s="59"/>
      <c r="W6" s="124">
        <f t="shared" ref="W6" si="5">C6+G6+K6+O6+S6</f>
        <v>98671.987952309195</v>
      </c>
      <c r="X6" s="57">
        <f t="shared" ref="X6" si="6">D6+H6+L6+P6+T6</f>
        <v>78937.590361847368</v>
      </c>
      <c r="Y6" s="84">
        <f t="shared" ref="Y6" si="7">E6+I6+M6+Q6+U6</f>
        <v>177609.57831415656</v>
      </c>
    </row>
    <row r="7" spans="1:25" s="61" customFormat="1" x14ac:dyDescent="0.25">
      <c r="A7" s="192" t="s">
        <v>57</v>
      </c>
      <c r="B7" s="54" t="s">
        <v>57</v>
      </c>
      <c r="C7" s="124">
        <f>10000*2*0</f>
        <v>0</v>
      </c>
      <c r="D7" s="56">
        <v>0</v>
      </c>
      <c r="E7" s="56">
        <f t="shared" ref="E7:E14" si="8">SUM(C7:D7)</f>
        <v>0</v>
      </c>
      <c r="F7" s="58"/>
      <c r="G7" s="55">
        <f>C7*1.03</f>
        <v>0</v>
      </c>
      <c r="H7" s="57">
        <f>D7*1.03</f>
        <v>0</v>
      </c>
      <c r="I7" s="57">
        <f t="shared" ref="I7:I14" si="9">SUM(G7:H7)</f>
        <v>0</v>
      </c>
      <c r="J7" s="58"/>
      <c r="K7" s="55">
        <f>G7*1.03</f>
        <v>0</v>
      </c>
      <c r="L7" s="57">
        <f>H7*1.03</f>
        <v>0</v>
      </c>
      <c r="M7" s="57">
        <f t="shared" ref="M7:M14" si="10">SUM(K7:L7)</f>
        <v>0</v>
      </c>
      <c r="N7" s="58"/>
      <c r="O7" s="55">
        <f>K7*1.03*0</f>
        <v>0</v>
      </c>
      <c r="P7" s="57">
        <f>L7*1.03</f>
        <v>0</v>
      </c>
      <c r="Q7" s="57">
        <f t="shared" ref="Q7:Q14" si="11">SUM(O7:P7)</f>
        <v>0</v>
      </c>
      <c r="R7" s="58"/>
      <c r="S7" s="55">
        <f>O7*1.03*0</f>
        <v>0</v>
      </c>
      <c r="T7" s="57">
        <f>P7*1.03</f>
        <v>0</v>
      </c>
      <c r="U7" s="57">
        <f t="shared" ref="U7:U14" si="12">SUM(S7:T7)</f>
        <v>0</v>
      </c>
      <c r="V7" s="59"/>
      <c r="W7" s="124">
        <f t="shared" ref="W7:W15" si="13">C7+G7+K7+O7+S7</f>
        <v>0</v>
      </c>
      <c r="X7" s="56">
        <f t="shared" ref="X7:X15" si="14">D7+H7+L7+P7+T7</f>
        <v>0</v>
      </c>
      <c r="Y7" s="193">
        <f t="shared" ref="Y7:Y15" si="15">E7+I7+M7+Q7+U7</f>
        <v>0</v>
      </c>
    </row>
    <row r="8" spans="1:25" s="61" customFormat="1" x14ac:dyDescent="0.25">
      <c r="A8" s="53"/>
      <c r="B8" s="54"/>
      <c r="C8" s="124">
        <v>0</v>
      </c>
      <c r="D8" s="56">
        <v>0</v>
      </c>
      <c r="E8" s="56">
        <f t="shared" si="8"/>
        <v>0</v>
      </c>
      <c r="F8" s="58"/>
      <c r="G8" s="55">
        <f t="shared" ref="G8:H14" si="16">C8*1.05</f>
        <v>0</v>
      </c>
      <c r="H8" s="57">
        <f t="shared" si="16"/>
        <v>0</v>
      </c>
      <c r="I8" s="57">
        <f t="shared" si="9"/>
        <v>0</v>
      </c>
      <c r="J8" s="58"/>
      <c r="K8" s="55">
        <f t="shared" ref="K8:L14" si="17">G8*1.05</f>
        <v>0</v>
      </c>
      <c r="L8" s="57">
        <f t="shared" si="17"/>
        <v>0</v>
      </c>
      <c r="M8" s="57">
        <f t="shared" si="10"/>
        <v>0</v>
      </c>
      <c r="N8" s="58"/>
      <c r="O8" s="55">
        <f t="shared" ref="O8:P14" si="18">K8*1.05</f>
        <v>0</v>
      </c>
      <c r="P8" s="57">
        <f t="shared" si="18"/>
        <v>0</v>
      </c>
      <c r="Q8" s="57">
        <f t="shared" si="11"/>
        <v>0</v>
      </c>
      <c r="R8" s="58"/>
      <c r="S8" s="55">
        <f t="shared" ref="S8:T14" si="19">O8*1.05</f>
        <v>0</v>
      </c>
      <c r="T8" s="57">
        <f t="shared" si="19"/>
        <v>0</v>
      </c>
      <c r="U8" s="57">
        <f t="shared" si="12"/>
        <v>0</v>
      </c>
      <c r="V8" s="59"/>
      <c r="W8" s="124">
        <f t="shared" si="13"/>
        <v>0</v>
      </c>
      <c r="X8" s="57">
        <f t="shared" si="14"/>
        <v>0</v>
      </c>
      <c r="Y8" s="60">
        <f t="shared" si="15"/>
        <v>0</v>
      </c>
    </row>
    <row r="9" spans="1:25" s="61" customFormat="1" x14ac:dyDescent="0.25">
      <c r="A9" s="53"/>
      <c r="B9" s="54"/>
      <c r="C9" s="124">
        <v>0</v>
      </c>
      <c r="D9" s="56">
        <v>0</v>
      </c>
      <c r="E9" s="56">
        <f t="shared" si="8"/>
        <v>0</v>
      </c>
      <c r="F9" s="58"/>
      <c r="G9" s="55">
        <f t="shared" si="16"/>
        <v>0</v>
      </c>
      <c r="H9" s="57">
        <f t="shared" si="16"/>
        <v>0</v>
      </c>
      <c r="I9" s="57">
        <f t="shared" si="9"/>
        <v>0</v>
      </c>
      <c r="J9" s="58"/>
      <c r="K9" s="55">
        <f t="shared" si="17"/>
        <v>0</v>
      </c>
      <c r="L9" s="57">
        <f t="shared" si="17"/>
        <v>0</v>
      </c>
      <c r="M9" s="57">
        <f t="shared" si="10"/>
        <v>0</v>
      </c>
      <c r="N9" s="58"/>
      <c r="O9" s="55">
        <f t="shared" si="18"/>
        <v>0</v>
      </c>
      <c r="P9" s="57">
        <f t="shared" si="18"/>
        <v>0</v>
      </c>
      <c r="Q9" s="57">
        <f t="shared" si="11"/>
        <v>0</v>
      </c>
      <c r="R9" s="58"/>
      <c r="S9" s="55">
        <f t="shared" si="19"/>
        <v>0</v>
      </c>
      <c r="T9" s="57">
        <f t="shared" si="19"/>
        <v>0</v>
      </c>
      <c r="U9" s="57">
        <f t="shared" si="12"/>
        <v>0</v>
      </c>
      <c r="V9" s="59"/>
      <c r="W9" s="124">
        <f t="shared" si="13"/>
        <v>0</v>
      </c>
      <c r="X9" s="57">
        <f t="shared" si="14"/>
        <v>0</v>
      </c>
      <c r="Y9" s="60">
        <f t="shared" si="15"/>
        <v>0</v>
      </c>
    </row>
    <row r="10" spans="1:25" s="61" customFormat="1" x14ac:dyDescent="0.25">
      <c r="A10" s="53"/>
      <c r="B10" s="54"/>
      <c r="C10" s="124">
        <v>0</v>
      </c>
      <c r="D10" s="56">
        <v>0</v>
      </c>
      <c r="E10" s="56">
        <f t="shared" si="8"/>
        <v>0</v>
      </c>
      <c r="F10" s="58"/>
      <c r="G10" s="55">
        <f t="shared" si="16"/>
        <v>0</v>
      </c>
      <c r="H10" s="57">
        <f t="shared" si="16"/>
        <v>0</v>
      </c>
      <c r="I10" s="57">
        <f t="shared" si="9"/>
        <v>0</v>
      </c>
      <c r="J10" s="58"/>
      <c r="K10" s="55">
        <f t="shared" si="17"/>
        <v>0</v>
      </c>
      <c r="L10" s="57">
        <f t="shared" si="17"/>
        <v>0</v>
      </c>
      <c r="M10" s="57">
        <f t="shared" si="10"/>
        <v>0</v>
      </c>
      <c r="N10" s="58"/>
      <c r="O10" s="55">
        <f t="shared" si="18"/>
        <v>0</v>
      </c>
      <c r="P10" s="57">
        <f t="shared" si="18"/>
        <v>0</v>
      </c>
      <c r="Q10" s="57">
        <f t="shared" si="11"/>
        <v>0</v>
      </c>
      <c r="R10" s="58"/>
      <c r="S10" s="55">
        <f t="shared" si="19"/>
        <v>0</v>
      </c>
      <c r="T10" s="57">
        <f t="shared" si="19"/>
        <v>0</v>
      </c>
      <c r="U10" s="57">
        <f t="shared" si="12"/>
        <v>0</v>
      </c>
      <c r="V10" s="59"/>
      <c r="W10" s="124">
        <f t="shared" si="13"/>
        <v>0</v>
      </c>
      <c r="X10" s="57">
        <f t="shared" si="14"/>
        <v>0</v>
      </c>
      <c r="Y10" s="60">
        <f t="shared" si="15"/>
        <v>0</v>
      </c>
    </row>
    <row r="11" spans="1:25" s="61" customFormat="1" x14ac:dyDescent="0.25">
      <c r="A11" s="53"/>
      <c r="B11" s="54"/>
      <c r="C11" s="124">
        <v>0</v>
      </c>
      <c r="D11" s="56">
        <v>0</v>
      </c>
      <c r="E11" s="56">
        <f t="shared" si="8"/>
        <v>0</v>
      </c>
      <c r="F11" s="58"/>
      <c r="G11" s="55">
        <f t="shared" si="16"/>
        <v>0</v>
      </c>
      <c r="H11" s="57">
        <f t="shared" si="16"/>
        <v>0</v>
      </c>
      <c r="I11" s="57">
        <f t="shared" si="9"/>
        <v>0</v>
      </c>
      <c r="J11" s="58"/>
      <c r="K11" s="55">
        <f t="shared" si="17"/>
        <v>0</v>
      </c>
      <c r="L11" s="57">
        <f t="shared" si="17"/>
        <v>0</v>
      </c>
      <c r="M11" s="57">
        <f t="shared" si="10"/>
        <v>0</v>
      </c>
      <c r="N11" s="58"/>
      <c r="O11" s="55">
        <f t="shared" si="18"/>
        <v>0</v>
      </c>
      <c r="P11" s="57">
        <f t="shared" si="18"/>
        <v>0</v>
      </c>
      <c r="Q11" s="57">
        <f t="shared" si="11"/>
        <v>0</v>
      </c>
      <c r="R11" s="58"/>
      <c r="S11" s="55">
        <f t="shared" si="19"/>
        <v>0</v>
      </c>
      <c r="T11" s="57">
        <f t="shared" si="19"/>
        <v>0</v>
      </c>
      <c r="U11" s="57">
        <f t="shared" si="12"/>
        <v>0</v>
      </c>
      <c r="V11" s="59"/>
      <c r="W11" s="124">
        <f t="shared" si="13"/>
        <v>0</v>
      </c>
      <c r="X11" s="57">
        <f t="shared" si="14"/>
        <v>0</v>
      </c>
      <c r="Y11" s="60">
        <f t="shared" si="15"/>
        <v>0</v>
      </c>
    </row>
    <row r="12" spans="1:25" s="61" customFormat="1" x14ac:dyDescent="0.25">
      <c r="A12" s="52"/>
      <c r="B12" s="54"/>
      <c r="C12" s="124">
        <v>0</v>
      </c>
      <c r="D12" s="56">
        <v>0</v>
      </c>
      <c r="E12" s="56">
        <f t="shared" si="8"/>
        <v>0</v>
      </c>
      <c r="F12" s="58"/>
      <c r="G12" s="55">
        <f t="shared" si="16"/>
        <v>0</v>
      </c>
      <c r="H12" s="57">
        <f t="shared" si="16"/>
        <v>0</v>
      </c>
      <c r="I12" s="57">
        <f t="shared" si="9"/>
        <v>0</v>
      </c>
      <c r="J12" s="58"/>
      <c r="K12" s="55">
        <f t="shared" si="17"/>
        <v>0</v>
      </c>
      <c r="L12" s="57">
        <f t="shared" si="17"/>
        <v>0</v>
      </c>
      <c r="M12" s="57">
        <f t="shared" si="10"/>
        <v>0</v>
      </c>
      <c r="N12" s="58"/>
      <c r="O12" s="55">
        <f t="shared" si="18"/>
        <v>0</v>
      </c>
      <c r="P12" s="57">
        <f t="shared" si="18"/>
        <v>0</v>
      </c>
      <c r="Q12" s="57">
        <f t="shared" si="11"/>
        <v>0</v>
      </c>
      <c r="R12" s="58"/>
      <c r="S12" s="55">
        <f t="shared" si="19"/>
        <v>0</v>
      </c>
      <c r="T12" s="57">
        <f t="shared" si="19"/>
        <v>0</v>
      </c>
      <c r="U12" s="57">
        <f t="shared" si="12"/>
        <v>0</v>
      </c>
      <c r="V12" s="59"/>
      <c r="W12" s="124">
        <f t="shared" si="13"/>
        <v>0</v>
      </c>
      <c r="X12" s="57">
        <f t="shared" si="14"/>
        <v>0</v>
      </c>
      <c r="Y12" s="84">
        <f t="shared" si="15"/>
        <v>0</v>
      </c>
    </row>
    <row r="13" spans="1:25" s="61" customFormat="1" x14ac:dyDescent="0.25">
      <c r="A13" s="52"/>
      <c r="B13" s="54"/>
      <c r="C13" s="124">
        <v>0</v>
      </c>
      <c r="D13" s="56">
        <v>0</v>
      </c>
      <c r="E13" s="56">
        <f t="shared" si="8"/>
        <v>0</v>
      </c>
      <c r="F13" s="58"/>
      <c r="G13" s="55">
        <f t="shared" si="16"/>
        <v>0</v>
      </c>
      <c r="H13" s="57">
        <f t="shared" si="16"/>
        <v>0</v>
      </c>
      <c r="I13" s="57">
        <f t="shared" si="9"/>
        <v>0</v>
      </c>
      <c r="J13" s="58"/>
      <c r="K13" s="55">
        <f t="shared" si="17"/>
        <v>0</v>
      </c>
      <c r="L13" s="57">
        <f t="shared" si="17"/>
        <v>0</v>
      </c>
      <c r="M13" s="57">
        <f t="shared" si="10"/>
        <v>0</v>
      </c>
      <c r="N13" s="58"/>
      <c r="O13" s="55">
        <f t="shared" si="18"/>
        <v>0</v>
      </c>
      <c r="P13" s="57">
        <f t="shared" si="18"/>
        <v>0</v>
      </c>
      <c r="Q13" s="57">
        <f t="shared" si="11"/>
        <v>0</v>
      </c>
      <c r="R13" s="58"/>
      <c r="S13" s="55">
        <f t="shared" si="19"/>
        <v>0</v>
      </c>
      <c r="T13" s="57">
        <f t="shared" si="19"/>
        <v>0</v>
      </c>
      <c r="U13" s="57">
        <f t="shared" si="12"/>
        <v>0</v>
      </c>
      <c r="V13" s="59"/>
      <c r="W13" s="124">
        <f t="shared" si="13"/>
        <v>0</v>
      </c>
      <c r="X13" s="57">
        <f t="shared" si="14"/>
        <v>0</v>
      </c>
      <c r="Y13" s="84">
        <f t="shared" si="15"/>
        <v>0</v>
      </c>
    </row>
    <row r="14" spans="1:25" s="61" customFormat="1" x14ac:dyDescent="0.25">
      <c r="A14" s="52"/>
      <c r="B14" s="54"/>
      <c r="C14" s="124">
        <v>0</v>
      </c>
      <c r="D14" s="56">
        <v>0</v>
      </c>
      <c r="E14" s="56">
        <f t="shared" si="8"/>
        <v>0</v>
      </c>
      <c r="F14" s="58"/>
      <c r="G14" s="55">
        <f t="shared" si="16"/>
        <v>0</v>
      </c>
      <c r="H14" s="57">
        <f t="shared" si="16"/>
        <v>0</v>
      </c>
      <c r="I14" s="57">
        <f t="shared" si="9"/>
        <v>0</v>
      </c>
      <c r="J14" s="58"/>
      <c r="K14" s="55">
        <f t="shared" si="17"/>
        <v>0</v>
      </c>
      <c r="L14" s="57">
        <f t="shared" si="17"/>
        <v>0</v>
      </c>
      <c r="M14" s="57">
        <f t="shared" si="10"/>
        <v>0</v>
      </c>
      <c r="N14" s="58"/>
      <c r="O14" s="55">
        <f t="shared" si="18"/>
        <v>0</v>
      </c>
      <c r="P14" s="57">
        <f t="shared" si="18"/>
        <v>0</v>
      </c>
      <c r="Q14" s="57">
        <f t="shared" si="11"/>
        <v>0</v>
      </c>
      <c r="R14" s="58"/>
      <c r="S14" s="55">
        <f t="shared" si="19"/>
        <v>0</v>
      </c>
      <c r="T14" s="57">
        <f t="shared" si="19"/>
        <v>0</v>
      </c>
      <c r="U14" s="57">
        <f t="shared" si="12"/>
        <v>0</v>
      </c>
      <c r="V14" s="59"/>
      <c r="W14" s="124">
        <f t="shared" si="13"/>
        <v>0</v>
      </c>
      <c r="X14" s="57">
        <f t="shared" si="14"/>
        <v>0</v>
      </c>
      <c r="Y14" s="84">
        <f t="shared" si="15"/>
        <v>0</v>
      </c>
    </row>
    <row r="15" spans="1:25" s="83" customFormat="1" x14ac:dyDescent="0.25">
      <c r="A15" s="78"/>
      <c r="B15" s="78" t="s">
        <v>9</v>
      </c>
      <c r="C15" s="228">
        <f>SUM(C6:C14)</f>
        <v>18585.32</v>
      </c>
      <c r="D15" s="125">
        <f>SUM(D6:D14)</f>
        <v>14868.256000000001</v>
      </c>
      <c r="E15" s="125">
        <f>SUM(E6:E14)</f>
        <v>33453.576000000001</v>
      </c>
      <c r="F15" s="81"/>
      <c r="G15" s="79">
        <f>SUM(G6:G14)</f>
        <v>19142.8796</v>
      </c>
      <c r="H15" s="80">
        <f>SUM(H6:H14)</f>
        <v>15314.303680000001</v>
      </c>
      <c r="I15" s="80">
        <f>SUM(I6:I14)</f>
        <v>34457.183279999997</v>
      </c>
      <c r="J15" s="81"/>
      <c r="K15" s="79">
        <f>SUM(K6:K14)</f>
        <v>19717.165988000001</v>
      </c>
      <c r="L15" s="80">
        <f>SUM(L6:L14)</f>
        <v>15773.732790400001</v>
      </c>
      <c r="M15" s="80">
        <f>SUM(M6:M14)</f>
        <v>35490.898778400006</v>
      </c>
      <c r="N15" s="81"/>
      <c r="O15" s="79">
        <f>SUM(O6:O14)</f>
        <v>20308.680967640001</v>
      </c>
      <c r="P15" s="80">
        <f>SUM(P6:P14)</f>
        <v>16246.944774112002</v>
      </c>
      <c r="Q15" s="80">
        <f>SUM(Q6:Q14)</f>
        <v>36555.625741752003</v>
      </c>
      <c r="R15" s="81"/>
      <c r="S15" s="79">
        <f>SUM(S6:S14)</f>
        <v>20917.941396669201</v>
      </c>
      <c r="T15" s="80">
        <f>SUM(T6:T14)</f>
        <v>16734.353117335362</v>
      </c>
      <c r="U15" s="80">
        <f>SUM(U6:U14)</f>
        <v>37652.294514004563</v>
      </c>
      <c r="V15" s="82"/>
      <c r="W15" s="228">
        <f t="shared" si="13"/>
        <v>98671.987952309195</v>
      </c>
      <c r="X15" s="80">
        <f t="shared" si="14"/>
        <v>78937.590361847368</v>
      </c>
      <c r="Y15" s="80">
        <f t="shared" si="15"/>
        <v>177609.57831415656</v>
      </c>
    </row>
    <row r="16" spans="1:25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61" customFormat="1" x14ac:dyDescent="0.25">
      <c r="A17" s="52"/>
      <c r="B17" s="54" t="s">
        <v>57</v>
      </c>
      <c r="C17" s="124">
        <v>0</v>
      </c>
      <c r="D17" s="56">
        <v>0</v>
      </c>
      <c r="E17" s="56">
        <f t="shared" ref="E17:E25" si="20">SUM(C17:D17)</f>
        <v>0</v>
      </c>
      <c r="F17" s="58"/>
      <c r="G17" s="55">
        <f>C17*1.05</f>
        <v>0</v>
      </c>
      <c r="H17" s="57">
        <f>D17*1.05</f>
        <v>0</v>
      </c>
      <c r="I17" s="57">
        <f t="shared" ref="I17:I25" si="21">SUM(G17:H17)</f>
        <v>0</v>
      </c>
      <c r="J17" s="58"/>
      <c r="K17" s="55">
        <f>G17*1.05</f>
        <v>0</v>
      </c>
      <c r="L17" s="57">
        <f>H17*1.05</f>
        <v>0</v>
      </c>
      <c r="M17" s="57">
        <f t="shared" ref="M17:M25" si="22">SUM(K17:L17)</f>
        <v>0</v>
      </c>
      <c r="N17" s="58"/>
      <c r="O17" s="55">
        <f>K17*1.05</f>
        <v>0</v>
      </c>
      <c r="P17" s="57">
        <f>L17*1.05</f>
        <v>0</v>
      </c>
      <c r="Q17" s="57">
        <f t="shared" ref="Q17:Q25" si="23">SUM(O17:P17)</f>
        <v>0</v>
      </c>
      <c r="R17" s="58"/>
      <c r="S17" s="55">
        <f>O17*1.05</f>
        <v>0</v>
      </c>
      <c r="T17" s="57">
        <f>P17*1.05</f>
        <v>0</v>
      </c>
      <c r="U17" s="57">
        <f t="shared" ref="U17:U25" si="24">SUM(S17:T17)</f>
        <v>0</v>
      </c>
      <c r="V17" s="59"/>
      <c r="W17" s="124">
        <f t="shared" ref="W17:W26" si="25">C17+G17+K17+O17+S17</f>
        <v>0</v>
      </c>
      <c r="X17" s="57">
        <f t="shared" ref="X17:X26" si="26">D17+H17+L17+P17+T17</f>
        <v>0</v>
      </c>
      <c r="Y17" s="84">
        <f t="shared" ref="Y17:Y26" si="27">E17+I17+M17+Q17+U17</f>
        <v>0</v>
      </c>
    </row>
    <row r="18" spans="1:77" s="61" customFormat="1" x14ac:dyDescent="0.25">
      <c r="A18" s="52"/>
      <c r="B18" s="195" t="s">
        <v>70</v>
      </c>
      <c r="C18" s="55">
        <f>(72176*1.03)*0.25*0</f>
        <v>0</v>
      </c>
      <c r="D18" s="56">
        <f>(72176*1.03)*(0.25-0.05)*0</f>
        <v>0</v>
      </c>
      <c r="E18" s="57">
        <f t="shared" ref="E18" si="28">SUM(C18:D18)</f>
        <v>0</v>
      </c>
      <c r="F18" s="58"/>
      <c r="G18" s="55">
        <f>C18*1.03</f>
        <v>0</v>
      </c>
      <c r="H18" s="57">
        <f>D18*1.03</f>
        <v>0</v>
      </c>
      <c r="I18" s="57">
        <f t="shared" ref="I18" si="29">SUM(G18:H18)</f>
        <v>0</v>
      </c>
      <c r="J18" s="58"/>
      <c r="K18" s="55">
        <f>G18*1.03</f>
        <v>0</v>
      </c>
      <c r="L18" s="57">
        <f>H18*1.03</f>
        <v>0</v>
      </c>
      <c r="M18" s="57">
        <f t="shared" ref="M18" si="30">SUM(K18:L18)</f>
        <v>0</v>
      </c>
      <c r="N18" s="58"/>
      <c r="O18" s="55">
        <f>K18*1.03</f>
        <v>0</v>
      </c>
      <c r="P18" s="57">
        <f>L18*1.03</f>
        <v>0</v>
      </c>
      <c r="Q18" s="57">
        <f t="shared" ref="Q18" si="31">SUM(O18:P18)</f>
        <v>0</v>
      </c>
      <c r="R18" s="58"/>
      <c r="S18" s="55">
        <f>O18*1.03</f>
        <v>0</v>
      </c>
      <c r="T18" s="57">
        <f>P18*1.03</f>
        <v>0</v>
      </c>
      <c r="U18" s="57">
        <f t="shared" si="24"/>
        <v>0</v>
      </c>
      <c r="V18" s="59"/>
      <c r="W18" s="124">
        <f t="shared" si="25"/>
        <v>0</v>
      </c>
      <c r="X18" s="57">
        <f t="shared" si="26"/>
        <v>0</v>
      </c>
      <c r="Y18" s="84">
        <f t="shared" si="27"/>
        <v>0</v>
      </c>
    </row>
    <row r="19" spans="1:77" s="61" customFormat="1" x14ac:dyDescent="0.25">
      <c r="A19" s="52"/>
      <c r="B19" s="54" t="s">
        <v>57</v>
      </c>
      <c r="C19" s="124"/>
      <c r="D19" s="56">
        <v>0</v>
      </c>
      <c r="E19" s="56">
        <f t="shared" si="20"/>
        <v>0</v>
      </c>
      <c r="F19" s="58"/>
      <c r="G19" s="55">
        <f t="shared" ref="G19:H25" si="32">C19*1.03</f>
        <v>0</v>
      </c>
      <c r="H19" s="57">
        <f t="shared" si="32"/>
        <v>0</v>
      </c>
      <c r="I19" s="57">
        <f t="shared" si="21"/>
        <v>0</v>
      </c>
      <c r="J19" s="58"/>
      <c r="K19" s="55">
        <f t="shared" ref="K19:L25" si="33">G19*1.03</f>
        <v>0</v>
      </c>
      <c r="L19" s="57">
        <f t="shared" si="33"/>
        <v>0</v>
      </c>
      <c r="M19" s="57">
        <f t="shared" si="22"/>
        <v>0</v>
      </c>
      <c r="N19" s="58"/>
      <c r="O19" s="55">
        <f t="shared" ref="O19:P25" si="34">K19*1.03</f>
        <v>0</v>
      </c>
      <c r="P19" s="57">
        <f t="shared" si="34"/>
        <v>0</v>
      </c>
      <c r="Q19" s="57">
        <f t="shared" si="23"/>
        <v>0</v>
      </c>
      <c r="R19" s="58"/>
      <c r="S19" s="55">
        <f t="shared" ref="S19:T25" si="35">O19*1.03</f>
        <v>0</v>
      </c>
      <c r="T19" s="57">
        <f t="shared" si="35"/>
        <v>0</v>
      </c>
      <c r="U19" s="57">
        <f t="shared" si="24"/>
        <v>0</v>
      </c>
      <c r="V19" s="59"/>
      <c r="W19" s="124">
        <f t="shared" si="25"/>
        <v>0</v>
      </c>
      <c r="X19" s="57">
        <f t="shared" si="26"/>
        <v>0</v>
      </c>
      <c r="Y19" s="84">
        <f t="shared" si="27"/>
        <v>0</v>
      </c>
    </row>
    <row r="20" spans="1:77" s="61" customFormat="1" x14ac:dyDescent="0.25">
      <c r="A20" s="54"/>
      <c r="B20" s="54" t="s">
        <v>57</v>
      </c>
      <c r="C20" s="124">
        <f>20*40*26*0</f>
        <v>0</v>
      </c>
      <c r="D20" s="56">
        <v>0</v>
      </c>
      <c r="E20" s="56">
        <f t="shared" si="20"/>
        <v>0</v>
      </c>
      <c r="F20" s="58"/>
      <c r="G20" s="55">
        <f t="shared" si="32"/>
        <v>0</v>
      </c>
      <c r="H20" s="57">
        <f t="shared" si="32"/>
        <v>0</v>
      </c>
      <c r="I20" s="57">
        <f t="shared" si="21"/>
        <v>0</v>
      </c>
      <c r="J20" s="58"/>
      <c r="K20" s="55">
        <f t="shared" si="33"/>
        <v>0</v>
      </c>
      <c r="L20" s="57">
        <f t="shared" si="33"/>
        <v>0</v>
      </c>
      <c r="M20" s="57">
        <f t="shared" si="22"/>
        <v>0</v>
      </c>
      <c r="N20" s="58"/>
      <c r="O20" s="55">
        <f t="shared" si="34"/>
        <v>0</v>
      </c>
      <c r="P20" s="57">
        <f t="shared" si="34"/>
        <v>0</v>
      </c>
      <c r="Q20" s="57">
        <f t="shared" si="23"/>
        <v>0</v>
      </c>
      <c r="R20" s="58"/>
      <c r="S20" s="55">
        <f t="shared" si="35"/>
        <v>0</v>
      </c>
      <c r="T20" s="57">
        <f t="shared" si="35"/>
        <v>0</v>
      </c>
      <c r="U20" s="57">
        <f t="shared" si="24"/>
        <v>0</v>
      </c>
      <c r="V20" s="59"/>
      <c r="W20" s="124">
        <f t="shared" si="25"/>
        <v>0</v>
      </c>
      <c r="X20" s="56">
        <f t="shared" si="26"/>
        <v>0</v>
      </c>
      <c r="Y20" s="85">
        <f t="shared" si="27"/>
        <v>0</v>
      </c>
    </row>
    <row r="21" spans="1:77" s="61" customFormat="1" x14ac:dyDescent="0.25">
      <c r="A21" s="87"/>
      <c r="B21" s="54"/>
      <c r="C21" s="124">
        <v>0</v>
      </c>
      <c r="D21" s="56">
        <v>0</v>
      </c>
      <c r="E21" s="56">
        <f t="shared" si="20"/>
        <v>0</v>
      </c>
      <c r="F21" s="58"/>
      <c r="G21" s="55">
        <f t="shared" si="32"/>
        <v>0</v>
      </c>
      <c r="H21" s="57">
        <f t="shared" si="32"/>
        <v>0</v>
      </c>
      <c r="I21" s="57">
        <f t="shared" si="21"/>
        <v>0</v>
      </c>
      <c r="J21" s="58"/>
      <c r="K21" s="55">
        <f t="shared" si="33"/>
        <v>0</v>
      </c>
      <c r="L21" s="57">
        <f t="shared" si="33"/>
        <v>0</v>
      </c>
      <c r="M21" s="57">
        <f t="shared" si="22"/>
        <v>0</v>
      </c>
      <c r="N21" s="58"/>
      <c r="O21" s="55">
        <f t="shared" si="34"/>
        <v>0</v>
      </c>
      <c r="P21" s="57">
        <f t="shared" si="34"/>
        <v>0</v>
      </c>
      <c r="Q21" s="57">
        <f t="shared" si="23"/>
        <v>0</v>
      </c>
      <c r="R21" s="58"/>
      <c r="S21" s="55">
        <f t="shared" si="35"/>
        <v>0</v>
      </c>
      <c r="T21" s="57">
        <f t="shared" si="35"/>
        <v>0</v>
      </c>
      <c r="U21" s="57">
        <f t="shared" si="24"/>
        <v>0</v>
      </c>
      <c r="V21" s="59"/>
      <c r="W21" s="124">
        <f t="shared" si="25"/>
        <v>0</v>
      </c>
      <c r="X21" s="57">
        <f t="shared" si="26"/>
        <v>0</v>
      </c>
      <c r="Y21" s="84">
        <f t="shared" si="27"/>
        <v>0</v>
      </c>
    </row>
    <row r="22" spans="1:77" s="61" customFormat="1" x14ac:dyDescent="0.25">
      <c r="A22" s="87"/>
      <c r="B22" s="54"/>
      <c r="C22" s="124">
        <v>0</v>
      </c>
      <c r="D22" s="56">
        <v>0</v>
      </c>
      <c r="E22" s="56">
        <f t="shared" si="20"/>
        <v>0</v>
      </c>
      <c r="F22" s="58"/>
      <c r="G22" s="55">
        <f t="shared" si="32"/>
        <v>0</v>
      </c>
      <c r="H22" s="57">
        <f t="shared" si="32"/>
        <v>0</v>
      </c>
      <c r="I22" s="57">
        <f t="shared" si="21"/>
        <v>0</v>
      </c>
      <c r="J22" s="58"/>
      <c r="K22" s="55">
        <f t="shared" si="33"/>
        <v>0</v>
      </c>
      <c r="L22" s="57">
        <f t="shared" si="33"/>
        <v>0</v>
      </c>
      <c r="M22" s="57">
        <f t="shared" si="22"/>
        <v>0</v>
      </c>
      <c r="N22" s="58"/>
      <c r="O22" s="55">
        <f t="shared" si="34"/>
        <v>0</v>
      </c>
      <c r="P22" s="57">
        <f t="shared" si="34"/>
        <v>0</v>
      </c>
      <c r="Q22" s="57">
        <f t="shared" si="23"/>
        <v>0</v>
      </c>
      <c r="R22" s="58"/>
      <c r="S22" s="55">
        <f t="shared" si="35"/>
        <v>0</v>
      </c>
      <c r="T22" s="57">
        <f t="shared" si="35"/>
        <v>0</v>
      </c>
      <c r="U22" s="57">
        <f t="shared" si="24"/>
        <v>0</v>
      </c>
      <c r="V22" s="59"/>
      <c r="W22" s="124">
        <f t="shared" si="25"/>
        <v>0</v>
      </c>
      <c r="X22" s="57">
        <f t="shared" si="26"/>
        <v>0</v>
      </c>
      <c r="Y22" s="84">
        <f t="shared" si="27"/>
        <v>0</v>
      </c>
    </row>
    <row r="23" spans="1:77" s="61" customFormat="1" x14ac:dyDescent="0.25">
      <c r="A23" s="52"/>
      <c r="B23" s="54"/>
      <c r="C23" s="124">
        <v>0</v>
      </c>
      <c r="D23" s="56">
        <v>0</v>
      </c>
      <c r="E23" s="56">
        <f t="shared" si="20"/>
        <v>0</v>
      </c>
      <c r="F23" s="58"/>
      <c r="G23" s="55">
        <f t="shared" si="32"/>
        <v>0</v>
      </c>
      <c r="H23" s="57">
        <f t="shared" si="32"/>
        <v>0</v>
      </c>
      <c r="I23" s="57">
        <f t="shared" si="21"/>
        <v>0</v>
      </c>
      <c r="J23" s="58"/>
      <c r="K23" s="55">
        <f t="shared" si="33"/>
        <v>0</v>
      </c>
      <c r="L23" s="57">
        <f t="shared" si="33"/>
        <v>0</v>
      </c>
      <c r="M23" s="57">
        <f t="shared" si="22"/>
        <v>0</v>
      </c>
      <c r="N23" s="58"/>
      <c r="O23" s="55">
        <f t="shared" si="34"/>
        <v>0</v>
      </c>
      <c r="P23" s="57">
        <f t="shared" si="34"/>
        <v>0</v>
      </c>
      <c r="Q23" s="57">
        <f t="shared" si="23"/>
        <v>0</v>
      </c>
      <c r="R23" s="58"/>
      <c r="S23" s="55">
        <f t="shared" si="35"/>
        <v>0</v>
      </c>
      <c r="T23" s="57">
        <f t="shared" si="35"/>
        <v>0</v>
      </c>
      <c r="U23" s="57">
        <f t="shared" si="24"/>
        <v>0</v>
      </c>
      <c r="V23" s="59"/>
      <c r="W23" s="124">
        <f t="shared" si="25"/>
        <v>0</v>
      </c>
      <c r="X23" s="57">
        <f t="shared" si="26"/>
        <v>0</v>
      </c>
      <c r="Y23" s="84">
        <f t="shared" si="27"/>
        <v>0</v>
      </c>
    </row>
    <row r="24" spans="1:77" s="61" customFormat="1" x14ac:dyDescent="0.25">
      <c r="A24" s="52"/>
      <c r="B24" s="54"/>
      <c r="C24" s="124">
        <v>0</v>
      </c>
      <c r="D24" s="56">
        <v>0</v>
      </c>
      <c r="E24" s="56">
        <f t="shared" si="20"/>
        <v>0</v>
      </c>
      <c r="F24" s="58"/>
      <c r="G24" s="55">
        <f t="shared" si="32"/>
        <v>0</v>
      </c>
      <c r="H24" s="57">
        <f t="shared" si="32"/>
        <v>0</v>
      </c>
      <c r="I24" s="57">
        <f t="shared" si="21"/>
        <v>0</v>
      </c>
      <c r="J24" s="58"/>
      <c r="K24" s="55">
        <f t="shared" si="33"/>
        <v>0</v>
      </c>
      <c r="L24" s="57">
        <f t="shared" si="33"/>
        <v>0</v>
      </c>
      <c r="M24" s="57">
        <f t="shared" si="22"/>
        <v>0</v>
      </c>
      <c r="N24" s="58"/>
      <c r="O24" s="55">
        <f t="shared" si="34"/>
        <v>0</v>
      </c>
      <c r="P24" s="57">
        <f t="shared" si="34"/>
        <v>0</v>
      </c>
      <c r="Q24" s="57">
        <f t="shared" si="23"/>
        <v>0</v>
      </c>
      <c r="R24" s="58"/>
      <c r="S24" s="55">
        <f t="shared" si="35"/>
        <v>0</v>
      </c>
      <c r="T24" s="57">
        <f t="shared" si="35"/>
        <v>0</v>
      </c>
      <c r="U24" s="57">
        <f t="shared" si="24"/>
        <v>0</v>
      </c>
      <c r="V24" s="59"/>
      <c r="W24" s="124">
        <f t="shared" si="25"/>
        <v>0</v>
      </c>
      <c r="X24" s="57">
        <f t="shared" si="26"/>
        <v>0</v>
      </c>
      <c r="Y24" s="84">
        <f t="shared" si="27"/>
        <v>0</v>
      </c>
    </row>
    <row r="25" spans="1:77" s="61" customFormat="1" x14ac:dyDescent="0.25">
      <c r="A25" s="52"/>
      <c r="B25" s="54"/>
      <c r="C25" s="124">
        <v>0</v>
      </c>
      <c r="D25" s="56">
        <v>0</v>
      </c>
      <c r="E25" s="56">
        <f t="shared" si="20"/>
        <v>0</v>
      </c>
      <c r="F25" s="58"/>
      <c r="G25" s="55">
        <f t="shared" si="32"/>
        <v>0</v>
      </c>
      <c r="H25" s="57">
        <f t="shared" si="32"/>
        <v>0</v>
      </c>
      <c r="I25" s="57">
        <f t="shared" si="21"/>
        <v>0</v>
      </c>
      <c r="J25" s="58"/>
      <c r="K25" s="55">
        <f t="shared" si="33"/>
        <v>0</v>
      </c>
      <c r="L25" s="57">
        <f t="shared" si="33"/>
        <v>0</v>
      </c>
      <c r="M25" s="57">
        <f t="shared" si="22"/>
        <v>0</v>
      </c>
      <c r="N25" s="58"/>
      <c r="O25" s="55">
        <f t="shared" si="34"/>
        <v>0</v>
      </c>
      <c r="P25" s="57">
        <f t="shared" si="34"/>
        <v>0</v>
      </c>
      <c r="Q25" s="57">
        <f t="shared" si="23"/>
        <v>0</v>
      </c>
      <c r="R25" s="58"/>
      <c r="S25" s="55">
        <f t="shared" si="35"/>
        <v>0</v>
      </c>
      <c r="T25" s="57">
        <f t="shared" si="35"/>
        <v>0</v>
      </c>
      <c r="U25" s="57">
        <f t="shared" si="24"/>
        <v>0</v>
      </c>
      <c r="V25" s="59"/>
      <c r="W25" s="124">
        <f t="shared" si="25"/>
        <v>0</v>
      </c>
      <c r="X25" s="57">
        <f t="shared" si="26"/>
        <v>0</v>
      </c>
      <c r="Y25" s="84">
        <f t="shared" si="27"/>
        <v>0</v>
      </c>
    </row>
    <row r="26" spans="1:77" s="83" customFormat="1" x14ac:dyDescent="0.25">
      <c r="A26" s="78"/>
      <c r="B26" s="78" t="s">
        <v>9</v>
      </c>
      <c r="C26" s="231">
        <f>SUM(C17:C25)</f>
        <v>0</v>
      </c>
      <c r="D26" s="125">
        <f>SUM(D17:D25)</f>
        <v>0</v>
      </c>
      <c r="E26" s="125">
        <f>SUM(E17:E25)</f>
        <v>0</v>
      </c>
      <c r="F26" s="81"/>
      <c r="G26" s="79">
        <f>SUM(G17:G25)</f>
        <v>0</v>
      </c>
      <c r="H26" s="80">
        <f>SUM(H17:H25)</f>
        <v>0</v>
      </c>
      <c r="I26" s="80">
        <f>SUM(I17:I25)</f>
        <v>0</v>
      </c>
      <c r="J26" s="81"/>
      <c r="K26" s="79">
        <f>SUM(K17:K25)</f>
        <v>0</v>
      </c>
      <c r="L26" s="80">
        <f>SUM(L17:L25)</f>
        <v>0</v>
      </c>
      <c r="M26" s="80">
        <f>SUM(M17:M25)</f>
        <v>0</v>
      </c>
      <c r="N26" s="81"/>
      <c r="O26" s="79">
        <f>SUM(O17:O25)</f>
        <v>0</v>
      </c>
      <c r="P26" s="80">
        <f>SUM(P17:P25)</f>
        <v>0</v>
      </c>
      <c r="Q26" s="80">
        <f>SUM(Q17:Q25)</f>
        <v>0</v>
      </c>
      <c r="R26" s="81"/>
      <c r="S26" s="79">
        <f>SUM(S17:S25)</f>
        <v>0</v>
      </c>
      <c r="T26" s="80">
        <f>SUM(T17:T25)</f>
        <v>0</v>
      </c>
      <c r="U26" s="80">
        <f>SUM(U17:U25)</f>
        <v>0</v>
      </c>
      <c r="V26" s="82"/>
      <c r="W26" s="228">
        <f t="shared" si="25"/>
        <v>0</v>
      </c>
      <c r="X26" s="80">
        <f t="shared" si="26"/>
        <v>0</v>
      </c>
      <c r="Y26" s="80">
        <f t="shared" si="27"/>
        <v>0</v>
      </c>
    </row>
    <row r="27" spans="1:77" s="92" customFormat="1" x14ac:dyDescent="0.25">
      <c r="A27" s="89" t="s">
        <v>16</v>
      </c>
      <c r="B27" s="89"/>
      <c r="C27" s="90">
        <f>C26+C15</f>
        <v>18585.32</v>
      </c>
      <c r="D27" s="90">
        <f t="shared" ref="D27:Y27" si="36">D26+D15</f>
        <v>14868.256000000001</v>
      </c>
      <c r="E27" s="90">
        <f t="shared" si="36"/>
        <v>33453.576000000001</v>
      </c>
      <c r="F27" s="90">
        <f t="shared" si="36"/>
        <v>0</v>
      </c>
      <c r="G27" s="90">
        <f t="shared" si="36"/>
        <v>19142.8796</v>
      </c>
      <c r="H27" s="90">
        <f t="shared" si="36"/>
        <v>15314.303680000001</v>
      </c>
      <c r="I27" s="90">
        <f t="shared" si="36"/>
        <v>34457.183279999997</v>
      </c>
      <c r="J27" s="90">
        <f t="shared" si="36"/>
        <v>0</v>
      </c>
      <c r="K27" s="90">
        <f t="shared" si="36"/>
        <v>19717.165988000001</v>
      </c>
      <c r="L27" s="90">
        <f t="shared" si="36"/>
        <v>15773.732790400001</v>
      </c>
      <c r="M27" s="90">
        <f t="shared" si="36"/>
        <v>35490.898778400006</v>
      </c>
      <c r="N27" s="90">
        <f t="shared" si="36"/>
        <v>0</v>
      </c>
      <c r="O27" s="90">
        <f t="shared" si="36"/>
        <v>20308.680967640001</v>
      </c>
      <c r="P27" s="90">
        <f t="shared" si="36"/>
        <v>16246.944774112002</v>
      </c>
      <c r="Q27" s="90">
        <f t="shared" si="36"/>
        <v>36555.625741752003</v>
      </c>
      <c r="R27" s="90">
        <f t="shared" si="36"/>
        <v>0</v>
      </c>
      <c r="S27" s="90">
        <f t="shared" si="36"/>
        <v>20917.941396669201</v>
      </c>
      <c r="T27" s="90">
        <f t="shared" si="36"/>
        <v>16734.353117335362</v>
      </c>
      <c r="U27" s="90">
        <f t="shared" si="36"/>
        <v>37652.294514004563</v>
      </c>
      <c r="V27" s="90">
        <f t="shared" si="36"/>
        <v>0</v>
      </c>
      <c r="W27" s="90">
        <f t="shared" si="36"/>
        <v>98671.987952309195</v>
      </c>
      <c r="X27" s="90">
        <f t="shared" si="36"/>
        <v>78937.590361847368</v>
      </c>
      <c r="Y27" s="90">
        <f t="shared" si="36"/>
        <v>177609.57831415656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>
        <v>0</v>
      </c>
      <c r="D29" s="56">
        <v>0</v>
      </c>
      <c r="E29" s="56">
        <f t="shared" ref="E29:E35" si="37">SUM(C29:D29)</f>
        <v>0</v>
      </c>
      <c r="F29" s="58"/>
      <c r="G29" s="55">
        <f>(G6)*0.37*0</f>
        <v>0</v>
      </c>
      <c r="H29" s="57">
        <v>0</v>
      </c>
      <c r="I29" s="57">
        <f t="shared" ref="I29:I35" si="38">SUM(G29:H29)</f>
        <v>0</v>
      </c>
      <c r="J29" s="58"/>
      <c r="K29" s="55">
        <f>(K6)*0.37*0</f>
        <v>0</v>
      </c>
      <c r="L29" s="57">
        <v>0</v>
      </c>
      <c r="M29" s="57">
        <f t="shared" ref="M29:M35" si="39">SUM(K29:L29)</f>
        <v>0</v>
      </c>
      <c r="N29" s="58"/>
      <c r="O29" s="55">
        <f>(O6)*0.37*0</f>
        <v>0</v>
      </c>
      <c r="P29" s="57">
        <v>0</v>
      </c>
      <c r="Q29" s="57">
        <f t="shared" ref="Q29:Q35" si="40">SUM(O29:P29)</f>
        <v>0</v>
      </c>
      <c r="R29" s="58"/>
      <c r="S29" s="55">
        <f>(S6)*0.37*0</f>
        <v>0</v>
      </c>
      <c r="T29" s="57">
        <v>0</v>
      </c>
      <c r="U29" s="57">
        <f t="shared" ref="U29:U35" si="41">SUM(S29:T29)</f>
        <v>0</v>
      </c>
      <c r="V29" s="59"/>
      <c r="W29" s="124">
        <f t="shared" ref="W29:Y36" si="42">C29+G29+K29+O29+S29</f>
        <v>0</v>
      </c>
      <c r="X29" s="57">
        <f t="shared" si="42"/>
        <v>0</v>
      </c>
      <c r="Y29" s="84">
        <f t="shared" si="42"/>
        <v>0</v>
      </c>
    </row>
    <row r="30" spans="1:77" s="61" customFormat="1" x14ac:dyDescent="0.25">
      <c r="A30" s="234">
        <v>3.5999999999999997E-2</v>
      </c>
      <c r="B30" s="52" t="s">
        <v>40</v>
      </c>
      <c r="C30" s="124">
        <v>0</v>
      </c>
      <c r="D30" s="56">
        <v>0</v>
      </c>
      <c r="E30" s="56">
        <f t="shared" si="37"/>
        <v>0</v>
      </c>
      <c r="F30" s="58"/>
      <c r="G30" s="55">
        <f>C30*1.03</f>
        <v>0</v>
      </c>
      <c r="H30" s="57">
        <f>D30*1.03</f>
        <v>0</v>
      </c>
      <c r="I30" s="57">
        <f t="shared" si="38"/>
        <v>0</v>
      </c>
      <c r="J30" s="58"/>
      <c r="K30" s="55">
        <f>G30*1.03*1.03</f>
        <v>0</v>
      </c>
      <c r="L30" s="57">
        <f>H30*1.03*1.03</f>
        <v>0</v>
      </c>
      <c r="M30" s="57">
        <f t="shared" si="39"/>
        <v>0</v>
      </c>
      <c r="N30" s="58"/>
      <c r="O30" s="55">
        <f>K30*1.03*1.03*1.03</f>
        <v>0</v>
      </c>
      <c r="P30" s="57">
        <f>L30*1.03*1.03*1.03</f>
        <v>0</v>
      </c>
      <c r="Q30" s="57">
        <f t="shared" si="40"/>
        <v>0</v>
      </c>
      <c r="R30" s="58"/>
      <c r="S30" s="55">
        <f>O30*1.03*1.03*1.03*1.03</f>
        <v>0</v>
      </c>
      <c r="T30" s="57">
        <f>P30*1.03*1.03*1.03*1.03</f>
        <v>0</v>
      </c>
      <c r="U30" s="57">
        <f t="shared" si="41"/>
        <v>0</v>
      </c>
      <c r="V30" s="59"/>
      <c r="W30" s="124">
        <f t="shared" si="42"/>
        <v>0</v>
      </c>
      <c r="X30" s="57">
        <f t="shared" si="42"/>
        <v>0</v>
      </c>
      <c r="Y30" s="84">
        <f t="shared" si="42"/>
        <v>0</v>
      </c>
    </row>
    <row r="31" spans="1:77" s="61" customFormat="1" x14ac:dyDescent="0.25">
      <c r="A31" s="234">
        <v>8.6999999999999994E-2</v>
      </c>
      <c r="B31" s="52" t="s">
        <v>51</v>
      </c>
      <c r="C31" s="124">
        <f>A31*C20</f>
        <v>0</v>
      </c>
      <c r="D31" s="56">
        <v>0</v>
      </c>
      <c r="E31" s="56">
        <f t="shared" si="37"/>
        <v>0</v>
      </c>
      <c r="F31" s="58"/>
      <c r="G31" s="55">
        <f>G20*A31*1.03</f>
        <v>0</v>
      </c>
      <c r="H31" s="57">
        <f>D31*1.03</f>
        <v>0</v>
      </c>
      <c r="I31" s="57">
        <f t="shared" si="38"/>
        <v>0</v>
      </c>
      <c r="J31" s="58"/>
      <c r="K31" s="55">
        <f>K20*A31*1.03*1.03</f>
        <v>0</v>
      </c>
      <c r="L31" s="57">
        <f>H31*1.03*1.03</f>
        <v>0</v>
      </c>
      <c r="M31" s="57">
        <f t="shared" si="39"/>
        <v>0</v>
      </c>
      <c r="N31" s="58"/>
      <c r="O31" s="55">
        <f>O20*A31*1.03*1.03*1.03</f>
        <v>0</v>
      </c>
      <c r="P31" s="57">
        <f>L31*1.03*1.03*1.03</f>
        <v>0</v>
      </c>
      <c r="Q31" s="57">
        <f t="shared" si="40"/>
        <v>0</v>
      </c>
      <c r="R31" s="58"/>
      <c r="S31" s="55">
        <f>S20*A31*1.03*1.03*1.03*1.03</f>
        <v>0</v>
      </c>
      <c r="T31" s="57">
        <f>P31*1.03*1.03*1.03*1.03</f>
        <v>0</v>
      </c>
      <c r="U31" s="57">
        <f t="shared" si="41"/>
        <v>0</v>
      </c>
      <c r="V31" s="59"/>
      <c r="W31" s="124">
        <f t="shared" si="42"/>
        <v>0</v>
      </c>
      <c r="X31" s="57">
        <f t="shared" si="42"/>
        <v>0</v>
      </c>
      <c r="Y31" s="84">
        <f t="shared" si="42"/>
        <v>0</v>
      </c>
    </row>
    <row r="32" spans="1:77" s="61" customFormat="1" x14ac:dyDescent="0.25">
      <c r="A32" s="234">
        <v>0.30099999999999999</v>
      </c>
      <c r="B32" s="54" t="s">
        <v>52</v>
      </c>
      <c r="C32" s="124">
        <f>A32*C15*0</f>
        <v>0</v>
      </c>
      <c r="D32" s="56">
        <v>0</v>
      </c>
      <c r="E32" s="56">
        <f t="shared" si="37"/>
        <v>0</v>
      </c>
      <c r="F32" s="58"/>
      <c r="G32" s="55">
        <f>G15*A32*1.03*0</f>
        <v>0</v>
      </c>
      <c r="H32" s="57">
        <f>D32*1.03</f>
        <v>0</v>
      </c>
      <c r="I32" s="57">
        <f t="shared" si="38"/>
        <v>0</v>
      </c>
      <c r="J32" s="58"/>
      <c r="K32" s="55">
        <f>K15*A32*1.03*1.03*0</f>
        <v>0</v>
      </c>
      <c r="L32" s="57">
        <f>H32*1.03*1.03</f>
        <v>0</v>
      </c>
      <c r="M32" s="57">
        <f t="shared" si="39"/>
        <v>0</v>
      </c>
      <c r="N32" s="58"/>
      <c r="O32" s="55">
        <f>K32*1.03*1.03*1.03*0</f>
        <v>0</v>
      </c>
      <c r="P32" s="57">
        <f>L32*1.03*1.03*1.03</f>
        <v>0</v>
      </c>
      <c r="Q32" s="57">
        <f t="shared" si="40"/>
        <v>0</v>
      </c>
      <c r="R32" s="58"/>
      <c r="S32" s="55">
        <f>O32*1.03*1.03*1.03*1.03</f>
        <v>0</v>
      </c>
      <c r="T32" s="57">
        <f>P32*1.03*1.03*1.03*1.03</f>
        <v>0</v>
      </c>
      <c r="U32" s="57">
        <f t="shared" si="41"/>
        <v>0</v>
      </c>
      <c r="V32" s="59"/>
      <c r="W32" s="124">
        <f t="shared" si="42"/>
        <v>0</v>
      </c>
      <c r="X32" s="57">
        <f t="shared" si="42"/>
        <v>0</v>
      </c>
      <c r="Y32" s="84">
        <f t="shared" si="42"/>
        <v>0</v>
      </c>
    </row>
    <row r="33" spans="1:77" s="61" customFormat="1" x14ac:dyDescent="0.25">
      <c r="A33" s="234">
        <v>0.42</v>
      </c>
      <c r="B33" s="54" t="s">
        <v>53</v>
      </c>
      <c r="C33" s="124">
        <f>(C6)*A33</f>
        <v>7805.8343999999997</v>
      </c>
      <c r="D33" s="56">
        <f>D6*A33</f>
        <v>6244.66752</v>
      </c>
      <c r="E33" s="56">
        <f t="shared" ref="E33" si="43">SUM(C33:D33)</f>
        <v>14050.501919999999</v>
      </c>
      <c r="F33" s="58"/>
      <c r="G33" s="55">
        <f>(G6)*(A33*1.03)</f>
        <v>8281.2097149599995</v>
      </c>
      <c r="H33" s="57">
        <f>H6*(A33*1.03)</f>
        <v>6624.9677719680003</v>
      </c>
      <c r="I33" s="57">
        <f t="shared" si="38"/>
        <v>14906.177486928</v>
      </c>
      <c r="J33" s="58"/>
      <c r="K33" s="55">
        <f>(K6)*(A33*1.03*1.03)</f>
        <v>8785.5353866010646</v>
      </c>
      <c r="L33" s="57">
        <f>L6*(A33*1.03*1.03)</f>
        <v>7028.428309280851</v>
      </c>
      <c r="M33" s="57">
        <f t="shared" si="39"/>
        <v>15813.963695881916</v>
      </c>
      <c r="N33" s="58"/>
      <c r="O33" s="55">
        <f>(O6)*(A33*1.03*1.03*1.03)</f>
        <v>9320.5744916450694</v>
      </c>
      <c r="P33" s="57">
        <f>P6*(A33*1.03*1.03*1.03)</f>
        <v>7456.4595933160554</v>
      </c>
      <c r="Q33" s="57">
        <f t="shared" si="40"/>
        <v>16777.034084961124</v>
      </c>
      <c r="R33" s="58"/>
      <c r="S33" s="55">
        <f>(S6)*(A33*1.03*1.03*1.03*1.03)</f>
        <v>9888.1974781862536</v>
      </c>
      <c r="T33" s="57">
        <f>T6*(A33*1.03*1.03*1.03*1.03)</f>
        <v>7910.5579825490031</v>
      </c>
      <c r="U33" s="57">
        <f t="shared" si="41"/>
        <v>17798.755460735258</v>
      </c>
      <c r="V33" s="59"/>
      <c r="W33" s="124">
        <f t="shared" si="42"/>
        <v>44081.351471392387</v>
      </c>
      <c r="X33" s="57">
        <f t="shared" si="42"/>
        <v>35265.081177113912</v>
      </c>
      <c r="Y33" s="84">
        <f t="shared" si="42"/>
        <v>79346.432648506307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37"/>
        <v>0</v>
      </c>
      <c r="F34" s="58"/>
      <c r="G34" s="55">
        <f>C34*1.03</f>
        <v>0</v>
      </c>
      <c r="H34" s="57">
        <f>D34*1.03</f>
        <v>0</v>
      </c>
      <c r="I34" s="57">
        <f t="shared" si="38"/>
        <v>0</v>
      </c>
      <c r="J34" s="58"/>
      <c r="K34" s="55">
        <f>G34*1.03*1.03</f>
        <v>0</v>
      </c>
      <c r="L34" s="57">
        <f>H34*1.03*1.03</f>
        <v>0</v>
      </c>
      <c r="M34" s="57">
        <f t="shared" si="39"/>
        <v>0</v>
      </c>
      <c r="N34" s="58"/>
      <c r="O34" s="55">
        <f>K34*1.03*1.03*1.03</f>
        <v>0</v>
      </c>
      <c r="P34" s="57">
        <f>L34*1.03*1.03*1.03</f>
        <v>0</v>
      </c>
      <c r="Q34" s="57">
        <f t="shared" si="40"/>
        <v>0</v>
      </c>
      <c r="R34" s="58"/>
      <c r="S34" s="55">
        <f>O34*1.03*1.03*1.03*1.03</f>
        <v>0</v>
      </c>
      <c r="T34" s="57">
        <f>P34*1.03*1.03*1.03*1.03</f>
        <v>0</v>
      </c>
      <c r="U34" s="57">
        <f t="shared" si="41"/>
        <v>0</v>
      </c>
      <c r="V34" s="59"/>
      <c r="W34" s="124">
        <f t="shared" si="42"/>
        <v>0</v>
      </c>
      <c r="X34" s="57">
        <f t="shared" si="42"/>
        <v>0</v>
      </c>
      <c r="Y34" s="84">
        <f t="shared" si="42"/>
        <v>0</v>
      </c>
    </row>
    <row r="35" spans="1:77" s="61" customFormat="1" x14ac:dyDescent="0.25">
      <c r="A35" s="6"/>
      <c r="B35" s="54"/>
      <c r="C35" s="124">
        <v>0</v>
      </c>
      <c r="D35" s="56">
        <v>0</v>
      </c>
      <c r="E35" s="56">
        <f t="shared" si="37"/>
        <v>0</v>
      </c>
      <c r="F35" s="58"/>
      <c r="G35" s="55">
        <f>C35*1.03</f>
        <v>0</v>
      </c>
      <c r="H35" s="57">
        <f>D35*1.03</f>
        <v>0</v>
      </c>
      <c r="I35" s="57">
        <f t="shared" si="38"/>
        <v>0</v>
      </c>
      <c r="J35" s="58"/>
      <c r="K35" s="55">
        <f>G35*1.03*1.03</f>
        <v>0</v>
      </c>
      <c r="L35" s="57">
        <f>H35*1.03*1.03</f>
        <v>0</v>
      </c>
      <c r="M35" s="57">
        <f t="shared" si="39"/>
        <v>0</v>
      </c>
      <c r="N35" s="58"/>
      <c r="O35" s="55">
        <f>K35*1.03*1.03*1.03</f>
        <v>0</v>
      </c>
      <c r="P35" s="57">
        <f>L35*1.03*1.03*1.03</f>
        <v>0</v>
      </c>
      <c r="Q35" s="57">
        <f t="shared" si="40"/>
        <v>0</v>
      </c>
      <c r="R35" s="58"/>
      <c r="S35" s="55">
        <f>O35*1.03*1.03*1.03*1.03</f>
        <v>0</v>
      </c>
      <c r="T35" s="57">
        <f>P35*1.03*1.03*1.03*1.03</f>
        <v>0</v>
      </c>
      <c r="U35" s="57">
        <f t="shared" si="41"/>
        <v>0</v>
      </c>
      <c r="V35" s="59"/>
      <c r="W35" s="124">
        <f t="shared" si="42"/>
        <v>0</v>
      </c>
      <c r="X35" s="57">
        <f t="shared" si="42"/>
        <v>0</v>
      </c>
      <c r="Y35" s="84">
        <f t="shared" si="42"/>
        <v>0</v>
      </c>
    </row>
    <row r="36" spans="1:77" s="83" customFormat="1" x14ac:dyDescent="0.25">
      <c r="A36" s="78"/>
      <c r="B36" s="78" t="s">
        <v>9</v>
      </c>
      <c r="C36" s="228">
        <f>SUM(C29:C35)</f>
        <v>7805.8343999999997</v>
      </c>
      <c r="D36" s="125">
        <f>SUM(D29:D35)</f>
        <v>6244.66752</v>
      </c>
      <c r="E36" s="125">
        <f>SUM(E29:E35)</f>
        <v>14050.501919999999</v>
      </c>
      <c r="F36" s="81"/>
      <c r="G36" s="79">
        <f>SUM(G29:G35)</f>
        <v>8281.2097149599995</v>
      </c>
      <c r="H36" s="80">
        <f>SUM(H29:H35)</f>
        <v>6624.9677719680003</v>
      </c>
      <c r="I36" s="80">
        <f>SUM(I29:I35)</f>
        <v>14906.177486928</v>
      </c>
      <c r="J36" s="81"/>
      <c r="K36" s="79">
        <f>SUM(K29:K35)</f>
        <v>8785.5353866010646</v>
      </c>
      <c r="L36" s="80">
        <f>SUM(L29:L35)</f>
        <v>7028.428309280851</v>
      </c>
      <c r="M36" s="80">
        <f>SUM(M29:M35)</f>
        <v>15813.963695881916</v>
      </c>
      <c r="N36" s="81"/>
      <c r="O36" s="79">
        <f>SUM(O29:O35)</f>
        <v>9320.5744916450694</v>
      </c>
      <c r="P36" s="80">
        <f>SUM(P29:P35)</f>
        <v>7456.4595933160554</v>
      </c>
      <c r="Q36" s="80">
        <f>SUM(Q29:Q35)</f>
        <v>16777.034084961124</v>
      </c>
      <c r="R36" s="81"/>
      <c r="S36" s="79">
        <f>SUM(S29:S35)</f>
        <v>9888.1974781862536</v>
      </c>
      <c r="T36" s="80">
        <f>SUM(T29:T35)</f>
        <v>7910.5579825490031</v>
      </c>
      <c r="U36" s="80">
        <f>SUM(U29:U35)</f>
        <v>17798.755460735258</v>
      </c>
      <c r="V36" s="82"/>
      <c r="W36" s="228">
        <f t="shared" si="42"/>
        <v>44081.351471392387</v>
      </c>
      <c r="X36" s="80">
        <f t="shared" si="42"/>
        <v>35265.081177113912</v>
      </c>
      <c r="Y36" s="80">
        <f t="shared" si="42"/>
        <v>79346.432648506307</v>
      </c>
    </row>
    <row r="37" spans="1:77" s="94" customFormat="1" x14ac:dyDescent="0.25">
      <c r="A37" s="89" t="s">
        <v>17</v>
      </c>
      <c r="B37" s="89"/>
      <c r="C37" s="90">
        <f t="shared" ref="C37:Y37" si="44">C36+C27</f>
        <v>26391.154399999999</v>
      </c>
      <c r="D37" s="90">
        <f t="shared" si="44"/>
        <v>21112.92352</v>
      </c>
      <c r="E37" s="90">
        <f t="shared" si="44"/>
        <v>47504.077919999996</v>
      </c>
      <c r="F37" s="90">
        <f t="shared" si="44"/>
        <v>0</v>
      </c>
      <c r="G37" s="90">
        <f t="shared" si="44"/>
        <v>27424.089314960002</v>
      </c>
      <c r="H37" s="90">
        <f t="shared" si="44"/>
        <v>21939.271451968001</v>
      </c>
      <c r="I37" s="90">
        <f t="shared" si="44"/>
        <v>49363.360766927995</v>
      </c>
      <c r="J37" s="90">
        <f t="shared" si="44"/>
        <v>0</v>
      </c>
      <c r="K37" s="90">
        <f t="shared" si="44"/>
        <v>28502.701374601063</v>
      </c>
      <c r="L37" s="90">
        <f t="shared" si="44"/>
        <v>22802.161099680852</v>
      </c>
      <c r="M37" s="90">
        <f t="shared" si="44"/>
        <v>51304.862474281923</v>
      </c>
      <c r="N37" s="90">
        <f t="shared" si="44"/>
        <v>0</v>
      </c>
      <c r="O37" s="90">
        <f t="shared" si="44"/>
        <v>29629.255459285072</v>
      </c>
      <c r="P37" s="90">
        <f t="shared" si="44"/>
        <v>23703.404367428058</v>
      </c>
      <c r="Q37" s="90">
        <f t="shared" si="44"/>
        <v>53332.659826713127</v>
      </c>
      <c r="R37" s="90">
        <f t="shared" si="44"/>
        <v>0</v>
      </c>
      <c r="S37" s="90">
        <f t="shared" si="44"/>
        <v>30806.138874855453</v>
      </c>
      <c r="T37" s="90">
        <f t="shared" si="44"/>
        <v>24644.911099884364</v>
      </c>
      <c r="U37" s="90">
        <f t="shared" si="44"/>
        <v>55451.049974739821</v>
      </c>
      <c r="V37" s="90">
        <f t="shared" si="44"/>
        <v>0</v>
      </c>
      <c r="W37" s="90">
        <f t="shared" si="44"/>
        <v>142753.33942370157</v>
      </c>
      <c r="X37" s="90">
        <f t="shared" si="44"/>
        <v>114202.67153896128</v>
      </c>
      <c r="Y37" s="90">
        <f t="shared" si="44"/>
        <v>256956.01096266287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2"/>
      <c r="B39" s="52"/>
      <c r="C39" s="124">
        <v>0</v>
      </c>
      <c r="D39" s="56">
        <v>0</v>
      </c>
      <c r="E39" s="56">
        <f t="shared" ref="E39:E48" si="45">SUM(C39:D39)</f>
        <v>0</v>
      </c>
      <c r="F39" s="58"/>
      <c r="G39" s="55">
        <v>0</v>
      </c>
      <c r="H39" s="57">
        <v>0</v>
      </c>
      <c r="I39" s="57">
        <f t="shared" ref="I39:I48" si="46">SUM(G39:H39)</f>
        <v>0</v>
      </c>
      <c r="J39" s="58"/>
      <c r="K39" s="55">
        <v>0</v>
      </c>
      <c r="L39" s="57">
        <v>0</v>
      </c>
      <c r="M39" s="57">
        <f t="shared" ref="M39:M48" si="47">SUM(K39:L39)</f>
        <v>0</v>
      </c>
      <c r="N39" s="58"/>
      <c r="O39" s="55">
        <v>0</v>
      </c>
      <c r="P39" s="57">
        <v>0</v>
      </c>
      <c r="Q39" s="57">
        <f t="shared" ref="Q39:Q48" si="48">SUM(O39:P39)</f>
        <v>0</v>
      </c>
      <c r="R39" s="58"/>
      <c r="S39" s="55">
        <v>0</v>
      </c>
      <c r="T39" s="57">
        <v>0</v>
      </c>
      <c r="U39" s="57">
        <f t="shared" ref="U39:U48" si="49">SUM(S39:T39)</f>
        <v>0</v>
      </c>
      <c r="V39" s="59"/>
      <c r="W39" s="124">
        <f t="shared" ref="W39:W49" si="50">C39+G39+K39+O39+S39</f>
        <v>0</v>
      </c>
      <c r="X39" s="57">
        <f t="shared" ref="X39:X49" si="51">D39+H39+L39+P39+T39</f>
        <v>0</v>
      </c>
      <c r="Y39" s="84">
        <f t="shared" ref="Y39:Y49" si="52">E39+I39+M39+Q39+U39</f>
        <v>0</v>
      </c>
    </row>
    <row r="40" spans="1:77" s="61" customFormat="1" x14ac:dyDescent="0.25">
      <c r="A40" s="52"/>
      <c r="B40" s="52"/>
      <c r="C40" s="124">
        <v>0</v>
      </c>
      <c r="D40" s="56">
        <v>0</v>
      </c>
      <c r="E40" s="56">
        <f t="shared" si="45"/>
        <v>0</v>
      </c>
      <c r="F40" s="58"/>
      <c r="G40" s="55">
        <v>0</v>
      </c>
      <c r="H40" s="57">
        <v>0</v>
      </c>
      <c r="I40" s="57">
        <f t="shared" si="46"/>
        <v>0</v>
      </c>
      <c r="J40" s="58"/>
      <c r="K40" s="55">
        <v>0</v>
      </c>
      <c r="L40" s="57">
        <v>0</v>
      </c>
      <c r="M40" s="57">
        <f t="shared" si="47"/>
        <v>0</v>
      </c>
      <c r="N40" s="58"/>
      <c r="O40" s="55">
        <v>0</v>
      </c>
      <c r="P40" s="57">
        <v>0</v>
      </c>
      <c r="Q40" s="57">
        <f t="shared" si="48"/>
        <v>0</v>
      </c>
      <c r="R40" s="58"/>
      <c r="S40" s="55">
        <v>0</v>
      </c>
      <c r="T40" s="57">
        <v>0</v>
      </c>
      <c r="U40" s="57">
        <f t="shared" si="49"/>
        <v>0</v>
      </c>
      <c r="V40" s="59"/>
      <c r="W40" s="124">
        <f t="shared" si="50"/>
        <v>0</v>
      </c>
      <c r="X40" s="57">
        <f t="shared" si="51"/>
        <v>0</v>
      </c>
      <c r="Y40" s="84">
        <f t="shared" si="52"/>
        <v>0</v>
      </c>
    </row>
    <row r="41" spans="1:77" s="61" customFormat="1" x14ac:dyDescent="0.25">
      <c r="A41" s="52"/>
      <c r="B41" s="52"/>
      <c r="C41" s="124">
        <v>0</v>
      </c>
      <c r="D41" s="56">
        <v>0</v>
      </c>
      <c r="E41" s="56">
        <f t="shared" si="45"/>
        <v>0</v>
      </c>
      <c r="F41" s="58"/>
      <c r="G41" s="55">
        <v>0</v>
      </c>
      <c r="H41" s="57">
        <v>0</v>
      </c>
      <c r="I41" s="57">
        <f t="shared" si="46"/>
        <v>0</v>
      </c>
      <c r="J41" s="58"/>
      <c r="K41" s="55">
        <v>0</v>
      </c>
      <c r="L41" s="57">
        <v>0</v>
      </c>
      <c r="M41" s="57">
        <f t="shared" si="47"/>
        <v>0</v>
      </c>
      <c r="N41" s="58"/>
      <c r="O41" s="55">
        <v>0</v>
      </c>
      <c r="P41" s="57">
        <v>0</v>
      </c>
      <c r="Q41" s="57">
        <f t="shared" si="48"/>
        <v>0</v>
      </c>
      <c r="R41" s="58"/>
      <c r="S41" s="55">
        <v>0</v>
      </c>
      <c r="T41" s="57">
        <v>0</v>
      </c>
      <c r="U41" s="57">
        <f t="shared" si="49"/>
        <v>0</v>
      </c>
      <c r="V41" s="59"/>
      <c r="W41" s="124">
        <f t="shared" si="50"/>
        <v>0</v>
      </c>
      <c r="X41" s="57">
        <f t="shared" si="51"/>
        <v>0</v>
      </c>
      <c r="Y41" s="84">
        <f t="shared" si="52"/>
        <v>0</v>
      </c>
    </row>
    <row r="42" spans="1:77" s="61" customFormat="1" x14ac:dyDescent="0.25">
      <c r="A42" s="52"/>
      <c r="B42" s="52"/>
      <c r="C42" s="124">
        <v>0</v>
      </c>
      <c r="D42" s="56">
        <v>0</v>
      </c>
      <c r="E42" s="56">
        <f t="shared" si="45"/>
        <v>0</v>
      </c>
      <c r="F42" s="58"/>
      <c r="G42" s="55">
        <v>0</v>
      </c>
      <c r="H42" s="57">
        <v>0</v>
      </c>
      <c r="I42" s="57">
        <f t="shared" si="46"/>
        <v>0</v>
      </c>
      <c r="J42" s="58"/>
      <c r="K42" s="55">
        <v>0</v>
      </c>
      <c r="L42" s="57">
        <v>0</v>
      </c>
      <c r="M42" s="57">
        <f t="shared" si="47"/>
        <v>0</v>
      </c>
      <c r="N42" s="58"/>
      <c r="O42" s="55">
        <v>0</v>
      </c>
      <c r="P42" s="57">
        <v>0</v>
      </c>
      <c r="Q42" s="57">
        <f t="shared" si="48"/>
        <v>0</v>
      </c>
      <c r="R42" s="58"/>
      <c r="S42" s="55">
        <v>0</v>
      </c>
      <c r="T42" s="57">
        <v>0</v>
      </c>
      <c r="U42" s="57">
        <f t="shared" si="49"/>
        <v>0</v>
      </c>
      <c r="V42" s="59"/>
      <c r="W42" s="124">
        <f t="shared" si="50"/>
        <v>0</v>
      </c>
      <c r="X42" s="57">
        <f t="shared" si="51"/>
        <v>0</v>
      </c>
      <c r="Y42" s="84">
        <f t="shared" si="52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45"/>
        <v>0</v>
      </c>
      <c r="F43" s="58"/>
      <c r="G43" s="55">
        <v>0</v>
      </c>
      <c r="H43" s="57">
        <v>0</v>
      </c>
      <c r="I43" s="57">
        <f t="shared" si="46"/>
        <v>0</v>
      </c>
      <c r="J43" s="58"/>
      <c r="K43" s="55">
        <v>0</v>
      </c>
      <c r="L43" s="57">
        <v>0</v>
      </c>
      <c r="M43" s="57">
        <f t="shared" si="47"/>
        <v>0</v>
      </c>
      <c r="N43" s="58"/>
      <c r="O43" s="55">
        <v>0</v>
      </c>
      <c r="P43" s="57">
        <v>0</v>
      </c>
      <c r="Q43" s="57">
        <f t="shared" si="48"/>
        <v>0</v>
      </c>
      <c r="R43" s="58"/>
      <c r="S43" s="55">
        <v>0</v>
      </c>
      <c r="T43" s="57">
        <v>0</v>
      </c>
      <c r="U43" s="57">
        <f t="shared" si="49"/>
        <v>0</v>
      </c>
      <c r="V43" s="59"/>
      <c r="W43" s="124">
        <f t="shared" si="50"/>
        <v>0</v>
      </c>
      <c r="X43" s="57">
        <f t="shared" si="51"/>
        <v>0</v>
      </c>
      <c r="Y43" s="84">
        <f t="shared" si="52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45"/>
        <v>0</v>
      </c>
      <c r="F44" s="58"/>
      <c r="G44" s="55">
        <v>0</v>
      </c>
      <c r="H44" s="57">
        <v>0</v>
      </c>
      <c r="I44" s="57">
        <f t="shared" si="46"/>
        <v>0</v>
      </c>
      <c r="J44" s="58"/>
      <c r="K44" s="55">
        <v>0</v>
      </c>
      <c r="L44" s="57">
        <v>0</v>
      </c>
      <c r="M44" s="57">
        <f t="shared" si="47"/>
        <v>0</v>
      </c>
      <c r="N44" s="58"/>
      <c r="O44" s="55">
        <v>0</v>
      </c>
      <c r="P44" s="57">
        <v>0</v>
      </c>
      <c r="Q44" s="57">
        <f t="shared" si="48"/>
        <v>0</v>
      </c>
      <c r="R44" s="58"/>
      <c r="S44" s="55">
        <v>0</v>
      </c>
      <c r="T44" s="57">
        <v>0</v>
      </c>
      <c r="U44" s="57">
        <f t="shared" si="49"/>
        <v>0</v>
      </c>
      <c r="V44" s="59"/>
      <c r="W44" s="124">
        <f t="shared" si="50"/>
        <v>0</v>
      </c>
      <c r="X44" s="57">
        <f t="shared" si="51"/>
        <v>0</v>
      </c>
      <c r="Y44" s="84">
        <f t="shared" si="52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45"/>
        <v>0</v>
      </c>
      <c r="F45" s="58"/>
      <c r="G45" s="55">
        <v>0</v>
      </c>
      <c r="H45" s="57">
        <v>0</v>
      </c>
      <c r="I45" s="57">
        <f t="shared" si="46"/>
        <v>0</v>
      </c>
      <c r="J45" s="58"/>
      <c r="K45" s="55">
        <v>0</v>
      </c>
      <c r="L45" s="57">
        <v>0</v>
      </c>
      <c r="M45" s="57">
        <f t="shared" si="47"/>
        <v>0</v>
      </c>
      <c r="N45" s="58"/>
      <c r="O45" s="55">
        <v>0</v>
      </c>
      <c r="P45" s="57">
        <v>0</v>
      </c>
      <c r="Q45" s="57">
        <f t="shared" si="48"/>
        <v>0</v>
      </c>
      <c r="R45" s="58"/>
      <c r="S45" s="55">
        <v>0</v>
      </c>
      <c r="T45" s="57">
        <v>0</v>
      </c>
      <c r="U45" s="57">
        <f t="shared" si="49"/>
        <v>0</v>
      </c>
      <c r="V45" s="59"/>
      <c r="W45" s="124">
        <f t="shared" si="50"/>
        <v>0</v>
      </c>
      <c r="X45" s="57">
        <f t="shared" si="51"/>
        <v>0</v>
      </c>
      <c r="Y45" s="84">
        <f t="shared" si="52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45"/>
        <v>0</v>
      </c>
      <c r="F46" s="58"/>
      <c r="G46" s="55">
        <v>0</v>
      </c>
      <c r="H46" s="57">
        <v>0</v>
      </c>
      <c r="I46" s="57">
        <f t="shared" si="46"/>
        <v>0</v>
      </c>
      <c r="J46" s="58"/>
      <c r="K46" s="55">
        <v>0</v>
      </c>
      <c r="L46" s="57">
        <v>0</v>
      </c>
      <c r="M46" s="57">
        <f t="shared" si="47"/>
        <v>0</v>
      </c>
      <c r="N46" s="58"/>
      <c r="O46" s="55">
        <v>0</v>
      </c>
      <c r="P46" s="57">
        <v>0</v>
      </c>
      <c r="Q46" s="57">
        <f t="shared" si="48"/>
        <v>0</v>
      </c>
      <c r="R46" s="58"/>
      <c r="S46" s="55">
        <v>0</v>
      </c>
      <c r="T46" s="57">
        <v>0</v>
      </c>
      <c r="U46" s="57">
        <f t="shared" si="49"/>
        <v>0</v>
      </c>
      <c r="V46" s="59"/>
      <c r="W46" s="124">
        <f t="shared" si="50"/>
        <v>0</v>
      </c>
      <c r="X46" s="57">
        <f t="shared" si="51"/>
        <v>0</v>
      </c>
      <c r="Y46" s="84">
        <f t="shared" si="52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45"/>
        <v>0</v>
      </c>
      <c r="F47" s="58"/>
      <c r="G47" s="55">
        <v>0</v>
      </c>
      <c r="H47" s="57">
        <v>0</v>
      </c>
      <c r="I47" s="57">
        <f t="shared" si="46"/>
        <v>0</v>
      </c>
      <c r="J47" s="58"/>
      <c r="K47" s="55">
        <v>0</v>
      </c>
      <c r="L47" s="57">
        <v>0</v>
      </c>
      <c r="M47" s="57">
        <f t="shared" si="47"/>
        <v>0</v>
      </c>
      <c r="N47" s="58"/>
      <c r="O47" s="55">
        <v>0</v>
      </c>
      <c r="P47" s="57">
        <v>0</v>
      </c>
      <c r="Q47" s="57">
        <f t="shared" si="48"/>
        <v>0</v>
      </c>
      <c r="R47" s="58"/>
      <c r="S47" s="55">
        <v>0</v>
      </c>
      <c r="T47" s="57">
        <v>0</v>
      </c>
      <c r="U47" s="57">
        <f t="shared" si="49"/>
        <v>0</v>
      </c>
      <c r="V47" s="59"/>
      <c r="W47" s="124">
        <f t="shared" si="50"/>
        <v>0</v>
      </c>
      <c r="X47" s="57">
        <f t="shared" si="51"/>
        <v>0</v>
      </c>
      <c r="Y47" s="84">
        <f t="shared" si="52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45"/>
        <v>0</v>
      </c>
      <c r="F48" s="58"/>
      <c r="G48" s="55">
        <v>0</v>
      </c>
      <c r="H48" s="57">
        <v>0</v>
      </c>
      <c r="I48" s="57">
        <f t="shared" si="46"/>
        <v>0</v>
      </c>
      <c r="J48" s="58"/>
      <c r="K48" s="55">
        <v>0</v>
      </c>
      <c r="L48" s="57">
        <v>0</v>
      </c>
      <c r="M48" s="57">
        <f t="shared" si="47"/>
        <v>0</v>
      </c>
      <c r="N48" s="58"/>
      <c r="O48" s="55">
        <v>0</v>
      </c>
      <c r="P48" s="57">
        <v>0</v>
      </c>
      <c r="Q48" s="57">
        <f t="shared" si="48"/>
        <v>0</v>
      </c>
      <c r="R48" s="58"/>
      <c r="S48" s="55">
        <v>0</v>
      </c>
      <c r="T48" s="57">
        <v>0</v>
      </c>
      <c r="U48" s="57">
        <f t="shared" si="49"/>
        <v>0</v>
      </c>
      <c r="V48" s="59"/>
      <c r="W48" s="124">
        <f t="shared" si="50"/>
        <v>0</v>
      </c>
      <c r="X48" s="57">
        <f t="shared" si="51"/>
        <v>0</v>
      </c>
      <c r="Y48" s="84">
        <f t="shared" si="52"/>
        <v>0</v>
      </c>
    </row>
    <row r="49" spans="1:25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0</v>
      </c>
      <c r="E49" s="125">
        <f>SUM(E39:E48)</f>
        <v>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50"/>
        <v>0</v>
      </c>
      <c r="X49" s="80">
        <f t="shared" si="51"/>
        <v>0</v>
      </c>
      <c r="Y49" s="80">
        <f t="shared" si="52"/>
        <v>0</v>
      </c>
    </row>
    <row r="50" spans="1:25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25" s="61" customFormat="1" x14ac:dyDescent="0.25">
      <c r="A51" s="52"/>
      <c r="B51" s="52" t="s">
        <v>57</v>
      </c>
      <c r="C51" s="124">
        <v>0</v>
      </c>
      <c r="D51" s="56">
        <v>0</v>
      </c>
      <c r="E51" s="56">
        <f t="shared" ref="E51:E56" si="53">SUM(C51:D51)</f>
        <v>0</v>
      </c>
      <c r="F51" s="58"/>
      <c r="G51" s="55">
        <v>0</v>
      </c>
      <c r="H51" s="57">
        <v>0</v>
      </c>
      <c r="I51" s="57">
        <f t="shared" ref="I51:I56" si="54">SUM(G51:H51)</f>
        <v>0</v>
      </c>
      <c r="J51" s="58"/>
      <c r="K51" s="55">
        <v>0</v>
      </c>
      <c r="L51" s="57">
        <v>0</v>
      </c>
      <c r="M51" s="57">
        <f t="shared" ref="M51:M56" si="55">SUM(K51:L51)</f>
        <v>0</v>
      </c>
      <c r="N51" s="58"/>
      <c r="O51" s="55">
        <v>0</v>
      </c>
      <c r="P51" s="57">
        <v>0</v>
      </c>
      <c r="Q51" s="57">
        <f t="shared" ref="Q51:Q56" si="56">SUM(O51:P51)</f>
        <v>0</v>
      </c>
      <c r="R51" s="58"/>
      <c r="S51" s="55">
        <v>0</v>
      </c>
      <c r="T51" s="57">
        <v>0</v>
      </c>
      <c r="U51" s="57">
        <f t="shared" ref="U51:U56" si="57">SUM(S51:T51)</f>
        <v>0</v>
      </c>
      <c r="V51" s="59"/>
      <c r="W51" s="124">
        <f t="shared" ref="W51:Y57" si="58">C51+G51+K51+O51+S51</f>
        <v>0</v>
      </c>
      <c r="X51" s="57">
        <f t="shared" si="58"/>
        <v>0</v>
      </c>
      <c r="Y51" s="84">
        <f t="shared" si="58"/>
        <v>0</v>
      </c>
    </row>
    <row r="52" spans="1:25" s="61" customFormat="1" x14ac:dyDescent="0.25">
      <c r="A52" s="87"/>
      <c r="B52" s="52"/>
      <c r="C52" s="124">
        <v>0</v>
      </c>
      <c r="D52" s="56">
        <v>0</v>
      </c>
      <c r="E52" s="56">
        <f t="shared" si="53"/>
        <v>0</v>
      </c>
      <c r="F52" s="58"/>
      <c r="G52" s="55">
        <v>0</v>
      </c>
      <c r="H52" s="57">
        <v>0</v>
      </c>
      <c r="I52" s="57">
        <f t="shared" si="54"/>
        <v>0</v>
      </c>
      <c r="J52" s="58"/>
      <c r="K52" s="55">
        <v>0</v>
      </c>
      <c r="L52" s="57">
        <v>0</v>
      </c>
      <c r="M52" s="57">
        <f t="shared" si="55"/>
        <v>0</v>
      </c>
      <c r="N52" s="58"/>
      <c r="O52" s="55">
        <v>0</v>
      </c>
      <c r="P52" s="57">
        <v>0</v>
      </c>
      <c r="Q52" s="57">
        <f t="shared" si="56"/>
        <v>0</v>
      </c>
      <c r="R52" s="58"/>
      <c r="S52" s="55">
        <v>0</v>
      </c>
      <c r="T52" s="57">
        <v>0</v>
      </c>
      <c r="U52" s="57">
        <f t="shared" si="57"/>
        <v>0</v>
      </c>
      <c r="V52" s="59"/>
      <c r="W52" s="124">
        <f t="shared" si="58"/>
        <v>0</v>
      </c>
      <c r="X52" s="57">
        <f t="shared" si="58"/>
        <v>0</v>
      </c>
      <c r="Y52" s="84">
        <f t="shared" si="58"/>
        <v>0</v>
      </c>
    </row>
    <row r="53" spans="1:25" s="61" customFormat="1" x14ac:dyDescent="0.25">
      <c r="A53" s="87"/>
      <c r="B53" s="52"/>
      <c r="C53" s="124">
        <v>0</v>
      </c>
      <c r="D53" s="56">
        <v>0</v>
      </c>
      <c r="E53" s="56">
        <f t="shared" si="53"/>
        <v>0</v>
      </c>
      <c r="F53" s="58"/>
      <c r="G53" s="55">
        <v>0</v>
      </c>
      <c r="H53" s="57">
        <v>0</v>
      </c>
      <c r="I53" s="57">
        <f t="shared" si="54"/>
        <v>0</v>
      </c>
      <c r="J53" s="58"/>
      <c r="K53" s="55">
        <v>0</v>
      </c>
      <c r="L53" s="57">
        <v>0</v>
      </c>
      <c r="M53" s="57">
        <f t="shared" si="55"/>
        <v>0</v>
      </c>
      <c r="N53" s="58"/>
      <c r="O53" s="55">
        <v>0</v>
      </c>
      <c r="P53" s="57">
        <v>0</v>
      </c>
      <c r="Q53" s="57">
        <f t="shared" si="56"/>
        <v>0</v>
      </c>
      <c r="R53" s="58"/>
      <c r="S53" s="55">
        <v>0</v>
      </c>
      <c r="T53" s="57">
        <v>0</v>
      </c>
      <c r="U53" s="57">
        <f t="shared" si="57"/>
        <v>0</v>
      </c>
      <c r="V53" s="59"/>
      <c r="W53" s="124">
        <f t="shared" si="58"/>
        <v>0</v>
      </c>
      <c r="X53" s="57">
        <f t="shared" si="58"/>
        <v>0</v>
      </c>
      <c r="Y53" s="84">
        <f t="shared" si="58"/>
        <v>0</v>
      </c>
    </row>
    <row r="54" spans="1:25" s="61" customFormat="1" x14ac:dyDescent="0.25">
      <c r="A54" s="52"/>
      <c r="B54" s="52"/>
      <c r="C54" s="124">
        <v>0</v>
      </c>
      <c r="D54" s="56">
        <v>0</v>
      </c>
      <c r="E54" s="56">
        <f t="shared" si="53"/>
        <v>0</v>
      </c>
      <c r="F54" s="58"/>
      <c r="G54" s="55">
        <v>0</v>
      </c>
      <c r="H54" s="57">
        <v>0</v>
      </c>
      <c r="I54" s="57">
        <f t="shared" si="54"/>
        <v>0</v>
      </c>
      <c r="J54" s="58"/>
      <c r="K54" s="55">
        <v>0</v>
      </c>
      <c r="L54" s="57">
        <v>0</v>
      </c>
      <c r="M54" s="57">
        <f t="shared" si="55"/>
        <v>0</v>
      </c>
      <c r="N54" s="58"/>
      <c r="O54" s="55">
        <v>0</v>
      </c>
      <c r="P54" s="57">
        <v>0</v>
      </c>
      <c r="Q54" s="57">
        <f t="shared" si="56"/>
        <v>0</v>
      </c>
      <c r="R54" s="58"/>
      <c r="S54" s="55">
        <v>0</v>
      </c>
      <c r="T54" s="57">
        <v>0</v>
      </c>
      <c r="U54" s="57">
        <f t="shared" si="57"/>
        <v>0</v>
      </c>
      <c r="V54" s="59"/>
      <c r="W54" s="124">
        <f t="shared" si="58"/>
        <v>0</v>
      </c>
      <c r="X54" s="57">
        <f t="shared" si="58"/>
        <v>0</v>
      </c>
      <c r="Y54" s="84">
        <f t="shared" si="58"/>
        <v>0</v>
      </c>
    </row>
    <row r="55" spans="1:25" s="61" customFormat="1" x14ac:dyDescent="0.25">
      <c r="A55" s="52"/>
      <c r="B55" s="52"/>
      <c r="C55" s="124">
        <v>0</v>
      </c>
      <c r="D55" s="56">
        <v>0</v>
      </c>
      <c r="E55" s="56">
        <f t="shared" si="53"/>
        <v>0</v>
      </c>
      <c r="F55" s="58"/>
      <c r="G55" s="55">
        <v>0</v>
      </c>
      <c r="H55" s="57">
        <v>0</v>
      </c>
      <c r="I55" s="57">
        <f t="shared" si="54"/>
        <v>0</v>
      </c>
      <c r="J55" s="58"/>
      <c r="K55" s="55">
        <v>0</v>
      </c>
      <c r="L55" s="57">
        <v>0</v>
      </c>
      <c r="M55" s="57">
        <f t="shared" si="55"/>
        <v>0</v>
      </c>
      <c r="N55" s="58"/>
      <c r="O55" s="55">
        <v>0</v>
      </c>
      <c r="P55" s="57">
        <v>0</v>
      </c>
      <c r="Q55" s="57">
        <f t="shared" si="56"/>
        <v>0</v>
      </c>
      <c r="R55" s="58"/>
      <c r="S55" s="55">
        <v>0</v>
      </c>
      <c r="T55" s="57">
        <v>0</v>
      </c>
      <c r="U55" s="57">
        <f t="shared" si="57"/>
        <v>0</v>
      </c>
      <c r="V55" s="59"/>
      <c r="W55" s="124">
        <f t="shared" si="58"/>
        <v>0</v>
      </c>
      <c r="X55" s="57">
        <f t="shared" si="58"/>
        <v>0</v>
      </c>
      <c r="Y55" s="84">
        <f t="shared" si="58"/>
        <v>0</v>
      </c>
    </row>
    <row r="56" spans="1:25" s="61" customFormat="1" x14ac:dyDescent="0.25">
      <c r="A56" s="52"/>
      <c r="B56" s="52"/>
      <c r="C56" s="124">
        <v>0</v>
      </c>
      <c r="D56" s="56">
        <v>0</v>
      </c>
      <c r="E56" s="56">
        <f t="shared" si="53"/>
        <v>0</v>
      </c>
      <c r="F56" s="58"/>
      <c r="G56" s="55">
        <v>0</v>
      </c>
      <c r="H56" s="57">
        <v>0</v>
      </c>
      <c r="I56" s="57">
        <f t="shared" si="54"/>
        <v>0</v>
      </c>
      <c r="J56" s="58"/>
      <c r="K56" s="55">
        <v>0</v>
      </c>
      <c r="L56" s="57">
        <v>0</v>
      </c>
      <c r="M56" s="57">
        <f t="shared" si="55"/>
        <v>0</v>
      </c>
      <c r="N56" s="58"/>
      <c r="O56" s="55">
        <v>0</v>
      </c>
      <c r="P56" s="57">
        <v>0</v>
      </c>
      <c r="Q56" s="57">
        <f t="shared" si="56"/>
        <v>0</v>
      </c>
      <c r="R56" s="58"/>
      <c r="S56" s="55">
        <v>0</v>
      </c>
      <c r="T56" s="57">
        <v>0</v>
      </c>
      <c r="U56" s="57">
        <f t="shared" si="57"/>
        <v>0</v>
      </c>
      <c r="V56" s="59"/>
      <c r="W56" s="124">
        <f t="shared" si="58"/>
        <v>0</v>
      </c>
      <c r="X56" s="57">
        <f t="shared" si="58"/>
        <v>0</v>
      </c>
      <c r="Y56" s="84">
        <f t="shared" si="58"/>
        <v>0</v>
      </c>
    </row>
    <row r="57" spans="1:25" s="83" customFormat="1" x14ac:dyDescent="0.25">
      <c r="A57" s="78"/>
      <c r="B57" s="78" t="s">
        <v>9</v>
      </c>
      <c r="C57" s="228">
        <f>SUM(C51:C56)</f>
        <v>0</v>
      </c>
      <c r="D57" s="125">
        <f>SUM(D51:D56)</f>
        <v>0</v>
      </c>
      <c r="E57" s="125">
        <f>SUM(E51:E56)</f>
        <v>0</v>
      </c>
      <c r="F57" s="81"/>
      <c r="G57" s="79">
        <f>SUM(G51:G56)</f>
        <v>0</v>
      </c>
      <c r="H57" s="80">
        <f>SUM(H51:H56)</f>
        <v>0</v>
      </c>
      <c r="I57" s="80">
        <f>SUM(I51:I56)</f>
        <v>0</v>
      </c>
      <c r="J57" s="81"/>
      <c r="K57" s="79">
        <f>SUM(K51:K56)</f>
        <v>0</v>
      </c>
      <c r="L57" s="80">
        <f>SUM(L51:L56)</f>
        <v>0</v>
      </c>
      <c r="M57" s="80">
        <f>SUM(M51:M56)</f>
        <v>0</v>
      </c>
      <c r="N57" s="81"/>
      <c r="O57" s="79">
        <f>SUM(O51:O56)</f>
        <v>0</v>
      </c>
      <c r="P57" s="80">
        <f>SUM(P51:P56)</f>
        <v>0</v>
      </c>
      <c r="Q57" s="80">
        <f>SUM(Q51:Q56)</f>
        <v>0</v>
      </c>
      <c r="R57" s="81"/>
      <c r="S57" s="79">
        <f>SUM(S51:S56)</f>
        <v>0</v>
      </c>
      <c r="T57" s="80">
        <f>SUM(T51:T56)</f>
        <v>0</v>
      </c>
      <c r="U57" s="80">
        <f>SUM(U51:U56)</f>
        <v>0</v>
      </c>
      <c r="V57" s="82"/>
      <c r="W57" s="228">
        <f t="shared" si="58"/>
        <v>0</v>
      </c>
      <c r="X57" s="80">
        <f t="shared" si="58"/>
        <v>0</v>
      </c>
      <c r="Y57" s="80">
        <f t="shared" si="58"/>
        <v>0</v>
      </c>
    </row>
    <row r="58" spans="1:25" s="77" customFormat="1" x14ac:dyDescent="0.25">
      <c r="A58" s="74" t="s">
        <v>14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25" s="61" customFormat="1" x14ac:dyDescent="0.25">
      <c r="A59" s="52"/>
      <c r="B59" s="52" t="s">
        <v>57</v>
      </c>
      <c r="C59" s="124">
        <v>0</v>
      </c>
      <c r="D59" s="56">
        <v>0</v>
      </c>
      <c r="E59" s="56">
        <f>SUM(C59:D59)</f>
        <v>0</v>
      </c>
      <c r="F59" s="58"/>
      <c r="G59" s="55">
        <v>0</v>
      </c>
      <c r="H59" s="57">
        <v>0</v>
      </c>
      <c r="I59" s="57">
        <f>SUM(G59:H59)</f>
        <v>0</v>
      </c>
      <c r="J59" s="58"/>
      <c r="K59" s="55">
        <v>0</v>
      </c>
      <c r="L59" s="57">
        <v>0</v>
      </c>
      <c r="M59" s="57">
        <f>SUM(K59:L59)</f>
        <v>0</v>
      </c>
      <c r="N59" s="58"/>
      <c r="O59" s="55">
        <v>0</v>
      </c>
      <c r="P59" s="57">
        <v>0</v>
      </c>
      <c r="Q59" s="57">
        <f>SUM(O59:P59)</f>
        <v>0</v>
      </c>
      <c r="R59" s="58"/>
      <c r="S59" s="55">
        <v>0</v>
      </c>
      <c r="T59" s="57">
        <v>0</v>
      </c>
      <c r="U59" s="57">
        <f>SUM(S59:T59)</f>
        <v>0</v>
      </c>
      <c r="V59" s="59"/>
      <c r="W59" s="124">
        <f t="shared" ref="W59:Y63" si="59">C59+G59+K59+O59+S59</f>
        <v>0</v>
      </c>
      <c r="X59" s="57">
        <f t="shared" si="59"/>
        <v>0</v>
      </c>
      <c r="Y59" s="84">
        <f t="shared" si="59"/>
        <v>0</v>
      </c>
    </row>
    <row r="60" spans="1:25" s="61" customFormat="1" x14ac:dyDescent="0.25">
      <c r="A60" s="52"/>
      <c r="B60" s="52"/>
      <c r="C60" s="124">
        <v>0</v>
      </c>
      <c r="D60" s="56">
        <v>0</v>
      </c>
      <c r="E60" s="56">
        <f>SUM(C60:D60)</f>
        <v>0</v>
      </c>
      <c r="F60" s="58"/>
      <c r="G60" s="55">
        <v>0</v>
      </c>
      <c r="H60" s="57">
        <v>0</v>
      </c>
      <c r="I60" s="57">
        <f>SUM(G60:H60)</f>
        <v>0</v>
      </c>
      <c r="J60" s="58"/>
      <c r="K60" s="55">
        <v>0</v>
      </c>
      <c r="L60" s="57">
        <v>0</v>
      </c>
      <c r="M60" s="57">
        <f>SUM(K60:L60)</f>
        <v>0</v>
      </c>
      <c r="N60" s="58"/>
      <c r="O60" s="55">
        <v>0</v>
      </c>
      <c r="P60" s="57">
        <v>0</v>
      </c>
      <c r="Q60" s="57">
        <f>SUM(O60:P60)</f>
        <v>0</v>
      </c>
      <c r="R60" s="58"/>
      <c r="S60" s="55">
        <v>0</v>
      </c>
      <c r="T60" s="57">
        <v>0</v>
      </c>
      <c r="U60" s="57">
        <f>SUM(S60:T60)</f>
        <v>0</v>
      </c>
      <c r="V60" s="59"/>
      <c r="W60" s="124">
        <f t="shared" si="59"/>
        <v>0</v>
      </c>
      <c r="X60" s="57">
        <f t="shared" si="59"/>
        <v>0</v>
      </c>
      <c r="Y60" s="84">
        <f t="shared" si="59"/>
        <v>0</v>
      </c>
    </row>
    <row r="61" spans="1:25" s="61" customFormat="1" x14ac:dyDescent="0.25">
      <c r="A61" s="52"/>
      <c r="B61" s="52"/>
      <c r="C61" s="124">
        <v>0</v>
      </c>
      <c r="D61" s="56">
        <v>0</v>
      </c>
      <c r="E61" s="56">
        <f>SUM(C61:D61)</f>
        <v>0</v>
      </c>
      <c r="F61" s="58"/>
      <c r="G61" s="55">
        <v>0</v>
      </c>
      <c r="H61" s="57">
        <v>0</v>
      </c>
      <c r="I61" s="57">
        <f>SUM(G61:H61)</f>
        <v>0</v>
      </c>
      <c r="J61" s="58"/>
      <c r="K61" s="55">
        <v>0</v>
      </c>
      <c r="L61" s="57">
        <v>0</v>
      </c>
      <c r="M61" s="57">
        <f>SUM(K61:L61)</f>
        <v>0</v>
      </c>
      <c r="N61" s="58"/>
      <c r="O61" s="55">
        <v>0</v>
      </c>
      <c r="P61" s="57">
        <v>0</v>
      </c>
      <c r="Q61" s="57">
        <f>SUM(O61:P61)</f>
        <v>0</v>
      </c>
      <c r="R61" s="58"/>
      <c r="S61" s="55">
        <v>0</v>
      </c>
      <c r="T61" s="57">
        <v>0</v>
      </c>
      <c r="U61" s="57">
        <f>SUM(S61:T61)</f>
        <v>0</v>
      </c>
      <c r="V61" s="59"/>
      <c r="W61" s="124">
        <f t="shared" si="59"/>
        <v>0</v>
      </c>
      <c r="X61" s="57">
        <f t="shared" si="59"/>
        <v>0</v>
      </c>
      <c r="Y61" s="84">
        <f t="shared" si="59"/>
        <v>0</v>
      </c>
    </row>
    <row r="62" spans="1:25" s="61" customFormat="1" x14ac:dyDescent="0.25">
      <c r="A62" s="52"/>
      <c r="B62" s="52"/>
      <c r="C62" s="124">
        <v>0</v>
      </c>
      <c r="D62" s="56">
        <v>0</v>
      </c>
      <c r="E62" s="56">
        <f>SUM(C62:D62)</f>
        <v>0</v>
      </c>
      <c r="F62" s="58"/>
      <c r="G62" s="55">
        <v>0</v>
      </c>
      <c r="H62" s="57">
        <v>0</v>
      </c>
      <c r="I62" s="57">
        <f>SUM(G62:H62)</f>
        <v>0</v>
      </c>
      <c r="J62" s="58"/>
      <c r="K62" s="55">
        <v>0</v>
      </c>
      <c r="L62" s="57">
        <v>0</v>
      </c>
      <c r="M62" s="57">
        <f>SUM(K62:L62)</f>
        <v>0</v>
      </c>
      <c r="N62" s="58"/>
      <c r="O62" s="55">
        <v>0</v>
      </c>
      <c r="P62" s="57">
        <v>0</v>
      </c>
      <c r="Q62" s="57">
        <f>SUM(O62:P62)</f>
        <v>0</v>
      </c>
      <c r="R62" s="58"/>
      <c r="S62" s="55">
        <v>0</v>
      </c>
      <c r="T62" s="57">
        <v>0</v>
      </c>
      <c r="U62" s="57">
        <f>SUM(S62:T62)</f>
        <v>0</v>
      </c>
      <c r="V62" s="59"/>
      <c r="W62" s="124">
        <f t="shared" si="59"/>
        <v>0</v>
      </c>
      <c r="X62" s="57">
        <f t="shared" si="59"/>
        <v>0</v>
      </c>
      <c r="Y62" s="84">
        <f t="shared" si="59"/>
        <v>0</v>
      </c>
    </row>
    <row r="63" spans="1:25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0</v>
      </c>
      <c r="H63" s="125">
        <f>SUM(H59:H62)</f>
        <v>0</v>
      </c>
      <c r="I63" s="125">
        <f>SUM(I59:I62)</f>
        <v>0</v>
      </c>
      <c r="J63" s="81"/>
      <c r="K63" s="79">
        <f>SUM(K59:K62)</f>
        <v>0</v>
      </c>
      <c r="L63" s="125">
        <f>SUM(L59:L62)</f>
        <v>0</v>
      </c>
      <c r="M63" s="125">
        <f>SUM(M59:M62)</f>
        <v>0</v>
      </c>
      <c r="N63" s="81"/>
      <c r="O63" s="79">
        <f>SUM(O59:O62)</f>
        <v>0</v>
      </c>
      <c r="P63" s="125">
        <f>SUM(P59:P62)</f>
        <v>0</v>
      </c>
      <c r="Q63" s="125">
        <f>SUM(Q59:Q62)</f>
        <v>0</v>
      </c>
      <c r="R63" s="81"/>
      <c r="S63" s="79">
        <f>SUM(S59:S62)</f>
        <v>0</v>
      </c>
      <c r="T63" s="125">
        <f>SUM(T59:T62)</f>
        <v>0</v>
      </c>
      <c r="U63" s="125">
        <f>SUM(U59:U62)</f>
        <v>0</v>
      </c>
      <c r="V63" s="82"/>
      <c r="W63" s="228">
        <f t="shared" si="59"/>
        <v>0</v>
      </c>
      <c r="X63" s="80">
        <f t="shared" si="59"/>
        <v>0</v>
      </c>
      <c r="Y63" s="84">
        <f t="shared" si="59"/>
        <v>0</v>
      </c>
    </row>
    <row r="64" spans="1:25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25" s="61" customFormat="1" x14ac:dyDescent="0.25">
      <c r="A65" s="52"/>
      <c r="B65" s="52"/>
      <c r="C65" s="124">
        <v>0</v>
      </c>
      <c r="D65" s="56">
        <v>0</v>
      </c>
      <c r="E65" s="56">
        <f t="shared" ref="E65:E84" si="60">SUM(C65:D65)</f>
        <v>0</v>
      </c>
      <c r="F65" s="58"/>
      <c r="G65" s="55">
        <v>0</v>
      </c>
      <c r="H65" s="57">
        <v>0</v>
      </c>
      <c r="I65" s="57">
        <f t="shared" ref="I65:I84" si="61">SUM(G65:H65)</f>
        <v>0</v>
      </c>
      <c r="J65" s="58"/>
      <c r="K65" s="55">
        <v>0</v>
      </c>
      <c r="L65" s="57">
        <v>0</v>
      </c>
      <c r="M65" s="57">
        <f t="shared" ref="M65:M84" si="62">SUM(K65:L65)</f>
        <v>0</v>
      </c>
      <c r="N65" s="58"/>
      <c r="O65" s="55">
        <v>0</v>
      </c>
      <c r="P65" s="57">
        <v>0</v>
      </c>
      <c r="Q65" s="57">
        <f t="shared" ref="Q65:Q84" si="63">SUM(O65:P65)</f>
        <v>0</v>
      </c>
      <c r="R65" s="58"/>
      <c r="S65" s="55">
        <v>0</v>
      </c>
      <c r="T65" s="57">
        <v>0</v>
      </c>
      <c r="U65" s="57">
        <f t="shared" ref="U65:U84" si="64">SUM(S65:T65)</f>
        <v>0</v>
      </c>
      <c r="V65" s="59"/>
      <c r="W65" s="124">
        <f t="shared" ref="W65:W85" si="65">C65+G65+K65+O65+S65</f>
        <v>0</v>
      </c>
      <c r="X65" s="57">
        <f t="shared" ref="X65:X85" si="66">D65+H65+L65+P65+T65</f>
        <v>0</v>
      </c>
      <c r="Y65" s="84">
        <f t="shared" ref="Y65:Y85" si="67">E65+I65+M65+Q65+U65</f>
        <v>0</v>
      </c>
    </row>
    <row r="66" spans="1:25" s="61" customFormat="1" x14ac:dyDescent="0.25">
      <c r="A66" s="52"/>
      <c r="B66" s="195" t="s">
        <v>106</v>
      </c>
      <c r="C66" s="55">
        <v>0</v>
      </c>
      <c r="D66" s="57">
        <v>9000</v>
      </c>
      <c r="E66" s="57">
        <f t="shared" si="60"/>
        <v>9000</v>
      </c>
      <c r="F66" s="58"/>
      <c r="G66" s="55">
        <v>0</v>
      </c>
      <c r="H66" s="57">
        <f>4000</f>
        <v>4000</v>
      </c>
      <c r="I66" s="57">
        <f t="shared" si="61"/>
        <v>4000</v>
      </c>
      <c r="J66" s="58"/>
      <c r="K66" s="55">
        <f>G66</f>
        <v>0</v>
      </c>
      <c r="L66" s="57">
        <f>H66</f>
        <v>4000</v>
      </c>
      <c r="M66" s="57">
        <f t="shared" si="62"/>
        <v>4000</v>
      </c>
      <c r="N66" s="58"/>
      <c r="O66" s="55">
        <f>K66</f>
        <v>0</v>
      </c>
      <c r="P66" s="57">
        <f>L66</f>
        <v>4000</v>
      </c>
      <c r="Q66" s="57">
        <f t="shared" si="63"/>
        <v>4000</v>
      </c>
      <c r="R66" s="58"/>
      <c r="S66" s="55">
        <f>O66</f>
        <v>0</v>
      </c>
      <c r="T66" s="57">
        <f>P66</f>
        <v>4000</v>
      </c>
      <c r="U66" s="57">
        <f t="shared" si="64"/>
        <v>4000</v>
      </c>
      <c r="V66" s="59"/>
      <c r="W66" s="124">
        <f t="shared" si="65"/>
        <v>0</v>
      </c>
      <c r="X66" s="196">
        <f t="shared" si="66"/>
        <v>25000</v>
      </c>
      <c r="Y66" s="194">
        <f t="shared" si="67"/>
        <v>25000</v>
      </c>
    </row>
    <row r="67" spans="1:25" s="61" customFormat="1" x14ac:dyDescent="0.25">
      <c r="A67" s="52"/>
      <c r="B67" s="195" t="s">
        <v>78</v>
      </c>
      <c r="C67" s="55">
        <f>3*4000*0</f>
        <v>0</v>
      </c>
      <c r="D67" s="57">
        <f>2*3500</f>
        <v>7000</v>
      </c>
      <c r="E67" s="57">
        <f t="shared" si="60"/>
        <v>7000</v>
      </c>
      <c r="F67" s="58"/>
      <c r="G67" s="55">
        <f>C67</f>
        <v>0</v>
      </c>
      <c r="H67" s="57">
        <f>D67</f>
        <v>7000</v>
      </c>
      <c r="I67" s="57">
        <f t="shared" si="61"/>
        <v>7000</v>
      </c>
      <c r="J67" s="58"/>
      <c r="K67" s="55">
        <f>G67</f>
        <v>0</v>
      </c>
      <c r="L67" s="57">
        <f>H67</f>
        <v>7000</v>
      </c>
      <c r="M67" s="57">
        <f t="shared" si="62"/>
        <v>7000</v>
      </c>
      <c r="N67" s="58"/>
      <c r="O67" s="55">
        <f>K67</f>
        <v>0</v>
      </c>
      <c r="P67" s="57">
        <f>L67</f>
        <v>7000</v>
      </c>
      <c r="Q67" s="57">
        <f t="shared" si="63"/>
        <v>7000</v>
      </c>
      <c r="R67" s="58"/>
      <c r="S67" s="55">
        <f>O67</f>
        <v>0</v>
      </c>
      <c r="T67" s="57">
        <f>P67</f>
        <v>7000</v>
      </c>
      <c r="U67" s="57">
        <f t="shared" si="64"/>
        <v>7000</v>
      </c>
      <c r="V67" s="59"/>
      <c r="W67" s="124">
        <f t="shared" si="65"/>
        <v>0</v>
      </c>
      <c r="X67" s="196">
        <f t="shared" si="66"/>
        <v>35000</v>
      </c>
      <c r="Y67" s="194">
        <f t="shared" si="67"/>
        <v>35000</v>
      </c>
    </row>
    <row r="68" spans="1:25" s="61" customFormat="1" x14ac:dyDescent="0.25">
      <c r="A68" s="54"/>
      <c r="B68" s="54" t="s">
        <v>57</v>
      </c>
      <c r="C68" s="55">
        <v>0</v>
      </c>
      <c r="D68" s="57">
        <v>0</v>
      </c>
      <c r="E68" s="57">
        <f t="shared" si="60"/>
        <v>0</v>
      </c>
      <c r="F68" s="58"/>
      <c r="G68" s="55">
        <f>C68</f>
        <v>0</v>
      </c>
      <c r="H68" s="57">
        <v>0</v>
      </c>
      <c r="I68" s="57">
        <f t="shared" si="61"/>
        <v>0</v>
      </c>
      <c r="J68" s="58"/>
      <c r="K68" s="55">
        <f>G68</f>
        <v>0</v>
      </c>
      <c r="L68" s="57">
        <v>0</v>
      </c>
      <c r="M68" s="57">
        <f t="shared" si="62"/>
        <v>0</v>
      </c>
      <c r="N68" s="58"/>
      <c r="O68" s="55">
        <f>K68</f>
        <v>0</v>
      </c>
      <c r="P68" s="57">
        <v>0</v>
      </c>
      <c r="Q68" s="57">
        <f t="shared" si="63"/>
        <v>0</v>
      </c>
      <c r="R68" s="58"/>
      <c r="S68" s="55">
        <f>O68</f>
        <v>0</v>
      </c>
      <c r="T68" s="57">
        <v>0</v>
      </c>
      <c r="U68" s="57">
        <f t="shared" si="64"/>
        <v>0</v>
      </c>
      <c r="V68" s="59"/>
      <c r="W68" s="124">
        <f t="shared" si="65"/>
        <v>0</v>
      </c>
      <c r="X68" s="56">
        <f t="shared" si="66"/>
        <v>0</v>
      </c>
      <c r="Y68" s="85">
        <f t="shared" si="67"/>
        <v>0</v>
      </c>
    </row>
    <row r="69" spans="1:25" s="61" customFormat="1" x14ac:dyDescent="0.25">
      <c r="A69" s="52"/>
      <c r="B69" s="195" t="s">
        <v>123</v>
      </c>
      <c r="C69" s="55">
        <f>10000*0</f>
        <v>0</v>
      </c>
      <c r="D69" s="57">
        <v>0</v>
      </c>
      <c r="E69" s="57">
        <f t="shared" si="60"/>
        <v>0</v>
      </c>
      <c r="F69" s="58"/>
      <c r="G69" s="55">
        <f>C69</f>
        <v>0</v>
      </c>
      <c r="H69" s="57">
        <v>0</v>
      </c>
      <c r="I69" s="57">
        <f t="shared" si="61"/>
        <v>0</v>
      </c>
      <c r="J69" s="58"/>
      <c r="K69" s="55">
        <f>(G69+20000)*0</f>
        <v>0</v>
      </c>
      <c r="L69" s="57">
        <v>20000</v>
      </c>
      <c r="M69" s="57">
        <f t="shared" si="62"/>
        <v>20000</v>
      </c>
      <c r="N69" s="58"/>
      <c r="O69" s="55">
        <f>K69</f>
        <v>0</v>
      </c>
      <c r="P69" s="57">
        <v>0</v>
      </c>
      <c r="Q69" s="57">
        <f t="shared" si="63"/>
        <v>0</v>
      </c>
      <c r="R69" s="58"/>
      <c r="S69" s="55">
        <f>O69</f>
        <v>0</v>
      </c>
      <c r="T69" s="57">
        <v>0</v>
      </c>
      <c r="U69" s="57">
        <f t="shared" si="64"/>
        <v>0</v>
      </c>
      <c r="V69" s="59"/>
      <c r="W69" s="124">
        <f t="shared" si="65"/>
        <v>0</v>
      </c>
      <c r="X69" s="57">
        <f t="shared" si="66"/>
        <v>20000</v>
      </c>
      <c r="Y69" s="84">
        <f t="shared" si="67"/>
        <v>20000</v>
      </c>
    </row>
    <row r="70" spans="1:25" s="61" customFormat="1" x14ac:dyDescent="0.25">
      <c r="A70" s="52"/>
      <c r="B70" s="54" t="s">
        <v>198</v>
      </c>
      <c r="C70" s="55">
        <f>30000*0</f>
        <v>0</v>
      </c>
      <c r="D70" s="57">
        <v>0</v>
      </c>
      <c r="E70" s="57">
        <f t="shared" si="60"/>
        <v>0</v>
      </c>
      <c r="F70" s="58"/>
      <c r="G70" s="55">
        <v>5000</v>
      </c>
      <c r="H70" s="57">
        <v>0</v>
      </c>
      <c r="I70" s="57">
        <f t="shared" si="61"/>
        <v>5000</v>
      </c>
      <c r="J70" s="58"/>
      <c r="K70" s="55">
        <f>G70*0</f>
        <v>0</v>
      </c>
      <c r="L70" s="57">
        <v>0</v>
      </c>
      <c r="M70" s="57">
        <f t="shared" si="62"/>
        <v>0</v>
      </c>
      <c r="N70" s="58"/>
      <c r="O70" s="55">
        <f>K70+5000</f>
        <v>5000</v>
      </c>
      <c r="P70" s="57">
        <v>0</v>
      </c>
      <c r="Q70" s="57">
        <f t="shared" si="63"/>
        <v>5000</v>
      </c>
      <c r="R70" s="58"/>
      <c r="S70" s="55">
        <f>O70*0</f>
        <v>0</v>
      </c>
      <c r="T70" s="57">
        <v>0</v>
      </c>
      <c r="U70" s="57">
        <f t="shared" si="64"/>
        <v>0</v>
      </c>
      <c r="V70" s="59"/>
      <c r="W70" s="124">
        <f t="shared" si="65"/>
        <v>10000</v>
      </c>
      <c r="X70" s="57">
        <f t="shared" si="66"/>
        <v>0</v>
      </c>
      <c r="Y70" s="84">
        <f t="shared" si="67"/>
        <v>10000</v>
      </c>
    </row>
    <row r="71" spans="1:25" s="61" customFormat="1" x14ac:dyDescent="0.25">
      <c r="A71" s="52"/>
      <c r="B71" s="52"/>
      <c r="C71" s="124">
        <v>0</v>
      </c>
      <c r="D71" s="56">
        <v>0</v>
      </c>
      <c r="E71" s="56">
        <f t="shared" si="60"/>
        <v>0</v>
      </c>
      <c r="F71" s="58"/>
      <c r="G71" s="55">
        <v>0</v>
      </c>
      <c r="H71" s="57">
        <v>0</v>
      </c>
      <c r="I71" s="57">
        <f t="shared" si="61"/>
        <v>0</v>
      </c>
      <c r="J71" s="58"/>
      <c r="K71" s="55">
        <v>0</v>
      </c>
      <c r="L71" s="57">
        <v>0</v>
      </c>
      <c r="M71" s="57">
        <f t="shared" si="62"/>
        <v>0</v>
      </c>
      <c r="N71" s="58"/>
      <c r="O71" s="55">
        <v>0</v>
      </c>
      <c r="P71" s="57">
        <v>0</v>
      </c>
      <c r="Q71" s="57">
        <f t="shared" si="63"/>
        <v>0</v>
      </c>
      <c r="R71" s="58"/>
      <c r="S71" s="55">
        <v>0</v>
      </c>
      <c r="T71" s="57">
        <v>0</v>
      </c>
      <c r="U71" s="57">
        <f t="shared" si="64"/>
        <v>0</v>
      </c>
      <c r="V71" s="59"/>
      <c r="W71" s="124">
        <f t="shared" si="65"/>
        <v>0</v>
      </c>
      <c r="X71" s="57">
        <f t="shared" si="66"/>
        <v>0</v>
      </c>
      <c r="Y71" s="84">
        <f t="shared" si="67"/>
        <v>0</v>
      </c>
    </row>
    <row r="72" spans="1:25" s="61" customFormat="1" x14ac:dyDescent="0.25">
      <c r="A72" s="52"/>
      <c r="B72" s="52"/>
      <c r="C72" s="124">
        <v>0</v>
      </c>
      <c r="D72" s="56">
        <v>0</v>
      </c>
      <c r="E72" s="56">
        <f t="shared" si="60"/>
        <v>0</v>
      </c>
      <c r="F72" s="58"/>
      <c r="G72" s="55">
        <v>0</v>
      </c>
      <c r="H72" s="57">
        <v>0</v>
      </c>
      <c r="I72" s="57">
        <f t="shared" si="61"/>
        <v>0</v>
      </c>
      <c r="J72" s="58"/>
      <c r="K72" s="55">
        <v>0</v>
      </c>
      <c r="L72" s="57">
        <v>0</v>
      </c>
      <c r="M72" s="57">
        <f t="shared" si="62"/>
        <v>0</v>
      </c>
      <c r="N72" s="58"/>
      <c r="O72" s="55">
        <v>0</v>
      </c>
      <c r="P72" s="57">
        <v>0</v>
      </c>
      <c r="Q72" s="57">
        <f t="shared" si="63"/>
        <v>0</v>
      </c>
      <c r="R72" s="58"/>
      <c r="S72" s="55">
        <v>0</v>
      </c>
      <c r="T72" s="57">
        <v>0</v>
      </c>
      <c r="U72" s="57">
        <f t="shared" si="64"/>
        <v>0</v>
      </c>
      <c r="V72" s="59"/>
      <c r="W72" s="124">
        <f t="shared" si="65"/>
        <v>0</v>
      </c>
      <c r="X72" s="57">
        <f t="shared" si="66"/>
        <v>0</v>
      </c>
      <c r="Y72" s="84">
        <f t="shared" si="67"/>
        <v>0</v>
      </c>
    </row>
    <row r="73" spans="1:25" s="61" customFormat="1" x14ac:dyDescent="0.25">
      <c r="A73" s="87"/>
      <c r="B73" s="54"/>
      <c r="C73" s="124">
        <v>0</v>
      </c>
      <c r="D73" s="56">
        <v>0</v>
      </c>
      <c r="E73" s="56">
        <f t="shared" si="60"/>
        <v>0</v>
      </c>
      <c r="F73" s="58"/>
      <c r="G73" s="55">
        <v>0</v>
      </c>
      <c r="H73" s="57">
        <v>0</v>
      </c>
      <c r="I73" s="57">
        <f t="shared" si="61"/>
        <v>0</v>
      </c>
      <c r="J73" s="58"/>
      <c r="K73" s="55">
        <v>0</v>
      </c>
      <c r="L73" s="57">
        <v>0</v>
      </c>
      <c r="M73" s="57">
        <f t="shared" si="62"/>
        <v>0</v>
      </c>
      <c r="N73" s="58"/>
      <c r="O73" s="55">
        <v>0</v>
      </c>
      <c r="P73" s="57">
        <v>0</v>
      </c>
      <c r="Q73" s="57">
        <f t="shared" si="63"/>
        <v>0</v>
      </c>
      <c r="R73" s="58"/>
      <c r="S73" s="55">
        <v>0</v>
      </c>
      <c r="T73" s="57">
        <v>0</v>
      </c>
      <c r="U73" s="57">
        <f t="shared" si="64"/>
        <v>0</v>
      </c>
      <c r="V73" s="59"/>
      <c r="W73" s="124">
        <f t="shared" si="65"/>
        <v>0</v>
      </c>
      <c r="X73" s="57">
        <f t="shared" si="66"/>
        <v>0</v>
      </c>
      <c r="Y73" s="84">
        <f t="shared" si="67"/>
        <v>0</v>
      </c>
    </row>
    <row r="74" spans="1:25" s="61" customFormat="1" x14ac:dyDescent="0.25">
      <c r="A74" s="87"/>
      <c r="B74" s="54"/>
      <c r="C74" s="124">
        <v>0</v>
      </c>
      <c r="D74" s="56">
        <v>0</v>
      </c>
      <c r="E74" s="56">
        <f t="shared" si="60"/>
        <v>0</v>
      </c>
      <c r="F74" s="58"/>
      <c r="G74" s="55">
        <v>0</v>
      </c>
      <c r="H74" s="57">
        <v>0</v>
      </c>
      <c r="I74" s="57">
        <f t="shared" si="61"/>
        <v>0</v>
      </c>
      <c r="J74" s="58"/>
      <c r="K74" s="55">
        <v>0</v>
      </c>
      <c r="L74" s="57">
        <v>0</v>
      </c>
      <c r="M74" s="57">
        <f t="shared" si="62"/>
        <v>0</v>
      </c>
      <c r="N74" s="58"/>
      <c r="O74" s="55">
        <v>0</v>
      </c>
      <c r="P74" s="57">
        <v>0</v>
      </c>
      <c r="Q74" s="57">
        <f t="shared" si="63"/>
        <v>0</v>
      </c>
      <c r="R74" s="58"/>
      <c r="S74" s="55">
        <v>0</v>
      </c>
      <c r="T74" s="57">
        <v>0</v>
      </c>
      <c r="U74" s="57">
        <f t="shared" si="64"/>
        <v>0</v>
      </c>
      <c r="V74" s="59"/>
      <c r="W74" s="124">
        <f t="shared" si="65"/>
        <v>0</v>
      </c>
      <c r="X74" s="57">
        <f t="shared" si="66"/>
        <v>0</v>
      </c>
      <c r="Y74" s="84">
        <f t="shared" si="67"/>
        <v>0</v>
      </c>
    </row>
    <row r="75" spans="1:25" s="61" customFormat="1" x14ac:dyDescent="0.25">
      <c r="A75" s="87"/>
      <c r="B75" s="54"/>
      <c r="C75" s="124">
        <v>0</v>
      </c>
      <c r="D75" s="56">
        <v>0</v>
      </c>
      <c r="E75" s="56">
        <f t="shared" si="60"/>
        <v>0</v>
      </c>
      <c r="F75" s="58"/>
      <c r="G75" s="55">
        <v>0</v>
      </c>
      <c r="H75" s="57">
        <v>0</v>
      </c>
      <c r="I75" s="57">
        <f t="shared" si="61"/>
        <v>0</v>
      </c>
      <c r="J75" s="58"/>
      <c r="K75" s="55">
        <v>0</v>
      </c>
      <c r="L75" s="57">
        <v>0</v>
      </c>
      <c r="M75" s="57">
        <f t="shared" si="62"/>
        <v>0</v>
      </c>
      <c r="N75" s="58"/>
      <c r="O75" s="55">
        <v>0</v>
      </c>
      <c r="P75" s="57">
        <v>0</v>
      </c>
      <c r="Q75" s="57">
        <f t="shared" si="63"/>
        <v>0</v>
      </c>
      <c r="R75" s="58"/>
      <c r="S75" s="55">
        <v>0</v>
      </c>
      <c r="T75" s="57">
        <v>0</v>
      </c>
      <c r="U75" s="57">
        <f t="shared" si="64"/>
        <v>0</v>
      </c>
      <c r="V75" s="59"/>
      <c r="W75" s="124">
        <f t="shared" si="65"/>
        <v>0</v>
      </c>
      <c r="X75" s="57">
        <f t="shared" si="66"/>
        <v>0</v>
      </c>
      <c r="Y75" s="84">
        <f t="shared" si="67"/>
        <v>0</v>
      </c>
    </row>
    <row r="76" spans="1:25" s="61" customFormat="1" x14ac:dyDescent="0.25">
      <c r="A76" s="87"/>
      <c r="B76" s="54"/>
      <c r="C76" s="124">
        <v>0</v>
      </c>
      <c r="D76" s="56">
        <v>0</v>
      </c>
      <c r="E76" s="56">
        <f t="shared" si="60"/>
        <v>0</v>
      </c>
      <c r="F76" s="58"/>
      <c r="G76" s="55">
        <v>0</v>
      </c>
      <c r="H76" s="57">
        <v>0</v>
      </c>
      <c r="I76" s="57">
        <f t="shared" si="61"/>
        <v>0</v>
      </c>
      <c r="J76" s="58"/>
      <c r="K76" s="55">
        <v>0</v>
      </c>
      <c r="L76" s="57">
        <v>0</v>
      </c>
      <c r="M76" s="57">
        <f t="shared" si="62"/>
        <v>0</v>
      </c>
      <c r="N76" s="58"/>
      <c r="O76" s="55">
        <v>0</v>
      </c>
      <c r="P76" s="57">
        <v>0</v>
      </c>
      <c r="Q76" s="57">
        <f t="shared" si="63"/>
        <v>0</v>
      </c>
      <c r="R76" s="58"/>
      <c r="S76" s="55">
        <v>0</v>
      </c>
      <c r="T76" s="57">
        <v>0</v>
      </c>
      <c r="U76" s="57">
        <f t="shared" si="64"/>
        <v>0</v>
      </c>
      <c r="V76" s="59"/>
      <c r="W76" s="124">
        <f t="shared" si="65"/>
        <v>0</v>
      </c>
      <c r="X76" s="57">
        <f t="shared" si="66"/>
        <v>0</v>
      </c>
      <c r="Y76" s="84">
        <f t="shared" si="67"/>
        <v>0</v>
      </c>
    </row>
    <row r="77" spans="1:25" s="61" customFormat="1" x14ac:dyDescent="0.25">
      <c r="A77" s="87"/>
      <c r="B77" s="54"/>
      <c r="C77" s="124">
        <v>0</v>
      </c>
      <c r="D77" s="56">
        <v>0</v>
      </c>
      <c r="E77" s="56">
        <f t="shared" si="60"/>
        <v>0</v>
      </c>
      <c r="F77" s="58"/>
      <c r="G77" s="55">
        <v>0</v>
      </c>
      <c r="H77" s="57">
        <v>0</v>
      </c>
      <c r="I77" s="57">
        <f t="shared" si="61"/>
        <v>0</v>
      </c>
      <c r="J77" s="58"/>
      <c r="K77" s="55">
        <v>0</v>
      </c>
      <c r="L77" s="57">
        <v>0</v>
      </c>
      <c r="M77" s="57">
        <f t="shared" si="62"/>
        <v>0</v>
      </c>
      <c r="N77" s="58"/>
      <c r="O77" s="55">
        <v>0</v>
      </c>
      <c r="P77" s="57">
        <v>0</v>
      </c>
      <c r="Q77" s="57">
        <f t="shared" si="63"/>
        <v>0</v>
      </c>
      <c r="R77" s="58"/>
      <c r="S77" s="55">
        <v>0</v>
      </c>
      <c r="T77" s="57">
        <v>0</v>
      </c>
      <c r="U77" s="57">
        <f t="shared" si="64"/>
        <v>0</v>
      </c>
      <c r="V77" s="59"/>
      <c r="W77" s="124">
        <f t="shared" si="65"/>
        <v>0</v>
      </c>
      <c r="X77" s="57">
        <f t="shared" si="66"/>
        <v>0</v>
      </c>
      <c r="Y77" s="84">
        <f t="shared" si="67"/>
        <v>0</v>
      </c>
    </row>
    <row r="78" spans="1:25" s="61" customFormat="1" x14ac:dyDescent="0.25">
      <c r="A78" s="87"/>
      <c r="B78" s="54"/>
      <c r="C78" s="124">
        <v>0</v>
      </c>
      <c r="D78" s="56">
        <v>0</v>
      </c>
      <c r="E78" s="56">
        <f t="shared" si="60"/>
        <v>0</v>
      </c>
      <c r="F78" s="58"/>
      <c r="G78" s="55">
        <v>0</v>
      </c>
      <c r="H78" s="57">
        <v>0</v>
      </c>
      <c r="I78" s="57">
        <f t="shared" si="61"/>
        <v>0</v>
      </c>
      <c r="J78" s="58"/>
      <c r="K78" s="55">
        <v>0</v>
      </c>
      <c r="L78" s="57">
        <v>0</v>
      </c>
      <c r="M78" s="57">
        <f t="shared" si="62"/>
        <v>0</v>
      </c>
      <c r="N78" s="58"/>
      <c r="O78" s="55">
        <v>0</v>
      </c>
      <c r="P78" s="57">
        <v>0</v>
      </c>
      <c r="Q78" s="57">
        <f t="shared" si="63"/>
        <v>0</v>
      </c>
      <c r="R78" s="58"/>
      <c r="S78" s="55">
        <v>0</v>
      </c>
      <c r="T78" s="57">
        <v>0</v>
      </c>
      <c r="U78" s="57">
        <f t="shared" si="64"/>
        <v>0</v>
      </c>
      <c r="V78" s="59"/>
      <c r="W78" s="124">
        <f t="shared" si="65"/>
        <v>0</v>
      </c>
      <c r="X78" s="57">
        <f t="shared" si="66"/>
        <v>0</v>
      </c>
      <c r="Y78" s="84">
        <f t="shared" si="67"/>
        <v>0</v>
      </c>
    </row>
    <row r="79" spans="1:25" s="61" customFormat="1" x14ac:dyDescent="0.25">
      <c r="A79" s="87"/>
      <c r="B79" s="54"/>
      <c r="C79" s="124">
        <v>0</v>
      </c>
      <c r="D79" s="56">
        <v>0</v>
      </c>
      <c r="E79" s="56">
        <f t="shared" si="60"/>
        <v>0</v>
      </c>
      <c r="F79" s="58"/>
      <c r="G79" s="55">
        <v>0</v>
      </c>
      <c r="H79" s="57">
        <v>0</v>
      </c>
      <c r="I79" s="57">
        <f t="shared" si="61"/>
        <v>0</v>
      </c>
      <c r="J79" s="58"/>
      <c r="K79" s="55">
        <v>0</v>
      </c>
      <c r="L79" s="57">
        <v>0</v>
      </c>
      <c r="M79" s="57">
        <f t="shared" si="62"/>
        <v>0</v>
      </c>
      <c r="N79" s="58"/>
      <c r="O79" s="55">
        <v>0</v>
      </c>
      <c r="P79" s="57">
        <v>0</v>
      </c>
      <c r="Q79" s="57">
        <f t="shared" si="63"/>
        <v>0</v>
      </c>
      <c r="R79" s="58"/>
      <c r="S79" s="55">
        <v>0</v>
      </c>
      <c r="T79" s="57">
        <v>0</v>
      </c>
      <c r="U79" s="57">
        <f t="shared" si="64"/>
        <v>0</v>
      </c>
      <c r="V79" s="59"/>
      <c r="W79" s="124">
        <f t="shared" si="65"/>
        <v>0</v>
      </c>
      <c r="X79" s="57">
        <f t="shared" si="66"/>
        <v>0</v>
      </c>
      <c r="Y79" s="84">
        <f t="shared" si="67"/>
        <v>0</v>
      </c>
    </row>
    <row r="80" spans="1:25" s="61" customFormat="1" x14ac:dyDescent="0.25">
      <c r="A80" s="52"/>
      <c r="B80" s="52"/>
      <c r="C80" s="124">
        <v>0</v>
      </c>
      <c r="D80" s="56">
        <v>0</v>
      </c>
      <c r="E80" s="56">
        <f t="shared" si="60"/>
        <v>0</v>
      </c>
      <c r="F80" s="58"/>
      <c r="G80" s="55">
        <v>0</v>
      </c>
      <c r="H80" s="57">
        <v>0</v>
      </c>
      <c r="I80" s="57">
        <f t="shared" si="61"/>
        <v>0</v>
      </c>
      <c r="J80" s="58"/>
      <c r="K80" s="55">
        <v>0</v>
      </c>
      <c r="L80" s="57">
        <v>0</v>
      </c>
      <c r="M80" s="57">
        <f t="shared" si="62"/>
        <v>0</v>
      </c>
      <c r="N80" s="58"/>
      <c r="O80" s="55">
        <v>0</v>
      </c>
      <c r="P80" s="57">
        <v>0</v>
      </c>
      <c r="Q80" s="57">
        <f t="shared" si="63"/>
        <v>0</v>
      </c>
      <c r="R80" s="58"/>
      <c r="S80" s="55">
        <v>0</v>
      </c>
      <c r="T80" s="57">
        <v>0</v>
      </c>
      <c r="U80" s="57">
        <f t="shared" si="64"/>
        <v>0</v>
      </c>
      <c r="V80" s="59"/>
      <c r="W80" s="124">
        <f t="shared" si="65"/>
        <v>0</v>
      </c>
      <c r="X80" s="57">
        <f t="shared" si="66"/>
        <v>0</v>
      </c>
      <c r="Y80" s="84">
        <f t="shared" si="67"/>
        <v>0</v>
      </c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60"/>
        <v>0</v>
      </c>
      <c r="F81" s="58"/>
      <c r="G81" s="55">
        <v>0</v>
      </c>
      <c r="H81" s="57">
        <v>0</v>
      </c>
      <c r="I81" s="57">
        <f t="shared" si="61"/>
        <v>0</v>
      </c>
      <c r="J81" s="58"/>
      <c r="K81" s="55">
        <v>0</v>
      </c>
      <c r="L81" s="57">
        <v>0</v>
      </c>
      <c r="M81" s="57">
        <f t="shared" si="62"/>
        <v>0</v>
      </c>
      <c r="N81" s="58"/>
      <c r="O81" s="55">
        <v>0</v>
      </c>
      <c r="P81" s="57">
        <v>0</v>
      </c>
      <c r="Q81" s="57">
        <f t="shared" si="63"/>
        <v>0</v>
      </c>
      <c r="R81" s="58"/>
      <c r="S81" s="55">
        <v>0</v>
      </c>
      <c r="T81" s="57">
        <v>0</v>
      </c>
      <c r="U81" s="57">
        <f t="shared" si="64"/>
        <v>0</v>
      </c>
      <c r="V81" s="59"/>
      <c r="W81" s="124">
        <f t="shared" si="65"/>
        <v>0</v>
      </c>
      <c r="X81" s="57">
        <f t="shared" si="66"/>
        <v>0</v>
      </c>
      <c r="Y81" s="84">
        <f t="shared" si="67"/>
        <v>0</v>
      </c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60"/>
        <v>0</v>
      </c>
      <c r="F82" s="58"/>
      <c r="G82" s="55">
        <v>0</v>
      </c>
      <c r="H82" s="57">
        <v>0</v>
      </c>
      <c r="I82" s="57">
        <f t="shared" si="61"/>
        <v>0</v>
      </c>
      <c r="J82" s="58"/>
      <c r="K82" s="55">
        <v>0</v>
      </c>
      <c r="L82" s="57">
        <v>0</v>
      </c>
      <c r="M82" s="57">
        <f t="shared" si="62"/>
        <v>0</v>
      </c>
      <c r="N82" s="58"/>
      <c r="O82" s="55">
        <v>0</v>
      </c>
      <c r="P82" s="57">
        <v>0</v>
      </c>
      <c r="Q82" s="57">
        <f t="shared" si="63"/>
        <v>0</v>
      </c>
      <c r="R82" s="58"/>
      <c r="S82" s="55">
        <v>0</v>
      </c>
      <c r="T82" s="57">
        <v>0</v>
      </c>
      <c r="U82" s="57">
        <f t="shared" si="64"/>
        <v>0</v>
      </c>
      <c r="V82" s="59"/>
      <c r="W82" s="124">
        <f t="shared" si="65"/>
        <v>0</v>
      </c>
      <c r="X82" s="57">
        <f t="shared" si="66"/>
        <v>0</v>
      </c>
      <c r="Y82" s="84">
        <f t="shared" si="67"/>
        <v>0</v>
      </c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60"/>
        <v>0</v>
      </c>
      <c r="F83" s="58"/>
      <c r="G83" s="55">
        <v>0</v>
      </c>
      <c r="H83" s="57">
        <v>0</v>
      </c>
      <c r="I83" s="57">
        <f t="shared" si="61"/>
        <v>0</v>
      </c>
      <c r="J83" s="58"/>
      <c r="K83" s="55">
        <v>0</v>
      </c>
      <c r="L83" s="57">
        <v>0</v>
      </c>
      <c r="M83" s="57">
        <f t="shared" si="62"/>
        <v>0</v>
      </c>
      <c r="N83" s="58"/>
      <c r="O83" s="55">
        <v>0</v>
      </c>
      <c r="P83" s="57">
        <v>0</v>
      </c>
      <c r="Q83" s="57">
        <f t="shared" si="63"/>
        <v>0</v>
      </c>
      <c r="R83" s="58"/>
      <c r="S83" s="55">
        <v>0</v>
      </c>
      <c r="T83" s="57">
        <v>0</v>
      </c>
      <c r="U83" s="57">
        <f t="shared" si="64"/>
        <v>0</v>
      </c>
      <c r="V83" s="59"/>
      <c r="W83" s="124">
        <f t="shared" si="65"/>
        <v>0</v>
      </c>
      <c r="X83" s="57">
        <f t="shared" si="66"/>
        <v>0</v>
      </c>
      <c r="Y83" s="84">
        <f t="shared" si="67"/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60"/>
        <v>0</v>
      </c>
      <c r="F84" s="58"/>
      <c r="G84" s="55">
        <v>0</v>
      </c>
      <c r="H84" s="57">
        <v>0</v>
      </c>
      <c r="I84" s="57">
        <f t="shared" si="61"/>
        <v>0</v>
      </c>
      <c r="J84" s="58"/>
      <c r="K84" s="55">
        <v>0</v>
      </c>
      <c r="L84" s="57">
        <v>0</v>
      </c>
      <c r="M84" s="57">
        <f t="shared" si="62"/>
        <v>0</v>
      </c>
      <c r="N84" s="58"/>
      <c r="O84" s="55">
        <v>0</v>
      </c>
      <c r="P84" s="57">
        <v>0</v>
      </c>
      <c r="Q84" s="57">
        <f t="shared" si="63"/>
        <v>0</v>
      </c>
      <c r="R84" s="58"/>
      <c r="S84" s="55">
        <v>0</v>
      </c>
      <c r="T84" s="57">
        <v>0</v>
      </c>
      <c r="U84" s="57">
        <f t="shared" si="64"/>
        <v>0</v>
      </c>
      <c r="V84" s="59"/>
      <c r="W84" s="124">
        <f t="shared" si="65"/>
        <v>0</v>
      </c>
      <c r="X84" s="57">
        <f t="shared" si="66"/>
        <v>0</v>
      </c>
      <c r="Y84" s="84">
        <f t="shared" si="67"/>
        <v>0</v>
      </c>
    </row>
    <row r="85" spans="1:77" s="83" customFormat="1" x14ac:dyDescent="0.25">
      <c r="A85" s="78"/>
      <c r="B85" s="78" t="s">
        <v>9</v>
      </c>
      <c r="C85" s="229">
        <f>SUM(C65:C84)</f>
        <v>0</v>
      </c>
      <c r="D85" s="153">
        <f>SUM(D65:D84)</f>
        <v>16000</v>
      </c>
      <c r="E85" s="153">
        <f>SUM(E65:E84)</f>
        <v>16000</v>
      </c>
      <c r="F85" s="154"/>
      <c r="G85" s="152">
        <f>SUM(G65:G84)</f>
        <v>5000</v>
      </c>
      <c r="H85" s="153">
        <f>SUM(H65:H84)</f>
        <v>11000</v>
      </c>
      <c r="I85" s="153">
        <f>SUM(I65:I84)</f>
        <v>16000</v>
      </c>
      <c r="J85" s="154"/>
      <c r="K85" s="152">
        <f>SUM(K65:K84)</f>
        <v>0</v>
      </c>
      <c r="L85" s="153">
        <f>SUM(L65:L84)</f>
        <v>31000</v>
      </c>
      <c r="M85" s="153">
        <f>SUM(M65:M84)</f>
        <v>31000</v>
      </c>
      <c r="N85" s="154"/>
      <c r="O85" s="152">
        <f>SUM(O65:O84)</f>
        <v>5000</v>
      </c>
      <c r="P85" s="153">
        <f>SUM(P65:P84)</f>
        <v>11000</v>
      </c>
      <c r="Q85" s="153">
        <f>SUM(Q65:Q84)</f>
        <v>16000</v>
      </c>
      <c r="R85" s="154"/>
      <c r="S85" s="152">
        <f>SUM(S65:S84)</f>
        <v>0</v>
      </c>
      <c r="T85" s="153">
        <f>SUM(T65:T84)</f>
        <v>11000</v>
      </c>
      <c r="U85" s="153">
        <f>SUM(U65:U84)</f>
        <v>11000</v>
      </c>
      <c r="V85" s="82"/>
      <c r="W85" s="228">
        <f t="shared" si="65"/>
        <v>10000</v>
      </c>
      <c r="X85" s="80">
        <f t="shared" si="66"/>
        <v>80000</v>
      </c>
      <c r="Y85" s="80">
        <f t="shared" si="67"/>
        <v>90000</v>
      </c>
    </row>
    <row r="86" spans="1:77" s="97" customFormat="1" x14ac:dyDescent="0.25">
      <c r="A86" s="89" t="s">
        <v>28</v>
      </c>
      <c r="B86" s="89"/>
      <c r="C86" s="95">
        <f>C85+C63+C57+C49+C37</f>
        <v>26391.154399999999</v>
      </c>
      <c r="D86" s="95">
        <f t="shared" ref="D86:X86" si="68">D85+D63+D57+D49+D37</f>
        <v>37112.923519999997</v>
      </c>
      <c r="E86" s="95">
        <f>SUM(C86:D86)</f>
        <v>63504.077919999996</v>
      </c>
      <c r="F86" s="95"/>
      <c r="G86" s="95">
        <f t="shared" si="68"/>
        <v>32424.089314960002</v>
      </c>
      <c r="H86" s="95">
        <f t="shared" si="68"/>
        <v>32939.271451968001</v>
      </c>
      <c r="I86" s="95">
        <f>SUM(G86:H86)</f>
        <v>65363.360766928003</v>
      </c>
      <c r="J86" s="95"/>
      <c r="K86" s="95">
        <f t="shared" si="68"/>
        <v>28502.701374601063</v>
      </c>
      <c r="L86" s="95">
        <f t="shared" si="68"/>
        <v>53802.161099680852</v>
      </c>
      <c r="M86" s="95">
        <f>SUM(K86:L86)</f>
        <v>82304.862474281923</v>
      </c>
      <c r="N86" s="95"/>
      <c r="O86" s="95">
        <f t="shared" si="68"/>
        <v>34629.255459285072</v>
      </c>
      <c r="P86" s="95">
        <f t="shared" si="68"/>
        <v>34703.404367428055</v>
      </c>
      <c r="Q86" s="95">
        <f>SUM(O86:P86)</f>
        <v>69332.659826713119</v>
      </c>
      <c r="R86" s="95"/>
      <c r="S86" s="95">
        <f t="shared" si="68"/>
        <v>30806.138874855453</v>
      </c>
      <c r="T86" s="95">
        <f t="shared" si="68"/>
        <v>35644.911099884368</v>
      </c>
      <c r="U86" s="95">
        <f>SUM(S86:T86)</f>
        <v>66451.049974739813</v>
      </c>
      <c r="V86" s="95"/>
      <c r="W86" s="95">
        <f t="shared" si="68"/>
        <v>152753.33942370157</v>
      </c>
      <c r="X86" s="95">
        <f t="shared" si="68"/>
        <v>194202.67153896129</v>
      </c>
      <c r="Y86" s="95">
        <f>SUM(W86:X86)</f>
        <v>346956.01096266287</v>
      </c>
      <c r="Z86" s="96"/>
      <c r="AA86" s="96">
        <f>Y86-W86</f>
        <v>194202.67153896129</v>
      </c>
    </row>
    <row r="87" spans="1:77" s="97" customFormat="1" x14ac:dyDescent="0.25">
      <c r="A87" s="89" t="s">
        <v>27</v>
      </c>
      <c r="B87" s="89"/>
      <c r="C87" s="95">
        <f>(C37+C57+C85)*0.5</f>
        <v>13195.5772</v>
      </c>
      <c r="D87" s="95">
        <v>0</v>
      </c>
      <c r="E87" s="95">
        <f>SUM(C87:D87)</f>
        <v>13195.5772</v>
      </c>
      <c r="F87" s="95"/>
      <c r="G87" s="95">
        <f>(G37+G57+G85)*0.5</f>
        <v>16212.044657480001</v>
      </c>
      <c r="H87" s="95">
        <v>0</v>
      </c>
      <c r="I87" s="95">
        <f>SUM(G87:H87)</f>
        <v>16212.044657480001</v>
      </c>
      <c r="J87" s="95"/>
      <c r="K87" s="95">
        <f>(K37+K57+K85)*0.5</f>
        <v>14251.350687300532</v>
      </c>
      <c r="L87" s="95">
        <v>0</v>
      </c>
      <c r="M87" s="95">
        <f>SUM(K87:L87)</f>
        <v>14251.350687300532</v>
      </c>
      <c r="N87" s="95"/>
      <c r="O87" s="95">
        <f>(O37+O57+O85)*0.5</f>
        <v>17314.627729642536</v>
      </c>
      <c r="P87" s="95">
        <v>0</v>
      </c>
      <c r="Q87" s="95">
        <f>SUM(O87:P87)</f>
        <v>17314.627729642536</v>
      </c>
      <c r="R87" s="95"/>
      <c r="S87" s="95">
        <f>(S37+S57+S85)*0.5</f>
        <v>15403.069437427726</v>
      </c>
      <c r="T87" s="95">
        <v>0</v>
      </c>
      <c r="U87" s="95">
        <f>SUM(S87:T87)</f>
        <v>15403.069437427726</v>
      </c>
      <c r="V87" s="95"/>
      <c r="W87" s="95">
        <f>(W37+W57+W85)*0.5</f>
        <v>76376.669711850787</v>
      </c>
      <c r="X87" s="95">
        <v>0</v>
      </c>
      <c r="Y87" s="95">
        <f>SUM(W87:X87)</f>
        <v>76376.669711850787</v>
      </c>
      <c r="Z87" s="96"/>
      <c r="AA87" s="96"/>
    </row>
    <row r="88" spans="1:77" s="97" customFormat="1" x14ac:dyDescent="0.25">
      <c r="A88" s="89" t="s">
        <v>29</v>
      </c>
      <c r="B88" s="89"/>
      <c r="C88" s="95">
        <f>SUM(C86:C87)</f>
        <v>39586.731599999999</v>
      </c>
      <c r="D88" s="95">
        <f t="shared" ref="D88:X88" si="69">SUM(D86:D87)</f>
        <v>37112.923519999997</v>
      </c>
      <c r="E88" s="95">
        <f>SUM(C88:D88)</f>
        <v>76699.655119999996</v>
      </c>
      <c r="F88" s="95"/>
      <c r="G88" s="95">
        <f t="shared" si="69"/>
        <v>48636.133972440002</v>
      </c>
      <c r="H88" s="95">
        <f t="shared" si="69"/>
        <v>32939.271451968001</v>
      </c>
      <c r="I88" s="95">
        <f>SUM(G88:H88)</f>
        <v>81575.405424408003</v>
      </c>
      <c r="J88" s="95"/>
      <c r="K88" s="95">
        <f t="shared" si="69"/>
        <v>42754.052061901595</v>
      </c>
      <c r="L88" s="95">
        <f t="shared" si="69"/>
        <v>53802.161099680852</v>
      </c>
      <c r="M88" s="95">
        <f>SUM(K88:L88)</f>
        <v>96556.213161582447</v>
      </c>
      <c r="N88" s="95"/>
      <c r="O88" s="95">
        <f t="shared" si="69"/>
        <v>51943.883188927604</v>
      </c>
      <c r="P88" s="95">
        <f t="shared" si="69"/>
        <v>34703.404367428055</v>
      </c>
      <c r="Q88" s="95">
        <f>SUM(O88:P88)</f>
        <v>86647.287556355659</v>
      </c>
      <c r="R88" s="95"/>
      <c r="S88" s="95">
        <f t="shared" si="69"/>
        <v>46209.208312283183</v>
      </c>
      <c r="T88" s="95">
        <f t="shared" si="69"/>
        <v>35644.911099884368</v>
      </c>
      <c r="U88" s="95">
        <f>SUM(S88:T88)</f>
        <v>81854.119412167551</v>
      </c>
      <c r="V88" s="95"/>
      <c r="W88" s="95">
        <f t="shared" si="69"/>
        <v>229130.00913555236</v>
      </c>
      <c r="X88" s="95">
        <f t="shared" si="69"/>
        <v>194202.67153896129</v>
      </c>
      <c r="Y88" s="95">
        <f>SUM(W88:X88)</f>
        <v>423332.68067451369</v>
      </c>
      <c r="Z88" s="96"/>
      <c r="AA88" s="96"/>
    </row>
    <row r="89" spans="1:77" s="30" customFormat="1" x14ac:dyDescent="0.25">
      <c r="A89" s="24"/>
      <c r="B89" s="24"/>
      <c r="C89" s="27"/>
      <c r="D89" s="27"/>
      <c r="E89" s="28"/>
      <c r="F89" s="24"/>
      <c r="G89" s="27"/>
      <c r="H89" s="27"/>
      <c r="I89" s="28"/>
      <c r="J89" s="24"/>
      <c r="K89" s="27"/>
      <c r="L89" s="27"/>
      <c r="M89" s="28"/>
      <c r="N89" s="24"/>
      <c r="O89" s="27"/>
      <c r="P89" s="27"/>
      <c r="Q89" s="28"/>
      <c r="R89" s="24"/>
      <c r="S89" s="27"/>
      <c r="T89" s="27"/>
      <c r="U89" s="28"/>
      <c r="V89" s="29"/>
      <c r="W89" s="28"/>
      <c r="X89" s="28"/>
      <c r="Y89" s="27"/>
      <c r="Z89" s="28"/>
      <c r="AA89" s="28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s="61" customFormat="1" x14ac:dyDescent="0.25">
      <c r="A92" s="52"/>
      <c r="B92" s="52"/>
      <c r="C92" s="124">
        <v>0</v>
      </c>
      <c r="D92" s="56">
        <v>0</v>
      </c>
      <c r="E92" s="56">
        <f t="shared" ref="E92:E98" si="70">SUM(C92:D92)</f>
        <v>0</v>
      </c>
      <c r="F92" s="58"/>
      <c r="G92" s="55">
        <f t="shared" ref="G92:H98" si="71">C92*1.05</f>
        <v>0</v>
      </c>
      <c r="H92" s="57">
        <f t="shared" si="71"/>
        <v>0</v>
      </c>
      <c r="I92" s="57">
        <f t="shared" ref="I92:I98" si="72">SUM(G92:H92)</f>
        <v>0</v>
      </c>
      <c r="J92" s="58"/>
      <c r="K92" s="55">
        <f t="shared" ref="K92:L98" si="73">G92*1.05</f>
        <v>0</v>
      </c>
      <c r="L92" s="57">
        <f t="shared" si="73"/>
        <v>0</v>
      </c>
      <c r="M92" s="57">
        <f t="shared" ref="M92:M98" si="74">SUM(K92:L92)</f>
        <v>0</v>
      </c>
      <c r="N92" s="58"/>
      <c r="O92" s="55">
        <f t="shared" ref="O92:P98" si="75">K92*1.05</f>
        <v>0</v>
      </c>
      <c r="P92" s="57">
        <f t="shared" si="75"/>
        <v>0</v>
      </c>
      <c r="Q92" s="57">
        <f t="shared" ref="Q92:Q98" si="76">SUM(O92:P92)</f>
        <v>0</v>
      </c>
      <c r="R92" s="58"/>
      <c r="S92" s="55">
        <f t="shared" ref="S92:T98" si="77">O92*1.05</f>
        <v>0</v>
      </c>
      <c r="T92" s="57">
        <f t="shared" si="77"/>
        <v>0</v>
      </c>
      <c r="U92" s="57">
        <f t="shared" ref="U92:U98" si="78">SUM(S92:T92)</f>
        <v>0</v>
      </c>
      <c r="V92" s="59"/>
      <c r="W92" s="124">
        <f t="shared" ref="W92:Y99" si="79">C92+G92+K92+O92+S92</f>
        <v>0</v>
      </c>
      <c r="X92" s="57">
        <f t="shared" si="79"/>
        <v>0</v>
      </c>
      <c r="Y92" s="84">
        <f t="shared" si="79"/>
        <v>0</v>
      </c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</row>
    <row r="93" spans="1:77" s="61" customFormat="1" x14ac:dyDescent="0.25">
      <c r="A93" s="52"/>
      <c r="B93" s="84"/>
      <c r="C93" s="124">
        <v>0</v>
      </c>
      <c r="D93" s="56">
        <v>0</v>
      </c>
      <c r="E93" s="56">
        <f t="shared" si="70"/>
        <v>0</v>
      </c>
      <c r="F93" s="58"/>
      <c r="G93" s="55">
        <f t="shared" si="71"/>
        <v>0</v>
      </c>
      <c r="H93" s="57">
        <f t="shared" si="71"/>
        <v>0</v>
      </c>
      <c r="I93" s="57">
        <f t="shared" si="72"/>
        <v>0</v>
      </c>
      <c r="J93" s="58"/>
      <c r="K93" s="55">
        <f t="shared" si="73"/>
        <v>0</v>
      </c>
      <c r="L93" s="57">
        <f t="shared" si="73"/>
        <v>0</v>
      </c>
      <c r="M93" s="57">
        <f t="shared" si="74"/>
        <v>0</v>
      </c>
      <c r="N93" s="58"/>
      <c r="O93" s="55">
        <f t="shared" si="75"/>
        <v>0</v>
      </c>
      <c r="P93" s="57">
        <f t="shared" si="75"/>
        <v>0</v>
      </c>
      <c r="Q93" s="57">
        <f t="shared" si="76"/>
        <v>0</v>
      </c>
      <c r="R93" s="58"/>
      <c r="S93" s="55">
        <f t="shared" si="77"/>
        <v>0</v>
      </c>
      <c r="T93" s="57">
        <f t="shared" si="77"/>
        <v>0</v>
      </c>
      <c r="U93" s="57">
        <f t="shared" si="78"/>
        <v>0</v>
      </c>
      <c r="V93" s="59"/>
      <c r="W93" s="124">
        <f t="shared" si="79"/>
        <v>0</v>
      </c>
      <c r="X93" s="57">
        <f t="shared" si="79"/>
        <v>0</v>
      </c>
      <c r="Y93" s="84">
        <f t="shared" si="79"/>
        <v>0</v>
      </c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</row>
    <row r="94" spans="1:77" s="61" customFormat="1" x14ac:dyDescent="0.25">
      <c r="A94" s="52"/>
      <c r="B94" s="52"/>
      <c r="C94" s="124">
        <v>0</v>
      </c>
      <c r="D94" s="56">
        <v>0</v>
      </c>
      <c r="E94" s="56">
        <f t="shared" si="70"/>
        <v>0</v>
      </c>
      <c r="F94" s="58"/>
      <c r="G94" s="55">
        <f t="shared" si="71"/>
        <v>0</v>
      </c>
      <c r="H94" s="57">
        <f t="shared" si="71"/>
        <v>0</v>
      </c>
      <c r="I94" s="57">
        <f t="shared" si="72"/>
        <v>0</v>
      </c>
      <c r="J94" s="58"/>
      <c r="K94" s="55">
        <f t="shared" si="73"/>
        <v>0</v>
      </c>
      <c r="L94" s="57">
        <f t="shared" si="73"/>
        <v>0</v>
      </c>
      <c r="M94" s="57">
        <f t="shared" si="74"/>
        <v>0</v>
      </c>
      <c r="N94" s="58"/>
      <c r="O94" s="55">
        <f t="shared" si="75"/>
        <v>0</v>
      </c>
      <c r="P94" s="57">
        <f t="shared" si="75"/>
        <v>0</v>
      </c>
      <c r="Q94" s="57">
        <f t="shared" si="76"/>
        <v>0</v>
      </c>
      <c r="R94" s="58"/>
      <c r="S94" s="55">
        <f t="shared" si="77"/>
        <v>0</v>
      </c>
      <c r="T94" s="57">
        <f t="shared" si="77"/>
        <v>0</v>
      </c>
      <c r="U94" s="57">
        <f t="shared" si="78"/>
        <v>0</v>
      </c>
      <c r="V94" s="59"/>
      <c r="W94" s="124">
        <f t="shared" si="79"/>
        <v>0</v>
      </c>
      <c r="X94" s="57">
        <f t="shared" si="79"/>
        <v>0</v>
      </c>
      <c r="Y94" s="84">
        <f t="shared" si="79"/>
        <v>0</v>
      </c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</row>
    <row r="95" spans="1:77" s="61" customFormat="1" x14ac:dyDescent="0.25">
      <c r="A95" s="52"/>
      <c r="B95" s="52"/>
      <c r="C95" s="124">
        <v>0</v>
      </c>
      <c r="D95" s="56">
        <v>0</v>
      </c>
      <c r="E95" s="56">
        <f t="shared" si="70"/>
        <v>0</v>
      </c>
      <c r="F95" s="58"/>
      <c r="G95" s="55">
        <f t="shared" si="71"/>
        <v>0</v>
      </c>
      <c r="H95" s="57">
        <f t="shared" si="71"/>
        <v>0</v>
      </c>
      <c r="I95" s="57">
        <f t="shared" si="72"/>
        <v>0</v>
      </c>
      <c r="J95" s="58"/>
      <c r="K95" s="55">
        <f t="shared" si="73"/>
        <v>0</v>
      </c>
      <c r="L95" s="57">
        <f t="shared" si="73"/>
        <v>0</v>
      </c>
      <c r="M95" s="57">
        <f t="shared" si="74"/>
        <v>0</v>
      </c>
      <c r="N95" s="58"/>
      <c r="O95" s="55">
        <f t="shared" si="75"/>
        <v>0</v>
      </c>
      <c r="P95" s="57">
        <f t="shared" si="75"/>
        <v>0</v>
      </c>
      <c r="Q95" s="57">
        <f t="shared" si="76"/>
        <v>0</v>
      </c>
      <c r="R95" s="58"/>
      <c r="S95" s="55">
        <f t="shared" si="77"/>
        <v>0</v>
      </c>
      <c r="T95" s="57">
        <f t="shared" si="77"/>
        <v>0</v>
      </c>
      <c r="U95" s="57">
        <f t="shared" si="78"/>
        <v>0</v>
      </c>
      <c r="V95" s="59"/>
      <c r="W95" s="124">
        <f t="shared" si="79"/>
        <v>0</v>
      </c>
      <c r="X95" s="57">
        <f t="shared" si="79"/>
        <v>0</v>
      </c>
      <c r="Y95" s="84">
        <f t="shared" si="79"/>
        <v>0</v>
      </c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</row>
    <row r="96" spans="1:77" s="61" customFormat="1" x14ac:dyDescent="0.25">
      <c r="A96" s="52"/>
      <c r="B96" s="52"/>
      <c r="C96" s="124">
        <v>0</v>
      </c>
      <c r="D96" s="56">
        <v>0</v>
      </c>
      <c r="E96" s="56">
        <f t="shared" si="70"/>
        <v>0</v>
      </c>
      <c r="F96" s="58"/>
      <c r="G96" s="55">
        <f t="shared" si="71"/>
        <v>0</v>
      </c>
      <c r="H96" s="57">
        <f t="shared" si="71"/>
        <v>0</v>
      </c>
      <c r="I96" s="57">
        <f t="shared" si="72"/>
        <v>0</v>
      </c>
      <c r="J96" s="58"/>
      <c r="K96" s="55">
        <f t="shared" si="73"/>
        <v>0</v>
      </c>
      <c r="L96" s="57">
        <f t="shared" si="73"/>
        <v>0</v>
      </c>
      <c r="M96" s="57">
        <f t="shared" si="74"/>
        <v>0</v>
      </c>
      <c r="N96" s="58"/>
      <c r="O96" s="55">
        <f t="shared" si="75"/>
        <v>0</v>
      </c>
      <c r="P96" s="57">
        <f t="shared" si="75"/>
        <v>0</v>
      </c>
      <c r="Q96" s="57">
        <f t="shared" si="76"/>
        <v>0</v>
      </c>
      <c r="R96" s="58"/>
      <c r="S96" s="55">
        <f t="shared" si="77"/>
        <v>0</v>
      </c>
      <c r="T96" s="57">
        <f t="shared" si="77"/>
        <v>0</v>
      </c>
      <c r="U96" s="57">
        <f t="shared" si="78"/>
        <v>0</v>
      </c>
      <c r="V96" s="59"/>
      <c r="W96" s="124">
        <f t="shared" si="79"/>
        <v>0</v>
      </c>
      <c r="X96" s="57">
        <f t="shared" si="79"/>
        <v>0</v>
      </c>
      <c r="Y96" s="84">
        <f t="shared" si="79"/>
        <v>0</v>
      </c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</row>
    <row r="97" spans="1:77" s="61" customFormat="1" x14ac:dyDescent="0.25">
      <c r="A97" s="52"/>
      <c r="B97" s="52"/>
      <c r="C97" s="124">
        <v>0</v>
      </c>
      <c r="D97" s="56">
        <v>0</v>
      </c>
      <c r="E97" s="56">
        <f t="shared" si="70"/>
        <v>0</v>
      </c>
      <c r="F97" s="58"/>
      <c r="G97" s="55">
        <f t="shared" si="71"/>
        <v>0</v>
      </c>
      <c r="H97" s="57">
        <f t="shared" si="71"/>
        <v>0</v>
      </c>
      <c r="I97" s="57">
        <f t="shared" si="72"/>
        <v>0</v>
      </c>
      <c r="J97" s="58"/>
      <c r="K97" s="55">
        <f t="shared" si="73"/>
        <v>0</v>
      </c>
      <c r="L97" s="57">
        <f t="shared" si="73"/>
        <v>0</v>
      </c>
      <c r="M97" s="57">
        <f t="shared" si="74"/>
        <v>0</v>
      </c>
      <c r="N97" s="58"/>
      <c r="O97" s="55">
        <f t="shared" si="75"/>
        <v>0</v>
      </c>
      <c r="P97" s="57">
        <f t="shared" si="75"/>
        <v>0</v>
      </c>
      <c r="Q97" s="57">
        <f t="shared" si="76"/>
        <v>0</v>
      </c>
      <c r="R97" s="58"/>
      <c r="S97" s="55">
        <f t="shared" si="77"/>
        <v>0</v>
      </c>
      <c r="T97" s="57">
        <f t="shared" si="77"/>
        <v>0</v>
      </c>
      <c r="U97" s="57">
        <f t="shared" si="78"/>
        <v>0</v>
      </c>
      <c r="V97" s="59"/>
      <c r="W97" s="124">
        <f t="shared" si="79"/>
        <v>0</v>
      </c>
      <c r="X97" s="57">
        <f t="shared" si="79"/>
        <v>0</v>
      </c>
      <c r="Y97" s="84">
        <f t="shared" si="79"/>
        <v>0</v>
      </c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</row>
    <row r="98" spans="1:77" s="61" customFormat="1" x14ac:dyDescent="0.25">
      <c r="A98" s="52"/>
      <c r="B98" s="52"/>
      <c r="C98" s="124">
        <v>0</v>
      </c>
      <c r="D98" s="56">
        <v>0</v>
      </c>
      <c r="E98" s="56">
        <f t="shared" si="70"/>
        <v>0</v>
      </c>
      <c r="F98" s="58"/>
      <c r="G98" s="55">
        <f t="shared" si="71"/>
        <v>0</v>
      </c>
      <c r="H98" s="57">
        <f t="shared" si="71"/>
        <v>0</v>
      </c>
      <c r="I98" s="57">
        <f t="shared" si="72"/>
        <v>0</v>
      </c>
      <c r="J98" s="58"/>
      <c r="K98" s="55">
        <f t="shared" si="73"/>
        <v>0</v>
      </c>
      <c r="L98" s="57">
        <f t="shared" si="73"/>
        <v>0</v>
      </c>
      <c r="M98" s="57">
        <f t="shared" si="74"/>
        <v>0</v>
      </c>
      <c r="N98" s="58"/>
      <c r="O98" s="55">
        <f t="shared" si="75"/>
        <v>0</v>
      </c>
      <c r="P98" s="57">
        <f t="shared" si="75"/>
        <v>0</v>
      </c>
      <c r="Q98" s="57">
        <f t="shared" si="76"/>
        <v>0</v>
      </c>
      <c r="R98" s="58"/>
      <c r="S98" s="55">
        <f t="shared" si="77"/>
        <v>0</v>
      </c>
      <c r="T98" s="57">
        <f t="shared" si="77"/>
        <v>0</v>
      </c>
      <c r="U98" s="57">
        <f t="shared" si="78"/>
        <v>0</v>
      </c>
      <c r="V98" s="59"/>
      <c r="W98" s="124">
        <f t="shared" si="79"/>
        <v>0</v>
      </c>
      <c r="X98" s="57">
        <f t="shared" si="79"/>
        <v>0</v>
      </c>
      <c r="Y98" s="84">
        <f t="shared" si="79"/>
        <v>0</v>
      </c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</row>
    <row r="99" spans="1:77" s="83" customFormat="1" x14ac:dyDescent="0.25">
      <c r="A99" s="78"/>
      <c r="B99" s="78" t="s">
        <v>9</v>
      </c>
      <c r="C99" s="228">
        <f>SUM(C92:C98)</f>
        <v>0</v>
      </c>
      <c r="D99" s="125">
        <f>SUM(D92:D98)</f>
        <v>0</v>
      </c>
      <c r="E99" s="125">
        <f>SUM(E92:E98)</f>
        <v>0</v>
      </c>
      <c r="F99" s="81"/>
      <c r="G99" s="79">
        <f>SUM(G92:G98)</f>
        <v>0</v>
      </c>
      <c r="H99" s="80">
        <f>SUM(H92:H98)</f>
        <v>0</v>
      </c>
      <c r="I99" s="80">
        <f>SUM(I92:I98)</f>
        <v>0</v>
      </c>
      <c r="J99" s="81"/>
      <c r="K99" s="79">
        <f>SUM(K92:K98)</f>
        <v>0</v>
      </c>
      <c r="L99" s="80">
        <f>SUM(L92:L98)</f>
        <v>0</v>
      </c>
      <c r="M99" s="80">
        <f>SUM(M92:M98)</f>
        <v>0</v>
      </c>
      <c r="N99" s="81"/>
      <c r="O99" s="79">
        <f>SUM(O92:O98)</f>
        <v>0</v>
      </c>
      <c r="P99" s="80">
        <f>SUM(P92:P98)</f>
        <v>0</v>
      </c>
      <c r="Q99" s="80">
        <f>SUM(Q92:Q98)</f>
        <v>0</v>
      </c>
      <c r="R99" s="81"/>
      <c r="S99" s="79">
        <f>SUM(S92:S98)</f>
        <v>0</v>
      </c>
      <c r="T99" s="80">
        <f>SUM(T92:T98)</f>
        <v>0</v>
      </c>
      <c r="U99" s="80">
        <f>SUM(U92:U98)</f>
        <v>0</v>
      </c>
      <c r="V99" s="82"/>
      <c r="W99" s="228">
        <f t="shared" si="79"/>
        <v>0</v>
      </c>
      <c r="X99" s="80">
        <f t="shared" si="79"/>
        <v>0</v>
      </c>
      <c r="Y99" s="80">
        <f t="shared" si="79"/>
        <v>0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s="61" customFormat="1" x14ac:dyDescent="0.25">
      <c r="A101" s="54" t="s">
        <v>57</v>
      </c>
      <c r="B101" s="61" t="s">
        <v>57</v>
      </c>
      <c r="C101" s="124">
        <f>35000*0</f>
        <v>0</v>
      </c>
      <c r="D101" s="56">
        <v>0</v>
      </c>
      <c r="E101" s="56">
        <f t="shared" ref="E101:E111" si="80">SUM(C101:D101)</f>
        <v>0</v>
      </c>
      <c r="F101" s="58"/>
      <c r="G101" s="55">
        <f t="shared" ref="G101:H111" si="81">C101*1.03</f>
        <v>0</v>
      </c>
      <c r="H101" s="57">
        <f t="shared" ref="H101:H111" si="82">D101*1.03</f>
        <v>0</v>
      </c>
      <c r="I101" s="57">
        <f t="shared" ref="I101:I111" si="83">SUM(G101:H101)</f>
        <v>0</v>
      </c>
      <c r="J101" s="58"/>
      <c r="K101" s="55">
        <f t="shared" ref="K101:L111" si="84">G101*1.03</f>
        <v>0</v>
      </c>
      <c r="L101" s="57">
        <f t="shared" ref="L101:L111" si="85">H101*1.03</f>
        <v>0</v>
      </c>
      <c r="M101" s="57">
        <f t="shared" ref="M101:M111" si="86">SUM(K101:L101)</f>
        <v>0</v>
      </c>
      <c r="N101" s="58"/>
      <c r="O101" s="55">
        <f t="shared" ref="O101:P111" si="87">K101*1.03</f>
        <v>0</v>
      </c>
      <c r="P101" s="57">
        <f t="shared" ref="P101:P111" si="88">L101*1.03</f>
        <v>0</v>
      </c>
      <c r="Q101" s="57">
        <f t="shared" ref="Q101:Q111" si="89">SUM(O101:P101)</f>
        <v>0</v>
      </c>
      <c r="R101" s="58"/>
      <c r="S101" s="55">
        <f t="shared" ref="S101:S111" si="90">O101*1.03</f>
        <v>0</v>
      </c>
      <c r="T101" s="57">
        <f t="shared" ref="T101:T111" si="91">P101*1.03</f>
        <v>0</v>
      </c>
      <c r="U101" s="57">
        <f t="shared" ref="U101:U111" si="92">SUM(S101:T101)</f>
        <v>0</v>
      </c>
      <c r="V101" s="59"/>
      <c r="W101" s="124">
        <f t="shared" ref="W101:X112" si="93">C101+G101+K101+O101+S101</f>
        <v>0</v>
      </c>
      <c r="X101" s="57">
        <f t="shared" ref="X101:X112" si="94">D101+H101+L101+P101+T101</f>
        <v>0</v>
      </c>
      <c r="Y101" s="84">
        <f t="shared" ref="Y101:Y112" si="95">E101+I101+M101+Q101+U101</f>
        <v>0</v>
      </c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</row>
    <row r="102" spans="1:77" s="61" customFormat="1" x14ac:dyDescent="0.25">
      <c r="A102" s="203"/>
      <c r="B102" s="160" t="s">
        <v>219</v>
      </c>
      <c r="C102" s="124">
        <f>28000*0.5*0</f>
        <v>0</v>
      </c>
      <c r="D102" s="56">
        <v>0</v>
      </c>
      <c r="E102" s="56">
        <f t="shared" ref="E102" si="96">SUM(C102:D102)</f>
        <v>0</v>
      </c>
      <c r="F102" s="58"/>
      <c r="G102" s="299">
        <f>((28000))*0.5</f>
        <v>14000</v>
      </c>
      <c r="H102" s="294">
        <f>D102*1.03</f>
        <v>0</v>
      </c>
      <c r="I102" s="294">
        <f t="shared" si="83"/>
        <v>14000</v>
      </c>
      <c r="J102" s="295"/>
      <c r="K102" s="293">
        <f>G102</f>
        <v>14000</v>
      </c>
      <c r="L102" s="294">
        <f>H102*1.03</f>
        <v>0</v>
      </c>
      <c r="M102" s="294">
        <f t="shared" si="86"/>
        <v>14000</v>
      </c>
      <c r="N102" s="295"/>
      <c r="O102" s="293">
        <f>K102</f>
        <v>14000</v>
      </c>
      <c r="P102" s="294">
        <f>L102*1.03</f>
        <v>0</v>
      </c>
      <c r="Q102" s="294">
        <f t="shared" si="89"/>
        <v>14000</v>
      </c>
      <c r="R102" s="295"/>
      <c r="S102" s="293">
        <f>O102</f>
        <v>14000</v>
      </c>
      <c r="T102" s="57">
        <f t="shared" si="91"/>
        <v>0</v>
      </c>
      <c r="U102" s="57">
        <f t="shared" ref="U102" si="97">SUM(S102:T102)</f>
        <v>14000</v>
      </c>
      <c r="V102" s="59"/>
      <c r="W102" s="124">
        <f t="shared" si="93"/>
        <v>56000</v>
      </c>
      <c r="X102" s="57">
        <f t="shared" si="93"/>
        <v>0</v>
      </c>
      <c r="Y102" s="57">
        <f t="shared" ref="Y102" si="98">SUM(W102:X102)</f>
        <v>56000</v>
      </c>
    </row>
    <row r="103" spans="1:77" s="61" customFormat="1" x14ac:dyDescent="0.25">
      <c r="A103" s="52"/>
      <c r="B103" s="54"/>
      <c r="C103" s="124">
        <v>0</v>
      </c>
      <c r="D103" s="56">
        <v>0</v>
      </c>
      <c r="E103" s="56">
        <f t="shared" si="80"/>
        <v>0</v>
      </c>
      <c r="F103" s="58"/>
      <c r="G103" s="55">
        <f t="shared" si="81"/>
        <v>0</v>
      </c>
      <c r="H103" s="57">
        <f t="shared" si="82"/>
        <v>0</v>
      </c>
      <c r="I103" s="57">
        <f t="shared" si="83"/>
        <v>0</v>
      </c>
      <c r="J103" s="58"/>
      <c r="K103" s="55">
        <f t="shared" si="84"/>
        <v>0</v>
      </c>
      <c r="L103" s="57">
        <f t="shared" si="85"/>
        <v>0</v>
      </c>
      <c r="M103" s="57">
        <f t="shared" si="86"/>
        <v>0</v>
      </c>
      <c r="N103" s="58"/>
      <c r="O103" s="55">
        <f t="shared" si="87"/>
        <v>0</v>
      </c>
      <c r="P103" s="57">
        <f t="shared" si="88"/>
        <v>0</v>
      </c>
      <c r="Q103" s="57">
        <f t="shared" si="89"/>
        <v>0</v>
      </c>
      <c r="R103" s="58"/>
      <c r="S103" s="55">
        <f t="shared" si="90"/>
        <v>0</v>
      </c>
      <c r="T103" s="57">
        <f t="shared" si="91"/>
        <v>0</v>
      </c>
      <c r="U103" s="57">
        <f t="shared" si="92"/>
        <v>0</v>
      </c>
      <c r="V103" s="59"/>
      <c r="W103" s="124">
        <f t="shared" si="93"/>
        <v>0</v>
      </c>
      <c r="X103" s="57">
        <f t="shared" si="94"/>
        <v>0</v>
      </c>
      <c r="Y103" s="84">
        <f t="shared" si="95"/>
        <v>0</v>
      </c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</row>
    <row r="104" spans="1:77" s="61" customFormat="1" x14ac:dyDescent="0.25">
      <c r="A104" s="52"/>
      <c r="B104" s="54" t="s">
        <v>224</v>
      </c>
      <c r="C104" s="293">
        <f>(68744)*0.25</f>
        <v>17186</v>
      </c>
      <c r="D104" s="294">
        <v>0</v>
      </c>
      <c r="E104" s="294">
        <f t="shared" si="80"/>
        <v>17186</v>
      </c>
      <c r="F104" s="295"/>
      <c r="G104" s="293">
        <f t="shared" si="81"/>
        <v>17701.580000000002</v>
      </c>
      <c r="H104" s="294">
        <f t="shared" si="81"/>
        <v>0</v>
      </c>
      <c r="I104" s="294">
        <f t="shared" si="83"/>
        <v>17701.580000000002</v>
      </c>
      <c r="J104" s="295"/>
      <c r="K104" s="293">
        <f t="shared" si="84"/>
        <v>18232.627400000001</v>
      </c>
      <c r="L104" s="294">
        <f t="shared" si="84"/>
        <v>0</v>
      </c>
      <c r="M104" s="294">
        <f t="shared" si="86"/>
        <v>18232.627400000001</v>
      </c>
      <c r="N104" s="295"/>
      <c r="O104" s="293">
        <f t="shared" si="87"/>
        <v>18779.606222000002</v>
      </c>
      <c r="P104" s="294">
        <f t="shared" si="87"/>
        <v>0</v>
      </c>
      <c r="Q104" s="294">
        <f t="shared" si="89"/>
        <v>18779.606222000002</v>
      </c>
      <c r="R104" s="295"/>
      <c r="S104" s="293">
        <f t="shared" si="90"/>
        <v>19342.994408660004</v>
      </c>
      <c r="T104" s="57">
        <f t="shared" si="91"/>
        <v>0</v>
      </c>
      <c r="U104" s="57">
        <f t="shared" si="92"/>
        <v>19342.994408660004</v>
      </c>
      <c r="V104" s="59"/>
      <c r="W104" s="124">
        <f t="shared" si="93"/>
        <v>91242.808030660002</v>
      </c>
      <c r="X104" s="57">
        <f t="shared" si="94"/>
        <v>0</v>
      </c>
      <c r="Y104" s="84">
        <f t="shared" si="95"/>
        <v>91242.808030660002</v>
      </c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s="61" customFormat="1" x14ac:dyDescent="0.25">
      <c r="A105" s="87"/>
      <c r="B105" s="52"/>
      <c r="C105" s="124">
        <v>0</v>
      </c>
      <c r="D105" s="56">
        <v>0</v>
      </c>
      <c r="E105" s="56">
        <f t="shared" si="80"/>
        <v>0</v>
      </c>
      <c r="F105" s="58"/>
      <c r="G105" s="55">
        <f t="shared" si="81"/>
        <v>0</v>
      </c>
      <c r="H105" s="57">
        <f t="shared" si="82"/>
        <v>0</v>
      </c>
      <c r="I105" s="57">
        <f t="shared" si="83"/>
        <v>0</v>
      </c>
      <c r="J105" s="58"/>
      <c r="K105" s="55">
        <f t="shared" si="84"/>
        <v>0</v>
      </c>
      <c r="L105" s="57">
        <f t="shared" si="85"/>
        <v>0</v>
      </c>
      <c r="M105" s="57">
        <f t="shared" si="86"/>
        <v>0</v>
      </c>
      <c r="N105" s="58"/>
      <c r="O105" s="55">
        <f t="shared" si="87"/>
        <v>0</v>
      </c>
      <c r="P105" s="57">
        <f t="shared" si="88"/>
        <v>0</v>
      </c>
      <c r="Q105" s="57">
        <f t="shared" si="89"/>
        <v>0</v>
      </c>
      <c r="R105" s="58"/>
      <c r="S105" s="55">
        <f t="shared" si="90"/>
        <v>0</v>
      </c>
      <c r="T105" s="57">
        <f t="shared" si="91"/>
        <v>0</v>
      </c>
      <c r="U105" s="57">
        <f t="shared" si="92"/>
        <v>0</v>
      </c>
      <c r="V105" s="59"/>
      <c r="W105" s="124">
        <f t="shared" si="93"/>
        <v>0</v>
      </c>
      <c r="X105" s="57">
        <f t="shared" si="94"/>
        <v>0</v>
      </c>
      <c r="Y105" s="84">
        <f t="shared" si="95"/>
        <v>0</v>
      </c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s="61" customFormat="1" x14ac:dyDescent="0.25">
      <c r="A106" s="87"/>
      <c r="B106" s="52"/>
      <c r="C106" s="124">
        <v>0</v>
      </c>
      <c r="D106" s="56">
        <v>0</v>
      </c>
      <c r="E106" s="56">
        <f t="shared" si="80"/>
        <v>0</v>
      </c>
      <c r="F106" s="58"/>
      <c r="G106" s="55">
        <f t="shared" si="81"/>
        <v>0</v>
      </c>
      <c r="H106" s="57">
        <f t="shared" si="82"/>
        <v>0</v>
      </c>
      <c r="I106" s="57">
        <f t="shared" si="83"/>
        <v>0</v>
      </c>
      <c r="J106" s="58"/>
      <c r="K106" s="55">
        <f t="shared" si="84"/>
        <v>0</v>
      </c>
      <c r="L106" s="57">
        <f t="shared" si="85"/>
        <v>0</v>
      </c>
      <c r="M106" s="57">
        <f t="shared" si="86"/>
        <v>0</v>
      </c>
      <c r="N106" s="58"/>
      <c r="O106" s="55">
        <f t="shared" si="87"/>
        <v>0</v>
      </c>
      <c r="P106" s="57">
        <f t="shared" si="88"/>
        <v>0</v>
      </c>
      <c r="Q106" s="57">
        <f t="shared" si="89"/>
        <v>0</v>
      </c>
      <c r="R106" s="58"/>
      <c r="S106" s="55">
        <f t="shared" si="90"/>
        <v>0</v>
      </c>
      <c r="T106" s="57">
        <f t="shared" si="91"/>
        <v>0</v>
      </c>
      <c r="U106" s="57">
        <f t="shared" si="92"/>
        <v>0</v>
      </c>
      <c r="V106" s="59"/>
      <c r="W106" s="124">
        <f t="shared" si="93"/>
        <v>0</v>
      </c>
      <c r="X106" s="57">
        <f t="shared" si="94"/>
        <v>0</v>
      </c>
      <c r="Y106" s="84">
        <f t="shared" si="95"/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2"/>
      <c r="C107" s="124">
        <v>0</v>
      </c>
      <c r="D107" s="56">
        <v>0</v>
      </c>
      <c r="E107" s="56">
        <f t="shared" si="80"/>
        <v>0</v>
      </c>
      <c r="F107" s="58"/>
      <c r="G107" s="55">
        <f t="shared" si="81"/>
        <v>0</v>
      </c>
      <c r="H107" s="57">
        <f t="shared" si="82"/>
        <v>0</v>
      </c>
      <c r="I107" s="57">
        <f t="shared" si="83"/>
        <v>0</v>
      </c>
      <c r="J107" s="58"/>
      <c r="K107" s="55">
        <f t="shared" si="84"/>
        <v>0</v>
      </c>
      <c r="L107" s="57">
        <f t="shared" si="85"/>
        <v>0</v>
      </c>
      <c r="M107" s="57">
        <f t="shared" si="86"/>
        <v>0</v>
      </c>
      <c r="N107" s="58"/>
      <c r="O107" s="55">
        <f t="shared" si="87"/>
        <v>0</v>
      </c>
      <c r="P107" s="57">
        <f t="shared" si="88"/>
        <v>0</v>
      </c>
      <c r="Q107" s="57">
        <f t="shared" si="89"/>
        <v>0</v>
      </c>
      <c r="R107" s="58"/>
      <c r="S107" s="55">
        <f t="shared" si="90"/>
        <v>0</v>
      </c>
      <c r="T107" s="57">
        <f t="shared" si="91"/>
        <v>0</v>
      </c>
      <c r="U107" s="57">
        <f t="shared" si="92"/>
        <v>0</v>
      </c>
      <c r="V107" s="59"/>
      <c r="W107" s="124">
        <f t="shared" si="93"/>
        <v>0</v>
      </c>
      <c r="X107" s="57">
        <f t="shared" si="94"/>
        <v>0</v>
      </c>
      <c r="Y107" s="84">
        <f t="shared" si="95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52"/>
      <c r="B108" s="54"/>
      <c r="C108" s="124">
        <v>0</v>
      </c>
      <c r="D108" s="56">
        <v>0</v>
      </c>
      <c r="E108" s="56">
        <f t="shared" si="80"/>
        <v>0</v>
      </c>
      <c r="F108" s="58"/>
      <c r="G108" s="55">
        <f t="shared" si="81"/>
        <v>0</v>
      </c>
      <c r="H108" s="57">
        <f t="shared" si="82"/>
        <v>0</v>
      </c>
      <c r="I108" s="57">
        <f t="shared" si="83"/>
        <v>0</v>
      </c>
      <c r="J108" s="58"/>
      <c r="K108" s="55">
        <f t="shared" si="84"/>
        <v>0</v>
      </c>
      <c r="L108" s="57">
        <f t="shared" si="85"/>
        <v>0</v>
      </c>
      <c r="M108" s="57">
        <f t="shared" si="86"/>
        <v>0</v>
      </c>
      <c r="N108" s="58"/>
      <c r="O108" s="55">
        <f t="shared" si="87"/>
        <v>0</v>
      </c>
      <c r="P108" s="57">
        <f t="shared" si="88"/>
        <v>0</v>
      </c>
      <c r="Q108" s="57">
        <f t="shared" si="89"/>
        <v>0</v>
      </c>
      <c r="R108" s="58"/>
      <c r="S108" s="55">
        <f t="shared" si="90"/>
        <v>0</v>
      </c>
      <c r="T108" s="57">
        <f t="shared" si="91"/>
        <v>0</v>
      </c>
      <c r="U108" s="57">
        <f t="shared" si="92"/>
        <v>0</v>
      </c>
      <c r="V108" s="59"/>
      <c r="W108" s="124">
        <f t="shared" si="93"/>
        <v>0</v>
      </c>
      <c r="X108" s="57">
        <f t="shared" si="94"/>
        <v>0</v>
      </c>
      <c r="Y108" s="84">
        <f t="shared" si="95"/>
        <v>0</v>
      </c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80"/>
        <v>0</v>
      </c>
      <c r="F109" s="74"/>
      <c r="G109" s="55">
        <f t="shared" si="81"/>
        <v>0</v>
      </c>
      <c r="H109" s="57">
        <f t="shared" si="82"/>
        <v>0</v>
      </c>
      <c r="I109" s="57">
        <f t="shared" si="83"/>
        <v>0</v>
      </c>
      <c r="J109" s="74"/>
      <c r="K109" s="55">
        <f t="shared" si="84"/>
        <v>0</v>
      </c>
      <c r="L109" s="57">
        <f t="shared" si="85"/>
        <v>0</v>
      </c>
      <c r="M109" s="57">
        <f t="shared" si="86"/>
        <v>0</v>
      </c>
      <c r="N109" s="74"/>
      <c r="O109" s="55">
        <f t="shared" si="87"/>
        <v>0</v>
      </c>
      <c r="P109" s="57">
        <f t="shared" si="88"/>
        <v>0</v>
      </c>
      <c r="Q109" s="57">
        <f t="shared" si="89"/>
        <v>0</v>
      </c>
      <c r="R109" s="74"/>
      <c r="S109" s="55">
        <f t="shared" si="90"/>
        <v>0</v>
      </c>
      <c r="T109" s="57">
        <f t="shared" si="91"/>
        <v>0</v>
      </c>
      <c r="U109" s="57">
        <f t="shared" si="92"/>
        <v>0</v>
      </c>
      <c r="V109" s="59"/>
      <c r="W109" s="124">
        <f t="shared" si="93"/>
        <v>0</v>
      </c>
      <c r="X109" s="57">
        <f t="shared" si="94"/>
        <v>0</v>
      </c>
      <c r="Y109" s="84">
        <f t="shared" si="95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80"/>
        <v>0</v>
      </c>
      <c r="F110" s="74"/>
      <c r="G110" s="55">
        <f t="shared" si="81"/>
        <v>0</v>
      </c>
      <c r="H110" s="57">
        <f t="shared" si="82"/>
        <v>0</v>
      </c>
      <c r="I110" s="57">
        <f t="shared" si="83"/>
        <v>0</v>
      </c>
      <c r="J110" s="74"/>
      <c r="K110" s="55">
        <f t="shared" si="84"/>
        <v>0</v>
      </c>
      <c r="L110" s="57">
        <f t="shared" si="85"/>
        <v>0</v>
      </c>
      <c r="M110" s="57">
        <f t="shared" si="86"/>
        <v>0</v>
      </c>
      <c r="N110" s="74"/>
      <c r="O110" s="55">
        <f t="shared" si="87"/>
        <v>0</v>
      </c>
      <c r="P110" s="57">
        <f t="shared" si="88"/>
        <v>0</v>
      </c>
      <c r="Q110" s="57">
        <f t="shared" si="89"/>
        <v>0</v>
      </c>
      <c r="R110" s="74"/>
      <c r="S110" s="55">
        <f t="shared" si="90"/>
        <v>0</v>
      </c>
      <c r="T110" s="57">
        <f t="shared" si="91"/>
        <v>0</v>
      </c>
      <c r="U110" s="57">
        <f t="shared" si="92"/>
        <v>0</v>
      </c>
      <c r="V110" s="59"/>
      <c r="W110" s="124">
        <f t="shared" si="93"/>
        <v>0</v>
      </c>
      <c r="X110" s="57">
        <f t="shared" si="94"/>
        <v>0</v>
      </c>
      <c r="Y110" s="84">
        <f t="shared" si="95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80"/>
        <v>0</v>
      </c>
      <c r="F111" s="74"/>
      <c r="G111" s="55">
        <f t="shared" si="81"/>
        <v>0</v>
      </c>
      <c r="H111" s="57">
        <f t="shared" si="82"/>
        <v>0</v>
      </c>
      <c r="I111" s="57">
        <f t="shared" si="83"/>
        <v>0</v>
      </c>
      <c r="J111" s="74"/>
      <c r="K111" s="55">
        <f t="shared" si="84"/>
        <v>0</v>
      </c>
      <c r="L111" s="57">
        <f t="shared" si="85"/>
        <v>0</v>
      </c>
      <c r="M111" s="57">
        <f t="shared" si="86"/>
        <v>0</v>
      </c>
      <c r="N111" s="74"/>
      <c r="O111" s="55">
        <f t="shared" si="87"/>
        <v>0</v>
      </c>
      <c r="P111" s="57">
        <f t="shared" si="88"/>
        <v>0</v>
      </c>
      <c r="Q111" s="57">
        <f t="shared" si="89"/>
        <v>0</v>
      </c>
      <c r="R111" s="74"/>
      <c r="S111" s="55">
        <f t="shared" si="90"/>
        <v>0</v>
      </c>
      <c r="T111" s="57">
        <f t="shared" si="91"/>
        <v>0</v>
      </c>
      <c r="U111" s="57">
        <f t="shared" si="92"/>
        <v>0</v>
      </c>
      <c r="V111" s="59"/>
      <c r="W111" s="124">
        <f t="shared" si="93"/>
        <v>0</v>
      </c>
      <c r="X111" s="57">
        <f t="shared" si="94"/>
        <v>0</v>
      </c>
      <c r="Y111" s="84">
        <f t="shared" si="95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17186</v>
      </c>
      <c r="D112" s="125">
        <f>SUM(D101:D111)</f>
        <v>0</v>
      </c>
      <c r="E112" s="125">
        <f>SUM(E101:E111)</f>
        <v>17186</v>
      </c>
      <c r="F112" s="81"/>
      <c r="G112" s="79">
        <f>SUM(G101:G111)</f>
        <v>31701.58</v>
      </c>
      <c r="H112" s="80">
        <f>SUM(H101:H111)</f>
        <v>0</v>
      </c>
      <c r="I112" s="80">
        <f>SUM(I101:I111)</f>
        <v>31701.58</v>
      </c>
      <c r="J112" s="81"/>
      <c r="K112" s="79">
        <f>SUM(K101:K111)</f>
        <v>32232.627400000001</v>
      </c>
      <c r="L112" s="80">
        <f>SUM(L101:L111)</f>
        <v>0</v>
      </c>
      <c r="M112" s="80">
        <f>SUM(M101:M111)</f>
        <v>32232.627400000001</v>
      </c>
      <c r="N112" s="81"/>
      <c r="O112" s="79">
        <f>SUM(O101:O111)</f>
        <v>32779.606222000002</v>
      </c>
      <c r="P112" s="80">
        <f>SUM(P101:P111)</f>
        <v>0</v>
      </c>
      <c r="Q112" s="80">
        <f>SUM(Q101:Q111)</f>
        <v>32779.606222000002</v>
      </c>
      <c r="R112" s="81"/>
      <c r="S112" s="79">
        <f>SUM(S101:S111)</f>
        <v>33342.994408660001</v>
      </c>
      <c r="T112" s="80">
        <f>SUM(T101:T111)</f>
        <v>0</v>
      </c>
      <c r="U112" s="80">
        <f>SUM(U101:U111)</f>
        <v>33342.994408660001</v>
      </c>
      <c r="V112" s="82"/>
      <c r="W112" s="228">
        <f t="shared" si="93"/>
        <v>147242.80803066</v>
      </c>
      <c r="X112" s="80">
        <f t="shared" si="94"/>
        <v>0</v>
      </c>
      <c r="Y112" s="80">
        <f t="shared" si="95"/>
        <v>147242.80803066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>C112+C99</f>
        <v>17186</v>
      </c>
      <c r="D113" s="101">
        <f t="shared" ref="D113:Y113" si="99">D112+D99</f>
        <v>0</v>
      </c>
      <c r="E113" s="101">
        <f t="shared" si="99"/>
        <v>17186</v>
      </c>
      <c r="F113" s="101">
        <f t="shared" si="99"/>
        <v>0</v>
      </c>
      <c r="G113" s="101">
        <f t="shared" si="99"/>
        <v>31701.58</v>
      </c>
      <c r="H113" s="101">
        <f t="shared" si="99"/>
        <v>0</v>
      </c>
      <c r="I113" s="101">
        <f t="shared" si="99"/>
        <v>31701.58</v>
      </c>
      <c r="J113" s="101">
        <f t="shared" si="99"/>
        <v>0</v>
      </c>
      <c r="K113" s="101">
        <f t="shared" si="99"/>
        <v>32232.627400000001</v>
      </c>
      <c r="L113" s="101">
        <f t="shared" si="99"/>
        <v>0</v>
      </c>
      <c r="M113" s="101">
        <f t="shared" si="99"/>
        <v>32232.627400000001</v>
      </c>
      <c r="N113" s="101">
        <f t="shared" si="99"/>
        <v>0</v>
      </c>
      <c r="O113" s="101">
        <f t="shared" si="99"/>
        <v>32779.606222000002</v>
      </c>
      <c r="P113" s="101">
        <f t="shared" si="99"/>
        <v>0</v>
      </c>
      <c r="Q113" s="101">
        <f t="shared" si="99"/>
        <v>32779.606222000002</v>
      </c>
      <c r="R113" s="101">
        <f t="shared" si="99"/>
        <v>0</v>
      </c>
      <c r="S113" s="101">
        <f t="shared" si="99"/>
        <v>33342.994408660001</v>
      </c>
      <c r="T113" s="101">
        <f t="shared" si="99"/>
        <v>0</v>
      </c>
      <c r="U113" s="101">
        <f t="shared" si="99"/>
        <v>33342.994408660001</v>
      </c>
      <c r="V113" s="101">
        <f t="shared" si="99"/>
        <v>0</v>
      </c>
      <c r="W113" s="101">
        <f t="shared" si="99"/>
        <v>147242.80803066</v>
      </c>
      <c r="X113" s="101">
        <f t="shared" si="99"/>
        <v>0</v>
      </c>
      <c r="Y113" s="101">
        <f t="shared" si="99"/>
        <v>147242.80803066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f>C92*0.35</f>
        <v>0</v>
      </c>
      <c r="D115" s="56">
        <v>0</v>
      </c>
      <c r="E115" s="56">
        <f t="shared" ref="E115" si="100">SUM(C115:D115)</f>
        <v>0</v>
      </c>
      <c r="F115" s="58"/>
      <c r="G115" s="55">
        <f>G92*0.35</f>
        <v>0</v>
      </c>
      <c r="H115" s="57">
        <v>0</v>
      </c>
      <c r="I115" s="57">
        <f t="shared" ref="I115" si="101">SUM(G115:H115)</f>
        <v>0</v>
      </c>
      <c r="J115" s="58"/>
      <c r="K115" s="55">
        <f>K92*0.35</f>
        <v>0</v>
      </c>
      <c r="L115" s="57">
        <v>0</v>
      </c>
      <c r="M115" s="57">
        <f t="shared" ref="M115" si="102">SUM(K115:L115)</f>
        <v>0</v>
      </c>
      <c r="N115" s="58"/>
      <c r="O115" s="55">
        <f>O92*0.35</f>
        <v>0</v>
      </c>
      <c r="P115" s="57">
        <v>0</v>
      </c>
      <c r="Q115" s="57">
        <f t="shared" ref="Q115" si="103">SUM(O115:P115)</f>
        <v>0</v>
      </c>
      <c r="R115" s="58"/>
      <c r="S115" s="55">
        <f>S92*0.35</f>
        <v>0</v>
      </c>
      <c r="T115" s="57">
        <v>0</v>
      </c>
      <c r="U115" s="57">
        <f t="shared" ref="U115" si="104">SUM(S115:T115)</f>
        <v>0</v>
      </c>
      <c r="V115" s="59"/>
      <c r="W115" s="124">
        <f t="shared" ref="W115:Y121" si="105">C115+G115+K115+O115+S115</f>
        <v>0</v>
      </c>
      <c r="X115" s="57">
        <f t="shared" si="105"/>
        <v>0</v>
      </c>
      <c r="Y115" s="84">
        <f t="shared" si="105"/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customFormat="1" ht="12.75" customHeight="1" x14ac:dyDescent="0.25">
      <c r="A116" s="300">
        <v>0.04</v>
      </c>
      <c r="B116" s="292" t="s">
        <v>265</v>
      </c>
      <c r="C116" s="293">
        <f>C96*0.35</f>
        <v>0</v>
      </c>
      <c r="D116" s="294">
        <v>0</v>
      </c>
      <c r="E116" s="294">
        <f t="shared" ref="E116:E121" si="106">SUM(C116:D116)</f>
        <v>0</v>
      </c>
      <c r="F116" s="295"/>
      <c r="G116" s="293">
        <f>G102*$A$116</f>
        <v>560</v>
      </c>
      <c r="H116" s="294">
        <f t="shared" ref="H116:H121" si="107">D116*1.05</f>
        <v>0</v>
      </c>
      <c r="I116" s="294">
        <f t="shared" ref="I116:I121" si="108">SUM(G116:H116)</f>
        <v>560</v>
      </c>
      <c r="J116" s="295"/>
      <c r="K116" s="293">
        <f>K102*$A$116</f>
        <v>560</v>
      </c>
      <c r="L116" s="294">
        <f>H116*1.05</f>
        <v>0</v>
      </c>
      <c r="M116" s="294">
        <f t="shared" ref="M116:M121" si="109">SUM(K116:L116)</f>
        <v>560</v>
      </c>
      <c r="N116" s="295"/>
      <c r="O116" s="293">
        <f>O102*$A$116</f>
        <v>560</v>
      </c>
      <c r="P116" s="294">
        <f>L116*1.05</f>
        <v>0</v>
      </c>
      <c r="Q116" s="294">
        <f t="shared" ref="Q116:Q121" si="110">SUM(O116:P116)</f>
        <v>560</v>
      </c>
      <c r="R116" s="295"/>
      <c r="S116" s="293">
        <f>S102*$A$116</f>
        <v>560</v>
      </c>
      <c r="T116" s="294">
        <f>P116*1.05</f>
        <v>0</v>
      </c>
      <c r="U116" s="294">
        <f t="shared" ref="U116:U121" si="111">SUM(S116:T116)</f>
        <v>560</v>
      </c>
      <c r="V116" s="296"/>
      <c r="W116" s="293">
        <f t="shared" si="105"/>
        <v>2240</v>
      </c>
      <c r="X116" s="294">
        <f t="shared" si="105"/>
        <v>0</v>
      </c>
      <c r="Y116" s="294">
        <f t="shared" si="105"/>
        <v>2240</v>
      </c>
      <c r="Z116" s="292"/>
      <c r="AA116" s="292"/>
      <c r="AB116" s="292"/>
      <c r="AC116" s="292"/>
      <c r="AD116" s="29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</row>
    <row r="117" spans="1:77" customFormat="1" ht="12.75" customHeight="1" x14ac:dyDescent="0.25">
      <c r="A117" s="312">
        <v>3745</v>
      </c>
      <c r="B117" s="292" t="s">
        <v>266</v>
      </c>
      <c r="C117" s="293">
        <v>0</v>
      </c>
      <c r="D117" s="294">
        <v>0</v>
      </c>
      <c r="E117" s="294">
        <f t="shared" si="106"/>
        <v>0</v>
      </c>
      <c r="F117" s="295"/>
      <c r="G117" s="293">
        <f>A117*1.05/2</f>
        <v>1966.125</v>
      </c>
      <c r="H117" s="294">
        <f t="shared" si="107"/>
        <v>0</v>
      </c>
      <c r="I117" s="294">
        <f t="shared" si="108"/>
        <v>1966.125</v>
      </c>
      <c r="J117" s="295"/>
      <c r="K117" s="293">
        <f t="shared" ref="K117:L119" si="112">G117*1.05</f>
        <v>2064.4312500000001</v>
      </c>
      <c r="L117" s="294">
        <f t="shared" si="112"/>
        <v>0</v>
      </c>
      <c r="M117" s="294">
        <f t="shared" si="109"/>
        <v>2064.4312500000001</v>
      </c>
      <c r="N117" s="295"/>
      <c r="O117" s="293">
        <f t="shared" ref="O117:P119" si="113">K117*1.05</f>
        <v>2167.6528125</v>
      </c>
      <c r="P117" s="294">
        <f t="shared" si="113"/>
        <v>0</v>
      </c>
      <c r="Q117" s="294">
        <f t="shared" si="110"/>
        <v>2167.6528125</v>
      </c>
      <c r="R117" s="295"/>
      <c r="S117" s="293">
        <f t="shared" ref="S117:T119" si="114">O117*1.05</f>
        <v>2276.035453125</v>
      </c>
      <c r="T117" s="294">
        <f t="shared" si="114"/>
        <v>0</v>
      </c>
      <c r="U117" s="294">
        <f t="shared" si="111"/>
        <v>2276.035453125</v>
      </c>
      <c r="V117" s="296"/>
      <c r="W117" s="293">
        <f t="shared" si="105"/>
        <v>8474.2445156249996</v>
      </c>
      <c r="X117" s="294">
        <f t="shared" si="105"/>
        <v>0</v>
      </c>
      <c r="Y117" s="294">
        <f t="shared" si="105"/>
        <v>8474.2445156249996</v>
      </c>
      <c r="Z117" s="292"/>
      <c r="AA117" s="292"/>
      <c r="AB117" s="292"/>
      <c r="AC117" s="292"/>
      <c r="AD117" s="29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</row>
    <row r="118" spans="1:77" customFormat="1" ht="12.75" customHeight="1" x14ac:dyDescent="0.25">
      <c r="A118" s="300">
        <v>0.40100000000000002</v>
      </c>
      <c r="B118" s="292" t="s">
        <v>267</v>
      </c>
      <c r="C118" s="293">
        <f>C104*$A$118</f>
        <v>6891.5860000000002</v>
      </c>
      <c r="D118" s="294">
        <f>D108*0.29</f>
        <v>0</v>
      </c>
      <c r="E118" s="294">
        <f t="shared" si="106"/>
        <v>6891.5860000000002</v>
      </c>
      <c r="F118" s="295"/>
      <c r="G118" s="293">
        <f>G104*$A$118</f>
        <v>7098.3335800000013</v>
      </c>
      <c r="H118" s="294">
        <f t="shared" si="107"/>
        <v>0</v>
      </c>
      <c r="I118" s="294">
        <f t="shared" si="108"/>
        <v>7098.3335800000013</v>
      </c>
      <c r="J118" s="295"/>
      <c r="K118" s="293">
        <f>K104*$A$118</f>
        <v>7311.2835874000011</v>
      </c>
      <c r="L118" s="294">
        <f t="shared" si="112"/>
        <v>0</v>
      </c>
      <c r="M118" s="294">
        <f t="shared" si="109"/>
        <v>7311.2835874000011</v>
      </c>
      <c r="N118" s="295"/>
      <c r="O118" s="293">
        <f>O104*$A$118</f>
        <v>7530.6220950220013</v>
      </c>
      <c r="P118" s="294">
        <f t="shared" si="113"/>
        <v>0</v>
      </c>
      <c r="Q118" s="294">
        <f t="shared" si="110"/>
        <v>7530.6220950220013</v>
      </c>
      <c r="R118" s="295"/>
      <c r="S118" s="293">
        <f>S104*$A$118</f>
        <v>7756.5407578726627</v>
      </c>
      <c r="T118" s="294">
        <f t="shared" si="114"/>
        <v>0</v>
      </c>
      <c r="U118" s="294">
        <f t="shared" si="111"/>
        <v>7756.5407578726627</v>
      </c>
      <c r="V118" s="296"/>
      <c r="W118" s="293">
        <f t="shared" si="105"/>
        <v>36588.366020294663</v>
      </c>
      <c r="X118" s="294">
        <f t="shared" si="105"/>
        <v>0</v>
      </c>
      <c r="Y118" s="294">
        <f t="shared" si="105"/>
        <v>36588.366020294663</v>
      </c>
      <c r="Z118" s="292"/>
      <c r="AA118" s="292"/>
      <c r="AB118" s="292"/>
      <c r="AC118" s="292"/>
      <c r="AD118" s="29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</row>
    <row r="119" spans="1:77" customFormat="1" ht="12.75" customHeight="1" x14ac:dyDescent="0.25">
      <c r="A119" s="300"/>
      <c r="B119" s="292"/>
      <c r="C119" s="293">
        <f>C112*A119*0</f>
        <v>0</v>
      </c>
      <c r="D119" s="294">
        <v>0</v>
      </c>
      <c r="E119" s="294">
        <f t="shared" si="106"/>
        <v>0</v>
      </c>
      <c r="F119" s="295"/>
      <c r="G119" s="311">
        <f>G112*A119*0</f>
        <v>0</v>
      </c>
      <c r="H119" s="294">
        <f t="shared" si="107"/>
        <v>0</v>
      </c>
      <c r="I119" s="294">
        <f t="shared" si="108"/>
        <v>0</v>
      </c>
      <c r="J119" s="295"/>
      <c r="K119" s="311">
        <f>K112*A119*0</f>
        <v>0</v>
      </c>
      <c r="L119" s="294">
        <f t="shared" si="112"/>
        <v>0</v>
      </c>
      <c r="M119" s="294">
        <f t="shared" si="109"/>
        <v>0</v>
      </c>
      <c r="N119" s="295"/>
      <c r="O119" s="311">
        <f>O112*A119*0</f>
        <v>0</v>
      </c>
      <c r="P119" s="294">
        <f t="shared" si="113"/>
        <v>0</v>
      </c>
      <c r="Q119" s="294">
        <f t="shared" si="110"/>
        <v>0</v>
      </c>
      <c r="R119" s="295"/>
      <c r="S119" s="311">
        <f>S112*A119*0</f>
        <v>0</v>
      </c>
      <c r="T119" s="294">
        <f t="shared" si="114"/>
        <v>0</v>
      </c>
      <c r="U119" s="294">
        <f t="shared" si="111"/>
        <v>0</v>
      </c>
      <c r="V119" s="296"/>
      <c r="W119" s="293">
        <f t="shared" si="105"/>
        <v>0</v>
      </c>
      <c r="X119" s="294">
        <f t="shared" si="105"/>
        <v>0</v>
      </c>
      <c r="Y119" s="294">
        <f t="shared" si="105"/>
        <v>0</v>
      </c>
      <c r="Z119" s="292"/>
      <c r="AA119" s="292"/>
      <c r="AB119" s="292"/>
      <c r="AC119" s="292"/>
      <c r="AD119" s="292"/>
      <c r="AE119" s="292"/>
      <c r="AF119" s="292"/>
      <c r="AG119" s="292"/>
      <c r="AH119" s="292"/>
      <c r="AI119" s="292"/>
      <c r="AJ119" s="292"/>
      <c r="AK119" s="292"/>
      <c r="AL119" s="292"/>
      <c r="AM119" s="292"/>
      <c r="AN119" s="292"/>
      <c r="AO119" s="292"/>
      <c r="AP119" s="292"/>
      <c r="AQ119" s="292"/>
      <c r="AR119" s="292"/>
      <c r="AS119" s="292"/>
      <c r="AT119" s="292"/>
    </row>
    <row r="120" spans="1:77" customFormat="1" ht="12.75" customHeight="1" x14ac:dyDescent="0.25">
      <c r="A120" s="300"/>
      <c r="B120" s="292"/>
      <c r="C120" s="293">
        <f>C104*(A120)</f>
        <v>0</v>
      </c>
      <c r="D120" s="294">
        <v>0</v>
      </c>
      <c r="E120" s="294">
        <f t="shared" si="106"/>
        <v>0</v>
      </c>
      <c r="F120" s="295"/>
      <c r="G120" s="293">
        <f>G104*(A120*1.03)</f>
        <v>0</v>
      </c>
      <c r="H120" s="294">
        <f t="shared" si="107"/>
        <v>0</v>
      </c>
      <c r="I120" s="294">
        <f t="shared" si="108"/>
        <v>0</v>
      </c>
      <c r="J120" s="295"/>
      <c r="K120" s="293">
        <f t="shared" ref="K120:L120" si="115">G120*1.05</f>
        <v>0</v>
      </c>
      <c r="L120" s="294">
        <f t="shared" si="115"/>
        <v>0</v>
      </c>
      <c r="M120" s="294">
        <f t="shared" si="109"/>
        <v>0</v>
      </c>
      <c r="N120" s="295"/>
      <c r="O120" s="293">
        <f t="shared" ref="O120:P120" si="116">K120*1.05</f>
        <v>0</v>
      </c>
      <c r="P120" s="294">
        <f t="shared" si="116"/>
        <v>0</v>
      </c>
      <c r="Q120" s="294">
        <f t="shared" si="110"/>
        <v>0</v>
      </c>
      <c r="R120" s="295"/>
      <c r="S120" s="293">
        <f t="shared" ref="S120:T120" si="117">O120*1.05</f>
        <v>0</v>
      </c>
      <c r="T120" s="294">
        <f t="shared" si="117"/>
        <v>0</v>
      </c>
      <c r="U120" s="294">
        <f t="shared" si="111"/>
        <v>0</v>
      </c>
      <c r="V120" s="296"/>
      <c r="W120" s="293">
        <f t="shared" si="105"/>
        <v>0</v>
      </c>
      <c r="X120" s="294">
        <f t="shared" si="105"/>
        <v>0</v>
      </c>
      <c r="Y120" s="294">
        <f t="shared" si="105"/>
        <v>0</v>
      </c>
      <c r="Z120" s="292"/>
      <c r="AA120" s="292"/>
      <c r="AB120" s="292"/>
      <c r="AC120" s="292"/>
      <c r="AD120" s="292"/>
      <c r="AE120" s="292"/>
      <c r="AF120" s="292"/>
      <c r="AG120" s="292"/>
      <c r="AH120" s="292"/>
      <c r="AI120" s="292"/>
      <c r="AJ120" s="292"/>
      <c r="AK120" s="292"/>
      <c r="AL120" s="292"/>
      <c r="AM120" s="292"/>
      <c r="AN120" s="292"/>
      <c r="AO120" s="292"/>
      <c r="AP120" s="292"/>
      <c r="AQ120" s="292"/>
      <c r="AR120" s="292"/>
      <c r="AS120" s="292"/>
      <c r="AT120" s="292"/>
    </row>
    <row r="121" spans="1:77" customFormat="1" ht="12.75" customHeight="1" x14ac:dyDescent="0.25">
      <c r="A121" s="310"/>
      <c r="B121" s="292"/>
      <c r="C121" s="293">
        <f>(A121)*0.25</f>
        <v>0</v>
      </c>
      <c r="D121" s="294">
        <v>0</v>
      </c>
      <c r="E121" s="294">
        <f t="shared" si="106"/>
        <v>0</v>
      </c>
      <c r="F121" s="295"/>
      <c r="G121" s="293">
        <f>(A121*1.05)*0.25</f>
        <v>0</v>
      </c>
      <c r="H121" s="294">
        <f t="shared" si="107"/>
        <v>0</v>
      </c>
      <c r="I121" s="294">
        <f t="shared" si="108"/>
        <v>0</v>
      </c>
      <c r="J121" s="295"/>
      <c r="K121" s="293">
        <f>G121*1.1</f>
        <v>0</v>
      </c>
      <c r="L121" s="294">
        <f>H121*1.05</f>
        <v>0</v>
      </c>
      <c r="M121" s="294">
        <f t="shared" si="109"/>
        <v>0</v>
      </c>
      <c r="N121" s="295"/>
      <c r="O121" s="293">
        <f>K121*1.1</f>
        <v>0</v>
      </c>
      <c r="P121" s="294">
        <f>L121*1.05</f>
        <v>0</v>
      </c>
      <c r="Q121" s="294">
        <f t="shared" si="110"/>
        <v>0</v>
      </c>
      <c r="R121" s="295"/>
      <c r="S121" s="293">
        <f>O121*1.1</f>
        <v>0</v>
      </c>
      <c r="T121" s="294">
        <f>P121*1.05</f>
        <v>0</v>
      </c>
      <c r="U121" s="294">
        <f t="shared" si="111"/>
        <v>0</v>
      </c>
      <c r="V121" s="296"/>
      <c r="W121" s="293">
        <f t="shared" si="105"/>
        <v>0</v>
      </c>
      <c r="X121" s="294">
        <f t="shared" si="105"/>
        <v>0</v>
      </c>
      <c r="Y121" s="294">
        <f t="shared" si="105"/>
        <v>0</v>
      </c>
      <c r="Z121" s="292"/>
      <c r="AA121" s="292"/>
      <c r="AB121" s="292"/>
      <c r="AC121" s="292"/>
      <c r="AD121" s="292"/>
      <c r="AE121" s="292"/>
      <c r="AF121" s="292"/>
      <c r="AG121" s="292"/>
      <c r="AH121" s="29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2"/>
      <c r="AT121" s="292"/>
    </row>
    <row r="122" spans="1:77" customFormat="1" ht="12.75" customHeight="1" x14ac:dyDescent="0.25">
      <c r="A122" s="310"/>
      <c r="B122" s="292"/>
      <c r="C122" s="293"/>
      <c r="D122" s="294"/>
      <c r="E122" s="294"/>
      <c r="F122" s="295"/>
      <c r="G122" s="293"/>
      <c r="H122" s="294"/>
      <c r="I122" s="294"/>
      <c r="J122" s="295"/>
      <c r="K122" s="293"/>
      <c r="L122" s="294"/>
      <c r="M122" s="294"/>
      <c r="N122" s="295"/>
      <c r="O122" s="293"/>
      <c r="P122" s="294"/>
      <c r="Q122" s="294"/>
      <c r="R122" s="295"/>
      <c r="S122" s="293"/>
      <c r="T122" s="294"/>
      <c r="U122" s="294"/>
      <c r="V122" s="296"/>
      <c r="W122" s="293"/>
      <c r="X122" s="294"/>
      <c r="Y122" s="294"/>
      <c r="Z122" s="292"/>
      <c r="AA122" s="292"/>
      <c r="AB122" s="292"/>
      <c r="AC122" s="292"/>
      <c r="AD122" s="292"/>
      <c r="AE122" s="292"/>
      <c r="AF122" s="292"/>
      <c r="AG122" s="292"/>
      <c r="AH122" s="292"/>
      <c r="AI122" s="292"/>
      <c r="AJ122" s="292"/>
      <c r="AK122" s="292"/>
      <c r="AL122" s="292"/>
      <c r="AM122" s="292"/>
      <c r="AN122" s="292"/>
      <c r="AO122" s="292"/>
      <c r="AP122" s="292"/>
      <c r="AQ122" s="292"/>
      <c r="AR122" s="292"/>
      <c r="AS122" s="292"/>
      <c r="AT122" s="292"/>
    </row>
    <row r="123" spans="1:77" s="61" customFormat="1" x14ac:dyDescent="0.25">
      <c r="A123" s="51"/>
      <c r="B123" s="52"/>
      <c r="C123" s="124"/>
      <c r="D123" s="56"/>
      <c r="E123" s="56"/>
      <c r="F123" s="58"/>
      <c r="G123" s="55"/>
      <c r="H123" s="57"/>
      <c r="I123" s="57"/>
      <c r="J123" s="58"/>
      <c r="K123" s="55"/>
      <c r="L123" s="57"/>
      <c r="M123" s="57"/>
      <c r="N123" s="58"/>
      <c r="O123" s="55"/>
      <c r="P123" s="57"/>
      <c r="Q123" s="57"/>
      <c r="R123" s="58"/>
      <c r="S123" s="55"/>
      <c r="T123" s="57"/>
      <c r="U123" s="57"/>
      <c r="V123" s="59"/>
      <c r="W123" s="124"/>
      <c r="X123" s="57"/>
      <c r="Y123" s="8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6891.5860000000002</v>
      </c>
      <c r="D124" s="125">
        <f>SUM(D115:D123)</f>
        <v>0</v>
      </c>
      <c r="E124" s="125">
        <f>SUM(E115:E123)</f>
        <v>6891.5860000000002</v>
      </c>
      <c r="F124" s="81"/>
      <c r="G124" s="79">
        <f>SUM(G115:G123)</f>
        <v>9624.4585800000023</v>
      </c>
      <c r="H124" s="80">
        <f>SUM(H115:H123)</f>
        <v>0</v>
      </c>
      <c r="I124" s="80">
        <f>SUM(I115:I123)</f>
        <v>9624.4585800000023</v>
      </c>
      <c r="J124" s="81"/>
      <c r="K124" s="79">
        <f>SUM(K115:K123)</f>
        <v>9935.7148374000008</v>
      </c>
      <c r="L124" s="80">
        <f>SUM(L115:L123)</f>
        <v>0</v>
      </c>
      <c r="M124" s="80">
        <f>SUM(M115:M123)</f>
        <v>9935.7148374000008</v>
      </c>
      <c r="N124" s="81"/>
      <c r="O124" s="79">
        <f>SUM(O115:O123)</f>
        <v>10258.274907522002</v>
      </c>
      <c r="P124" s="80">
        <f>SUM(P115:P123)</f>
        <v>0</v>
      </c>
      <c r="Q124" s="80">
        <f>SUM(Q115:Q123)</f>
        <v>10258.274907522002</v>
      </c>
      <c r="R124" s="81"/>
      <c r="S124" s="79">
        <f>SUM(S115:S123)</f>
        <v>10592.576210997662</v>
      </c>
      <c r="T124" s="80">
        <f>SUM(T115:T123)</f>
        <v>0</v>
      </c>
      <c r="U124" s="80">
        <f>SUM(U115:U123)</f>
        <v>10592.576210997662</v>
      </c>
      <c r="V124" s="82"/>
      <c r="W124" s="228">
        <f>C124+G124+K124+O124+S124</f>
        <v>47302.610535919666</v>
      </c>
      <c r="X124" s="80">
        <f>D124+H124+L124+P124+T124</f>
        <v>0</v>
      </c>
      <c r="Y124" s="84">
        <f>E124+I124+M124+Q124+U124</f>
        <v>47302.610535919666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118">C124+C113</f>
        <v>24077.585999999999</v>
      </c>
      <c r="D125" s="101">
        <f t="shared" si="118"/>
        <v>0</v>
      </c>
      <c r="E125" s="101">
        <f t="shared" si="118"/>
        <v>24077.585999999999</v>
      </c>
      <c r="F125" s="101">
        <f t="shared" si="118"/>
        <v>0</v>
      </c>
      <c r="G125" s="101">
        <f t="shared" si="118"/>
        <v>41326.038580000008</v>
      </c>
      <c r="H125" s="101">
        <f t="shared" si="118"/>
        <v>0</v>
      </c>
      <c r="I125" s="101">
        <f t="shared" si="118"/>
        <v>41326.038580000008</v>
      </c>
      <c r="J125" s="101">
        <f t="shared" si="118"/>
        <v>0</v>
      </c>
      <c r="K125" s="101">
        <f t="shared" si="118"/>
        <v>42168.3422374</v>
      </c>
      <c r="L125" s="101">
        <f t="shared" si="118"/>
        <v>0</v>
      </c>
      <c r="M125" s="101">
        <f t="shared" si="118"/>
        <v>42168.3422374</v>
      </c>
      <c r="N125" s="101">
        <f t="shared" si="118"/>
        <v>0</v>
      </c>
      <c r="O125" s="101">
        <f t="shared" si="118"/>
        <v>43037.881129522008</v>
      </c>
      <c r="P125" s="101">
        <f t="shared" si="118"/>
        <v>0</v>
      </c>
      <c r="Q125" s="101">
        <f t="shared" si="118"/>
        <v>43037.881129522008</v>
      </c>
      <c r="R125" s="101">
        <f t="shared" si="118"/>
        <v>0</v>
      </c>
      <c r="S125" s="101">
        <f t="shared" si="118"/>
        <v>43935.570619657665</v>
      </c>
      <c r="T125" s="101">
        <f t="shared" si="118"/>
        <v>0</v>
      </c>
      <c r="U125" s="101">
        <f t="shared" si="118"/>
        <v>43935.570619657665</v>
      </c>
      <c r="V125" s="101">
        <f t="shared" si="118"/>
        <v>0</v>
      </c>
      <c r="W125" s="101">
        <f t="shared" si="118"/>
        <v>194545.41856657967</v>
      </c>
      <c r="X125" s="101">
        <f t="shared" si="118"/>
        <v>0</v>
      </c>
      <c r="Y125" s="101">
        <f t="shared" si="118"/>
        <v>194545.41856657967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x14ac:dyDescent="0.25">
      <c r="A127" s="52"/>
      <c r="B127" s="52"/>
      <c r="C127" s="124">
        <v>0</v>
      </c>
      <c r="D127" s="56">
        <v>0</v>
      </c>
      <c r="E127" s="56">
        <f t="shared" ref="E127:E140" si="119">SUM(C127:D127)</f>
        <v>0</v>
      </c>
      <c r="F127" s="58"/>
      <c r="G127" s="55">
        <v>0</v>
      </c>
      <c r="H127" s="57">
        <v>0</v>
      </c>
      <c r="I127" s="57">
        <f t="shared" ref="I127:I140" si="120">SUM(G127:H127)</f>
        <v>0</v>
      </c>
      <c r="J127" s="58"/>
      <c r="K127" s="55">
        <v>0</v>
      </c>
      <c r="L127" s="57">
        <v>0</v>
      </c>
      <c r="M127" s="57">
        <f t="shared" ref="M127:M140" si="121">SUM(K127:L127)</f>
        <v>0</v>
      </c>
      <c r="N127" s="58"/>
      <c r="O127" s="55">
        <v>0</v>
      </c>
      <c r="P127" s="57">
        <v>0</v>
      </c>
      <c r="Q127" s="57">
        <f t="shared" ref="Q127:Q140" si="122">SUM(O127:P127)</f>
        <v>0</v>
      </c>
      <c r="R127" s="58"/>
      <c r="S127" s="55">
        <v>0</v>
      </c>
      <c r="T127" s="57">
        <v>0</v>
      </c>
      <c r="U127" s="57">
        <f t="shared" ref="U127:U140" si="123">SUM(S127:T127)</f>
        <v>0</v>
      </c>
      <c r="V127" s="59"/>
      <c r="W127" s="124">
        <f t="shared" ref="W127:W141" si="124">C127+G127+K127+O127+S127</f>
        <v>0</v>
      </c>
      <c r="X127" s="57">
        <f t="shared" ref="X127:X141" si="125">D127+H127+L127+P127+T127</f>
        <v>0</v>
      </c>
      <c r="Y127" s="84">
        <f t="shared" ref="Y127:Y141" si="126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x14ac:dyDescent="0.25">
      <c r="A128" s="52"/>
      <c r="B128" s="52"/>
      <c r="C128" s="124">
        <v>0</v>
      </c>
      <c r="D128" s="56">
        <v>0</v>
      </c>
      <c r="E128" s="56">
        <f t="shared" si="119"/>
        <v>0</v>
      </c>
      <c r="F128" s="58"/>
      <c r="G128" s="55">
        <v>0</v>
      </c>
      <c r="H128" s="57">
        <v>0</v>
      </c>
      <c r="I128" s="57">
        <f t="shared" si="120"/>
        <v>0</v>
      </c>
      <c r="J128" s="58"/>
      <c r="K128" s="55">
        <v>0</v>
      </c>
      <c r="L128" s="57">
        <v>0</v>
      </c>
      <c r="M128" s="57">
        <f t="shared" si="121"/>
        <v>0</v>
      </c>
      <c r="N128" s="58"/>
      <c r="O128" s="55">
        <v>0</v>
      </c>
      <c r="P128" s="57">
        <v>0</v>
      </c>
      <c r="Q128" s="57">
        <f t="shared" si="122"/>
        <v>0</v>
      </c>
      <c r="R128" s="58"/>
      <c r="S128" s="55">
        <v>0</v>
      </c>
      <c r="T128" s="57">
        <v>0</v>
      </c>
      <c r="U128" s="57">
        <f t="shared" si="123"/>
        <v>0</v>
      </c>
      <c r="V128" s="59"/>
      <c r="W128" s="124">
        <f t="shared" si="124"/>
        <v>0</v>
      </c>
      <c r="X128" s="57">
        <f t="shared" si="125"/>
        <v>0</v>
      </c>
      <c r="Y128" s="84">
        <f t="shared" si="126"/>
        <v>0</v>
      </c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</row>
    <row r="129" spans="1:77" s="61" customFormat="1" x14ac:dyDescent="0.25">
      <c r="A129" s="52"/>
      <c r="B129" s="52"/>
      <c r="C129" s="124">
        <v>0</v>
      </c>
      <c r="D129" s="56">
        <v>0</v>
      </c>
      <c r="E129" s="56">
        <f t="shared" si="119"/>
        <v>0</v>
      </c>
      <c r="F129" s="58"/>
      <c r="G129" s="55">
        <v>0</v>
      </c>
      <c r="H129" s="57">
        <v>0</v>
      </c>
      <c r="I129" s="57">
        <f t="shared" si="120"/>
        <v>0</v>
      </c>
      <c r="J129" s="58"/>
      <c r="K129" s="55">
        <v>0</v>
      </c>
      <c r="L129" s="57">
        <v>0</v>
      </c>
      <c r="M129" s="57">
        <f t="shared" si="121"/>
        <v>0</v>
      </c>
      <c r="N129" s="58"/>
      <c r="O129" s="55">
        <v>0</v>
      </c>
      <c r="P129" s="57">
        <v>0</v>
      </c>
      <c r="Q129" s="57">
        <f t="shared" si="122"/>
        <v>0</v>
      </c>
      <c r="R129" s="58"/>
      <c r="S129" s="55">
        <v>0</v>
      </c>
      <c r="T129" s="57">
        <v>0</v>
      </c>
      <c r="U129" s="57">
        <f t="shared" si="123"/>
        <v>0</v>
      </c>
      <c r="V129" s="59"/>
      <c r="W129" s="124">
        <f t="shared" si="124"/>
        <v>0</v>
      </c>
      <c r="X129" s="57">
        <f t="shared" si="125"/>
        <v>0</v>
      </c>
      <c r="Y129" s="84">
        <f t="shared" si="126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119"/>
        <v>0</v>
      </c>
      <c r="F130" s="58"/>
      <c r="G130" s="55">
        <v>0</v>
      </c>
      <c r="H130" s="57">
        <v>0</v>
      </c>
      <c r="I130" s="57">
        <f t="shared" si="120"/>
        <v>0</v>
      </c>
      <c r="J130" s="58"/>
      <c r="K130" s="55">
        <v>0</v>
      </c>
      <c r="L130" s="57">
        <v>0</v>
      </c>
      <c r="M130" s="57">
        <f t="shared" si="121"/>
        <v>0</v>
      </c>
      <c r="N130" s="58"/>
      <c r="O130" s="55">
        <v>0</v>
      </c>
      <c r="P130" s="57">
        <v>0</v>
      </c>
      <c r="Q130" s="57">
        <f t="shared" si="122"/>
        <v>0</v>
      </c>
      <c r="R130" s="58"/>
      <c r="S130" s="55">
        <v>0</v>
      </c>
      <c r="T130" s="57">
        <v>0</v>
      </c>
      <c r="U130" s="57">
        <f t="shared" si="123"/>
        <v>0</v>
      </c>
      <c r="V130" s="59"/>
      <c r="W130" s="124">
        <f t="shared" si="124"/>
        <v>0</v>
      </c>
      <c r="X130" s="57">
        <f t="shared" si="125"/>
        <v>0</v>
      </c>
      <c r="Y130" s="84">
        <f t="shared" si="126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119"/>
        <v>0</v>
      </c>
      <c r="F131" s="58"/>
      <c r="G131" s="55">
        <v>0</v>
      </c>
      <c r="H131" s="57">
        <v>0</v>
      </c>
      <c r="I131" s="57">
        <f t="shared" si="120"/>
        <v>0</v>
      </c>
      <c r="J131" s="58"/>
      <c r="K131" s="55">
        <v>0</v>
      </c>
      <c r="L131" s="57">
        <v>0</v>
      </c>
      <c r="M131" s="57">
        <f t="shared" si="121"/>
        <v>0</v>
      </c>
      <c r="N131" s="58"/>
      <c r="O131" s="55">
        <v>0</v>
      </c>
      <c r="P131" s="57">
        <v>0</v>
      </c>
      <c r="Q131" s="57">
        <f t="shared" si="122"/>
        <v>0</v>
      </c>
      <c r="R131" s="58"/>
      <c r="S131" s="55">
        <v>0</v>
      </c>
      <c r="T131" s="57">
        <v>0</v>
      </c>
      <c r="U131" s="57">
        <f t="shared" si="123"/>
        <v>0</v>
      </c>
      <c r="V131" s="59"/>
      <c r="W131" s="124">
        <f t="shared" si="124"/>
        <v>0</v>
      </c>
      <c r="X131" s="57">
        <f t="shared" si="125"/>
        <v>0</v>
      </c>
      <c r="Y131" s="84">
        <f t="shared" si="126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119"/>
        <v>0</v>
      </c>
      <c r="F132" s="58"/>
      <c r="G132" s="55">
        <v>0</v>
      </c>
      <c r="H132" s="57">
        <v>0</v>
      </c>
      <c r="I132" s="57">
        <f t="shared" si="120"/>
        <v>0</v>
      </c>
      <c r="J132" s="58"/>
      <c r="K132" s="55">
        <v>0</v>
      </c>
      <c r="L132" s="57">
        <v>0</v>
      </c>
      <c r="M132" s="57">
        <f t="shared" si="121"/>
        <v>0</v>
      </c>
      <c r="N132" s="58"/>
      <c r="O132" s="55">
        <v>0</v>
      </c>
      <c r="P132" s="57">
        <v>0</v>
      </c>
      <c r="Q132" s="57">
        <f t="shared" si="122"/>
        <v>0</v>
      </c>
      <c r="R132" s="58"/>
      <c r="S132" s="55">
        <v>0</v>
      </c>
      <c r="T132" s="57">
        <v>0</v>
      </c>
      <c r="U132" s="57">
        <f t="shared" si="123"/>
        <v>0</v>
      </c>
      <c r="V132" s="59"/>
      <c r="W132" s="124">
        <f t="shared" si="124"/>
        <v>0</v>
      </c>
      <c r="X132" s="57">
        <f t="shared" si="125"/>
        <v>0</v>
      </c>
      <c r="Y132" s="84">
        <f t="shared" si="126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119"/>
        <v>0</v>
      </c>
      <c r="F133" s="58"/>
      <c r="G133" s="55">
        <v>0</v>
      </c>
      <c r="H133" s="57">
        <v>0</v>
      </c>
      <c r="I133" s="57">
        <f t="shared" si="120"/>
        <v>0</v>
      </c>
      <c r="J133" s="58"/>
      <c r="K133" s="55">
        <v>0</v>
      </c>
      <c r="L133" s="57">
        <v>0</v>
      </c>
      <c r="M133" s="57">
        <f t="shared" si="121"/>
        <v>0</v>
      </c>
      <c r="N133" s="58"/>
      <c r="O133" s="55">
        <v>0</v>
      </c>
      <c r="P133" s="57">
        <v>0</v>
      </c>
      <c r="Q133" s="57">
        <f t="shared" si="122"/>
        <v>0</v>
      </c>
      <c r="R133" s="58"/>
      <c r="S133" s="55">
        <v>0</v>
      </c>
      <c r="T133" s="57">
        <v>0</v>
      </c>
      <c r="U133" s="57">
        <f t="shared" si="123"/>
        <v>0</v>
      </c>
      <c r="V133" s="59"/>
      <c r="W133" s="124">
        <f t="shared" si="124"/>
        <v>0</v>
      </c>
      <c r="X133" s="57">
        <f t="shared" si="125"/>
        <v>0</v>
      </c>
      <c r="Y133" s="84">
        <f t="shared" si="126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119"/>
        <v>0</v>
      </c>
      <c r="F134" s="58"/>
      <c r="G134" s="55">
        <v>0</v>
      </c>
      <c r="H134" s="57">
        <v>0</v>
      </c>
      <c r="I134" s="57">
        <f t="shared" si="120"/>
        <v>0</v>
      </c>
      <c r="J134" s="58"/>
      <c r="K134" s="55">
        <v>0</v>
      </c>
      <c r="L134" s="57">
        <v>0</v>
      </c>
      <c r="M134" s="57">
        <f t="shared" si="121"/>
        <v>0</v>
      </c>
      <c r="N134" s="58"/>
      <c r="O134" s="55">
        <v>0</v>
      </c>
      <c r="P134" s="57">
        <v>0</v>
      </c>
      <c r="Q134" s="57">
        <f t="shared" si="122"/>
        <v>0</v>
      </c>
      <c r="R134" s="58"/>
      <c r="S134" s="55">
        <v>0</v>
      </c>
      <c r="T134" s="57">
        <v>0</v>
      </c>
      <c r="U134" s="57">
        <f t="shared" si="123"/>
        <v>0</v>
      </c>
      <c r="V134" s="59"/>
      <c r="W134" s="124">
        <f t="shared" si="124"/>
        <v>0</v>
      </c>
      <c r="X134" s="57">
        <f t="shared" si="125"/>
        <v>0</v>
      </c>
      <c r="Y134" s="84">
        <f t="shared" si="126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119"/>
        <v>0</v>
      </c>
      <c r="F135" s="58"/>
      <c r="G135" s="55">
        <v>0</v>
      </c>
      <c r="H135" s="57">
        <v>0</v>
      </c>
      <c r="I135" s="57">
        <f t="shared" si="120"/>
        <v>0</v>
      </c>
      <c r="J135" s="58"/>
      <c r="K135" s="55">
        <v>0</v>
      </c>
      <c r="L135" s="57">
        <v>0</v>
      </c>
      <c r="M135" s="57">
        <f t="shared" si="121"/>
        <v>0</v>
      </c>
      <c r="N135" s="58"/>
      <c r="O135" s="55">
        <v>0</v>
      </c>
      <c r="P135" s="57">
        <v>0</v>
      </c>
      <c r="Q135" s="57">
        <f t="shared" si="122"/>
        <v>0</v>
      </c>
      <c r="R135" s="58"/>
      <c r="S135" s="55">
        <v>0</v>
      </c>
      <c r="T135" s="57">
        <v>0</v>
      </c>
      <c r="U135" s="57">
        <f t="shared" si="123"/>
        <v>0</v>
      </c>
      <c r="V135" s="59"/>
      <c r="W135" s="124">
        <f t="shared" si="124"/>
        <v>0</v>
      </c>
      <c r="X135" s="57">
        <f t="shared" si="125"/>
        <v>0</v>
      </c>
      <c r="Y135" s="84">
        <f t="shared" si="126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119"/>
        <v>0</v>
      </c>
      <c r="F136" s="58"/>
      <c r="G136" s="55">
        <v>0</v>
      </c>
      <c r="H136" s="57">
        <v>0</v>
      </c>
      <c r="I136" s="57">
        <f t="shared" si="120"/>
        <v>0</v>
      </c>
      <c r="J136" s="58"/>
      <c r="K136" s="55">
        <v>0</v>
      </c>
      <c r="L136" s="57">
        <v>0</v>
      </c>
      <c r="M136" s="57">
        <f t="shared" si="121"/>
        <v>0</v>
      </c>
      <c r="N136" s="58"/>
      <c r="O136" s="55">
        <v>0</v>
      </c>
      <c r="P136" s="57">
        <v>0</v>
      </c>
      <c r="Q136" s="57">
        <f t="shared" si="122"/>
        <v>0</v>
      </c>
      <c r="R136" s="58"/>
      <c r="S136" s="55">
        <v>0</v>
      </c>
      <c r="T136" s="57">
        <v>0</v>
      </c>
      <c r="U136" s="57">
        <f t="shared" si="123"/>
        <v>0</v>
      </c>
      <c r="V136" s="59"/>
      <c r="W136" s="124">
        <f t="shared" si="124"/>
        <v>0</v>
      </c>
      <c r="X136" s="57">
        <f t="shared" si="125"/>
        <v>0</v>
      </c>
      <c r="Y136" s="84">
        <f t="shared" si="126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119"/>
        <v>0</v>
      </c>
      <c r="F137" s="58"/>
      <c r="G137" s="55">
        <v>0</v>
      </c>
      <c r="H137" s="57">
        <v>0</v>
      </c>
      <c r="I137" s="57">
        <f t="shared" si="120"/>
        <v>0</v>
      </c>
      <c r="J137" s="58"/>
      <c r="K137" s="55">
        <v>0</v>
      </c>
      <c r="L137" s="57">
        <v>0</v>
      </c>
      <c r="M137" s="57">
        <f t="shared" si="121"/>
        <v>0</v>
      </c>
      <c r="N137" s="58"/>
      <c r="O137" s="55">
        <v>0</v>
      </c>
      <c r="P137" s="57">
        <v>0</v>
      </c>
      <c r="Q137" s="57">
        <f t="shared" si="122"/>
        <v>0</v>
      </c>
      <c r="R137" s="58"/>
      <c r="S137" s="55">
        <v>0</v>
      </c>
      <c r="T137" s="57">
        <v>0</v>
      </c>
      <c r="U137" s="57">
        <f t="shared" si="123"/>
        <v>0</v>
      </c>
      <c r="V137" s="59"/>
      <c r="W137" s="124">
        <f t="shared" si="124"/>
        <v>0</v>
      </c>
      <c r="X137" s="57">
        <f t="shared" si="125"/>
        <v>0</v>
      </c>
      <c r="Y137" s="84">
        <f t="shared" si="126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119"/>
        <v>0</v>
      </c>
      <c r="F138" s="58"/>
      <c r="G138" s="55">
        <v>0</v>
      </c>
      <c r="H138" s="57">
        <v>0</v>
      </c>
      <c r="I138" s="57">
        <f t="shared" si="120"/>
        <v>0</v>
      </c>
      <c r="J138" s="58"/>
      <c r="K138" s="55">
        <v>0</v>
      </c>
      <c r="L138" s="57">
        <v>0</v>
      </c>
      <c r="M138" s="57">
        <f t="shared" si="121"/>
        <v>0</v>
      </c>
      <c r="N138" s="58"/>
      <c r="O138" s="55">
        <v>0</v>
      </c>
      <c r="P138" s="57">
        <v>0</v>
      </c>
      <c r="Q138" s="57">
        <f t="shared" si="122"/>
        <v>0</v>
      </c>
      <c r="R138" s="58"/>
      <c r="S138" s="55">
        <v>0</v>
      </c>
      <c r="T138" s="57">
        <v>0</v>
      </c>
      <c r="U138" s="57">
        <f t="shared" si="123"/>
        <v>0</v>
      </c>
      <c r="V138" s="59"/>
      <c r="W138" s="124">
        <f t="shared" si="124"/>
        <v>0</v>
      </c>
      <c r="X138" s="57">
        <f t="shared" si="125"/>
        <v>0</v>
      </c>
      <c r="Y138" s="84">
        <f t="shared" si="126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119"/>
        <v>0</v>
      </c>
      <c r="F139" s="58"/>
      <c r="G139" s="55">
        <v>0</v>
      </c>
      <c r="H139" s="57">
        <v>0</v>
      </c>
      <c r="I139" s="57">
        <f t="shared" si="120"/>
        <v>0</v>
      </c>
      <c r="J139" s="58"/>
      <c r="K139" s="55">
        <v>0</v>
      </c>
      <c r="L139" s="57">
        <v>0</v>
      </c>
      <c r="M139" s="57">
        <f t="shared" si="121"/>
        <v>0</v>
      </c>
      <c r="N139" s="58"/>
      <c r="O139" s="55">
        <v>0</v>
      </c>
      <c r="P139" s="57">
        <v>0</v>
      </c>
      <c r="Q139" s="57">
        <f t="shared" si="122"/>
        <v>0</v>
      </c>
      <c r="R139" s="58"/>
      <c r="S139" s="55">
        <v>0</v>
      </c>
      <c r="T139" s="57">
        <v>0</v>
      </c>
      <c r="U139" s="57">
        <f t="shared" si="123"/>
        <v>0</v>
      </c>
      <c r="V139" s="59"/>
      <c r="W139" s="124">
        <f t="shared" si="124"/>
        <v>0</v>
      </c>
      <c r="X139" s="57">
        <f t="shared" si="125"/>
        <v>0</v>
      </c>
      <c r="Y139" s="84">
        <f t="shared" si="126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119"/>
        <v>0</v>
      </c>
      <c r="F140" s="58"/>
      <c r="G140" s="55">
        <v>0</v>
      </c>
      <c r="H140" s="57">
        <v>0</v>
      </c>
      <c r="I140" s="57">
        <f t="shared" si="120"/>
        <v>0</v>
      </c>
      <c r="J140" s="58"/>
      <c r="K140" s="55">
        <v>0</v>
      </c>
      <c r="L140" s="57">
        <v>0</v>
      </c>
      <c r="M140" s="57">
        <f t="shared" si="121"/>
        <v>0</v>
      </c>
      <c r="N140" s="58"/>
      <c r="O140" s="55">
        <v>0</v>
      </c>
      <c r="P140" s="57">
        <v>0</v>
      </c>
      <c r="Q140" s="57">
        <f t="shared" si="122"/>
        <v>0</v>
      </c>
      <c r="R140" s="58"/>
      <c r="S140" s="55">
        <v>0</v>
      </c>
      <c r="T140" s="57">
        <v>0</v>
      </c>
      <c r="U140" s="57">
        <f t="shared" si="123"/>
        <v>0</v>
      </c>
      <c r="V140" s="59"/>
      <c r="W140" s="124">
        <f t="shared" si="124"/>
        <v>0</v>
      </c>
      <c r="X140" s="57">
        <f t="shared" si="125"/>
        <v>0</v>
      </c>
      <c r="Y140" s="84">
        <f t="shared" si="126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124"/>
        <v>0</v>
      </c>
      <c r="X141" s="80">
        <f t="shared" si="125"/>
        <v>0</v>
      </c>
      <c r="Y141" s="80">
        <f t="shared" si="126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s="61" customFormat="1" x14ac:dyDescent="0.25">
      <c r="A143" s="52"/>
      <c r="B143" s="52"/>
      <c r="C143" s="124">
        <v>0</v>
      </c>
      <c r="D143" s="56">
        <v>0</v>
      </c>
      <c r="E143" s="56">
        <f t="shared" ref="E143:E148" si="127">SUM(C143:D143)</f>
        <v>0</v>
      </c>
      <c r="F143" s="58"/>
      <c r="G143" s="55">
        <v>0</v>
      </c>
      <c r="H143" s="57">
        <v>0</v>
      </c>
      <c r="I143" s="57">
        <f t="shared" ref="I143:I148" si="128">SUM(G143:H143)</f>
        <v>0</v>
      </c>
      <c r="J143" s="58"/>
      <c r="K143" s="55">
        <v>0</v>
      </c>
      <c r="L143" s="57">
        <v>0</v>
      </c>
      <c r="M143" s="57">
        <f t="shared" ref="M143:M148" si="129">SUM(K143:L143)</f>
        <v>0</v>
      </c>
      <c r="N143" s="58"/>
      <c r="O143" s="55">
        <v>0</v>
      </c>
      <c r="P143" s="57">
        <v>0</v>
      </c>
      <c r="Q143" s="57">
        <f t="shared" ref="Q143:Q148" si="130">SUM(O143:P143)</f>
        <v>0</v>
      </c>
      <c r="R143" s="58"/>
      <c r="S143" s="55">
        <v>0</v>
      </c>
      <c r="T143" s="57">
        <v>0</v>
      </c>
      <c r="U143" s="57">
        <f t="shared" ref="U143:U148" si="131">SUM(S143:T143)</f>
        <v>0</v>
      </c>
      <c r="V143" s="59"/>
      <c r="W143" s="124">
        <f t="shared" ref="W143:Y149" si="132">C143+G143+K143+O143+S143</f>
        <v>0</v>
      </c>
      <c r="X143" s="57">
        <f t="shared" si="132"/>
        <v>0</v>
      </c>
      <c r="Y143" s="84">
        <f t="shared" si="132"/>
        <v>0</v>
      </c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</row>
    <row r="144" spans="1:77" s="61" customFormat="1" x14ac:dyDescent="0.25">
      <c r="A144" s="52"/>
      <c r="B144" s="52" t="s">
        <v>220</v>
      </c>
      <c r="C144" s="124">
        <v>1000</v>
      </c>
      <c r="D144" s="56">
        <v>0</v>
      </c>
      <c r="E144" s="56">
        <f t="shared" si="127"/>
        <v>1000</v>
      </c>
      <c r="F144" s="58"/>
      <c r="G144" s="55">
        <f>C144</f>
        <v>1000</v>
      </c>
      <c r="H144" s="57">
        <v>0</v>
      </c>
      <c r="I144" s="57">
        <f t="shared" si="128"/>
        <v>1000</v>
      </c>
      <c r="J144" s="58"/>
      <c r="K144" s="55">
        <f>G144</f>
        <v>1000</v>
      </c>
      <c r="L144" s="57">
        <v>0</v>
      </c>
      <c r="M144" s="57">
        <f t="shared" si="129"/>
        <v>1000</v>
      </c>
      <c r="N144" s="58"/>
      <c r="O144" s="55">
        <f>K144</f>
        <v>1000</v>
      </c>
      <c r="P144" s="57">
        <v>0</v>
      </c>
      <c r="Q144" s="57">
        <f t="shared" si="130"/>
        <v>1000</v>
      </c>
      <c r="R144" s="58"/>
      <c r="S144" s="55">
        <f>O144</f>
        <v>1000</v>
      </c>
      <c r="T144" s="57">
        <v>0</v>
      </c>
      <c r="U144" s="57">
        <f t="shared" si="131"/>
        <v>1000</v>
      </c>
      <c r="V144" s="59"/>
      <c r="W144" s="124">
        <f t="shared" si="132"/>
        <v>5000</v>
      </c>
      <c r="X144" s="57">
        <f t="shared" si="132"/>
        <v>0</v>
      </c>
      <c r="Y144" s="84">
        <f t="shared" si="132"/>
        <v>5000</v>
      </c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</row>
    <row r="145" spans="1:77" s="61" customFormat="1" x14ac:dyDescent="0.25">
      <c r="A145" s="52"/>
      <c r="B145" s="52"/>
      <c r="C145" s="124">
        <v>0</v>
      </c>
      <c r="D145" s="56">
        <v>0</v>
      </c>
      <c r="E145" s="56">
        <f t="shared" si="127"/>
        <v>0</v>
      </c>
      <c r="F145" s="58"/>
      <c r="G145" s="55">
        <v>0</v>
      </c>
      <c r="H145" s="57">
        <v>0</v>
      </c>
      <c r="I145" s="57">
        <f t="shared" si="128"/>
        <v>0</v>
      </c>
      <c r="J145" s="58"/>
      <c r="K145" s="55">
        <v>0</v>
      </c>
      <c r="L145" s="57">
        <v>0</v>
      </c>
      <c r="M145" s="57">
        <f t="shared" si="129"/>
        <v>0</v>
      </c>
      <c r="N145" s="58"/>
      <c r="O145" s="55">
        <v>0</v>
      </c>
      <c r="P145" s="57">
        <v>0</v>
      </c>
      <c r="Q145" s="57">
        <f t="shared" si="130"/>
        <v>0</v>
      </c>
      <c r="R145" s="58"/>
      <c r="S145" s="55">
        <v>0</v>
      </c>
      <c r="T145" s="57">
        <v>0</v>
      </c>
      <c r="U145" s="57">
        <f t="shared" si="131"/>
        <v>0</v>
      </c>
      <c r="V145" s="59"/>
      <c r="W145" s="124">
        <f t="shared" si="132"/>
        <v>0</v>
      </c>
      <c r="X145" s="57">
        <f t="shared" si="132"/>
        <v>0</v>
      </c>
      <c r="Y145" s="84">
        <f t="shared" si="132"/>
        <v>0</v>
      </c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127"/>
        <v>0</v>
      </c>
      <c r="F146" s="58"/>
      <c r="G146" s="55">
        <v>0</v>
      </c>
      <c r="H146" s="57">
        <v>0</v>
      </c>
      <c r="I146" s="57">
        <f t="shared" si="128"/>
        <v>0</v>
      </c>
      <c r="J146" s="58"/>
      <c r="K146" s="55">
        <v>0</v>
      </c>
      <c r="L146" s="57">
        <v>0</v>
      </c>
      <c r="M146" s="57">
        <f t="shared" si="129"/>
        <v>0</v>
      </c>
      <c r="N146" s="58"/>
      <c r="O146" s="55">
        <v>0</v>
      </c>
      <c r="P146" s="57">
        <v>0</v>
      </c>
      <c r="Q146" s="57">
        <f t="shared" si="130"/>
        <v>0</v>
      </c>
      <c r="R146" s="58"/>
      <c r="S146" s="55">
        <v>0</v>
      </c>
      <c r="T146" s="57">
        <v>0</v>
      </c>
      <c r="U146" s="57">
        <f t="shared" si="131"/>
        <v>0</v>
      </c>
      <c r="V146" s="59"/>
      <c r="W146" s="124">
        <f t="shared" si="132"/>
        <v>0</v>
      </c>
      <c r="X146" s="57">
        <f t="shared" si="132"/>
        <v>0</v>
      </c>
      <c r="Y146" s="84">
        <f t="shared" si="132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127"/>
        <v>0</v>
      </c>
      <c r="F147" s="58"/>
      <c r="G147" s="55">
        <v>0</v>
      </c>
      <c r="H147" s="57">
        <v>0</v>
      </c>
      <c r="I147" s="57">
        <f t="shared" si="128"/>
        <v>0</v>
      </c>
      <c r="J147" s="58"/>
      <c r="K147" s="55">
        <v>0</v>
      </c>
      <c r="L147" s="57">
        <v>0</v>
      </c>
      <c r="M147" s="57">
        <f t="shared" si="129"/>
        <v>0</v>
      </c>
      <c r="N147" s="58"/>
      <c r="O147" s="55">
        <v>0</v>
      </c>
      <c r="P147" s="57">
        <v>0</v>
      </c>
      <c r="Q147" s="57">
        <f t="shared" si="130"/>
        <v>0</v>
      </c>
      <c r="R147" s="58"/>
      <c r="S147" s="55">
        <v>0</v>
      </c>
      <c r="T147" s="57">
        <v>0</v>
      </c>
      <c r="U147" s="57">
        <f t="shared" si="131"/>
        <v>0</v>
      </c>
      <c r="V147" s="59"/>
      <c r="W147" s="124">
        <f t="shared" si="132"/>
        <v>0</v>
      </c>
      <c r="X147" s="57">
        <f t="shared" si="132"/>
        <v>0</v>
      </c>
      <c r="Y147" s="84">
        <f t="shared" si="132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127"/>
        <v>0</v>
      </c>
      <c r="F148" s="58"/>
      <c r="G148" s="55">
        <v>0</v>
      </c>
      <c r="H148" s="57">
        <v>0</v>
      </c>
      <c r="I148" s="57">
        <f t="shared" si="128"/>
        <v>0</v>
      </c>
      <c r="J148" s="58"/>
      <c r="K148" s="55">
        <v>0</v>
      </c>
      <c r="L148" s="57">
        <v>0</v>
      </c>
      <c r="M148" s="57">
        <f t="shared" si="129"/>
        <v>0</v>
      </c>
      <c r="N148" s="58"/>
      <c r="O148" s="55">
        <v>0</v>
      </c>
      <c r="P148" s="57">
        <v>0</v>
      </c>
      <c r="Q148" s="57">
        <f t="shared" si="130"/>
        <v>0</v>
      </c>
      <c r="R148" s="58"/>
      <c r="S148" s="55">
        <v>0</v>
      </c>
      <c r="T148" s="57">
        <v>0</v>
      </c>
      <c r="U148" s="57">
        <f t="shared" si="131"/>
        <v>0</v>
      </c>
      <c r="V148" s="59"/>
      <c r="W148" s="124">
        <f t="shared" si="132"/>
        <v>0</v>
      </c>
      <c r="X148" s="57">
        <f t="shared" si="132"/>
        <v>0</v>
      </c>
      <c r="Y148" s="84">
        <f t="shared" si="132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1000</v>
      </c>
      <c r="D149" s="125">
        <f>SUM(D143:D148)</f>
        <v>0</v>
      </c>
      <c r="E149" s="125">
        <f>SUM(E143:E148)</f>
        <v>1000</v>
      </c>
      <c r="F149" s="81"/>
      <c r="G149" s="79">
        <f>SUM(G143:G148)</f>
        <v>1000</v>
      </c>
      <c r="H149" s="80">
        <f>SUM(H143:H148)</f>
        <v>0</v>
      </c>
      <c r="I149" s="80">
        <f>SUM(I143:I148)</f>
        <v>1000</v>
      </c>
      <c r="J149" s="81"/>
      <c r="K149" s="79">
        <f>SUM(K143:K148)</f>
        <v>1000</v>
      </c>
      <c r="L149" s="80">
        <f>SUM(L143:L148)</f>
        <v>0</v>
      </c>
      <c r="M149" s="80">
        <f>SUM(M143:M148)</f>
        <v>1000</v>
      </c>
      <c r="N149" s="81"/>
      <c r="O149" s="79">
        <f>SUM(O143:O148)</f>
        <v>1000</v>
      </c>
      <c r="P149" s="80">
        <f>SUM(P143:P148)</f>
        <v>0</v>
      </c>
      <c r="Q149" s="80">
        <f>SUM(Q143:Q148)</f>
        <v>1000</v>
      </c>
      <c r="R149" s="81"/>
      <c r="S149" s="79">
        <f>SUM(S143:S148)</f>
        <v>1000</v>
      </c>
      <c r="T149" s="80">
        <f>SUM(T143:T148)</f>
        <v>0</v>
      </c>
      <c r="U149" s="80">
        <f>SUM(U143:U148)</f>
        <v>1000</v>
      </c>
      <c r="V149" s="82"/>
      <c r="W149" s="228">
        <f t="shared" si="132"/>
        <v>5000</v>
      </c>
      <c r="X149" s="80">
        <f t="shared" si="132"/>
        <v>0</v>
      </c>
      <c r="Y149" s="80">
        <f t="shared" si="132"/>
        <v>5000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/>
      <c r="B151" s="54"/>
      <c r="C151" s="124">
        <v>0</v>
      </c>
      <c r="D151" s="56">
        <v>0</v>
      </c>
      <c r="E151" s="56">
        <f>SUM(C151:D151)</f>
        <v>0</v>
      </c>
      <c r="F151" s="58"/>
      <c r="G151" s="55">
        <v>0</v>
      </c>
      <c r="H151" s="56">
        <v>0</v>
      </c>
      <c r="I151" s="56">
        <f>SUM(G151:H151)</f>
        <v>0</v>
      </c>
      <c r="J151" s="58"/>
      <c r="K151" s="55">
        <v>0</v>
      </c>
      <c r="L151" s="56">
        <v>0</v>
      </c>
      <c r="M151" s="56">
        <f>SUM(K151:L151)</f>
        <v>0</v>
      </c>
      <c r="N151" s="58"/>
      <c r="O151" s="55">
        <v>0</v>
      </c>
      <c r="P151" s="56">
        <v>0</v>
      </c>
      <c r="Q151" s="56">
        <f>SUM(O151:P151)</f>
        <v>0</v>
      </c>
      <c r="R151" s="58"/>
      <c r="S151" s="55">
        <v>0</v>
      </c>
      <c r="T151" s="56">
        <v>0</v>
      </c>
      <c r="U151" s="56">
        <f>SUM(S151:T151)</f>
        <v>0</v>
      </c>
      <c r="V151" s="59"/>
      <c r="W151" s="124">
        <f t="shared" ref="W151:Y155" si="133">C151+G151+K151+O151+S151</f>
        <v>0</v>
      </c>
      <c r="X151" s="57">
        <f t="shared" si="133"/>
        <v>0</v>
      </c>
      <c r="Y151" s="84">
        <f t="shared" si="133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61" customFormat="1" x14ac:dyDescent="0.25">
      <c r="A152" s="52"/>
      <c r="B152" s="54" t="s">
        <v>218</v>
      </c>
      <c r="C152" s="124">
        <f>(((5034*1.05)*1)+(386.37*1.05))*0</f>
        <v>0</v>
      </c>
      <c r="D152" s="56">
        <v>0</v>
      </c>
      <c r="E152" s="56">
        <f>SUM(C152:D152)</f>
        <v>0</v>
      </c>
      <c r="F152" s="58"/>
      <c r="G152" s="293">
        <f>11056*0.5</f>
        <v>5528</v>
      </c>
      <c r="H152" s="57">
        <v>0</v>
      </c>
      <c r="I152" s="57">
        <f>SUM(G152:H152)</f>
        <v>5528</v>
      </c>
      <c r="J152" s="58"/>
      <c r="K152" s="293">
        <f>G152*1.1</f>
        <v>6080.8</v>
      </c>
      <c r="L152" s="294">
        <v>0</v>
      </c>
      <c r="M152" s="294">
        <f t="shared" ref="M152" si="134">SUM(K152:L152)</f>
        <v>6080.8</v>
      </c>
      <c r="N152" s="295"/>
      <c r="O152" s="293">
        <f>K152*1.1</f>
        <v>6688.880000000001</v>
      </c>
      <c r="P152" s="294">
        <v>0</v>
      </c>
      <c r="Q152" s="294">
        <f t="shared" ref="Q152" si="135">SUM(O152:P152)</f>
        <v>6688.880000000001</v>
      </c>
      <c r="R152" s="295"/>
      <c r="S152" s="293">
        <f>((O152*1.1))</f>
        <v>7357.7680000000018</v>
      </c>
      <c r="T152" s="57">
        <v>0</v>
      </c>
      <c r="U152" s="57">
        <f>SUM(S152:T152)</f>
        <v>7357.7680000000018</v>
      </c>
      <c r="V152" s="59"/>
      <c r="W152" s="124">
        <f t="shared" si="133"/>
        <v>25655.448000000004</v>
      </c>
      <c r="X152" s="57">
        <f t="shared" si="133"/>
        <v>0</v>
      </c>
      <c r="Y152" s="84">
        <f t="shared" si="133"/>
        <v>25655.448000000004</v>
      </c>
    </row>
    <row r="153" spans="1:77" s="77" customFormat="1" x14ac:dyDescent="0.25">
      <c r="A153" s="54"/>
      <c r="B153" s="54"/>
      <c r="C153" s="124">
        <v>0</v>
      </c>
      <c r="D153" s="56">
        <v>0</v>
      </c>
      <c r="E153" s="56">
        <f>SUM(C153:D153)</f>
        <v>0</v>
      </c>
      <c r="F153" s="58"/>
      <c r="G153" s="55">
        <v>0</v>
      </c>
      <c r="H153" s="56">
        <v>0</v>
      </c>
      <c r="I153" s="56">
        <f>SUM(G153:H153)</f>
        <v>0</v>
      </c>
      <c r="J153" s="58"/>
      <c r="K153" s="55">
        <v>0</v>
      </c>
      <c r="L153" s="56">
        <v>0</v>
      </c>
      <c r="M153" s="56">
        <f>SUM(K153:L153)</f>
        <v>0</v>
      </c>
      <c r="N153" s="58"/>
      <c r="O153" s="55">
        <v>0</v>
      </c>
      <c r="P153" s="56">
        <v>0</v>
      </c>
      <c r="Q153" s="56">
        <f>SUM(O153:P153)</f>
        <v>0</v>
      </c>
      <c r="R153" s="58"/>
      <c r="S153" s="55">
        <v>0</v>
      </c>
      <c r="T153" s="56">
        <v>0</v>
      </c>
      <c r="U153" s="56">
        <f>SUM(S153:T153)</f>
        <v>0</v>
      </c>
      <c r="V153" s="59"/>
      <c r="W153" s="124">
        <f t="shared" si="133"/>
        <v>0</v>
      </c>
      <c r="X153" s="57">
        <f t="shared" si="133"/>
        <v>0</v>
      </c>
      <c r="Y153" s="84">
        <f t="shared" si="133"/>
        <v>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s="61" customFormat="1" x14ac:dyDescent="0.25">
      <c r="A154" s="54"/>
      <c r="B154" s="54"/>
      <c r="C154" s="124">
        <v>0</v>
      </c>
      <c r="D154" s="56">
        <v>0</v>
      </c>
      <c r="E154" s="56">
        <f>SUM(C154:D154)</f>
        <v>0</v>
      </c>
      <c r="F154" s="58"/>
      <c r="G154" s="55">
        <v>0</v>
      </c>
      <c r="H154" s="56">
        <v>0</v>
      </c>
      <c r="I154" s="56">
        <f>SUM(G154:H154)</f>
        <v>0</v>
      </c>
      <c r="J154" s="58"/>
      <c r="K154" s="55">
        <v>0</v>
      </c>
      <c r="L154" s="56">
        <v>0</v>
      </c>
      <c r="M154" s="56">
        <f>SUM(K154:L154)</f>
        <v>0</v>
      </c>
      <c r="N154" s="58"/>
      <c r="O154" s="55">
        <v>0</v>
      </c>
      <c r="P154" s="56">
        <v>0</v>
      </c>
      <c r="Q154" s="56">
        <f>SUM(O154:P154)</f>
        <v>0</v>
      </c>
      <c r="R154" s="58"/>
      <c r="S154" s="55">
        <v>0</v>
      </c>
      <c r="T154" s="56">
        <v>0</v>
      </c>
      <c r="U154" s="56">
        <f>SUM(S154:T154)</f>
        <v>0</v>
      </c>
      <c r="V154" s="59"/>
      <c r="W154" s="124">
        <f t="shared" si="133"/>
        <v>0</v>
      </c>
      <c r="X154" s="57">
        <f t="shared" si="133"/>
        <v>0</v>
      </c>
      <c r="Y154" s="84">
        <f t="shared" si="133"/>
        <v>0</v>
      </c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5528</v>
      </c>
      <c r="H155" s="80">
        <f>SUM(H151:H154)</f>
        <v>0</v>
      </c>
      <c r="I155" s="80">
        <f>SUM(I151:I154)</f>
        <v>5528</v>
      </c>
      <c r="J155" s="81"/>
      <c r="K155" s="79">
        <f>SUM(K151:K154)</f>
        <v>6080.8</v>
      </c>
      <c r="L155" s="80">
        <f>SUM(L151:L154)</f>
        <v>0</v>
      </c>
      <c r="M155" s="80">
        <f>SUM(M151:M154)</f>
        <v>6080.8</v>
      </c>
      <c r="N155" s="81"/>
      <c r="O155" s="79">
        <f>SUM(O151:O154)</f>
        <v>6688.880000000001</v>
      </c>
      <c r="P155" s="80">
        <f>SUM(P151:P154)</f>
        <v>0</v>
      </c>
      <c r="Q155" s="80">
        <f>SUM(Q151:Q154)</f>
        <v>6688.880000000001</v>
      </c>
      <c r="R155" s="81"/>
      <c r="S155" s="79">
        <f>SUM(S151:S154)</f>
        <v>7357.7680000000018</v>
      </c>
      <c r="T155" s="80">
        <f>SUM(T151:T154)</f>
        <v>0</v>
      </c>
      <c r="U155" s="80">
        <f>SUM(U151:U154)</f>
        <v>7357.7680000000018</v>
      </c>
      <c r="V155" s="82"/>
      <c r="W155" s="228">
        <f t="shared" si="133"/>
        <v>25655.448000000004</v>
      </c>
      <c r="X155" s="80">
        <f t="shared" si="133"/>
        <v>0</v>
      </c>
      <c r="Y155" s="80">
        <f t="shared" si="133"/>
        <v>25655.448000000004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2"/>
      <c r="B157" s="52"/>
      <c r="C157" s="124">
        <v>0</v>
      </c>
      <c r="D157" s="56">
        <v>0</v>
      </c>
      <c r="E157" s="56">
        <f t="shared" ref="E157:E172" si="136">SUM(C157:D157)</f>
        <v>0</v>
      </c>
      <c r="F157" s="58"/>
      <c r="G157" s="55">
        <v>0</v>
      </c>
      <c r="H157" s="57">
        <v>0</v>
      </c>
      <c r="I157" s="57">
        <f t="shared" ref="I157:I172" si="137">SUM(G157:H157)</f>
        <v>0</v>
      </c>
      <c r="J157" s="58"/>
      <c r="K157" s="55">
        <v>0</v>
      </c>
      <c r="L157" s="57">
        <v>0</v>
      </c>
      <c r="M157" s="57">
        <f t="shared" ref="M157:M172" si="138">SUM(K157:L157)</f>
        <v>0</v>
      </c>
      <c r="N157" s="58"/>
      <c r="O157" s="55">
        <v>0</v>
      </c>
      <c r="P157" s="57">
        <v>0</v>
      </c>
      <c r="Q157" s="57">
        <f t="shared" ref="Q157:Q172" si="139">SUM(O157:P157)</f>
        <v>0</v>
      </c>
      <c r="R157" s="58"/>
      <c r="S157" s="55">
        <v>0</v>
      </c>
      <c r="T157" s="57">
        <v>0</v>
      </c>
      <c r="U157" s="57">
        <f t="shared" ref="U157:U172" si="140">SUM(S157:T157)</f>
        <v>0</v>
      </c>
      <c r="V157" s="59"/>
      <c r="W157" s="124">
        <f t="shared" ref="W157:W173" si="141">C157+G157+K157+O157+S157</f>
        <v>0</v>
      </c>
      <c r="X157" s="57">
        <f t="shared" ref="X157:X173" si="142">D157+H157+L157+P157+T157</f>
        <v>0</v>
      </c>
      <c r="Y157" s="84">
        <f t="shared" ref="Y157:Y173" si="143">E157+I157+M157+Q157+U157</f>
        <v>0</v>
      </c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</row>
    <row r="158" spans="1:77" s="61" customFormat="1" x14ac:dyDescent="0.25">
      <c r="A158" s="52"/>
      <c r="B158" s="195" t="s">
        <v>221</v>
      </c>
      <c r="C158" s="55">
        <v>13047</v>
      </c>
      <c r="D158" s="57">
        <v>0</v>
      </c>
      <c r="E158" s="57">
        <f t="shared" si="136"/>
        <v>13047</v>
      </c>
      <c r="F158" s="58"/>
      <c r="G158" s="55">
        <f t="shared" ref="G158" si="144">C158</f>
        <v>13047</v>
      </c>
      <c r="H158" s="57">
        <v>0</v>
      </c>
      <c r="I158" s="57">
        <f t="shared" si="137"/>
        <v>13047</v>
      </c>
      <c r="J158" s="58"/>
      <c r="K158" s="55">
        <f t="shared" ref="K158" si="145">G158</f>
        <v>13047</v>
      </c>
      <c r="L158" s="57">
        <v>0</v>
      </c>
      <c r="M158" s="57">
        <f t="shared" si="138"/>
        <v>13047</v>
      </c>
      <c r="N158" s="58"/>
      <c r="O158" s="55">
        <f>K158</f>
        <v>13047</v>
      </c>
      <c r="P158" s="57">
        <v>0</v>
      </c>
      <c r="Q158" s="57">
        <f t="shared" si="139"/>
        <v>13047</v>
      </c>
      <c r="R158" s="58"/>
      <c r="S158" s="55">
        <f t="shared" ref="S158" si="146">O158</f>
        <v>13047</v>
      </c>
      <c r="T158" s="57">
        <v>0</v>
      </c>
      <c r="U158" s="57">
        <f t="shared" si="140"/>
        <v>13047</v>
      </c>
      <c r="V158" s="59"/>
      <c r="W158" s="124">
        <f t="shared" si="141"/>
        <v>65235</v>
      </c>
      <c r="X158" s="57">
        <f t="shared" si="142"/>
        <v>0</v>
      </c>
      <c r="Y158" s="84">
        <f t="shared" si="143"/>
        <v>65235</v>
      </c>
    </row>
    <row r="159" spans="1:77" s="61" customFormat="1" x14ac:dyDescent="0.25">
      <c r="A159" s="52"/>
      <c r="B159" s="54" t="s">
        <v>199</v>
      </c>
      <c r="C159" s="55">
        <f>30000*0</f>
        <v>0</v>
      </c>
      <c r="D159" s="57">
        <v>0</v>
      </c>
      <c r="E159" s="57">
        <f t="shared" si="136"/>
        <v>0</v>
      </c>
      <c r="F159" s="58"/>
      <c r="G159" s="55">
        <v>5000</v>
      </c>
      <c r="H159" s="57">
        <v>0</v>
      </c>
      <c r="I159" s="57">
        <f t="shared" si="137"/>
        <v>5000</v>
      </c>
      <c r="J159" s="58"/>
      <c r="K159" s="55">
        <f>G159*0</f>
        <v>0</v>
      </c>
      <c r="L159" s="57">
        <v>0</v>
      </c>
      <c r="M159" s="57">
        <f t="shared" si="138"/>
        <v>0</v>
      </c>
      <c r="N159" s="58"/>
      <c r="O159" s="55">
        <f>K159+5000</f>
        <v>5000</v>
      </c>
      <c r="P159" s="57">
        <v>0</v>
      </c>
      <c r="Q159" s="57">
        <f t="shared" si="139"/>
        <v>5000</v>
      </c>
      <c r="R159" s="58"/>
      <c r="S159" s="55">
        <f>O159*0</f>
        <v>0</v>
      </c>
      <c r="T159" s="57">
        <v>0</v>
      </c>
      <c r="U159" s="57">
        <f t="shared" si="140"/>
        <v>0</v>
      </c>
      <c r="V159" s="59"/>
      <c r="W159" s="124">
        <f t="shared" si="141"/>
        <v>10000</v>
      </c>
      <c r="X159" s="57">
        <f t="shared" si="142"/>
        <v>0</v>
      </c>
      <c r="Y159" s="84">
        <f t="shared" si="143"/>
        <v>10000</v>
      </c>
    </row>
    <row r="160" spans="1:77" s="61" customFormat="1" x14ac:dyDescent="0.25">
      <c r="A160" s="87"/>
      <c r="B160" s="52"/>
      <c r="C160" s="124">
        <v>0</v>
      </c>
      <c r="D160" s="56">
        <v>0</v>
      </c>
      <c r="E160" s="56">
        <f t="shared" si="136"/>
        <v>0</v>
      </c>
      <c r="F160" s="58"/>
      <c r="G160" s="55">
        <v>0</v>
      </c>
      <c r="H160" s="57">
        <v>0</v>
      </c>
      <c r="I160" s="57">
        <f t="shared" si="137"/>
        <v>0</v>
      </c>
      <c r="J160" s="58"/>
      <c r="K160" s="55">
        <v>0</v>
      </c>
      <c r="L160" s="57">
        <v>0</v>
      </c>
      <c r="M160" s="57">
        <f t="shared" si="138"/>
        <v>0</v>
      </c>
      <c r="N160" s="58"/>
      <c r="O160" s="55">
        <v>0</v>
      </c>
      <c r="P160" s="57">
        <v>0</v>
      </c>
      <c r="Q160" s="57">
        <f t="shared" si="139"/>
        <v>0</v>
      </c>
      <c r="R160" s="58"/>
      <c r="S160" s="55">
        <v>0</v>
      </c>
      <c r="T160" s="57">
        <v>0</v>
      </c>
      <c r="U160" s="57">
        <f t="shared" si="140"/>
        <v>0</v>
      </c>
      <c r="V160" s="59"/>
      <c r="W160" s="124">
        <f t="shared" si="141"/>
        <v>0</v>
      </c>
      <c r="X160" s="57">
        <f t="shared" si="142"/>
        <v>0</v>
      </c>
      <c r="Y160" s="84">
        <f t="shared" si="143"/>
        <v>0</v>
      </c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</row>
    <row r="161" spans="1:77" s="61" customFormat="1" x14ac:dyDescent="0.25">
      <c r="A161" s="52"/>
      <c r="B161" s="52"/>
      <c r="C161" s="124">
        <v>0</v>
      </c>
      <c r="D161" s="56">
        <v>0</v>
      </c>
      <c r="E161" s="56">
        <f t="shared" si="136"/>
        <v>0</v>
      </c>
      <c r="F161" s="58"/>
      <c r="G161" s="55">
        <v>0</v>
      </c>
      <c r="H161" s="57">
        <v>0</v>
      </c>
      <c r="I161" s="57">
        <f t="shared" si="137"/>
        <v>0</v>
      </c>
      <c r="J161" s="58"/>
      <c r="K161" s="55">
        <v>0</v>
      </c>
      <c r="L161" s="57">
        <v>0</v>
      </c>
      <c r="M161" s="57">
        <f t="shared" si="138"/>
        <v>0</v>
      </c>
      <c r="N161" s="58"/>
      <c r="O161" s="55">
        <v>0</v>
      </c>
      <c r="P161" s="57">
        <v>0</v>
      </c>
      <c r="Q161" s="57">
        <f t="shared" si="139"/>
        <v>0</v>
      </c>
      <c r="R161" s="58"/>
      <c r="S161" s="55">
        <v>0</v>
      </c>
      <c r="T161" s="57">
        <v>0</v>
      </c>
      <c r="U161" s="57">
        <f t="shared" si="140"/>
        <v>0</v>
      </c>
      <c r="V161" s="59"/>
      <c r="W161" s="124">
        <f t="shared" si="141"/>
        <v>0</v>
      </c>
      <c r="X161" s="57">
        <f t="shared" si="142"/>
        <v>0</v>
      </c>
      <c r="Y161" s="84">
        <f t="shared" si="143"/>
        <v>0</v>
      </c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1" customFormat="1" x14ac:dyDescent="0.25">
      <c r="A162" s="52"/>
      <c r="B162" s="52"/>
      <c r="C162" s="124">
        <v>0</v>
      </c>
      <c r="D162" s="56">
        <v>0</v>
      </c>
      <c r="E162" s="56">
        <f t="shared" si="136"/>
        <v>0</v>
      </c>
      <c r="F162" s="58"/>
      <c r="G162" s="55">
        <v>0</v>
      </c>
      <c r="H162" s="57">
        <v>0</v>
      </c>
      <c r="I162" s="57">
        <f t="shared" si="137"/>
        <v>0</v>
      </c>
      <c r="J162" s="58"/>
      <c r="K162" s="55">
        <v>0</v>
      </c>
      <c r="L162" s="57">
        <v>0</v>
      </c>
      <c r="M162" s="57">
        <f t="shared" si="138"/>
        <v>0</v>
      </c>
      <c r="N162" s="58"/>
      <c r="O162" s="55">
        <v>0</v>
      </c>
      <c r="P162" s="57">
        <v>0</v>
      </c>
      <c r="Q162" s="57">
        <f t="shared" si="139"/>
        <v>0</v>
      </c>
      <c r="R162" s="58"/>
      <c r="S162" s="55">
        <v>0</v>
      </c>
      <c r="T162" s="57">
        <v>0</v>
      </c>
      <c r="U162" s="57">
        <f t="shared" si="140"/>
        <v>0</v>
      </c>
      <c r="V162" s="59"/>
      <c r="W162" s="124">
        <f t="shared" si="141"/>
        <v>0</v>
      </c>
      <c r="X162" s="57">
        <f t="shared" si="142"/>
        <v>0</v>
      </c>
      <c r="Y162" s="84">
        <f t="shared" si="143"/>
        <v>0</v>
      </c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</row>
    <row r="163" spans="1:77" s="61" customFormat="1" x14ac:dyDescent="0.25">
      <c r="A163" s="87"/>
      <c r="B163" s="52"/>
      <c r="C163" s="124">
        <v>0</v>
      </c>
      <c r="D163" s="56">
        <v>0</v>
      </c>
      <c r="E163" s="56">
        <f t="shared" si="136"/>
        <v>0</v>
      </c>
      <c r="F163" s="58"/>
      <c r="G163" s="55">
        <v>0</v>
      </c>
      <c r="H163" s="57">
        <v>0</v>
      </c>
      <c r="I163" s="57">
        <f t="shared" si="137"/>
        <v>0</v>
      </c>
      <c r="J163" s="58"/>
      <c r="K163" s="55">
        <v>0</v>
      </c>
      <c r="L163" s="57">
        <v>0</v>
      </c>
      <c r="M163" s="57">
        <f t="shared" si="138"/>
        <v>0</v>
      </c>
      <c r="N163" s="58"/>
      <c r="O163" s="55">
        <v>0</v>
      </c>
      <c r="P163" s="57">
        <v>0</v>
      </c>
      <c r="Q163" s="57">
        <f t="shared" si="139"/>
        <v>0</v>
      </c>
      <c r="R163" s="58"/>
      <c r="S163" s="55">
        <v>0</v>
      </c>
      <c r="T163" s="57">
        <v>0</v>
      </c>
      <c r="U163" s="57">
        <f t="shared" si="140"/>
        <v>0</v>
      </c>
      <c r="V163" s="59"/>
      <c r="W163" s="124">
        <f t="shared" si="141"/>
        <v>0</v>
      </c>
      <c r="X163" s="57">
        <f t="shared" si="142"/>
        <v>0</v>
      </c>
      <c r="Y163" s="84">
        <f t="shared" si="143"/>
        <v>0</v>
      </c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s="61" customFormat="1" x14ac:dyDescent="0.25">
      <c r="A164" s="52"/>
      <c r="B164" s="52"/>
      <c r="C164" s="124">
        <v>0</v>
      </c>
      <c r="D164" s="56">
        <v>0</v>
      </c>
      <c r="E164" s="56">
        <f t="shared" si="136"/>
        <v>0</v>
      </c>
      <c r="F164" s="58"/>
      <c r="G164" s="55">
        <v>0</v>
      </c>
      <c r="H164" s="57">
        <v>0</v>
      </c>
      <c r="I164" s="57">
        <f t="shared" si="137"/>
        <v>0</v>
      </c>
      <c r="J164" s="58"/>
      <c r="K164" s="55">
        <v>0</v>
      </c>
      <c r="L164" s="57">
        <v>0</v>
      </c>
      <c r="M164" s="57">
        <f t="shared" si="138"/>
        <v>0</v>
      </c>
      <c r="N164" s="58"/>
      <c r="O164" s="55">
        <v>0</v>
      </c>
      <c r="P164" s="57">
        <v>0</v>
      </c>
      <c r="Q164" s="57">
        <f t="shared" si="139"/>
        <v>0</v>
      </c>
      <c r="R164" s="58"/>
      <c r="S164" s="55">
        <v>0</v>
      </c>
      <c r="T164" s="57">
        <v>0</v>
      </c>
      <c r="U164" s="57">
        <f t="shared" si="140"/>
        <v>0</v>
      </c>
      <c r="V164" s="59"/>
      <c r="W164" s="124">
        <f t="shared" si="141"/>
        <v>0</v>
      </c>
      <c r="X164" s="57">
        <f t="shared" si="142"/>
        <v>0</v>
      </c>
      <c r="Y164" s="84">
        <f t="shared" si="143"/>
        <v>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/>
      <c r="C165" s="124">
        <v>0</v>
      </c>
      <c r="D165" s="56">
        <v>0</v>
      </c>
      <c r="E165" s="56">
        <f t="shared" si="136"/>
        <v>0</v>
      </c>
      <c r="F165" s="58"/>
      <c r="G165" s="55">
        <v>0</v>
      </c>
      <c r="H165" s="57">
        <v>0</v>
      </c>
      <c r="I165" s="57">
        <f t="shared" si="137"/>
        <v>0</v>
      </c>
      <c r="J165" s="58"/>
      <c r="K165" s="55">
        <v>0</v>
      </c>
      <c r="L165" s="57">
        <v>0</v>
      </c>
      <c r="M165" s="57">
        <f t="shared" si="138"/>
        <v>0</v>
      </c>
      <c r="N165" s="58"/>
      <c r="O165" s="55">
        <v>0</v>
      </c>
      <c r="P165" s="57">
        <v>0</v>
      </c>
      <c r="Q165" s="57">
        <f t="shared" si="139"/>
        <v>0</v>
      </c>
      <c r="R165" s="58"/>
      <c r="S165" s="55">
        <v>0</v>
      </c>
      <c r="T165" s="57">
        <v>0</v>
      </c>
      <c r="U165" s="57">
        <f t="shared" si="140"/>
        <v>0</v>
      </c>
      <c r="V165" s="59"/>
      <c r="W165" s="124">
        <f t="shared" si="141"/>
        <v>0</v>
      </c>
      <c r="X165" s="57">
        <f t="shared" si="142"/>
        <v>0</v>
      </c>
      <c r="Y165" s="84">
        <f t="shared" si="143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2"/>
      <c r="C166" s="124">
        <v>0</v>
      </c>
      <c r="D166" s="56">
        <v>0</v>
      </c>
      <c r="E166" s="56">
        <f t="shared" si="136"/>
        <v>0</v>
      </c>
      <c r="F166" s="58"/>
      <c r="G166" s="55">
        <v>0</v>
      </c>
      <c r="H166" s="57">
        <v>0</v>
      </c>
      <c r="I166" s="57">
        <f t="shared" si="137"/>
        <v>0</v>
      </c>
      <c r="J166" s="58"/>
      <c r="K166" s="55">
        <v>0</v>
      </c>
      <c r="L166" s="57">
        <v>0</v>
      </c>
      <c r="M166" s="57">
        <f t="shared" si="138"/>
        <v>0</v>
      </c>
      <c r="N166" s="58"/>
      <c r="O166" s="55">
        <v>0</v>
      </c>
      <c r="P166" s="57">
        <v>0</v>
      </c>
      <c r="Q166" s="57">
        <f t="shared" si="139"/>
        <v>0</v>
      </c>
      <c r="R166" s="58"/>
      <c r="S166" s="55">
        <v>0</v>
      </c>
      <c r="T166" s="57">
        <v>0</v>
      </c>
      <c r="U166" s="57">
        <f t="shared" si="140"/>
        <v>0</v>
      </c>
      <c r="V166" s="59"/>
      <c r="W166" s="124">
        <f t="shared" si="141"/>
        <v>0</v>
      </c>
      <c r="X166" s="57">
        <f t="shared" si="142"/>
        <v>0</v>
      </c>
      <c r="Y166" s="84">
        <f t="shared" si="143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136"/>
        <v>0</v>
      </c>
      <c r="F167" s="58"/>
      <c r="G167" s="55">
        <v>0</v>
      </c>
      <c r="H167" s="57">
        <v>0</v>
      </c>
      <c r="I167" s="57">
        <f t="shared" si="137"/>
        <v>0</v>
      </c>
      <c r="J167" s="58"/>
      <c r="K167" s="55">
        <v>0</v>
      </c>
      <c r="L167" s="57">
        <v>0</v>
      </c>
      <c r="M167" s="57">
        <f t="shared" si="138"/>
        <v>0</v>
      </c>
      <c r="N167" s="58"/>
      <c r="O167" s="55">
        <v>0</v>
      </c>
      <c r="P167" s="57">
        <v>0</v>
      </c>
      <c r="Q167" s="57">
        <f t="shared" si="139"/>
        <v>0</v>
      </c>
      <c r="R167" s="58"/>
      <c r="S167" s="55">
        <v>0</v>
      </c>
      <c r="T167" s="57">
        <v>0</v>
      </c>
      <c r="U167" s="57">
        <f t="shared" si="140"/>
        <v>0</v>
      </c>
      <c r="V167" s="59"/>
      <c r="W167" s="124">
        <f t="shared" si="141"/>
        <v>0</v>
      </c>
      <c r="X167" s="57">
        <f t="shared" si="142"/>
        <v>0</v>
      </c>
      <c r="Y167" s="84">
        <f t="shared" si="143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136"/>
        <v>0</v>
      </c>
      <c r="F168" s="58"/>
      <c r="G168" s="55">
        <v>0</v>
      </c>
      <c r="H168" s="57">
        <v>0</v>
      </c>
      <c r="I168" s="57">
        <f t="shared" si="137"/>
        <v>0</v>
      </c>
      <c r="J168" s="58"/>
      <c r="K168" s="55">
        <v>0</v>
      </c>
      <c r="L168" s="57">
        <v>0</v>
      </c>
      <c r="M168" s="57">
        <f t="shared" si="138"/>
        <v>0</v>
      </c>
      <c r="N168" s="58"/>
      <c r="O168" s="55">
        <v>0</v>
      </c>
      <c r="P168" s="57">
        <v>0</v>
      </c>
      <c r="Q168" s="57">
        <f t="shared" si="139"/>
        <v>0</v>
      </c>
      <c r="R168" s="58"/>
      <c r="S168" s="55">
        <v>0</v>
      </c>
      <c r="T168" s="57">
        <v>0</v>
      </c>
      <c r="U168" s="57">
        <f t="shared" si="140"/>
        <v>0</v>
      </c>
      <c r="V168" s="59"/>
      <c r="W168" s="124">
        <f t="shared" si="141"/>
        <v>0</v>
      </c>
      <c r="X168" s="57">
        <f t="shared" si="142"/>
        <v>0</v>
      </c>
      <c r="Y168" s="84">
        <f t="shared" si="143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136"/>
        <v>0</v>
      </c>
      <c r="F169" s="58"/>
      <c r="G169" s="55">
        <v>0</v>
      </c>
      <c r="H169" s="57">
        <v>0</v>
      </c>
      <c r="I169" s="57">
        <f t="shared" si="137"/>
        <v>0</v>
      </c>
      <c r="J169" s="58"/>
      <c r="K169" s="55">
        <v>0</v>
      </c>
      <c r="L169" s="57">
        <v>0</v>
      </c>
      <c r="M169" s="57">
        <f t="shared" si="138"/>
        <v>0</v>
      </c>
      <c r="N169" s="58"/>
      <c r="O169" s="55">
        <v>0</v>
      </c>
      <c r="P169" s="57">
        <v>0</v>
      </c>
      <c r="Q169" s="57">
        <f t="shared" si="139"/>
        <v>0</v>
      </c>
      <c r="R169" s="58"/>
      <c r="S169" s="55">
        <v>0</v>
      </c>
      <c r="T169" s="57">
        <v>0</v>
      </c>
      <c r="U169" s="57">
        <f t="shared" si="140"/>
        <v>0</v>
      </c>
      <c r="V169" s="59"/>
      <c r="W169" s="124">
        <f t="shared" si="141"/>
        <v>0</v>
      </c>
      <c r="X169" s="57">
        <f t="shared" si="142"/>
        <v>0</v>
      </c>
      <c r="Y169" s="84">
        <f t="shared" si="143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136"/>
        <v>0</v>
      </c>
      <c r="F170" s="58"/>
      <c r="G170" s="55">
        <v>0</v>
      </c>
      <c r="H170" s="57">
        <v>0</v>
      </c>
      <c r="I170" s="57">
        <f t="shared" si="137"/>
        <v>0</v>
      </c>
      <c r="J170" s="58"/>
      <c r="K170" s="55">
        <v>0</v>
      </c>
      <c r="L170" s="57">
        <v>0</v>
      </c>
      <c r="M170" s="57">
        <f t="shared" si="138"/>
        <v>0</v>
      </c>
      <c r="N170" s="58"/>
      <c r="O170" s="55">
        <v>0</v>
      </c>
      <c r="P170" s="57">
        <v>0</v>
      </c>
      <c r="Q170" s="57">
        <f t="shared" si="139"/>
        <v>0</v>
      </c>
      <c r="R170" s="58"/>
      <c r="S170" s="55">
        <v>0</v>
      </c>
      <c r="T170" s="57">
        <v>0</v>
      </c>
      <c r="U170" s="57">
        <f t="shared" si="140"/>
        <v>0</v>
      </c>
      <c r="V170" s="59"/>
      <c r="W170" s="124">
        <f t="shared" si="141"/>
        <v>0</v>
      </c>
      <c r="X170" s="57">
        <f t="shared" si="142"/>
        <v>0</v>
      </c>
      <c r="Y170" s="84">
        <f t="shared" si="143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136"/>
        <v>0</v>
      </c>
      <c r="F171" s="58"/>
      <c r="G171" s="55">
        <v>0</v>
      </c>
      <c r="H171" s="57">
        <v>0</v>
      </c>
      <c r="I171" s="57">
        <f t="shared" si="137"/>
        <v>0</v>
      </c>
      <c r="J171" s="58"/>
      <c r="K171" s="55">
        <v>0</v>
      </c>
      <c r="L171" s="57">
        <v>0</v>
      </c>
      <c r="M171" s="57">
        <f t="shared" si="138"/>
        <v>0</v>
      </c>
      <c r="N171" s="58"/>
      <c r="O171" s="55">
        <v>0</v>
      </c>
      <c r="P171" s="57">
        <v>0</v>
      </c>
      <c r="Q171" s="57">
        <f t="shared" si="139"/>
        <v>0</v>
      </c>
      <c r="R171" s="58"/>
      <c r="S171" s="55">
        <v>0</v>
      </c>
      <c r="T171" s="57">
        <v>0</v>
      </c>
      <c r="U171" s="57">
        <f t="shared" si="140"/>
        <v>0</v>
      </c>
      <c r="V171" s="59"/>
      <c r="W171" s="124">
        <f t="shared" si="141"/>
        <v>0</v>
      </c>
      <c r="X171" s="57">
        <f t="shared" si="142"/>
        <v>0</v>
      </c>
      <c r="Y171" s="84">
        <f t="shared" si="143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136"/>
        <v>0</v>
      </c>
      <c r="F172" s="58"/>
      <c r="G172" s="55">
        <v>0</v>
      </c>
      <c r="H172" s="57">
        <v>0</v>
      </c>
      <c r="I172" s="57">
        <f t="shared" si="137"/>
        <v>0</v>
      </c>
      <c r="J172" s="58"/>
      <c r="K172" s="55">
        <v>0</v>
      </c>
      <c r="L172" s="57">
        <v>0</v>
      </c>
      <c r="M172" s="57">
        <f t="shared" si="138"/>
        <v>0</v>
      </c>
      <c r="N172" s="58"/>
      <c r="O172" s="55">
        <v>0</v>
      </c>
      <c r="P172" s="57">
        <v>0</v>
      </c>
      <c r="Q172" s="57">
        <f t="shared" si="139"/>
        <v>0</v>
      </c>
      <c r="R172" s="58"/>
      <c r="S172" s="55">
        <v>0</v>
      </c>
      <c r="T172" s="57">
        <v>0</v>
      </c>
      <c r="U172" s="57">
        <f t="shared" si="140"/>
        <v>0</v>
      </c>
      <c r="V172" s="59"/>
      <c r="W172" s="124">
        <f t="shared" si="141"/>
        <v>0</v>
      </c>
      <c r="X172" s="57">
        <f t="shared" si="142"/>
        <v>0</v>
      </c>
      <c r="Y172" s="84">
        <f t="shared" si="143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13047</v>
      </c>
      <c r="D173" s="153">
        <f>SUM(D157:D172)</f>
        <v>0</v>
      </c>
      <c r="E173" s="153">
        <f>SUM(E157:E172)</f>
        <v>13047</v>
      </c>
      <c r="F173" s="154"/>
      <c r="G173" s="152">
        <f>SUM(G157:G172)</f>
        <v>18047</v>
      </c>
      <c r="H173" s="155">
        <f>SUM(H157:H172)</f>
        <v>0</v>
      </c>
      <c r="I173" s="155">
        <f>SUM(I157:I172)</f>
        <v>18047</v>
      </c>
      <c r="J173" s="154"/>
      <c r="K173" s="152">
        <f>SUM(K157:K172)</f>
        <v>13047</v>
      </c>
      <c r="L173" s="155">
        <f>SUM(L157:L172)</f>
        <v>0</v>
      </c>
      <c r="M173" s="155">
        <f>SUM(M157:M172)</f>
        <v>13047</v>
      </c>
      <c r="N173" s="154"/>
      <c r="O173" s="152">
        <f>SUM(O157:O172)</f>
        <v>18047</v>
      </c>
      <c r="P173" s="155">
        <f>SUM(P157:P172)</f>
        <v>0</v>
      </c>
      <c r="Q173" s="155">
        <f>SUM(Q157:Q172)</f>
        <v>18047</v>
      </c>
      <c r="R173" s="154"/>
      <c r="S173" s="152">
        <f>SUM(S157:S172)</f>
        <v>13047</v>
      </c>
      <c r="T173" s="155">
        <f>SUM(T157:T172)</f>
        <v>0</v>
      </c>
      <c r="U173" s="155">
        <f>SUM(U157:U172)</f>
        <v>13047</v>
      </c>
      <c r="V173" s="82"/>
      <c r="W173" s="228">
        <f t="shared" si="141"/>
        <v>75235</v>
      </c>
      <c r="X173" s="80">
        <f t="shared" si="142"/>
        <v>0</v>
      </c>
      <c r="Y173" s="80">
        <f t="shared" si="143"/>
        <v>75235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>(C173+ C155+C149+C141+C125)</f>
        <v>38124.585999999996</v>
      </c>
      <c r="D174" s="104">
        <f t="shared" ref="D174:Y174" si="147">(D173+ D155+D149+D141+D125)</f>
        <v>0</v>
      </c>
      <c r="E174" s="104">
        <f t="shared" si="147"/>
        <v>38124.585999999996</v>
      </c>
      <c r="F174" s="104">
        <f t="shared" si="147"/>
        <v>0</v>
      </c>
      <c r="G174" s="104">
        <f t="shared" si="147"/>
        <v>65901.038580000008</v>
      </c>
      <c r="H174" s="104">
        <f t="shared" si="147"/>
        <v>0</v>
      </c>
      <c r="I174" s="104">
        <f t="shared" si="147"/>
        <v>65901.038580000008</v>
      </c>
      <c r="J174" s="104">
        <f t="shared" si="147"/>
        <v>0</v>
      </c>
      <c r="K174" s="104">
        <f t="shared" si="147"/>
        <v>62296.142237399996</v>
      </c>
      <c r="L174" s="104">
        <f t="shared" si="147"/>
        <v>0</v>
      </c>
      <c r="M174" s="104">
        <f t="shared" si="147"/>
        <v>62296.142237399996</v>
      </c>
      <c r="N174" s="104">
        <f t="shared" si="147"/>
        <v>0</v>
      </c>
      <c r="O174" s="104">
        <f t="shared" si="147"/>
        <v>68773.761129522012</v>
      </c>
      <c r="P174" s="104">
        <f t="shared" si="147"/>
        <v>0</v>
      </c>
      <c r="Q174" s="104">
        <f t="shared" si="147"/>
        <v>68773.761129522012</v>
      </c>
      <c r="R174" s="104">
        <f t="shared" si="147"/>
        <v>0</v>
      </c>
      <c r="S174" s="104">
        <f t="shared" si="147"/>
        <v>65340.338619657668</v>
      </c>
      <c r="T174" s="104">
        <f t="shared" si="147"/>
        <v>0</v>
      </c>
      <c r="U174" s="104">
        <f t="shared" si="147"/>
        <v>65340.338619657668</v>
      </c>
      <c r="V174" s="104">
        <f t="shared" si="147"/>
        <v>0</v>
      </c>
      <c r="W174" s="104">
        <f t="shared" si="147"/>
        <v>300435.86656657967</v>
      </c>
      <c r="X174" s="104">
        <f t="shared" si="147"/>
        <v>0</v>
      </c>
      <c r="Y174" s="104">
        <f t="shared" si="147"/>
        <v>300435.86656657967</v>
      </c>
      <c r="Z174" s="105">
        <f>(SUM(C174+G174+K174)/3)</f>
        <v>55440.588939133333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(C125+C149+C173)*0.405</f>
        <v>15440.457329999999</v>
      </c>
      <c r="D175" s="104">
        <v>0</v>
      </c>
      <c r="E175" s="104">
        <f>C175</f>
        <v>15440.457329999999</v>
      </c>
      <c r="F175" s="104">
        <f>(F125+F149+F173)*0.39</f>
        <v>0</v>
      </c>
      <c r="G175" s="104">
        <f>(G125+G149+G173)*0.405</f>
        <v>24451.080624900005</v>
      </c>
      <c r="H175" s="104">
        <v>0</v>
      </c>
      <c r="I175" s="104">
        <f>G175</f>
        <v>24451.080624900005</v>
      </c>
      <c r="J175" s="104">
        <f>(J125+J149+J173)*0.39</f>
        <v>0</v>
      </c>
      <c r="K175" s="104">
        <f>(K125+K149+K173)*0.405</f>
        <v>22767.213606147001</v>
      </c>
      <c r="L175" s="104">
        <v>0</v>
      </c>
      <c r="M175" s="104">
        <f>K175</f>
        <v>22767.213606147001</v>
      </c>
      <c r="N175" s="104">
        <f>(N125+N149+N173)*0.39</f>
        <v>0</v>
      </c>
      <c r="O175" s="104">
        <f>(O125+O149+O173)*0.405</f>
        <v>25144.376857456416</v>
      </c>
      <c r="P175" s="104">
        <v>0</v>
      </c>
      <c r="Q175" s="104">
        <f>O175</f>
        <v>25144.376857456416</v>
      </c>
      <c r="R175" s="104">
        <f>(R125+R149+R173)*0.39</f>
        <v>0</v>
      </c>
      <c r="S175" s="104">
        <f>(S125+S149+S173)*0.405</f>
        <v>23482.941100961354</v>
      </c>
      <c r="T175" s="104">
        <v>0</v>
      </c>
      <c r="U175" s="104">
        <f>S175</f>
        <v>23482.941100961354</v>
      </c>
      <c r="V175" s="104">
        <f>(V125+V149+V173)*0.39</f>
        <v>0</v>
      </c>
      <c r="W175" s="104">
        <f>(W125+W149+W173)*0.405</f>
        <v>111286.06951946479</v>
      </c>
      <c r="X175" s="104">
        <v>0</v>
      </c>
      <c r="Y175" s="104">
        <f>W175</f>
        <v>111286.06951946479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</f>
        <v>53565.043329999993</v>
      </c>
      <c r="D176" s="104">
        <f t="shared" ref="D176:Y176" si="148">D174+D175</f>
        <v>0</v>
      </c>
      <c r="E176" s="104">
        <f t="shared" si="148"/>
        <v>53565.043329999993</v>
      </c>
      <c r="F176" s="104">
        <f t="shared" si="148"/>
        <v>0</v>
      </c>
      <c r="G176" s="104">
        <f t="shared" si="148"/>
        <v>90352.119204900009</v>
      </c>
      <c r="H176" s="104">
        <f t="shared" si="148"/>
        <v>0</v>
      </c>
      <c r="I176" s="104">
        <f t="shared" si="148"/>
        <v>90352.119204900009</v>
      </c>
      <c r="J176" s="104">
        <f t="shared" si="148"/>
        <v>0</v>
      </c>
      <c r="K176" s="104">
        <f t="shared" si="148"/>
        <v>85063.355843547004</v>
      </c>
      <c r="L176" s="104">
        <f t="shared" si="148"/>
        <v>0</v>
      </c>
      <c r="M176" s="104">
        <f t="shared" si="148"/>
        <v>85063.355843547004</v>
      </c>
      <c r="N176" s="104">
        <f t="shared" si="148"/>
        <v>0</v>
      </c>
      <c r="O176" s="104">
        <f t="shared" si="148"/>
        <v>93918.137986978429</v>
      </c>
      <c r="P176" s="104">
        <f t="shared" si="148"/>
        <v>0</v>
      </c>
      <c r="Q176" s="104">
        <f t="shared" si="148"/>
        <v>93918.137986978429</v>
      </c>
      <c r="R176" s="104">
        <f t="shared" si="148"/>
        <v>0</v>
      </c>
      <c r="S176" s="104">
        <f t="shared" si="148"/>
        <v>88823.27972061903</v>
      </c>
      <c r="T176" s="104">
        <f t="shared" si="148"/>
        <v>0</v>
      </c>
      <c r="U176" s="104">
        <f t="shared" si="148"/>
        <v>88823.27972061903</v>
      </c>
      <c r="V176" s="104">
        <f t="shared" si="148"/>
        <v>0</v>
      </c>
      <c r="W176" s="104">
        <f t="shared" si="148"/>
        <v>411721.93608604447</v>
      </c>
      <c r="X176" s="104">
        <f t="shared" si="148"/>
        <v>0</v>
      </c>
      <c r="Y176" s="104">
        <f t="shared" si="148"/>
        <v>411721.93608604447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30" customFormat="1" x14ac:dyDescent="0.25">
      <c r="A177" s="24"/>
      <c r="B177" s="24"/>
      <c r="C177" s="27"/>
      <c r="D177" s="27"/>
      <c r="E177" s="28"/>
      <c r="F177" s="24"/>
      <c r="G177" s="27"/>
      <c r="H177" s="27"/>
      <c r="I177" s="28"/>
      <c r="J177" s="24"/>
      <c r="K177" s="27"/>
      <c r="L177" s="27"/>
      <c r="M177" s="28"/>
      <c r="N177" s="24"/>
      <c r="O177" s="27"/>
      <c r="P177" s="27"/>
      <c r="Q177" s="28"/>
      <c r="R177" s="24"/>
      <c r="S177" s="27"/>
      <c r="T177" s="27"/>
      <c r="U177" s="28"/>
      <c r="V177" s="29"/>
      <c r="W177" s="28"/>
      <c r="X177" s="28"/>
      <c r="Y177" s="27"/>
      <c r="Z177" s="28"/>
      <c r="AA177" s="28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77" customFormat="1" x14ac:dyDescent="0.25">
      <c r="A179" s="74" t="s">
        <v>5</v>
      </c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5"/>
      <c r="W179" s="74"/>
      <c r="X179" s="74"/>
      <c r="Y179" s="7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</row>
    <row r="180" spans="1:77" s="61" customFormat="1" x14ac:dyDescent="0.25">
      <c r="A180" s="52"/>
      <c r="B180" s="52"/>
      <c r="C180" s="124">
        <v>0</v>
      </c>
      <c r="D180" s="56">
        <v>0</v>
      </c>
      <c r="E180" s="56">
        <f t="shared" ref="E180:E185" si="149">SUM(C180:D180)</f>
        <v>0</v>
      </c>
      <c r="F180" s="58"/>
      <c r="G180" s="55">
        <f t="shared" ref="G180:H185" si="150">C180*1.05</f>
        <v>0</v>
      </c>
      <c r="H180" s="57">
        <f t="shared" si="150"/>
        <v>0</v>
      </c>
      <c r="I180" s="57">
        <f t="shared" ref="I180:I185" si="151">SUM(G180:H180)</f>
        <v>0</v>
      </c>
      <c r="J180" s="58"/>
      <c r="K180" s="55">
        <f t="shared" ref="K180:L185" si="152">G180*1.05</f>
        <v>0</v>
      </c>
      <c r="L180" s="57">
        <f t="shared" si="152"/>
        <v>0</v>
      </c>
      <c r="M180" s="57">
        <f t="shared" ref="M180:M185" si="153">SUM(K180:L180)</f>
        <v>0</v>
      </c>
      <c r="N180" s="58"/>
      <c r="O180" s="55">
        <f t="shared" ref="O180:P185" si="154">K180*1.05</f>
        <v>0</v>
      </c>
      <c r="P180" s="57">
        <f t="shared" si="154"/>
        <v>0</v>
      </c>
      <c r="Q180" s="57">
        <f t="shared" ref="Q180:Q185" si="155">SUM(O180:P180)</f>
        <v>0</v>
      </c>
      <c r="R180" s="58"/>
      <c r="S180" s="55">
        <f t="shared" ref="S180:T185" si="156">O180*1.05</f>
        <v>0</v>
      </c>
      <c r="T180" s="57">
        <f t="shared" si="156"/>
        <v>0</v>
      </c>
      <c r="U180" s="57">
        <f t="shared" ref="U180:U185" si="157">SUM(S180:T180)</f>
        <v>0</v>
      </c>
      <c r="V180" s="59"/>
      <c r="W180" s="124">
        <f t="shared" ref="W180:Y186" si="158">C180+G180+K180+O180+S180</f>
        <v>0</v>
      </c>
      <c r="X180" s="57">
        <f t="shared" si="158"/>
        <v>0</v>
      </c>
      <c r="Y180" s="84">
        <f t="shared" si="158"/>
        <v>0</v>
      </c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</row>
    <row r="181" spans="1:77" s="61" customFormat="1" x14ac:dyDescent="0.25">
      <c r="A181" s="52"/>
      <c r="B181" s="52"/>
      <c r="C181" s="124">
        <v>0</v>
      </c>
      <c r="D181" s="56">
        <v>0</v>
      </c>
      <c r="E181" s="56">
        <f t="shared" si="149"/>
        <v>0</v>
      </c>
      <c r="F181" s="58"/>
      <c r="G181" s="55">
        <f t="shared" si="150"/>
        <v>0</v>
      </c>
      <c r="H181" s="57">
        <f t="shared" si="150"/>
        <v>0</v>
      </c>
      <c r="I181" s="57">
        <f t="shared" si="151"/>
        <v>0</v>
      </c>
      <c r="J181" s="58"/>
      <c r="K181" s="55">
        <f t="shared" si="152"/>
        <v>0</v>
      </c>
      <c r="L181" s="57">
        <f t="shared" si="152"/>
        <v>0</v>
      </c>
      <c r="M181" s="57">
        <f t="shared" si="153"/>
        <v>0</v>
      </c>
      <c r="N181" s="58"/>
      <c r="O181" s="55">
        <f t="shared" si="154"/>
        <v>0</v>
      </c>
      <c r="P181" s="57">
        <f t="shared" si="154"/>
        <v>0</v>
      </c>
      <c r="Q181" s="57">
        <f t="shared" si="155"/>
        <v>0</v>
      </c>
      <c r="R181" s="58"/>
      <c r="S181" s="55">
        <f t="shared" si="156"/>
        <v>0</v>
      </c>
      <c r="T181" s="57">
        <f t="shared" si="156"/>
        <v>0</v>
      </c>
      <c r="U181" s="57">
        <f t="shared" si="157"/>
        <v>0</v>
      </c>
      <c r="V181" s="59"/>
      <c r="W181" s="124">
        <f t="shared" si="158"/>
        <v>0</v>
      </c>
      <c r="X181" s="57">
        <f t="shared" si="158"/>
        <v>0</v>
      </c>
      <c r="Y181" s="84">
        <f t="shared" si="158"/>
        <v>0</v>
      </c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</row>
    <row r="182" spans="1:77" s="61" customFormat="1" x14ac:dyDescent="0.25">
      <c r="A182" s="52"/>
      <c r="B182" s="52"/>
      <c r="C182" s="124">
        <v>0</v>
      </c>
      <c r="D182" s="56">
        <v>0</v>
      </c>
      <c r="E182" s="56">
        <f t="shared" si="149"/>
        <v>0</v>
      </c>
      <c r="F182" s="58"/>
      <c r="G182" s="55">
        <f t="shared" si="150"/>
        <v>0</v>
      </c>
      <c r="H182" s="57">
        <f t="shared" si="150"/>
        <v>0</v>
      </c>
      <c r="I182" s="57">
        <f t="shared" si="151"/>
        <v>0</v>
      </c>
      <c r="J182" s="58"/>
      <c r="K182" s="55">
        <f t="shared" si="152"/>
        <v>0</v>
      </c>
      <c r="L182" s="57">
        <f t="shared" si="152"/>
        <v>0</v>
      </c>
      <c r="M182" s="57">
        <f t="shared" si="153"/>
        <v>0</v>
      </c>
      <c r="N182" s="58"/>
      <c r="O182" s="55">
        <f t="shared" si="154"/>
        <v>0</v>
      </c>
      <c r="P182" s="57">
        <f t="shared" si="154"/>
        <v>0</v>
      </c>
      <c r="Q182" s="57">
        <f t="shared" si="155"/>
        <v>0</v>
      </c>
      <c r="R182" s="58"/>
      <c r="S182" s="55">
        <f t="shared" si="156"/>
        <v>0</v>
      </c>
      <c r="T182" s="57">
        <f t="shared" si="156"/>
        <v>0</v>
      </c>
      <c r="U182" s="57">
        <f t="shared" si="157"/>
        <v>0</v>
      </c>
      <c r="V182" s="59"/>
      <c r="W182" s="124">
        <f t="shared" si="158"/>
        <v>0</v>
      </c>
      <c r="X182" s="57">
        <f t="shared" si="158"/>
        <v>0</v>
      </c>
      <c r="Y182" s="84">
        <f t="shared" si="158"/>
        <v>0</v>
      </c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</row>
    <row r="183" spans="1:77" s="61" customFormat="1" x14ac:dyDescent="0.25">
      <c r="A183" s="52"/>
      <c r="B183" s="52"/>
      <c r="C183" s="124">
        <v>0</v>
      </c>
      <c r="D183" s="56">
        <v>0</v>
      </c>
      <c r="E183" s="56">
        <f t="shared" si="149"/>
        <v>0</v>
      </c>
      <c r="F183" s="58"/>
      <c r="G183" s="55">
        <f t="shared" ref="G183" si="159">C183*1.05</f>
        <v>0</v>
      </c>
      <c r="H183" s="57">
        <f t="shared" ref="H183" si="160">D183*1.05</f>
        <v>0</v>
      </c>
      <c r="I183" s="57">
        <f t="shared" si="151"/>
        <v>0</v>
      </c>
      <c r="J183" s="58"/>
      <c r="K183" s="55">
        <f t="shared" ref="K183" si="161">G183*1.05</f>
        <v>0</v>
      </c>
      <c r="L183" s="57">
        <f t="shared" ref="L183" si="162">H183*1.05</f>
        <v>0</v>
      </c>
      <c r="M183" s="57">
        <f t="shared" si="153"/>
        <v>0</v>
      </c>
      <c r="N183" s="58"/>
      <c r="O183" s="55">
        <f t="shared" ref="O183" si="163">K183*1.05</f>
        <v>0</v>
      </c>
      <c r="P183" s="57">
        <f t="shared" ref="P183" si="164">L183*1.05</f>
        <v>0</v>
      </c>
      <c r="Q183" s="57">
        <f t="shared" si="155"/>
        <v>0</v>
      </c>
      <c r="R183" s="58"/>
      <c r="S183" s="55">
        <f t="shared" ref="S183" si="165">O183*1.05</f>
        <v>0</v>
      </c>
      <c r="T183" s="57">
        <f t="shared" ref="T183" si="166">P183*1.05</f>
        <v>0</v>
      </c>
      <c r="U183" s="57">
        <f t="shared" si="157"/>
        <v>0</v>
      </c>
      <c r="V183" s="59"/>
      <c r="W183" s="124">
        <f t="shared" ref="W183" si="167">C183+G183+K183+O183+S183</f>
        <v>0</v>
      </c>
      <c r="X183" s="57">
        <f t="shared" ref="X183" si="168">D183+H183+L183+P183+T183</f>
        <v>0</v>
      </c>
      <c r="Y183" s="84">
        <f t="shared" ref="Y183" si="169">E183+I183+M183+Q183+U183</f>
        <v>0</v>
      </c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</row>
    <row r="184" spans="1:77" s="61" customFormat="1" x14ac:dyDescent="0.25">
      <c r="A184" s="52"/>
      <c r="B184" s="52"/>
      <c r="C184" s="124">
        <v>0</v>
      </c>
      <c r="D184" s="56">
        <v>0</v>
      </c>
      <c r="E184" s="56">
        <f t="shared" si="149"/>
        <v>0</v>
      </c>
      <c r="F184" s="58"/>
      <c r="G184" s="55">
        <f t="shared" si="150"/>
        <v>0</v>
      </c>
      <c r="H184" s="57">
        <f t="shared" si="150"/>
        <v>0</v>
      </c>
      <c r="I184" s="57">
        <f t="shared" si="151"/>
        <v>0</v>
      </c>
      <c r="J184" s="58"/>
      <c r="K184" s="55">
        <f t="shared" si="152"/>
        <v>0</v>
      </c>
      <c r="L184" s="57">
        <f t="shared" si="152"/>
        <v>0</v>
      </c>
      <c r="M184" s="57">
        <f t="shared" si="153"/>
        <v>0</v>
      </c>
      <c r="N184" s="58"/>
      <c r="O184" s="55">
        <f t="shared" si="154"/>
        <v>0</v>
      </c>
      <c r="P184" s="57">
        <f t="shared" si="154"/>
        <v>0</v>
      </c>
      <c r="Q184" s="57">
        <f t="shared" si="155"/>
        <v>0</v>
      </c>
      <c r="R184" s="58"/>
      <c r="S184" s="55">
        <f t="shared" si="156"/>
        <v>0</v>
      </c>
      <c r="T184" s="57">
        <f t="shared" si="156"/>
        <v>0</v>
      </c>
      <c r="U184" s="57">
        <f t="shared" si="157"/>
        <v>0</v>
      </c>
      <c r="V184" s="59"/>
      <c r="W184" s="124">
        <f t="shared" si="158"/>
        <v>0</v>
      </c>
      <c r="X184" s="57">
        <f t="shared" si="158"/>
        <v>0</v>
      </c>
      <c r="Y184" s="84">
        <f t="shared" si="158"/>
        <v>0</v>
      </c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</row>
    <row r="185" spans="1:77" s="61" customFormat="1" x14ac:dyDescent="0.25">
      <c r="A185" s="52"/>
      <c r="B185" s="52"/>
      <c r="C185" s="124">
        <v>0</v>
      </c>
      <c r="D185" s="56">
        <v>0</v>
      </c>
      <c r="E185" s="56">
        <f t="shared" si="149"/>
        <v>0</v>
      </c>
      <c r="F185" s="58"/>
      <c r="G185" s="55">
        <f t="shared" si="150"/>
        <v>0</v>
      </c>
      <c r="H185" s="57">
        <f t="shared" si="150"/>
        <v>0</v>
      </c>
      <c r="I185" s="57">
        <f t="shared" si="151"/>
        <v>0</v>
      </c>
      <c r="J185" s="58"/>
      <c r="K185" s="55">
        <f t="shared" si="152"/>
        <v>0</v>
      </c>
      <c r="L185" s="57">
        <f t="shared" si="152"/>
        <v>0</v>
      </c>
      <c r="M185" s="57">
        <f t="shared" si="153"/>
        <v>0</v>
      </c>
      <c r="N185" s="58"/>
      <c r="O185" s="55">
        <f t="shared" si="154"/>
        <v>0</v>
      </c>
      <c r="P185" s="57">
        <f t="shared" si="154"/>
        <v>0</v>
      </c>
      <c r="Q185" s="57">
        <f t="shared" si="155"/>
        <v>0</v>
      </c>
      <c r="R185" s="58"/>
      <c r="S185" s="55">
        <f t="shared" si="156"/>
        <v>0</v>
      </c>
      <c r="T185" s="57">
        <f t="shared" si="156"/>
        <v>0</v>
      </c>
      <c r="U185" s="57">
        <f t="shared" si="157"/>
        <v>0</v>
      </c>
      <c r="V185" s="59"/>
      <c r="W185" s="124">
        <f t="shared" si="158"/>
        <v>0</v>
      </c>
      <c r="X185" s="57">
        <f t="shared" si="158"/>
        <v>0</v>
      </c>
      <c r="Y185" s="84">
        <f t="shared" si="158"/>
        <v>0</v>
      </c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</row>
    <row r="186" spans="1:77" s="83" customFormat="1" x14ac:dyDescent="0.25">
      <c r="A186" s="78"/>
      <c r="B186" s="78" t="s">
        <v>9</v>
      </c>
      <c r="C186" s="228">
        <f>SUM(C180:C185)</f>
        <v>0</v>
      </c>
      <c r="D186" s="125">
        <f>SUM(D180:D185)</f>
        <v>0</v>
      </c>
      <c r="E186" s="125">
        <f>SUM(E180:E185)</f>
        <v>0</v>
      </c>
      <c r="F186" s="81"/>
      <c r="G186" s="79">
        <f>SUM(G180:G185)</f>
        <v>0</v>
      </c>
      <c r="H186" s="80">
        <f>SUM(H180:H185)</f>
        <v>0</v>
      </c>
      <c r="I186" s="80">
        <f>SUM(I180:I185)</f>
        <v>0</v>
      </c>
      <c r="J186" s="81"/>
      <c r="K186" s="79">
        <f>SUM(K180:K185)</f>
        <v>0</v>
      </c>
      <c r="L186" s="80">
        <f>SUM(L180:L185)</f>
        <v>0</v>
      </c>
      <c r="M186" s="80">
        <f>SUM(M180:M185)</f>
        <v>0</v>
      </c>
      <c r="N186" s="81"/>
      <c r="O186" s="79">
        <f>SUM(O180:O185)</f>
        <v>0</v>
      </c>
      <c r="P186" s="80">
        <f>SUM(P180:P185)</f>
        <v>0</v>
      </c>
      <c r="Q186" s="80">
        <f>SUM(Q180:Q185)</f>
        <v>0</v>
      </c>
      <c r="R186" s="81"/>
      <c r="S186" s="79">
        <f>SUM(S180:S185)</f>
        <v>0</v>
      </c>
      <c r="T186" s="80">
        <f>SUM(T180:T185)</f>
        <v>0</v>
      </c>
      <c r="U186" s="80">
        <f>SUM(U180:U185)</f>
        <v>0</v>
      </c>
      <c r="V186" s="82"/>
      <c r="W186" s="228">
        <f t="shared" si="158"/>
        <v>0</v>
      </c>
      <c r="X186" s="80">
        <f t="shared" si="158"/>
        <v>0</v>
      </c>
      <c r="Y186" s="80">
        <f t="shared" si="158"/>
        <v>0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A188" s="52"/>
      <c r="B188" s="52"/>
      <c r="C188" s="124">
        <v>0</v>
      </c>
      <c r="D188" s="56">
        <v>0</v>
      </c>
      <c r="E188" s="56">
        <f t="shared" ref="E188:E194" si="170">SUM(C188:D188)</f>
        <v>0</v>
      </c>
      <c r="F188" s="58"/>
      <c r="G188" s="55">
        <f t="shared" ref="G188:G194" si="171">C188*1.05</f>
        <v>0</v>
      </c>
      <c r="H188" s="57">
        <v>0</v>
      </c>
      <c r="I188" s="57">
        <f t="shared" ref="I188:I194" si="172">SUM(G188:H188)</f>
        <v>0</v>
      </c>
      <c r="J188" s="58"/>
      <c r="K188" s="55">
        <f t="shared" ref="K188:K194" si="173">G188*1.05</f>
        <v>0</v>
      </c>
      <c r="L188" s="57">
        <v>0</v>
      </c>
      <c r="M188" s="57">
        <f t="shared" ref="M188:M194" si="174">SUM(K188:L188)</f>
        <v>0</v>
      </c>
      <c r="N188" s="58"/>
      <c r="O188" s="55">
        <f t="shared" ref="O188:O194" si="175">K188*1.05</f>
        <v>0</v>
      </c>
      <c r="P188" s="57">
        <v>0</v>
      </c>
      <c r="Q188" s="57">
        <f t="shared" ref="Q188:Q194" si="176">SUM(O188:P188)</f>
        <v>0</v>
      </c>
      <c r="R188" s="58"/>
      <c r="S188" s="55">
        <f t="shared" ref="S188:T194" si="177">O188*1.05</f>
        <v>0</v>
      </c>
      <c r="T188" s="57">
        <f t="shared" si="177"/>
        <v>0</v>
      </c>
      <c r="U188" s="57">
        <f t="shared" ref="U188:U194" si="178">SUM(S188:T188)</f>
        <v>0</v>
      </c>
      <c r="V188" s="59"/>
      <c r="W188" s="124">
        <f t="shared" ref="W188:Y195" si="179">C188+G188+K188+O188+S188</f>
        <v>0</v>
      </c>
      <c r="X188" s="57">
        <f t="shared" si="179"/>
        <v>0</v>
      </c>
      <c r="Y188" s="84">
        <f t="shared" si="179"/>
        <v>0</v>
      </c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</row>
    <row r="189" spans="1:77" s="61" customFormat="1" x14ac:dyDescent="0.25">
      <c r="A189" s="52"/>
      <c r="B189" s="54" t="s">
        <v>57</v>
      </c>
      <c r="C189" s="124">
        <v>0</v>
      </c>
      <c r="D189" s="56">
        <v>0</v>
      </c>
      <c r="E189" s="56">
        <f t="shared" si="170"/>
        <v>0</v>
      </c>
      <c r="F189" s="58"/>
      <c r="G189" s="55">
        <f t="shared" si="171"/>
        <v>0</v>
      </c>
      <c r="H189" s="57">
        <v>0</v>
      </c>
      <c r="I189" s="57">
        <f t="shared" si="172"/>
        <v>0</v>
      </c>
      <c r="J189" s="58"/>
      <c r="K189" s="55">
        <f t="shared" si="173"/>
        <v>0</v>
      </c>
      <c r="L189" s="57">
        <v>0</v>
      </c>
      <c r="M189" s="57">
        <f t="shared" si="174"/>
        <v>0</v>
      </c>
      <c r="N189" s="58"/>
      <c r="O189" s="55">
        <f t="shared" si="175"/>
        <v>0</v>
      </c>
      <c r="P189" s="57">
        <v>0</v>
      </c>
      <c r="Q189" s="57">
        <f t="shared" si="176"/>
        <v>0</v>
      </c>
      <c r="R189" s="58"/>
      <c r="S189" s="55">
        <f t="shared" si="177"/>
        <v>0</v>
      </c>
      <c r="T189" s="57">
        <f t="shared" si="177"/>
        <v>0</v>
      </c>
      <c r="U189" s="57">
        <f t="shared" si="178"/>
        <v>0</v>
      </c>
      <c r="V189" s="59"/>
      <c r="W189" s="124">
        <f t="shared" si="179"/>
        <v>0</v>
      </c>
      <c r="X189" s="57">
        <f t="shared" si="179"/>
        <v>0</v>
      </c>
      <c r="Y189" s="84">
        <f t="shared" si="179"/>
        <v>0</v>
      </c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</row>
    <row r="190" spans="1:77" s="61" customFormat="1" x14ac:dyDescent="0.25">
      <c r="A190" s="52"/>
      <c r="B190" s="52" t="s">
        <v>226</v>
      </c>
      <c r="C190" s="124">
        <f>12000</f>
        <v>12000</v>
      </c>
      <c r="D190" s="56">
        <v>0</v>
      </c>
      <c r="E190" s="56">
        <f t="shared" si="170"/>
        <v>12000</v>
      </c>
      <c r="F190" s="58"/>
      <c r="G190" s="55">
        <f>C190*1.03</f>
        <v>12360</v>
      </c>
      <c r="H190" s="57">
        <v>0</v>
      </c>
      <c r="I190" s="57">
        <f t="shared" si="172"/>
        <v>12360</v>
      </c>
      <c r="J190" s="58"/>
      <c r="K190" s="55">
        <f>G190*1.03</f>
        <v>12730.800000000001</v>
      </c>
      <c r="L190" s="57">
        <v>0</v>
      </c>
      <c r="M190" s="57">
        <f t="shared" si="174"/>
        <v>12730.800000000001</v>
      </c>
      <c r="N190" s="58"/>
      <c r="O190" s="55">
        <f>K190*1.03</f>
        <v>13112.724000000002</v>
      </c>
      <c r="P190" s="57">
        <v>0</v>
      </c>
      <c r="Q190" s="57">
        <f t="shared" si="176"/>
        <v>13112.724000000002</v>
      </c>
      <c r="R190" s="58"/>
      <c r="S190" s="55">
        <f>O190*1.03</f>
        <v>13506.105720000003</v>
      </c>
      <c r="T190" s="57">
        <f t="shared" si="177"/>
        <v>0</v>
      </c>
      <c r="U190" s="57">
        <f t="shared" si="178"/>
        <v>13506.105720000003</v>
      </c>
      <c r="V190" s="59"/>
      <c r="W190" s="124">
        <f t="shared" si="179"/>
        <v>63709.629720000012</v>
      </c>
      <c r="X190" s="57">
        <f t="shared" si="179"/>
        <v>0</v>
      </c>
      <c r="Y190" s="84">
        <f t="shared" si="179"/>
        <v>63709.629720000012</v>
      </c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s="61" customFormat="1" x14ac:dyDescent="0.25">
      <c r="A191" s="87"/>
      <c r="B191" s="52"/>
      <c r="C191" s="124">
        <v>0</v>
      </c>
      <c r="D191" s="56">
        <v>0</v>
      </c>
      <c r="E191" s="56">
        <f t="shared" si="170"/>
        <v>0</v>
      </c>
      <c r="F191" s="58"/>
      <c r="G191" s="55">
        <f t="shared" si="171"/>
        <v>0</v>
      </c>
      <c r="H191" s="57">
        <v>0</v>
      </c>
      <c r="I191" s="57">
        <f t="shared" si="172"/>
        <v>0</v>
      </c>
      <c r="J191" s="58"/>
      <c r="K191" s="55">
        <f t="shared" si="173"/>
        <v>0</v>
      </c>
      <c r="L191" s="57">
        <v>0</v>
      </c>
      <c r="M191" s="57">
        <f t="shared" si="174"/>
        <v>0</v>
      </c>
      <c r="N191" s="58"/>
      <c r="O191" s="55">
        <f t="shared" si="175"/>
        <v>0</v>
      </c>
      <c r="P191" s="57">
        <v>0</v>
      </c>
      <c r="Q191" s="57">
        <f t="shared" si="176"/>
        <v>0</v>
      </c>
      <c r="R191" s="58"/>
      <c r="S191" s="55">
        <f t="shared" si="177"/>
        <v>0</v>
      </c>
      <c r="T191" s="57">
        <f t="shared" si="177"/>
        <v>0</v>
      </c>
      <c r="U191" s="57">
        <f t="shared" si="178"/>
        <v>0</v>
      </c>
      <c r="V191" s="59"/>
      <c r="W191" s="124">
        <f t="shared" si="179"/>
        <v>0</v>
      </c>
      <c r="X191" s="57">
        <f t="shared" si="179"/>
        <v>0</v>
      </c>
      <c r="Y191" s="84">
        <f t="shared" si="179"/>
        <v>0</v>
      </c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</row>
    <row r="192" spans="1:77" s="61" customFormat="1" x14ac:dyDescent="0.25">
      <c r="A192" s="52"/>
      <c r="B192" s="52"/>
      <c r="C192" s="124">
        <v>0</v>
      </c>
      <c r="D192" s="56">
        <v>0</v>
      </c>
      <c r="E192" s="56">
        <f t="shared" si="170"/>
        <v>0</v>
      </c>
      <c r="F192" s="58"/>
      <c r="G192" s="55">
        <f t="shared" si="171"/>
        <v>0</v>
      </c>
      <c r="H192" s="57">
        <v>0</v>
      </c>
      <c r="I192" s="57">
        <f t="shared" si="172"/>
        <v>0</v>
      </c>
      <c r="J192" s="58"/>
      <c r="K192" s="55">
        <f t="shared" si="173"/>
        <v>0</v>
      </c>
      <c r="L192" s="57">
        <v>0</v>
      </c>
      <c r="M192" s="57">
        <f t="shared" si="174"/>
        <v>0</v>
      </c>
      <c r="N192" s="58"/>
      <c r="O192" s="55">
        <f t="shared" si="175"/>
        <v>0</v>
      </c>
      <c r="P192" s="57">
        <v>0</v>
      </c>
      <c r="Q192" s="57">
        <f t="shared" si="176"/>
        <v>0</v>
      </c>
      <c r="R192" s="58"/>
      <c r="S192" s="55">
        <f t="shared" si="177"/>
        <v>0</v>
      </c>
      <c r="T192" s="57">
        <f t="shared" si="177"/>
        <v>0</v>
      </c>
      <c r="U192" s="57">
        <f t="shared" si="178"/>
        <v>0</v>
      </c>
      <c r="V192" s="59"/>
      <c r="W192" s="124">
        <f t="shared" si="179"/>
        <v>0</v>
      </c>
      <c r="X192" s="57">
        <f t="shared" si="179"/>
        <v>0</v>
      </c>
      <c r="Y192" s="84">
        <f t="shared" si="179"/>
        <v>0</v>
      </c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si="170"/>
        <v>0</v>
      </c>
      <c r="F193" s="58"/>
      <c r="G193" s="55">
        <f t="shared" si="171"/>
        <v>0</v>
      </c>
      <c r="H193" s="57">
        <v>0</v>
      </c>
      <c r="I193" s="57">
        <f t="shared" si="172"/>
        <v>0</v>
      </c>
      <c r="J193" s="58"/>
      <c r="K193" s="55">
        <f t="shared" si="173"/>
        <v>0</v>
      </c>
      <c r="L193" s="57">
        <v>0</v>
      </c>
      <c r="M193" s="57">
        <f t="shared" si="174"/>
        <v>0</v>
      </c>
      <c r="N193" s="58"/>
      <c r="O193" s="55">
        <f t="shared" si="175"/>
        <v>0</v>
      </c>
      <c r="P193" s="57">
        <v>0</v>
      </c>
      <c r="Q193" s="57">
        <f t="shared" si="176"/>
        <v>0</v>
      </c>
      <c r="R193" s="58"/>
      <c r="S193" s="55">
        <f t="shared" si="177"/>
        <v>0</v>
      </c>
      <c r="T193" s="57">
        <f t="shared" si="177"/>
        <v>0</v>
      </c>
      <c r="U193" s="57">
        <f t="shared" si="178"/>
        <v>0</v>
      </c>
      <c r="V193" s="59"/>
      <c r="W193" s="124">
        <f t="shared" si="179"/>
        <v>0</v>
      </c>
      <c r="X193" s="57">
        <f t="shared" si="179"/>
        <v>0</v>
      </c>
      <c r="Y193" s="84">
        <f t="shared" si="179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170"/>
        <v>0</v>
      </c>
      <c r="F194" s="74"/>
      <c r="G194" s="55">
        <f t="shared" si="171"/>
        <v>0</v>
      </c>
      <c r="H194" s="57">
        <v>0</v>
      </c>
      <c r="I194" s="57">
        <f t="shared" si="172"/>
        <v>0</v>
      </c>
      <c r="J194" s="74"/>
      <c r="K194" s="55">
        <f t="shared" si="173"/>
        <v>0</v>
      </c>
      <c r="L194" s="57">
        <v>0</v>
      </c>
      <c r="M194" s="57">
        <f t="shared" si="174"/>
        <v>0</v>
      </c>
      <c r="N194" s="74"/>
      <c r="O194" s="55">
        <f t="shared" si="175"/>
        <v>0</v>
      </c>
      <c r="P194" s="57">
        <v>0</v>
      </c>
      <c r="Q194" s="57">
        <f t="shared" si="176"/>
        <v>0</v>
      </c>
      <c r="R194" s="74"/>
      <c r="S194" s="55">
        <f t="shared" si="177"/>
        <v>0</v>
      </c>
      <c r="T194" s="57">
        <f t="shared" si="177"/>
        <v>0</v>
      </c>
      <c r="U194" s="57">
        <f t="shared" si="178"/>
        <v>0</v>
      </c>
      <c r="V194" s="59"/>
      <c r="W194" s="124">
        <f t="shared" si="179"/>
        <v>0</v>
      </c>
      <c r="X194" s="57">
        <f t="shared" si="179"/>
        <v>0</v>
      </c>
      <c r="Y194" s="84">
        <f t="shared" si="179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12000</v>
      </c>
      <c r="D195" s="125">
        <f>SUM(D188:D194)</f>
        <v>0</v>
      </c>
      <c r="E195" s="125">
        <f>SUM(E188:E194)</f>
        <v>12000</v>
      </c>
      <c r="F195" s="81"/>
      <c r="G195" s="79">
        <f>SUM(G188:G194)</f>
        <v>12360</v>
      </c>
      <c r="H195" s="80">
        <f>SUM(H188:H194)</f>
        <v>0</v>
      </c>
      <c r="I195" s="80">
        <f>SUM(I188:I194)</f>
        <v>12360</v>
      </c>
      <c r="J195" s="81"/>
      <c r="K195" s="79">
        <f>SUM(K188:K194)</f>
        <v>12730.800000000001</v>
      </c>
      <c r="L195" s="80">
        <f>SUM(L188:L194)</f>
        <v>0</v>
      </c>
      <c r="M195" s="80">
        <f>SUM(M188:M194)</f>
        <v>12730.800000000001</v>
      </c>
      <c r="N195" s="81"/>
      <c r="O195" s="79">
        <f>SUM(O188:O194)</f>
        <v>13112.724000000002</v>
      </c>
      <c r="P195" s="80">
        <f>SUM(P188:P194)</f>
        <v>0</v>
      </c>
      <c r="Q195" s="80">
        <f>SUM(Q188:Q194)</f>
        <v>13112.724000000002</v>
      </c>
      <c r="R195" s="81"/>
      <c r="S195" s="79">
        <f>SUM(S188:S194)</f>
        <v>13506.105720000003</v>
      </c>
      <c r="T195" s="80">
        <f>SUM(T188:T194)</f>
        <v>0</v>
      </c>
      <c r="U195" s="80">
        <f>SUM(U188:U194)</f>
        <v>13506.105720000003</v>
      </c>
      <c r="V195" s="82"/>
      <c r="W195" s="228">
        <f t="shared" si="179"/>
        <v>63709.629720000012</v>
      </c>
      <c r="X195" s="80">
        <f t="shared" si="179"/>
        <v>0</v>
      </c>
      <c r="Y195" s="80">
        <f t="shared" si="179"/>
        <v>63709.629720000012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>C195+C186</f>
        <v>12000</v>
      </c>
      <c r="D196" s="107">
        <f t="shared" ref="D196:X196" si="180">D195+D186</f>
        <v>0</v>
      </c>
      <c r="E196" s="107">
        <f t="shared" si="180"/>
        <v>12000</v>
      </c>
      <c r="F196" s="107">
        <f t="shared" si="180"/>
        <v>0</v>
      </c>
      <c r="G196" s="107">
        <f t="shared" si="180"/>
        <v>12360</v>
      </c>
      <c r="H196" s="107">
        <f t="shared" si="180"/>
        <v>0</v>
      </c>
      <c r="I196" s="107">
        <f t="shared" si="180"/>
        <v>12360</v>
      </c>
      <c r="J196" s="107">
        <f t="shared" si="180"/>
        <v>0</v>
      </c>
      <c r="K196" s="107">
        <f t="shared" si="180"/>
        <v>12730.800000000001</v>
      </c>
      <c r="L196" s="107">
        <f t="shared" si="180"/>
        <v>0</v>
      </c>
      <c r="M196" s="107">
        <f t="shared" si="180"/>
        <v>12730.800000000001</v>
      </c>
      <c r="N196" s="107">
        <f t="shared" si="180"/>
        <v>0</v>
      </c>
      <c r="O196" s="107">
        <f t="shared" si="180"/>
        <v>13112.724000000002</v>
      </c>
      <c r="P196" s="107">
        <f t="shared" si="180"/>
        <v>0</v>
      </c>
      <c r="Q196" s="107">
        <f t="shared" si="180"/>
        <v>13112.724000000002</v>
      </c>
      <c r="R196" s="107">
        <f t="shared" si="180"/>
        <v>0</v>
      </c>
      <c r="S196" s="107">
        <f t="shared" si="180"/>
        <v>13506.105720000003</v>
      </c>
      <c r="T196" s="107">
        <f t="shared" si="180"/>
        <v>0</v>
      </c>
      <c r="U196" s="107">
        <f t="shared" si="180"/>
        <v>13506.105720000003</v>
      </c>
      <c r="V196" s="107">
        <f t="shared" si="180"/>
        <v>0</v>
      </c>
      <c r="W196" s="107">
        <f t="shared" si="180"/>
        <v>63709.629720000012</v>
      </c>
      <c r="X196" s="107">
        <f t="shared" si="180"/>
        <v>0</v>
      </c>
      <c r="Y196" s="108">
        <f>E196+I196+M196+Q196+U196</f>
        <v>63709.629720000012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77" customFormat="1" x14ac:dyDescent="0.25">
      <c r="A197" s="74" t="s">
        <v>6</v>
      </c>
      <c r="B197" s="74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129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s="61" customFormat="1" x14ac:dyDescent="0.25">
      <c r="A198" s="50">
        <v>3.6999999999999998E-2</v>
      </c>
      <c r="B198" s="52" t="s">
        <v>107</v>
      </c>
      <c r="C198" s="124">
        <f>C180*0.35</f>
        <v>0</v>
      </c>
      <c r="D198" s="56">
        <v>0</v>
      </c>
      <c r="E198" s="56">
        <f t="shared" ref="E198:E203" si="181">SUM(C198:D198)</f>
        <v>0</v>
      </c>
      <c r="F198" s="58"/>
      <c r="G198" s="55">
        <f>C198*1.05</f>
        <v>0</v>
      </c>
      <c r="H198" s="57">
        <v>0</v>
      </c>
      <c r="I198" s="57">
        <f t="shared" ref="I198:I203" si="182">SUM(G198:H198)</f>
        <v>0</v>
      </c>
      <c r="J198" s="58"/>
      <c r="K198" s="55">
        <f>G198*1.05</f>
        <v>0</v>
      </c>
      <c r="L198" s="57">
        <v>0</v>
      </c>
      <c r="M198" s="57">
        <f t="shared" ref="M198:M203" si="183">SUM(K198:L198)</f>
        <v>0</v>
      </c>
      <c r="N198" s="58"/>
      <c r="O198" s="55">
        <f>K198*1.05</f>
        <v>0</v>
      </c>
      <c r="P198" s="57">
        <v>0</v>
      </c>
      <c r="Q198" s="57">
        <f t="shared" ref="Q198:Q203" si="184">SUM(O198:P198)</f>
        <v>0</v>
      </c>
      <c r="R198" s="58"/>
      <c r="S198" s="55">
        <f>O198*1.05</f>
        <v>0</v>
      </c>
      <c r="T198" s="57">
        <v>0</v>
      </c>
      <c r="U198" s="57">
        <f t="shared" ref="U198:U203" si="185">SUM(S198:T198)</f>
        <v>0</v>
      </c>
      <c r="V198" s="59"/>
      <c r="W198" s="124">
        <f t="shared" ref="W198:Y204" si="186">C198+G198+K198+O198+S198</f>
        <v>0</v>
      </c>
      <c r="X198" s="57">
        <f t="shared" si="186"/>
        <v>0</v>
      </c>
      <c r="Y198" s="84">
        <f t="shared" si="186"/>
        <v>0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C190*(A199*1.03)</f>
        <v>1297.8</v>
      </c>
      <c r="D199" s="56">
        <v>0</v>
      </c>
      <c r="E199" s="56">
        <f t="shared" si="181"/>
        <v>1297.8</v>
      </c>
      <c r="F199" s="58"/>
      <c r="G199" s="124">
        <f>G190*(A199*1.03*1.03)</f>
        <v>1376.83602</v>
      </c>
      <c r="H199" s="57">
        <f>D199*1.05</f>
        <v>0</v>
      </c>
      <c r="I199" s="57">
        <f t="shared" si="182"/>
        <v>1376.83602</v>
      </c>
      <c r="J199" s="58"/>
      <c r="K199" s="124">
        <f>K190*(A199*1.03*1.03*1.03)</f>
        <v>1460.685333618</v>
      </c>
      <c r="L199" s="57">
        <f>H199*1.05</f>
        <v>0</v>
      </c>
      <c r="M199" s="57">
        <f t="shared" si="183"/>
        <v>1460.685333618</v>
      </c>
      <c r="N199" s="58"/>
      <c r="O199" s="124">
        <f>O190*(A199*1.03*1.03*1.03*1.03)</f>
        <v>1549.6410704353364</v>
      </c>
      <c r="P199" s="57">
        <f>L199*1.05</f>
        <v>0</v>
      </c>
      <c r="Q199" s="57">
        <f t="shared" si="184"/>
        <v>1549.6410704353364</v>
      </c>
      <c r="R199" s="58"/>
      <c r="S199" s="124">
        <f>S190*(A199*1.03*1.03*1.03*1.03*1.03)</f>
        <v>1644.0142116248485</v>
      </c>
      <c r="T199" s="57">
        <f>P199*1.05</f>
        <v>0</v>
      </c>
      <c r="U199" s="57">
        <f t="shared" si="185"/>
        <v>1644.0142116248485</v>
      </c>
      <c r="V199" s="59"/>
      <c r="W199" s="124">
        <f t="shared" si="186"/>
        <v>7328.9766356781856</v>
      </c>
      <c r="X199" s="57">
        <f t="shared" si="186"/>
        <v>0</v>
      </c>
      <c r="Y199" s="84">
        <f t="shared" si="186"/>
        <v>7328.9766356781856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61" customFormat="1" x14ac:dyDescent="0.25">
      <c r="A200" s="3">
        <v>0.36099999999999999</v>
      </c>
      <c r="B200" s="52" t="s">
        <v>52</v>
      </c>
      <c r="C200" s="124">
        <v>0</v>
      </c>
      <c r="D200" s="56">
        <v>0</v>
      </c>
      <c r="E200" s="56">
        <f t="shared" si="181"/>
        <v>0</v>
      </c>
      <c r="F200" s="58"/>
      <c r="G200" s="55">
        <f>C200*1.05</f>
        <v>0</v>
      </c>
      <c r="H200" s="57">
        <f>D200*1.05</f>
        <v>0</v>
      </c>
      <c r="I200" s="57">
        <f t="shared" si="182"/>
        <v>0</v>
      </c>
      <c r="J200" s="58"/>
      <c r="K200" s="55">
        <f>G200*1.05</f>
        <v>0</v>
      </c>
      <c r="L200" s="57">
        <f>H200*1.05</f>
        <v>0</v>
      </c>
      <c r="M200" s="57">
        <f t="shared" si="183"/>
        <v>0</v>
      </c>
      <c r="N200" s="58"/>
      <c r="O200" s="55">
        <f>K200*1.05</f>
        <v>0</v>
      </c>
      <c r="P200" s="57">
        <f>L200*1.05</f>
        <v>0</v>
      </c>
      <c r="Q200" s="57">
        <f t="shared" si="184"/>
        <v>0</v>
      </c>
      <c r="R200" s="58"/>
      <c r="S200" s="55">
        <f>O200*1.05</f>
        <v>0</v>
      </c>
      <c r="T200" s="57">
        <f>P200*1.05</f>
        <v>0</v>
      </c>
      <c r="U200" s="57">
        <f t="shared" si="185"/>
        <v>0</v>
      </c>
      <c r="V200" s="59"/>
      <c r="W200" s="124">
        <f t="shared" si="186"/>
        <v>0</v>
      </c>
      <c r="X200" s="57">
        <f t="shared" si="186"/>
        <v>0</v>
      </c>
      <c r="Y200" s="84">
        <f t="shared" si="186"/>
        <v>0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61" customFormat="1" x14ac:dyDescent="0.25">
      <c r="A201" s="50">
        <v>0.34899999999999998</v>
      </c>
      <c r="B201" s="52" t="s">
        <v>109</v>
      </c>
      <c r="C201" s="124">
        <v>0</v>
      </c>
      <c r="D201" s="56">
        <v>0</v>
      </c>
      <c r="E201" s="56">
        <f t="shared" si="181"/>
        <v>0</v>
      </c>
      <c r="F201" s="58"/>
      <c r="G201" s="55">
        <f>C201*1.1</f>
        <v>0</v>
      </c>
      <c r="H201" s="57">
        <f>D201*1.1</f>
        <v>0</v>
      </c>
      <c r="I201" s="57">
        <f t="shared" si="182"/>
        <v>0</v>
      </c>
      <c r="J201" s="58"/>
      <c r="K201" s="55">
        <f>G201*1.1</f>
        <v>0</v>
      </c>
      <c r="L201" s="57">
        <f>H201*1.1</f>
        <v>0</v>
      </c>
      <c r="M201" s="57">
        <f t="shared" si="183"/>
        <v>0</v>
      </c>
      <c r="N201" s="58"/>
      <c r="O201" s="55">
        <f>K201*1.1</f>
        <v>0</v>
      </c>
      <c r="P201" s="57">
        <f>L201*1.1</f>
        <v>0</v>
      </c>
      <c r="Q201" s="57">
        <f t="shared" si="184"/>
        <v>0</v>
      </c>
      <c r="R201" s="58"/>
      <c r="S201" s="55">
        <f>O201*1.1</f>
        <v>0</v>
      </c>
      <c r="T201" s="57">
        <f>P201*1.1</f>
        <v>0</v>
      </c>
      <c r="U201" s="57">
        <f t="shared" si="185"/>
        <v>0</v>
      </c>
      <c r="V201" s="59"/>
      <c r="W201" s="124">
        <f t="shared" si="186"/>
        <v>0</v>
      </c>
      <c r="X201" s="57">
        <f t="shared" si="186"/>
        <v>0</v>
      </c>
      <c r="Y201" s="84">
        <f t="shared" si="186"/>
        <v>0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f>C190*0.089*0</f>
        <v>0</v>
      </c>
      <c r="D202" s="56">
        <v>0</v>
      </c>
      <c r="E202" s="56">
        <f t="shared" si="181"/>
        <v>0</v>
      </c>
      <c r="F202" s="58"/>
      <c r="G202" s="55">
        <f>C202*1.05</f>
        <v>0</v>
      </c>
      <c r="H202" s="57">
        <v>0</v>
      </c>
      <c r="I202" s="57">
        <f t="shared" si="182"/>
        <v>0</v>
      </c>
      <c r="J202" s="58"/>
      <c r="K202" s="55">
        <f>G202*1.05</f>
        <v>0</v>
      </c>
      <c r="L202" s="57">
        <v>0</v>
      </c>
      <c r="M202" s="57">
        <f t="shared" si="183"/>
        <v>0</v>
      </c>
      <c r="N202" s="58"/>
      <c r="O202" s="55">
        <f>K202*1.05</f>
        <v>0</v>
      </c>
      <c r="P202" s="57">
        <v>0</v>
      </c>
      <c r="Q202" s="57">
        <f t="shared" si="184"/>
        <v>0</v>
      </c>
      <c r="R202" s="58"/>
      <c r="S202" s="55">
        <f>O202*1.05</f>
        <v>0</v>
      </c>
      <c r="T202" s="57">
        <v>0</v>
      </c>
      <c r="U202" s="57">
        <f t="shared" si="185"/>
        <v>0</v>
      </c>
      <c r="V202" s="59"/>
      <c r="W202" s="124">
        <f t="shared" si="186"/>
        <v>0</v>
      </c>
      <c r="X202" s="57">
        <f t="shared" si="186"/>
        <v>0</v>
      </c>
      <c r="Y202" s="84">
        <f t="shared" si="186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f>C191*0.089</f>
        <v>0</v>
      </c>
      <c r="D203" s="56">
        <v>0</v>
      </c>
      <c r="E203" s="56">
        <f t="shared" si="181"/>
        <v>0</v>
      </c>
      <c r="F203" s="58"/>
      <c r="G203" s="55">
        <f>C203*1.05</f>
        <v>0</v>
      </c>
      <c r="H203" s="57">
        <v>0</v>
      </c>
      <c r="I203" s="57">
        <f t="shared" si="182"/>
        <v>0</v>
      </c>
      <c r="J203" s="58"/>
      <c r="K203" s="55">
        <f>G203*1.05</f>
        <v>0</v>
      </c>
      <c r="L203" s="57">
        <v>0</v>
      </c>
      <c r="M203" s="57">
        <f t="shared" si="183"/>
        <v>0</v>
      </c>
      <c r="N203" s="58"/>
      <c r="O203" s="55">
        <f>K203*1.05</f>
        <v>0</v>
      </c>
      <c r="P203" s="57">
        <v>0</v>
      </c>
      <c r="Q203" s="57">
        <f t="shared" si="184"/>
        <v>0</v>
      </c>
      <c r="R203" s="58"/>
      <c r="S203" s="55">
        <f>O203*1.05</f>
        <v>0</v>
      </c>
      <c r="T203" s="57">
        <v>0</v>
      </c>
      <c r="U203" s="57">
        <f t="shared" si="185"/>
        <v>0</v>
      </c>
      <c r="V203" s="59"/>
      <c r="W203" s="124">
        <f t="shared" si="186"/>
        <v>0</v>
      </c>
      <c r="X203" s="57">
        <f t="shared" si="186"/>
        <v>0</v>
      </c>
      <c r="Y203" s="84">
        <f t="shared" si="186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1297.8</v>
      </c>
      <c r="D204" s="125">
        <f>SUM(D198:D203)</f>
        <v>0</v>
      </c>
      <c r="E204" s="125">
        <f>SUM(E198:E203)</f>
        <v>1297.8</v>
      </c>
      <c r="F204" s="81"/>
      <c r="G204" s="79">
        <f>SUM(G198:G203)</f>
        <v>1376.83602</v>
      </c>
      <c r="H204" s="80">
        <f>SUM(H198:H203)</f>
        <v>0</v>
      </c>
      <c r="I204" s="80">
        <f>SUM(I198:I203)</f>
        <v>1376.83602</v>
      </c>
      <c r="J204" s="81"/>
      <c r="K204" s="79">
        <f>SUM(K198:K203)</f>
        <v>1460.685333618</v>
      </c>
      <c r="L204" s="80">
        <f>SUM(L198:L203)</f>
        <v>0</v>
      </c>
      <c r="M204" s="80">
        <f>SUM(M198:M203)</f>
        <v>1460.685333618</v>
      </c>
      <c r="N204" s="81"/>
      <c r="O204" s="79">
        <f>SUM(O198:O203)</f>
        <v>1549.6410704353364</v>
      </c>
      <c r="P204" s="80">
        <f>SUM(P198:P203)</f>
        <v>0</v>
      </c>
      <c r="Q204" s="80">
        <f>SUM(Q198:Q203)</f>
        <v>1549.6410704353364</v>
      </c>
      <c r="R204" s="81"/>
      <c r="S204" s="79">
        <f>SUM(S198:S203)</f>
        <v>1644.0142116248485</v>
      </c>
      <c r="T204" s="80">
        <f>SUM(T198:T203)</f>
        <v>0</v>
      </c>
      <c r="U204" s="80">
        <f>SUM(U198:U203)</f>
        <v>1644.0142116248485</v>
      </c>
      <c r="V204" s="82"/>
      <c r="W204" s="228">
        <f t="shared" si="186"/>
        <v>7328.9766356781856</v>
      </c>
      <c r="X204" s="80">
        <f t="shared" si="186"/>
        <v>0</v>
      </c>
      <c r="Y204" s="80">
        <f t="shared" si="186"/>
        <v>7328.9766356781856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187">C204+C196</f>
        <v>13297.8</v>
      </c>
      <c r="D205" s="107">
        <f t="shared" si="187"/>
        <v>0</v>
      </c>
      <c r="E205" s="107">
        <f t="shared" si="187"/>
        <v>13297.8</v>
      </c>
      <c r="F205" s="107">
        <f t="shared" si="187"/>
        <v>0</v>
      </c>
      <c r="G205" s="107">
        <f t="shared" si="187"/>
        <v>13736.836020000001</v>
      </c>
      <c r="H205" s="107">
        <f t="shared" si="187"/>
        <v>0</v>
      </c>
      <c r="I205" s="107">
        <f t="shared" si="187"/>
        <v>13736.836020000001</v>
      </c>
      <c r="J205" s="107">
        <f t="shared" si="187"/>
        <v>0</v>
      </c>
      <c r="K205" s="107">
        <f t="shared" si="187"/>
        <v>14191.485333618</v>
      </c>
      <c r="L205" s="107">
        <f t="shared" si="187"/>
        <v>0</v>
      </c>
      <c r="M205" s="107">
        <f t="shared" si="187"/>
        <v>14191.485333618</v>
      </c>
      <c r="N205" s="107">
        <f t="shared" si="187"/>
        <v>0</v>
      </c>
      <c r="O205" s="107">
        <f t="shared" si="187"/>
        <v>14662.365070435339</v>
      </c>
      <c r="P205" s="107">
        <f t="shared" si="187"/>
        <v>0</v>
      </c>
      <c r="Q205" s="107">
        <f t="shared" si="187"/>
        <v>14662.365070435339</v>
      </c>
      <c r="R205" s="107">
        <f t="shared" si="187"/>
        <v>0</v>
      </c>
      <c r="S205" s="107">
        <f t="shared" si="187"/>
        <v>15150.119931624851</v>
      </c>
      <c r="T205" s="107">
        <f t="shared" si="187"/>
        <v>0</v>
      </c>
      <c r="U205" s="107">
        <f t="shared" si="187"/>
        <v>15150.119931624851</v>
      </c>
      <c r="V205" s="107">
        <f t="shared" si="187"/>
        <v>0</v>
      </c>
      <c r="W205" s="107">
        <f t="shared" si="187"/>
        <v>71038.606355678203</v>
      </c>
      <c r="X205" s="107">
        <f t="shared" si="187"/>
        <v>0</v>
      </c>
      <c r="Y205" s="107">
        <f t="shared" si="187"/>
        <v>71038.606355678203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52"/>
      <c r="C207" s="124">
        <v>0</v>
      </c>
      <c r="D207" s="56">
        <v>0</v>
      </c>
      <c r="E207" s="56">
        <f t="shared" ref="E207:E216" si="188">SUM(C207:D207)</f>
        <v>0</v>
      </c>
      <c r="F207" s="58"/>
      <c r="G207" s="55">
        <v>0</v>
      </c>
      <c r="H207" s="57">
        <v>0</v>
      </c>
      <c r="I207" s="57">
        <f t="shared" ref="I207:I216" si="189">SUM(G207:H207)</f>
        <v>0</v>
      </c>
      <c r="J207" s="58"/>
      <c r="K207" s="55">
        <v>0</v>
      </c>
      <c r="L207" s="57">
        <v>0</v>
      </c>
      <c r="M207" s="57">
        <f t="shared" ref="M207:M216" si="190">SUM(K207:L207)</f>
        <v>0</v>
      </c>
      <c r="N207" s="58"/>
      <c r="O207" s="55">
        <v>0</v>
      </c>
      <c r="P207" s="57">
        <v>0</v>
      </c>
      <c r="Q207" s="57">
        <f t="shared" ref="Q207:Q216" si="191">SUM(O207:P207)</f>
        <v>0</v>
      </c>
      <c r="R207" s="58"/>
      <c r="S207" s="55">
        <v>0</v>
      </c>
      <c r="T207" s="57">
        <v>0</v>
      </c>
      <c r="U207" s="57">
        <f t="shared" ref="U207:U216" si="192">SUM(S207:T207)</f>
        <v>0</v>
      </c>
      <c r="V207" s="59"/>
      <c r="W207" s="124">
        <f t="shared" ref="W207:W217" si="193">C207+G207+K207+O207+S207</f>
        <v>0</v>
      </c>
      <c r="X207" s="57">
        <f t="shared" ref="X207:X217" si="194">D207+H207+L207+P207+T207</f>
        <v>0</v>
      </c>
      <c r="Y207" s="84">
        <f t="shared" ref="Y207:Y217" si="195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A208" s="52"/>
      <c r="B208" s="52"/>
      <c r="C208" s="124">
        <v>0</v>
      </c>
      <c r="D208" s="56">
        <v>0</v>
      </c>
      <c r="E208" s="56">
        <f t="shared" si="188"/>
        <v>0</v>
      </c>
      <c r="F208" s="58"/>
      <c r="G208" s="55">
        <v>0</v>
      </c>
      <c r="H208" s="57">
        <v>0</v>
      </c>
      <c r="I208" s="57">
        <f t="shared" si="189"/>
        <v>0</v>
      </c>
      <c r="J208" s="58"/>
      <c r="K208" s="55">
        <v>0</v>
      </c>
      <c r="L208" s="57">
        <v>0</v>
      </c>
      <c r="M208" s="57">
        <f t="shared" si="190"/>
        <v>0</v>
      </c>
      <c r="N208" s="58"/>
      <c r="O208" s="55">
        <v>0</v>
      </c>
      <c r="P208" s="57">
        <v>0</v>
      </c>
      <c r="Q208" s="57">
        <f t="shared" si="191"/>
        <v>0</v>
      </c>
      <c r="R208" s="58"/>
      <c r="S208" s="55">
        <v>0</v>
      </c>
      <c r="T208" s="57">
        <v>0</v>
      </c>
      <c r="U208" s="57">
        <f t="shared" si="192"/>
        <v>0</v>
      </c>
      <c r="V208" s="59"/>
      <c r="W208" s="124">
        <f t="shared" si="193"/>
        <v>0</v>
      </c>
      <c r="X208" s="57">
        <f t="shared" si="194"/>
        <v>0</v>
      </c>
      <c r="Y208" s="84">
        <f t="shared" si="195"/>
        <v>0</v>
      </c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s="61" customFormat="1" x14ac:dyDescent="0.25">
      <c r="A209" s="52"/>
      <c r="B209" s="52"/>
      <c r="C209" s="124">
        <v>0</v>
      </c>
      <c r="D209" s="56">
        <v>0</v>
      </c>
      <c r="E209" s="56">
        <f t="shared" si="188"/>
        <v>0</v>
      </c>
      <c r="F209" s="58"/>
      <c r="G209" s="55">
        <v>0</v>
      </c>
      <c r="H209" s="57">
        <v>0</v>
      </c>
      <c r="I209" s="57">
        <f t="shared" si="189"/>
        <v>0</v>
      </c>
      <c r="J209" s="58"/>
      <c r="K209" s="55">
        <v>0</v>
      </c>
      <c r="L209" s="57">
        <v>0</v>
      </c>
      <c r="M209" s="57">
        <f t="shared" si="190"/>
        <v>0</v>
      </c>
      <c r="N209" s="58"/>
      <c r="O209" s="55">
        <v>0</v>
      </c>
      <c r="P209" s="57">
        <v>0</v>
      </c>
      <c r="Q209" s="57">
        <f t="shared" si="191"/>
        <v>0</v>
      </c>
      <c r="R209" s="58"/>
      <c r="S209" s="55">
        <v>0</v>
      </c>
      <c r="T209" s="57">
        <v>0</v>
      </c>
      <c r="U209" s="57">
        <f t="shared" si="192"/>
        <v>0</v>
      </c>
      <c r="V209" s="59"/>
      <c r="W209" s="124">
        <f t="shared" si="193"/>
        <v>0</v>
      </c>
      <c r="X209" s="57">
        <f t="shared" si="194"/>
        <v>0</v>
      </c>
      <c r="Y209" s="84">
        <f t="shared" si="195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52"/>
      <c r="B210" s="52"/>
      <c r="C210" s="124">
        <v>0</v>
      </c>
      <c r="D210" s="56">
        <v>0</v>
      </c>
      <c r="E210" s="56">
        <f t="shared" si="188"/>
        <v>0</v>
      </c>
      <c r="F210" s="58"/>
      <c r="G210" s="55">
        <v>0</v>
      </c>
      <c r="H210" s="57">
        <v>0</v>
      </c>
      <c r="I210" s="57">
        <f t="shared" si="189"/>
        <v>0</v>
      </c>
      <c r="J210" s="58"/>
      <c r="K210" s="55">
        <v>0</v>
      </c>
      <c r="L210" s="57">
        <v>0</v>
      </c>
      <c r="M210" s="57">
        <f t="shared" si="190"/>
        <v>0</v>
      </c>
      <c r="N210" s="58"/>
      <c r="O210" s="55">
        <v>0</v>
      </c>
      <c r="P210" s="57">
        <v>0</v>
      </c>
      <c r="Q210" s="57">
        <f t="shared" si="191"/>
        <v>0</v>
      </c>
      <c r="R210" s="58"/>
      <c r="S210" s="55">
        <v>0</v>
      </c>
      <c r="T210" s="57">
        <v>0</v>
      </c>
      <c r="U210" s="57">
        <f t="shared" si="192"/>
        <v>0</v>
      </c>
      <c r="V210" s="59"/>
      <c r="W210" s="124">
        <f t="shared" si="193"/>
        <v>0</v>
      </c>
      <c r="X210" s="57">
        <f t="shared" si="194"/>
        <v>0</v>
      </c>
      <c r="Y210" s="84">
        <f t="shared" si="195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52"/>
      <c r="B211" s="52"/>
      <c r="C211" s="124">
        <v>0</v>
      </c>
      <c r="D211" s="56">
        <v>0</v>
      </c>
      <c r="E211" s="56">
        <f t="shared" si="188"/>
        <v>0</v>
      </c>
      <c r="F211" s="58"/>
      <c r="G211" s="55">
        <v>0</v>
      </c>
      <c r="H211" s="57">
        <v>0</v>
      </c>
      <c r="I211" s="57">
        <f t="shared" si="189"/>
        <v>0</v>
      </c>
      <c r="J211" s="58"/>
      <c r="K211" s="55">
        <v>0</v>
      </c>
      <c r="L211" s="57">
        <v>0</v>
      </c>
      <c r="M211" s="57">
        <f t="shared" si="190"/>
        <v>0</v>
      </c>
      <c r="N211" s="58"/>
      <c r="O211" s="55">
        <v>0</v>
      </c>
      <c r="P211" s="57">
        <v>0</v>
      </c>
      <c r="Q211" s="57">
        <f t="shared" si="191"/>
        <v>0</v>
      </c>
      <c r="R211" s="58"/>
      <c r="S211" s="55">
        <v>0</v>
      </c>
      <c r="T211" s="57">
        <v>0</v>
      </c>
      <c r="U211" s="57">
        <f t="shared" si="192"/>
        <v>0</v>
      </c>
      <c r="V211" s="59"/>
      <c r="W211" s="124">
        <f t="shared" si="193"/>
        <v>0</v>
      </c>
      <c r="X211" s="57">
        <f t="shared" si="194"/>
        <v>0</v>
      </c>
      <c r="Y211" s="84">
        <f t="shared" si="195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52"/>
      <c r="B212" s="52"/>
      <c r="C212" s="124">
        <v>0</v>
      </c>
      <c r="D212" s="56">
        <v>0</v>
      </c>
      <c r="E212" s="56">
        <f t="shared" si="188"/>
        <v>0</v>
      </c>
      <c r="F212" s="58"/>
      <c r="G212" s="55">
        <v>0</v>
      </c>
      <c r="H212" s="57">
        <v>0</v>
      </c>
      <c r="I212" s="57">
        <f t="shared" si="189"/>
        <v>0</v>
      </c>
      <c r="J212" s="58"/>
      <c r="K212" s="55">
        <v>0</v>
      </c>
      <c r="L212" s="57">
        <v>0</v>
      </c>
      <c r="M212" s="57">
        <f t="shared" si="190"/>
        <v>0</v>
      </c>
      <c r="N212" s="58"/>
      <c r="O212" s="55">
        <v>0</v>
      </c>
      <c r="P212" s="57">
        <v>0</v>
      </c>
      <c r="Q212" s="57">
        <f t="shared" si="191"/>
        <v>0</v>
      </c>
      <c r="R212" s="58"/>
      <c r="S212" s="55">
        <v>0</v>
      </c>
      <c r="T212" s="57">
        <v>0</v>
      </c>
      <c r="U212" s="57">
        <f t="shared" si="192"/>
        <v>0</v>
      </c>
      <c r="V212" s="59"/>
      <c r="W212" s="124">
        <f t="shared" si="193"/>
        <v>0</v>
      </c>
      <c r="X212" s="57">
        <f t="shared" si="194"/>
        <v>0</v>
      </c>
      <c r="Y212" s="84">
        <f t="shared" si="195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188"/>
        <v>0</v>
      </c>
      <c r="F213" s="58"/>
      <c r="G213" s="55">
        <v>0</v>
      </c>
      <c r="H213" s="57">
        <v>0</v>
      </c>
      <c r="I213" s="57">
        <f t="shared" si="189"/>
        <v>0</v>
      </c>
      <c r="J213" s="58"/>
      <c r="K213" s="55">
        <v>0</v>
      </c>
      <c r="L213" s="57">
        <v>0</v>
      </c>
      <c r="M213" s="57">
        <f t="shared" si="190"/>
        <v>0</v>
      </c>
      <c r="N213" s="58"/>
      <c r="O213" s="55">
        <v>0</v>
      </c>
      <c r="P213" s="57">
        <v>0</v>
      </c>
      <c r="Q213" s="57">
        <f t="shared" si="191"/>
        <v>0</v>
      </c>
      <c r="R213" s="58"/>
      <c r="S213" s="55">
        <v>0</v>
      </c>
      <c r="T213" s="57">
        <v>0</v>
      </c>
      <c r="U213" s="57">
        <f t="shared" si="192"/>
        <v>0</v>
      </c>
      <c r="V213" s="59"/>
      <c r="W213" s="124">
        <f t="shared" si="193"/>
        <v>0</v>
      </c>
      <c r="X213" s="57">
        <f t="shared" si="194"/>
        <v>0</v>
      </c>
      <c r="Y213" s="84">
        <f t="shared" si="195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188"/>
        <v>0</v>
      </c>
      <c r="F214" s="58"/>
      <c r="G214" s="55">
        <v>0</v>
      </c>
      <c r="H214" s="57">
        <v>0</v>
      </c>
      <c r="I214" s="57">
        <f t="shared" si="189"/>
        <v>0</v>
      </c>
      <c r="J214" s="58"/>
      <c r="K214" s="55">
        <v>0</v>
      </c>
      <c r="L214" s="57">
        <v>0</v>
      </c>
      <c r="M214" s="57">
        <f t="shared" si="190"/>
        <v>0</v>
      </c>
      <c r="N214" s="58"/>
      <c r="O214" s="55">
        <v>0</v>
      </c>
      <c r="P214" s="57">
        <v>0</v>
      </c>
      <c r="Q214" s="57">
        <f t="shared" si="191"/>
        <v>0</v>
      </c>
      <c r="R214" s="58"/>
      <c r="S214" s="55">
        <v>0</v>
      </c>
      <c r="T214" s="57">
        <v>0</v>
      </c>
      <c r="U214" s="57">
        <f t="shared" si="192"/>
        <v>0</v>
      </c>
      <c r="V214" s="59"/>
      <c r="W214" s="124">
        <f t="shared" si="193"/>
        <v>0</v>
      </c>
      <c r="X214" s="57">
        <f t="shared" si="194"/>
        <v>0</v>
      </c>
      <c r="Y214" s="84">
        <f t="shared" si="195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188"/>
        <v>0</v>
      </c>
      <c r="F215" s="58"/>
      <c r="G215" s="55">
        <v>0</v>
      </c>
      <c r="H215" s="57">
        <v>0</v>
      </c>
      <c r="I215" s="57">
        <f t="shared" si="189"/>
        <v>0</v>
      </c>
      <c r="J215" s="58"/>
      <c r="K215" s="55">
        <v>0</v>
      </c>
      <c r="L215" s="57">
        <v>0</v>
      </c>
      <c r="M215" s="57">
        <f t="shared" si="190"/>
        <v>0</v>
      </c>
      <c r="N215" s="58"/>
      <c r="O215" s="55">
        <v>0</v>
      </c>
      <c r="P215" s="57">
        <v>0</v>
      </c>
      <c r="Q215" s="57">
        <f t="shared" si="191"/>
        <v>0</v>
      </c>
      <c r="R215" s="58"/>
      <c r="S215" s="55">
        <v>0</v>
      </c>
      <c r="T215" s="57">
        <v>0</v>
      </c>
      <c r="U215" s="57">
        <f t="shared" si="192"/>
        <v>0</v>
      </c>
      <c r="V215" s="59"/>
      <c r="W215" s="124">
        <f t="shared" si="193"/>
        <v>0</v>
      </c>
      <c r="X215" s="57">
        <f t="shared" si="194"/>
        <v>0</v>
      </c>
      <c r="Y215" s="84">
        <f t="shared" si="195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188"/>
        <v>0</v>
      </c>
      <c r="F216" s="58"/>
      <c r="G216" s="55">
        <v>0</v>
      </c>
      <c r="H216" s="57">
        <v>0</v>
      </c>
      <c r="I216" s="57">
        <f t="shared" si="189"/>
        <v>0</v>
      </c>
      <c r="J216" s="58"/>
      <c r="K216" s="55">
        <v>0</v>
      </c>
      <c r="L216" s="57">
        <v>0</v>
      </c>
      <c r="M216" s="57">
        <f t="shared" si="190"/>
        <v>0</v>
      </c>
      <c r="N216" s="58"/>
      <c r="O216" s="55">
        <v>0</v>
      </c>
      <c r="P216" s="57">
        <v>0</v>
      </c>
      <c r="Q216" s="57">
        <f t="shared" si="191"/>
        <v>0</v>
      </c>
      <c r="R216" s="58"/>
      <c r="S216" s="55">
        <v>0</v>
      </c>
      <c r="T216" s="57">
        <v>0</v>
      </c>
      <c r="U216" s="57">
        <f t="shared" si="192"/>
        <v>0</v>
      </c>
      <c r="V216" s="59"/>
      <c r="W216" s="124">
        <f t="shared" si="193"/>
        <v>0</v>
      </c>
      <c r="X216" s="57">
        <f t="shared" si="194"/>
        <v>0</v>
      </c>
      <c r="Y216" s="84">
        <f t="shared" si="195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0</v>
      </c>
      <c r="H217" s="125">
        <f>SUM(H207:H216)</f>
        <v>0</v>
      </c>
      <c r="I217" s="125">
        <f>SUM(I207:I216)</f>
        <v>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193"/>
        <v>0</v>
      </c>
      <c r="X217" s="80">
        <f t="shared" si="194"/>
        <v>0</v>
      </c>
      <c r="Y217" s="80">
        <f t="shared" si="195"/>
        <v>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2"/>
      <c r="B219" s="52"/>
      <c r="C219" s="124">
        <v>0</v>
      </c>
      <c r="D219" s="56">
        <v>0</v>
      </c>
      <c r="E219" s="56">
        <f t="shared" ref="E219:E224" si="196">SUM(C219:D219)</f>
        <v>0</v>
      </c>
      <c r="F219" s="58"/>
      <c r="G219" s="55">
        <v>0</v>
      </c>
      <c r="H219" s="57">
        <v>0</v>
      </c>
      <c r="I219" s="57">
        <f t="shared" ref="I219:I224" si="197">SUM(G219:H219)</f>
        <v>0</v>
      </c>
      <c r="J219" s="58"/>
      <c r="K219" s="55">
        <v>0</v>
      </c>
      <c r="L219" s="57">
        <v>0</v>
      </c>
      <c r="M219" s="57">
        <f t="shared" ref="M219:M224" si="198">SUM(K219:L219)</f>
        <v>0</v>
      </c>
      <c r="N219" s="58"/>
      <c r="O219" s="55">
        <v>0</v>
      </c>
      <c r="P219" s="57">
        <v>0</v>
      </c>
      <c r="Q219" s="57">
        <f t="shared" ref="Q219:Q224" si="199">SUM(O219:P219)</f>
        <v>0</v>
      </c>
      <c r="R219" s="58"/>
      <c r="S219" s="55">
        <v>0</v>
      </c>
      <c r="T219" s="57">
        <v>0</v>
      </c>
      <c r="U219" s="57">
        <f t="shared" ref="U219:U224" si="200">SUM(S219:T219)</f>
        <v>0</v>
      </c>
      <c r="V219" s="59"/>
      <c r="W219" s="124">
        <f t="shared" ref="W219:Y225" si="201">C219+G219+K219+O219+S219</f>
        <v>0</v>
      </c>
      <c r="X219" s="57">
        <f t="shared" si="201"/>
        <v>0</v>
      </c>
      <c r="Y219" s="84">
        <f t="shared" si="201"/>
        <v>0</v>
      </c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</row>
    <row r="220" spans="1:77" s="61" customFormat="1" x14ac:dyDescent="0.25">
      <c r="A220" s="87"/>
      <c r="B220" s="52"/>
      <c r="C220" s="124">
        <v>0</v>
      </c>
      <c r="D220" s="56">
        <v>0</v>
      </c>
      <c r="E220" s="56">
        <f t="shared" si="196"/>
        <v>0</v>
      </c>
      <c r="F220" s="58"/>
      <c r="G220" s="55">
        <v>0</v>
      </c>
      <c r="H220" s="57">
        <v>0</v>
      </c>
      <c r="I220" s="57">
        <f t="shared" si="197"/>
        <v>0</v>
      </c>
      <c r="J220" s="58"/>
      <c r="K220" s="55">
        <v>0</v>
      </c>
      <c r="L220" s="57">
        <v>0</v>
      </c>
      <c r="M220" s="57">
        <f t="shared" si="198"/>
        <v>0</v>
      </c>
      <c r="N220" s="58"/>
      <c r="O220" s="55">
        <v>0</v>
      </c>
      <c r="P220" s="57">
        <v>0</v>
      </c>
      <c r="Q220" s="57">
        <f t="shared" si="199"/>
        <v>0</v>
      </c>
      <c r="R220" s="58"/>
      <c r="S220" s="55">
        <v>0</v>
      </c>
      <c r="T220" s="57">
        <v>0</v>
      </c>
      <c r="U220" s="57">
        <f t="shared" si="200"/>
        <v>0</v>
      </c>
      <c r="V220" s="59"/>
      <c r="W220" s="124">
        <f t="shared" si="201"/>
        <v>0</v>
      </c>
      <c r="X220" s="57">
        <f t="shared" si="201"/>
        <v>0</v>
      </c>
      <c r="Y220" s="84">
        <f t="shared" si="201"/>
        <v>0</v>
      </c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</row>
    <row r="221" spans="1:77" s="61" customFormat="1" x14ac:dyDescent="0.25">
      <c r="A221" s="52"/>
      <c r="B221" s="52"/>
      <c r="C221" s="124">
        <v>0</v>
      </c>
      <c r="D221" s="56">
        <v>0</v>
      </c>
      <c r="E221" s="56">
        <f t="shared" si="196"/>
        <v>0</v>
      </c>
      <c r="F221" s="58"/>
      <c r="G221" s="55">
        <v>0</v>
      </c>
      <c r="H221" s="57">
        <v>0</v>
      </c>
      <c r="I221" s="57">
        <f t="shared" si="197"/>
        <v>0</v>
      </c>
      <c r="J221" s="58"/>
      <c r="K221" s="55">
        <v>0</v>
      </c>
      <c r="L221" s="57">
        <v>0</v>
      </c>
      <c r="M221" s="57">
        <f t="shared" si="198"/>
        <v>0</v>
      </c>
      <c r="N221" s="58"/>
      <c r="O221" s="55">
        <v>0</v>
      </c>
      <c r="P221" s="57">
        <v>0</v>
      </c>
      <c r="Q221" s="57">
        <f t="shared" si="199"/>
        <v>0</v>
      </c>
      <c r="R221" s="58"/>
      <c r="S221" s="55">
        <v>0</v>
      </c>
      <c r="T221" s="57">
        <v>0</v>
      </c>
      <c r="U221" s="57">
        <f t="shared" si="200"/>
        <v>0</v>
      </c>
      <c r="V221" s="59"/>
      <c r="W221" s="124">
        <f t="shared" si="201"/>
        <v>0</v>
      </c>
      <c r="X221" s="57">
        <f t="shared" si="201"/>
        <v>0</v>
      </c>
      <c r="Y221" s="84">
        <f t="shared" si="201"/>
        <v>0</v>
      </c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</row>
    <row r="222" spans="1:77" s="61" customFormat="1" x14ac:dyDescent="0.25">
      <c r="A222" s="52"/>
      <c r="B222" s="52"/>
      <c r="C222" s="124">
        <v>0</v>
      </c>
      <c r="D222" s="56">
        <v>0</v>
      </c>
      <c r="E222" s="56">
        <f t="shared" si="196"/>
        <v>0</v>
      </c>
      <c r="F222" s="58"/>
      <c r="G222" s="55">
        <v>0</v>
      </c>
      <c r="H222" s="57">
        <v>0</v>
      </c>
      <c r="I222" s="57">
        <f t="shared" si="197"/>
        <v>0</v>
      </c>
      <c r="J222" s="58"/>
      <c r="K222" s="55">
        <v>0</v>
      </c>
      <c r="L222" s="57">
        <v>0</v>
      </c>
      <c r="M222" s="57">
        <f t="shared" si="198"/>
        <v>0</v>
      </c>
      <c r="N222" s="58"/>
      <c r="O222" s="55">
        <v>0</v>
      </c>
      <c r="P222" s="57">
        <v>0</v>
      </c>
      <c r="Q222" s="57">
        <f t="shared" si="199"/>
        <v>0</v>
      </c>
      <c r="R222" s="58"/>
      <c r="S222" s="55">
        <v>0</v>
      </c>
      <c r="T222" s="57">
        <v>0</v>
      </c>
      <c r="U222" s="57">
        <f t="shared" si="200"/>
        <v>0</v>
      </c>
      <c r="V222" s="59"/>
      <c r="W222" s="124">
        <f t="shared" si="201"/>
        <v>0</v>
      </c>
      <c r="X222" s="57">
        <f t="shared" si="201"/>
        <v>0</v>
      </c>
      <c r="Y222" s="84">
        <f t="shared" si="201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196"/>
        <v>0</v>
      </c>
      <c r="F223" s="58"/>
      <c r="G223" s="55">
        <v>0</v>
      </c>
      <c r="H223" s="57">
        <v>0</v>
      </c>
      <c r="I223" s="57">
        <f t="shared" si="197"/>
        <v>0</v>
      </c>
      <c r="J223" s="58"/>
      <c r="K223" s="55">
        <v>0</v>
      </c>
      <c r="L223" s="57">
        <v>0</v>
      </c>
      <c r="M223" s="57">
        <f t="shared" si="198"/>
        <v>0</v>
      </c>
      <c r="N223" s="58"/>
      <c r="O223" s="55">
        <v>0</v>
      </c>
      <c r="P223" s="57">
        <v>0</v>
      </c>
      <c r="Q223" s="57">
        <f t="shared" si="199"/>
        <v>0</v>
      </c>
      <c r="R223" s="58"/>
      <c r="S223" s="55">
        <v>0</v>
      </c>
      <c r="T223" s="57">
        <v>0</v>
      </c>
      <c r="U223" s="57">
        <f t="shared" si="200"/>
        <v>0</v>
      </c>
      <c r="V223" s="59"/>
      <c r="W223" s="124">
        <f t="shared" si="201"/>
        <v>0</v>
      </c>
      <c r="X223" s="57">
        <f t="shared" si="201"/>
        <v>0</v>
      </c>
      <c r="Y223" s="84">
        <f t="shared" si="201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196"/>
        <v>0</v>
      </c>
      <c r="F224" s="58"/>
      <c r="G224" s="55">
        <v>0</v>
      </c>
      <c r="H224" s="57">
        <v>0</v>
      </c>
      <c r="I224" s="57">
        <f t="shared" si="197"/>
        <v>0</v>
      </c>
      <c r="J224" s="58"/>
      <c r="K224" s="55">
        <v>0</v>
      </c>
      <c r="L224" s="57">
        <v>0</v>
      </c>
      <c r="M224" s="57">
        <f t="shared" si="198"/>
        <v>0</v>
      </c>
      <c r="N224" s="58"/>
      <c r="O224" s="55">
        <v>0</v>
      </c>
      <c r="P224" s="57">
        <v>0</v>
      </c>
      <c r="Q224" s="57">
        <f t="shared" si="199"/>
        <v>0</v>
      </c>
      <c r="R224" s="58"/>
      <c r="S224" s="55">
        <v>0</v>
      </c>
      <c r="T224" s="57">
        <v>0</v>
      </c>
      <c r="U224" s="57">
        <f t="shared" si="200"/>
        <v>0</v>
      </c>
      <c r="V224" s="59"/>
      <c r="W224" s="124">
        <f t="shared" si="201"/>
        <v>0</v>
      </c>
      <c r="X224" s="57">
        <f t="shared" si="201"/>
        <v>0</v>
      </c>
      <c r="Y224" s="84">
        <f t="shared" si="201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0</v>
      </c>
      <c r="D225" s="125">
        <f>SUM(D219:D224)</f>
        <v>0</v>
      </c>
      <c r="E225" s="125">
        <f>SUM(E219:E224)</f>
        <v>0</v>
      </c>
      <c r="F225" s="81"/>
      <c r="G225" s="79">
        <f>SUM(G219:G224)</f>
        <v>0</v>
      </c>
      <c r="H225" s="80">
        <f>SUM(H219:H224)</f>
        <v>0</v>
      </c>
      <c r="I225" s="80">
        <f>SUM(I219:I224)</f>
        <v>0</v>
      </c>
      <c r="J225" s="81"/>
      <c r="K225" s="79">
        <f>SUM(K219:K224)</f>
        <v>0</v>
      </c>
      <c r="L225" s="80">
        <f>SUM(L219:L224)</f>
        <v>0</v>
      </c>
      <c r="M225" s="80">
        <f>SUM(M219:M224)</f>
        <v>0</v>
      </c>
      <c r="N225" s="81"/>
      <c r="O225" s="79">
        <f>SUM(O219:O224)</f>
        <v>0</v>
      </c>
      <c r="P225" s="80">
        <f>SUM(P219:P224)</f>
        <v>0</v>
      </c>
      <c r="Q225" s="80">
        <f>SUM(Q219:Q224)</f>
        <v>0</v>
      </c>
      <c r="R225" s="81"/>
      <c r="S225" s="79">
        <f>SUM(S219:S224)</f>
        <v>0</v>
      </c>
      <c r="T225" s="80">
        <f>SUM(T219:T224)</f>
        <v>0</v>
      </c>
      <c r="U225" s="80">
        <f>SUM(U219:U224)</f>
        <v>0</v>
      </c>
      <c r="V225" s="82"/>
      <c r="W225" s="228">
        <f t="shared" si="201"/>
        <v>0</v>
      </c>
      <c r="X225" s="80">
        <f t="shared" si="201"/>
        <v>0</v>
      </c>
      <c r="Y225" s="80">
        <f t="shared" si="201"/>
        <v>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/>
      <c r="B227" s="54"/>
      <c r="C227" s="124">
        <v>0</v>
      </c>
      <c r="D227" s="56">
        <v>0</v>
      </c>
      <c r="E227" s="56">
        <f>SUM(C227:D227)</f>
        <v>0</v>
      </c>
      <c r="F227" s="58"/>
      <c r="G227" s="55">
        <v>0</v>
      </c>
      <c r="H227" s="56">
        <v>0</v>
      </c>
      <c r="I227" s="56">
        <f>SUM(G227:H227)</f>
        <v>0</v>
      </c>
      <c r="J227" s="58"/>
      <c r="K227" s="55">
        <v>0</v>
      </c>
      <c r="L227" s="56">
        <v>0</v>
      </c>
      <c r="M227" s="56">
        <f>SUM(K227:L227)</f>
        <v>0</v>
      </c>
      <c r="N227" s="58"/>
      <c r="O227" s="55">
        <v>0</v>
      </c>
      <c r="P227" s="56">
        <v>0</v>
      </c>
      <c r="Q227" s="56">
        <f>SUM(O227:P227)</f>
        <v>0</v>
      </c>
      <c r="R227" s="58"/>
      <c r="S227" s="55">
        <v>0</v>
      </c>
      <c r="T227" s="56">
        <v>0</v>
      </c>
      <c r="U227" s="56">
        <f>SUM(S227:T227)</f>
        <v>0</v>
      </c>
      <c r="V227" s="59"/>
      <c r="W227" s="124">
        <f t="shared" ref="W227:Y231" si="202">C227+G227+K227+O227+S227</f>
        <v>0</v>
      </c>
      <c r="X227" s="57">
        <f t="shared" si="202"/>
        <v>0</v>
      </c>
      <c r="Y227" s="84">
        <f t="shared" si="202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/>
      <c r="B228" s="54" t="s">
        <v>57</v>
      </c>
      <c r="C228" s="124">
        <v>0</v>
      </c>
      <c r="D228" s="56">
        <v>0</v>
      </c>
      <c r="E228" s="56">
        <f>SUM(C228:D228)</f>
        <v>0</v>
      </c>
      <c r="F228" s="58"/>
      <c r="G228" s="55">
        <v>0</v>
      </c>
      <c r="H228" s="56">
        <v>0</v>
      </c>
      <c r="I228" s="56">
        <f>SUM(G228:H228)</f>
        <v>0</v>
      </c>
      <c r="J228" s="58"/>
      <c r="K228" s="55">
        <f>G228*1.07</f>
        <v>0</v>
      </c>
      <c r="L228" s="56">
        <v>0</v>
      </c>
      <c r="M228" s="56">
        <f>SUM(K228:L228)</f>
        <v>0</v>
      </c>
      <c r="N228" s="58"/>
      <c r="O228" s="55">
        <f>K228*1.07</f>
        <v>0</v>
      </c>
      <c r="P228" s="56">
        <v>0</v>
      </c>
      <c r="Q228" s="56">
        <f>SUM(O228:P228)</f>
        <v>0</v>
      </c>
      <c r="R228" s="58"/>
      <c r="S228" s="55">
        <f>O228*1.07</f>
        <v>0</v>
      </c>
      <c r="T228" s="56">
        <v>0</v>
      </c>
      <c r="U228" s="56">
        <f>SUM(S228:T228)</f>
        <v>0</v>
      </c>
      <c r="V228" s="59"/>
      <c r="W228" s="124">
        <f t="shared" si="202"/>
        <v>0</v>
      </c>
      <c r="X228" s="57">
        <f t="shared" si="202"/>
        <v>0</v>
      </c>
      <c r="Y228" s="84">
        <f t="shared" si="202"/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54"/>
      <c r="C229" s="124">
        <v>0</v>
      </c>
      <c r="D229" s="56">
        <v>0</v>
      </c>
      <c r="E229" s="56">
        <f>SUM(C229:D229)</f>
        <v>0</v>
      </c>
      <c r="F229" s="58"/>
      <c r="G229" s="55">
        <v>0</v>
      </c>
      <c r="H229" s="56">
        <v>0</v>
      </c>
      <c r="I229" s="56">
        <f>SUM(G229:H229)</f>
        <v>0</v>
      </c>
      <c r="J229" s="58"/>
      <c r="K229" s="55">
        <v>0</v>
      </c>
      <c r="L229" s="56">
        <v>0</v>
      </c>
      <c r="M229" s="56">
        <f>SUM(K229:L229)</f>
        <v>0</v>
      </c>
      <c r="N229" s="58"/>
      <c r="O229" s="55">
        <v>0</v>
      </c>
      <c r="P229" s="56">
        <v>0</v>
      </c>
      <c r="Q229" s="56">
        <f>SUM(O229:P229)</f>
        <v>0</v>
      </c>
      <c r="R229" s="58"/>
      <c r="S229" s="55">
        <v>0</v>
      </c>
      <c r="T229" s="56">
        <v>0</v>
      </c>
      <c r="U229" s="56">
        <f>SUM(S229:T229)</f>
        <v>0</v>
      </c>
      <c r="V229" s="59"/>
      <c r="W229" s="124">
        <f t="shared" si="202"/>
        <v>0</v>
      </c>
      <c r="X229" s="57">
        <f t="shared" si="202"/>
        <v>0</v>
      </c>
      <c r="Y229" s="84">
        <f t="shared" si="202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61" customFormat="1" x14ac:dyDescent="0.25">
      <c r="A230" s="54"/>
      <c r="B230" s="54"/>
      <c r="C230" s="124">
        <v>0</v>
      </c>
      <c r="D230" s="56">
        <v>0</v>
      </c>
      <c r="E230" s="56">
        <f>SUM(C230:D230)</f>
        <v>0</v>
      </c>
      <c r="F230" s="58"/>
      <c r="G230" s="55">
        <v>0</v>
      </c>
      <c r="H230" s="56">
        <v>0</v>
      </c>
      <c r="I230" s="56">
        <f>SUM(G230:H230)</f>
        <v>0</v>
      </c>
      <c r="J230" s="58"/>
      <c r="K230" s="55">
        <v>0</v>
      </c>
      <c r="L230" s="56">
        <v>0</v>
      </c>
      <c r="M230" s="56">
        <f>SUM(K230:L230)</f>
        <v>0</v>
      </c>
      <c r="N230" s="58"/>
      <c r="O230" s="55">
        <v>0</v>
      </c>
      <c r="P230" s="56">
        <v>0</v>
      </c>
      <c r="Q230" s="56">
        <f>SUM(O230:P230)</f>
        <v>0</v>
      </c>
      <c r="R230" s="58"/>
      <c r="S230" s="55">
        <v>0</v>
      </c>
      <c r="T230" s="56">
        <v>0</v>
      </c>
      <c r="U230" s="56">
        <f>SUM(S230:T230)</f>
        <v>0</v>
      </c>
      <c r="V230" s="59"/>
      <c r="W230" s="124">
        <f t="shared" si="202"/>
        <v>0</v>
      </c>
      <c r="X230" s="57">
        <f t="shared" si="202"/>
        <v>0</v>
      </c>
      <c r="Y230" s="84">
        <f t="shared" si="202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0</v>
      </c>
      <c r="H231" s="80">
        <f>SUM(H227:H230)</f>
        <v>0</v>
      </c>
      <c r="I231" s="80">
        <f>SUM(I227:I230)</f>
        <v>0</v>
      </c>
      <c r="J231" s="81"/>
      <c r="K231" s="79">
        <f>SUM(K227:K230)</f>
        <v>0</v>
      </c>
      <c r="L231" s="80">
        <f>SUM(L227:L230)</f>
        <v>0</v>
      </c>
      <c r="M231" s="80">
        <f>SUM(M227:M230)</f>
        <v>0</v>
      </c>
      <c r="N231" s="81"/>
      <c r="O231" s="79">
        <f>SUM(O227:O230)</f>
        <v>0</v>
      </c>
      <c r="P231" s="80">
        <f>SUM(P227:P230)</f>
        <v>0</v>
      </c>
      <c r="Q231" s="80">
        <f>SUM(Q227:Q230)</f>
        <v>0</v>
      </c>
      <c r="R231" s="81"/>
      <c r="S231" s="79">
        <f>SUM(S227:S230)</f>
        <v>0</v>
      </c>
      <c r="T231" s="125">
        <f>SUM(T227:T230)</f>
        <v>0</v>
      </c>
      <c r="U231" s="125">
        <f>SUM(U227:U230)</f>
        <v>0</v>
      </c>
      <c r="V231" s="82"/>
      <c r="W231" s="228">
        <f t="shared" si="202"/>
        <v>0</v>
      </c>
      <c r="X231" s="80">
        <f t="shared" si="202"/>
        <v>0</v>
      </c>
      <c r="Y231" s="80">
        <f t="shared" si="202"/>
        <v>0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2"/>
      <c r="B233" s="52"/>
      <c r="C233" s="124">
        <v>0</v>
      </c>
      <c r="D233" s="56">
        <v>0</v>
      </c>
      <c r="E233" s="56">
        <f t="shared" ref="E233:E244" si="203">SUM(C233:D233)</f>
        <v>0</v>
      </c>
      <c r="F233" s="58"/>
      <c r="G233" s="55">
        <v>0</v>
      </c>
      <c r="H233" s="57">
        <v>0</v>
      </c>
      <c r="I233" s="57">
        <f t="shared" ref="I233:I244" si="204">SUM(G233:H233)</f>
        <v>0</v>
      </c>
      <c r="J233" s="58"/>
      <c r="K233" s="55">
        <v>0</v>
      </c>
      <c r="L233" s="57">
        <v>0</v>
      </c>
      <c r="M233" s="57">
        <f t="shared" ref="M233:M244" si="205">SUM(K233:L233)</f>
        <v>0</v>
      </c>
      <c r="N233" s="58"/>
      <c r="O233" s="55">
        <v>0</v>
      </c>
      <c r="P233" s="57">
        <v>0</v>
      </c>
      <c r="Q233" s="57">
        <f t="shared" ref="Q233:Q244" si="206">SUM(O233:P233)</f>
        <v>0</v>
      </c>
      <c r="R233" s="58"/>
      <c r="S233" s="55">
        <v>0</v>
      </c>
      <c r="T233" s="57">
        <v>0</v>
      </c>
      <c r="U233" s="57">
        <f t="shared" ref="U233:U244" si="207">SUM(S233:T233)</f>
        <v>0</v>
      </c>
      <c r="V233" s="59"/>
      <c r="W233" s="124">
        <f t="shared" ref="W233:W245" si="208">C233+G233+K233+O233+S233</f>
        <v>0</v>
      </c>
      <c r="X233" s="57">
        <f t="shared" ref="X233:X245" si="209">D233+H233+L233+P233+T233</f>
        <v>0</v>
      </c>
      <c r="Y233" s="84">
        <f t="shared" ref="Y233:Y245" si="210">E233+I233+M233+Q233+U233</f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</row>
    <row r="234" spans="1:77" s="61" customFormat="1" x14ac:dyDescent="0.25">
      <c r="A234" s="52"/>
      <c r="B234" s="54" t="s">
        <v>235</v>
      </c>
      <c r="C234" s="55">
        <f>30000*0</f>
        <v>0</v>
      </c>
      <c r="D234" s="57">
        <v>0</v>
      </c>
      <c r="E234" s="57">
        <f t="shared" si="203"/>
        <v>0</v>
      </c>
      <c r="F234" s="58"/>
      <c r="G234" s="55">
        <v>5000</v>
      </c>
      <c r="H234" s="57">
        <v>0</v>
      </c>
      <c r="I234" s="57">
        <f t="shared" si="204"/>
        <v>5000</v>
      </c>
      <c r="J234" s="58"/>
      <c r="K234" s="55">
        <f>G234*0</f>
        <v>0</v>
      </c>
      <c r="L234" s="57">
        <v>0</v>
      </c>
      <c r="M234" s="57">
        <f t="shared" si="205"/>
        <v>0</v>
      </c>
      <c r="N234" s="58"/>
      <c r="O234" s="55">
        <f>K234+5000</f>
        <v>5000</v>
      </c>
      <c r="P234" s="57">
        <v>0</v>
      </c>
      <c r="Q234" s="57">
        <f t="shared" si="206"/>
        <v>5000</v>
      </c>
      <c r="R234" s="58"/>
      <c r="S234" s="55">
        <f>O234*0</f>
        <v>0</v>
      </c>
      <c r="T234" s="57">
        <v>0</v>
      </c>
      <c r="U234" s="57">
        <f t="shared" si="207"/>
        <v>0</v>
      </c>
      <c r="V234" s="59"/>
      <c r="W234" s="124">
        <f t="shared" si="208"/>
        <v>10000</v>
      </c>
      <c r="X234" s="57">
        <f t="shared" si="209"/>
        <v>0</v>
      </c>
      <c r="Y234" s="84">
        <f t="shared" si="210"/>
        <v>10000</v>
      </c>
    </row>
    <row r="235" spans="1:77" s="61" customFormat="1" x14ac:dyDescent="0.25">
      <c r="A235" s="52"/>
      <c r="B235" s="52"/>
      <c r="C235" s="124">
        <v>0</v>
      </c>
      <c r="D235" s="56">
        <v>0</v>
      </c>
      <c r="E235" s="56">
        <f t="shared" si="203"/>
        <v>0</v>
      </c>
      <c r="F235" s="58"/>
      <c r="G235" s="55">
        <v>0</v>
      </c>
      <c r="H235" s="57">
        <v>0</v>
      </c>
      <c r="I235" s="57">
        <f t="shared" si="204"/>
        <v>0</v>
      </c>
      <c r="J235" s="58"/>
      <c r="K235" s="55">
        <v>0</v>
      </c>
      <c r="L235" s="57">
        <v>0</v>
      </c>
      <c r="M235" s="57">
        <f t="shared" si="205"/>
        <v>0</v>
      </c>
      <c r="N235" s="58"/>
      <c r="O235" s="55">
        <v>0</v>
      </c>
      <c r="P235" s="57">
        <v>0</v>
      </c>
      <c r="Q235" s="57">
        <f t="shared" si="206"/>
        <v>0</v>
      </c>
      <c r="R235" s="58"/>
      <c r="S235" s="55">
        <v>0</v>
      </c>
      <c r="T235" s="57">
        <v>0</v>
      </c>
      <c r="U235" s="57">
        <f t="shared" si="207"/>
        <v>0</v>
      </c>
      <c r="V235" s="59"/>
      <c r="W235" s="124">
        <f t="shared" si="208"/>
        <v>0</v>
      </c>
      <c r="X235" s="57">
        <f t="shared" si="209"/>
        <v>0</v>
      </c>
      <c r="Y235" s="84">
        <f t="shared" si="210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</row>
    <row r="236" spans="1:77" s="61" customFormat="1" x14ac:dyDescent="0.25">
      <c r="A236" s="52"/>
      <c r="B236" s="52"/>
      <c r="C236" s="124">
        <v>0</v>
      </c>
      <c r="D236" s="56">
        <v>0</v>
      </c>
      <c r="E236" s="56">
        <f t="shared" si="203"/>
        <v>0</v>
      </c>
      <c r="F236" s="58"/>
      <c r="G236" s="55">
        <v>0</v>
      </c>
      <c r="H236" s="57">
        <v>0</v>
      </c>
      <c r="I236" s="57">
        <f t="shared" si="204"/>
        <v>0</v>
      </c>
      <c r="J236" s="58"/>
      <c r="K236" s="55">
        <v>0</v>
      </c>
      <c r="L236" s="57">
        <v>0</v>
      </c>
      <c r="M236" s="57">
        <f t="shared" si="205"/>
        <v>0</v>
      </c>
      <c r="N236" s="58"/>
      <c r="O236" s="55">
        <v>0</v>
      </c>
      <c r="P236" s="57">
        <v>0</v>
      </c>
      <c r="Q236" s="57">
        <f t="shared" si="206"/>
        <v>0</v>
      </c>
      <c r="R236" s="58"/>
      <c r="S236" s="55">
        <v>0</v>
      </c>
      <c r="T236" s="57">
        <v>0</v>
      </c>
      <c r="U236" s="57">
        <f t="shared" si="207"/>
        <v>0</v>
      </c>
      <c r="V236" s="59"/>
      <c r="W236" s="124">
        <f t="shared" si="208"/>
        <v>0</v>
      </c>
      <c r="X236" s="57">
        <f t="shared" si="209"/>
        <v>0</v>
      </c>
      <c r="Y236" s="84">
        <f t="shared" si="210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</row>
    <row r="237" spans="1:77" s="61" customFormat="1" x14ac:dyDescent="0.25">
      <c r="A237" s="52"/>
      <c r="B237" s="52"/>
      <c r="C237" s="124">
        <v>0</v>
      </c>
      <c r="D237" s="56">
        <v>0</v>
      </c>
      <c r="E237" s="56">
        <f t="shared" si="203"/>
        <v>0</v>
      </c>
      <c r="F237" s="58"/>
      <c r="G237" s="55">
        <v>0</v>
      </c>
      <c r="H237" s="57">
        <v>0</v>
      </c>
      <c r="I237" s="57">
        <f t="shared" si="204"/>
        <v>0</v>
      </c>
      <c r="J237" s="58"/>
      <c r="K237" s="55">
        <v>0</v>
      </c>
      <c r="L237" s="57">
        <v>0</v>
      </c>
      <c r="M237" s="57">
        <f t="shared" si="205"/>
        <v>0</v>
      </c>
      <c r="N237" s="58"/>
      <c r="O237" s="55">
        <v>0</v>
      </c>
      <c r="P237" s="57">
        <v>0</v>
      </c>
      <c r="Q237" s="57">
        <f t="shared" si="206"/>
        <v>0</v>
      </c>
      <c r="R237" s="58"/>
      <c r="S237" s="55">
        <v>0</v>
      </c>
      <c r="T237" s="57">
        <v>0</v>
      </c>
      <c r="U237" s="57">
        <f t="shared" si="207"/>
        <v>0</v>
      </c>
      <c r="V237" s="59"/>
      <c r="W237" s="124">
        <f t="shared" si="208"/>
        <v>0</v>
      </c>
      <c r="X237" s="57">
        <f t="shared" si="209"/>
        <v>0</v>
      </c>
      <c r="Y237" s="84">
        <f t="shared" si="210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</row>
    <row r="238" spans="1:77" s="61" customFormat="1" x14ac:dyDescent="0.25">
      <c r="A238" s="52"/>
      <c r="B238" s="52"/>
      <c r="C238" s="124">
        <v>0</v>
      </c>
      <c r="D238" s="56">
        <v>0</v>
      </c>
      <c r="E238" s="56">
        <f t="shared" si="203"/>
        <v>0</v>
      </c>
      <c r="F238" s="58"/>
      <c r="G238" s="55">
        <v>0</v>
      </c>
      <c r="H238" s="57">
        <v>0</v>
      </c>
      <c r="I238" s="57">
        <f t="shared" si="204"/>
        <v>0</v>
      </c>
      <c r="J238" s="58"/>
      <c r="K238" s="55">
        <v>0</v>
      </c>
      <c r="L238" s="57">
        <v>0</v>
      </c>
      <c r="M238" s="57">
        <f t="shared" si="205"/>
        <v>0</v>
      </c>
      <c r="N238" s="58"/>
      <c r="O238" s="55">
        <v>0</v>
      </c>
      <c r="P238" s="57">
        <v>0</v>
      </c>
      <c r="Q238" s="57">
        <f t="shared" si="206"/>
        <v>0</v>
      </c>
      <c r="R238" s="58"/>
      <c r="S238" s="55">
        <v>0</v>
      </c>
      <c r="T238" s="57">
        <v>0</v>
      </c>
      <c r="U238" s="57">
        <f t="shared" si="207"/>
        <v>0</v>
      </c>
      <c r="V238" s="59"/>
      <c r="W238" s="124">
        <f t="shared" si="208"/>
        <v>0</v>
      </c>
      <c r="X238" s="57">
        <f t="shared" si="209"/>
        <v>0</v>
      </c>
      <c r="Y238" s="84">
        <f t="shared" si="210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</row>
    <row r="239" spans="1:77" s="61" customFormat="1" x14ac:dyDescent="0.25">
      <c r="A239" s="52"/>
      <c r="B239" s="52"/>
      <c r="C239" s="124">
        <v>0</v>
      </c>
      <c r="D239" s="56">
        <v>0</v>
      </c>
      <c r="E239" s="56">
        <f t="shared" si="203"/>
        <v>0</v>
      </c>
      <c r="F239" s="58"/>
      <c r="G239" s="55">
        <v>0</v>
      </c>
      <c r="H239" s="57">
        <v>0</v>
      </c>
      <c r="I239" s="57">
        <f t="shared" si="204"/>
        <v>0</v>
      </c>
      <c r="J239" s="58"/>
      <c r="K239" s="55">
        <v>0</v>
      </c>
      <c r="L239" s="57">
        <v>0</v>
      </c>
      <c r="M239" s="57">
        <f t="shared" si="205"/>
        <v>0</v>
      </c>
      <c r="N239" s="58"/>
      <c r="O239" s="55">
        <v>0</v>
      </c>
      <c r="P239" s="57">
        <v>0</v>
      </c>
      <c r="Q239" s="57">
        <f t="shared" si="206"/>
        <v>0</v>
      </c>
      <c r="R239" s="58"/>
      <c r="S239" s="55">
        <v>0</v>
      </c>
      <c r="T239" s="57">
        <v>0</v>
      </c>
      <c r="U239" s="57">
        <f t="shared" si="207"/>
        <v>0</v>
      </c>
      <c r="V239" s="59"/>
      <c r="W239" s="124">
        <f t="shared" si="208"/>
        <v>0</v>
      </c>
      <c r="X239" s="57">
        <f t="shared" si="209"/>
        <v>0</v>
      </c>
      <c r="Y239" s="84">
        <f t="shared" si="210"/>
        <v>0</v>
      </c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</row>
    <row r="240" spans="1:77" s="61" customFormat="1" x14ac:dyDescent="0.25">
      <c r="A240" s="52"/>
      <c r="B240" s="52"/>
      <c r="C240" s="124">
        <v>0</v>
      </c>
      <c r="D240" s="56">
        <v>0</v>
      </c>
      <c r="E240" s="56">
        <f t="shared" si="203"/>
        <v>0</v>
      </c>
      <c r="F240" s="58"/>
      <c r="G240" s="55">
        <v>0</v>
      </c>
      <c r="H240" s="57">
        <v>0</v>
      </c>
      <c r="I240" s="57">
        <f t="shared" si="204"/>
        <v>0</v>
      </c>
      <c r="J240" s="58"/>
      <c r="K240" s="55">
        <v>0</v>
      </c>
      <c r="L240" s="57">
        <v>0</v>
      </c>
      <c r="M240" s="57">
        <f t="shared" si="205"/>
        <v>0</v>
      </c>
      <c r="N240" s="58"/>
      <c r="O240" s="55">
        <v>0</v>
      </c>
      <c r="P240" s="57">
        <v>0</v>
      </c>
      <c r="Q240" s="57">
        <f t="shared" si="206"/>
        <v>0</v>
      </c>
      <c r="R240" s="58"/>
      <c r="S240" s="55">
        <v>0</v>
      </c>
      <c r="T240" s="57">
        <v>0</v>
      </c>
      <c r="U240" s="57">
        <f t="shared" si="207"/>
        <v>0</v>
      </c>
      <c r="V240" s="59"/>
      <c r="W240" s="124">
        <f t="shared" si="208"/>
        <v>0</v>
      </c>
      <c r="X240" s="57">
        <f t="shared" si="209"/>
        <v>0</v>
      </c>
      <c r="Y240" s="84">
        <f t="shared" si="210"/>
        <v>0</v>
      </c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203"/>
        <v>0</v>
      </c>
      <c r="F241" s="58"/>
      <c r="G241" s="55">
        <v>0</v>
      </c>
      <c r="H241" s="57">
        <v>0</v>
      </c>
      <c r="I241" s="57">
        <f t="shared" si="204"/>
        <v>0</v>
      </c>
      <c r="J241" s="58"/>
      <c r="K241" s="55">
        <v>0</v>
      </c>
      <c r="L241" s="57">
        <v>0</v>
      </c>
      <c r="M241" s="57">
        <f t="shared" si="205"/>
        <v>0</v>
      </c>
      <c r="N241" s="58"/>
      <c r="O241" s="55">
        <v>0</v>
      </c>
      <c r="P241" s="57">
        <v>0</v>
      </c>
      <c r="Q241" s="57">
        <f t="shared" si="206"/>
        <v>0</v>
      </c>
      <c r="R241" s="58"/>
      <c r="S241" s="55">
        <v>0</v>
      </c>
      <c r="T241" s="57">
        <v>0</v>
      </c>
      <c r="U241" s="57">
        <f t="shared" si="207"/>
        <v>0</v>
      </c>
      <c r="V241" s="59"/>
      <c r="W241" s="124">
        <f t="shared" si="208"/>
        <v>0</v>
      </c>
      <c r="X241" s="57">
        <f t="shared" si="209"/>
        <v>0</v>
      </c>
      <c r="Y241" s="84">
        <f t="shared" si="210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203"/>
        <v>0</v>
      </c>
      <c r="F242" s="58"/>
      <c r="G242" s="55">
        <v>0</v>
      </c>
      <c r="H242" s="57">
        <v>0</v>
      </c>
      <c r="I242" s="57">
        <f t="shared" si="204"/>
        <v>0</v>
      </c>
      <c r="J242" s="58"/>
      <c r="K242" s="55">
        <v>0</v>
      </c>
      <c r="L242" s="57">
        <v>0</v>
      </c>
      <c r="M242" s="57">
        <f t="shared" si="205"/>
        <v>0</v>
      </c>
      <c r="N242" s="58"/>
      <c r="O242" s="55">
        <v>0</v>
      </c>
      <c r="P242" s="57">
        <v>0</v>
      </c>
      <c r="Q242" s="57">
        <f t="shared" si="206"/>
        <v>0</v>
      </c>
      <c r="R242" s="58"/>
      <c r="S242" s="55">
        <v>0</v>
      </c>
      <c r="T242" s="57">
        <v>0</v>
      </c>
      <c r="U242" s="57">
        <f t="shared" si="207"/>
        <v>0</v>
      </c>
      <c r="V242" s="59"/>
      <c r="W242" s="124">
        <f t="shared" si="208"/>
        <v>0</v>
      </c>
      <c r="X242" s="57">
        <f t="shared" si="209"/>
        <v>0</v>
      </c>
      <c r="Y242" s="84">
        <f t="shared" si="210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203"/>
        <v>0</v>
      </c>
      <c r="F243" s="58"/>
      <c r="G243" s="55">
        <v>0</v>
      </c>
      <c r="H243" s="57">
        <v>0</v>
      </c>
      <c r="I243" s="57">
        <f t="shared" si="204"/>
        <v>0</v>
      </c>
      <c r="J243" s="58"/>
      <c r="K243" s="55">
        <v>0</v>
      </c>
      <c r="L243" s="57">
        <v>0</v>
      </c>
      <c r="M243" s="57">
        <f t="shared" si="205"/>
        <v>0</v>
      </c>
      <c r="N243" s="58"/>
      <c r="O243" s="55">
        <v>0</v>
      </c>
      <c r="P243" s="57">
        <v>0</v>
      </c>
      <c r="Q243" s="57">
        <f t="shared" si="206"/>
        <v>0</v>
      </c>
      <c r="R243" s="58"/>
      <c r="S243" s="55">
        <v>0</v>
      </c>
      <c r="T243" s="57">
        <v>0</v>
      </c>
      <c r="U243" s="57">
        <f t="shared" si="207"/>
        <v>0</v>
      </c>
      <c r="V243" s="59"/>
      <c r="W243" s="124">
        <f t="shared" si="208"/>
        <v>0</v>
      </c>
      <c r="X243" s="57">
        <f t="shared" si="209"/>
        <v>0</v>
      </c>
      <c r="Y243" s="84">
        <f t="shared" si="210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203"/>
        <v>0</v>
      </c>
      <c r="F244" s="58"/>
      <c r="G244" s="55">
        <v>0</v>
      </c>
      <c r="H244" s="57">
        <v>0</v>
      </c>
      <c r="I244" s="57">
        <f t="shared" si="204"/>
        <v>0</v>
      </c>
      <c r="J244" s="58"/>
      <c r="K244" s="55">
        <v>0</v>
      </c>
      <c r="L244" s="57">
        <v>0</v>
      </c>
      <c r="M244" s="57">
        <f t="shared" si="205"/>
        <v>0</v>
      </c>
      <c r="N244" s="58"/>
      <c r="O244" s="55">
        <v>0</v>
      </c>
      <c r="P244" s="57">
        <v>0</v>
      </c>
      <c r="Q244" s="57">
        <f t="shared" si="206"/>
        <v>0</v>
      </c>
      <c r="R244" s="58"/>
      <c r="S244" s="55">
        <v>0</v>
      </c>
      <c r="T244" s="57">
        <v>0</v>
      </c>
      <c r="U244" s="57">
        <f t="shared" si="207"/>
        <v>0</v>
      </c>
      <c r="V244" s="59"/>
      <c r="W244" s="124">
        <f t="shared" si="208"/>
        <v>0</v>
      </c>
      <c r="X244" s="57">
        <f t="shared" si="209"/>
        <v>0</v>
      </c>
      <c r="Y244" s="84">
        <f t="shared" si="210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0</v>
      </c>
      <c r="D245" s="153">
        <f>SUM(D233:D244)</f>
        <v>0</v>
      </c>
      <c r="E245" s="153">
        <f>SUM(E233:E244)</f>
        <v>0</v>
      </c>
      <c r="F245" s="154"/>
      <c r="G245" s="152">
        <f>SUM(G233:G244)</f>
        <v>5000</v>
      </c>
      <c r="H245" s="155">
        <f>SUM(H233:H244)</f>
        <v>0</v>
      </c>
      <c r="I245" s="155">
        <f>SUM(I233:I244)</f>
        <v>5000</v>
      </c>
      <c r="J245" s="154"/>
      <c r="K245" s="152">
        <f>SUM(K233:K244)</f>
        <v>0</v>
      </c>
      <c r="L245" s="155">
        <f>SUM(L233:L244)</f>
        <v>0</v>
      </c>
      <c r="M245" s="155">
        <f>SUM(M233:M244)</f>
        <v>0</v>
      </c>
      <c r="N245" s="154"/>
      <c r="O245" s="152">
        <f>SUM(O233:O244)</f>
        <v>5000</v>
      </c>
      <c r="P245" s="155">
        <f>SUM(P233:P244)</f>
        <v>0</v>
      </c>
      <c r="Q245" s="155">
        <f>SUM(Q233:Q244)</f>
        <v>5000</v>
      </c>
      <c r="R245" s="154"/>
      <c r="S245" s="152">
        <f>SUM(S233:S244)</f>
        <v>0</v>
      </c>
      <c r="T245" s="155">
        <f>SUM(T233:T244)</f>
        <v>0</v>
      </c>
      <c r="U245" s="155">
        <f>SUM(U233:U244)</f>
        <v>0</v>
      </c>
      <c r="V245" s="82"/>
      <c r="W245" s="228">
        <f t="shared" si="208"/>
        <v>10000</v>
      </c>
      <c r="X245" s="80">
        <f t="shared" si="209"/>
        <v>0</v>
      </c>
      <c r="Y245" s="80">
        <f t="shared" si="210"/>
        <v>10000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>SUM(C205+C217+C225+C231+C245)</f>
        <v>13297.8</v>
      </c>
      <c r="D246" s="111">
        <f t="shared" ref="D246:Y246" si="211">SUM(D205+D217+D225+D231+D245)</f>
        <v>0</v>
      </c>
      <c r="E246" s="111">
        <f t="shared" si="211"/>
        <v>13297.8</v>
      </c>
      <c r="F246" s="111">
        <f t="shared" si="211"/>
        <v>0</v>
      </c>
      <c r="G246" s="111">
        <f t="shared" si="211"/>
        <v>18736.836020000002</v>
      </c>
      <c r="H246" s="111">
        <f t="shared" si="211"/>
        <v>0</v>
      </c>
      <c r="I246" s="111">
        <f t="shared" si="211"/>
        <v>18736.836020000002</v>
      </c>
      <c r="J246" s="111">
        <f t="shared" si="211"/>
        <v>0</v>
      </c>
      <c r="K246" s="111">
        <f t="shared" si="211"/>
        <v>14191.485333618</v>
      </c>
      <c r="L246" s="111">
        <f t="shared" si="211"/>
        <v>0</v>
      </c>
      <c r="M246" s="111">
        <f t="shared" si="211"/>
        <v>14191.485333618</v>
      </c>
      <c r="N246" s="111">
        <f t="shared" si="211"/>
        <v>0</v>
      </c>
      <c r="O246" s="111">
        <f t="shared" si="211"/>
        <v>19662.365070435339</v>
      </c>
      <c r="P246" s="111">
        <f t="shared" si="211"/>
        <v>0</v>
      </c>
      <c r="Q246" s="111">
        <f t="shared" si="211"/>
        <v>19662.365070435339</v>
      </c>
      <c r="R246" s="111">
        <f t="shared" si="211"/>
        <v>0</v>
      </c>
      <c r="S246" s="111">
        <f t="shared" si="211"/>
        <v>15150.119931624851</v>
      </c>
      <c r="T246" s="111">
        <f t="shared" si="211"/>
        <v>0</v>
      </c>
      <c r="U246" s="111">
        <f t="shared" si="211"/>
        <v>15150.119931624851</v>
      </c>
      <c r="V246" s="111">
        <f t="shared" si="211"/>
        <v>0</v>
      </c>
      <c r="W246" s="111">
        <f t="shared" si="211"/>
        <v>81038.606355678203</v>
      </c>
      <c r="X246" s="111">
        <f t="shared" si="211"/>
        <v>0</v>
      </c>
      <c r="Y246" s="111">
        <f t="shared" si="211"/>
        <v>81038.606355678203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(C205+C225+C245)*0.42</f>
        <v>5585.0759999999991</v>
      </c>
      <c r="D247" s="111">
        <v>0</v>
      </c>
      <c r="E247" s="111">
        <f>C247</f>
        <v>5585.0759999999991</v>
      </c>
      <c r="F247" s="111">
        <f>F196*0.47</f>
        <v>0</v>
      </c>
      <c r="G247" s="111">
        <f>(G205+G225+G245)*0.42</f>
        <v>7869.4711284000005</v>
      </c>
      <c r="H247" s="111">
        <v>0</v>
      </c>
      <c r="I247" s="111">
        <f>G247</f>
        <v>7869.4711284000005</v>
      </c>
      <c r="J247" s="111">
        <f>J196*0.47</f>
        <v>0</v>
      </c>
      <c r="K247" s="111">
        <f>(K205+K225+K245)*0.42</f>
        <v>5960.4238401195598</v>
      </c>
      <c r="L247" s="111">
        <v>0</v>
      </c>
      <c r="M247" s="111">
        <f>K247</f>
        <v>5960.4238401195598</v>
      </c>
      <c r="N247" s="111">
        <f>N196*0.47</f>
        <v>0</v>
      </c>
      <c r="O247" s="111">
        <f>(O205+O225+O245)*0.42</f>
        <v>8258.1933295828421</v>
      </c>
      <c r="P247" s="111">
        <v>0</v>
      </c>
      <c r="Q247" s="111">
        <f>O247</f>
        <v>8258.1933295828421</v>
      </c>
      <c r="R247" s="111">
        <f>R196*0.47</f>
        <v>0</v>
      </c>
      <c r="S247" s="111">
        <f>(S205+S225+S245)*0.42</f>
        <v>6363.0503712824375</v>
      </c>
      <c r="T247" s="111">
        <v>0</v>
      </c>
      <c r="U247" s="111">
        <f>S247</f>
        <v>6363.0503712824375</v>
      </c>
      <c r="V247" s="111">
        <f>V196*0.47</f>
        <v>0</v>
      </c>
      <c r="W247" s="111">
        <f>(W205+W225+W245)*0.42</f>
        <v>34036.214669384841</v>
      </c>
      <c r="X247" s="111">
        <v>0</v>
      </c>
      <c r="Y247" s="111">
        <f>W247</f>
        <v>34036.214669384841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18882.875999999997</v>
      </c>
      <c r="D248" s="111">
        <f t="shared" ref="D248:Y248" si="212">SUM(D246:D247)</f>
        <v>0</v>
      </c>
      <c r="E248" s="111">
        <f t="shared" si="212"/>
        <v>18882.875999999997</v>
      </c>
      <c r="F248" s="111">
        <f t="shared" si="212"/>
        <v>0</v>
      </c>
      <c r="G248" s="111">
        <f t="shared" si="212"/>
        <v>26606.307148400003</v>
      </c>
      <c r="H248" s="111">
        <f t="shared" si="212"/>
        <v>0</v>
      </c>
      <c r="I248" s="111">
        <f t="shared" si="212"/>
        <v>26606.307148400003</v>
      </c>
      <c r="J248" s="111">
        <f t="shared" si="212"/>
        <v>0</v>
      </c>
      <c r="K248" s="111">
        <f t="shared" si="212"/>
        <v>20151.90917373756</v>
      </c>
      <c r="L248" s="111">
        <f t="shared" si="212"/>
        <v>0</v>
      </c>
      <c r="M248" s="111">
        <f t="shared" si="212"/>
        <v>20151.90917373756</v>
      </c>
      <c r="N248" s="111">
        <f t="shared" si="212"/>
        <v>0</v>
      </c>
      <c r="O248" s="111">
        <f t="shared" si="212"/>
        <v>27920.558400018181</v>
      </c>
      <c r="P248" s="111">
        <f t="shared" si="212"/>
        <v>0</v>
      </c>
      <c r="Q248" s="111">
        <f t="shared" si="212"/>
        <v>27920.558400018181</v>
      </c>
      <c r="R248" s="111">
        <f t="shared" si="212"/>
        <v>0</v>
      </c>
      <c r="S248" s="111">
        <f t="shared" si="212"/>
        <v>21513.170302907289</v>
      </c>
      <c r="T248" s="111">
        <f t="shared" si="212"/>
        <v>0</v>
      </c>
      <c r="U248" s="111">
        <f t="shared" si="212"/>
        <v>21513.170302907289</v>
      </c>
      <c r="V248" s="111">
        <f t="shared" si="212"/>
        <v>0</v>
      </c>
      <c r="W248" s="111">
        <f t="shared" si="212"/>
        <v>115074.82102506305</v>
      </c>
      <c r="X248" s="111">
        <f t="shared" si="212"/>
        <v>0</v>
      </c>
      <c r="Y248" s="111">
        <f t="shared" si="212"/>
        <v>115074.82102506305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3" customFormat="1" x14ac:dyDescent="0.25">
      <c r="C249" s="14"/>
      <c r="D249" s="14"/>
      <c r="E249" s="14"/>
      <c r="F249" s="14"/>
      <c r="G249" s="14"/>
      <c r="H249" s="14"/>
      <c r="I249" s="14"/>
      <c r="J249" s="14"/>
      <c r="K249" s="14"/>
      <c r="M249" s="14"/>
      <c r="N249" s="14"/>
      <c r="O249" s="14"/>
      <c r="Q249" s="14"/>
      <c r="R249" s="14"/>
      <c r="S249" s="14"/>
      <c r="U249" s="14"/>
      <c r="V249" s="16"/>
      <c r="W249" s="14"/>
      <c r="X249" s="14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169" customFormat="1" x14ac:dyDescent="0.25">
      <c r="A252" s="170" t="s">
        <v>57</v>
      </c>
      <c r="B252" s="169" t="s">
        <v>57</v>
      </c>
      <c r="C252" s="172">
        <v>0</v>
      </c>
      <c r="D252" s="173">
        <v>0</v>
      </c>
      <c r="E252" s="173">
        <f t="shared" ref="E252:E255" si="213">SUM(C252:D252)</f>
        <v>0</v>
      </c>
      <c r="F252" s="175"/>
      <c r="G252" s="172">
        <f>C252*1.03</f>
        <v>0</v>
      </c>
      <c r="H252" s="173">
        <f>D252*1.03</f>
        <v>0</v>
      </c>
      <c r="I252" s="173">
        <f t="shared" ref="I252:I255" si="214">SUM(G252:H252)</f>
        <v>0</v>
      </c>
      <c r="J252" s="175"/>
      <c r="K252" s="172">
        <f>G252*1.03</f>
        <v>0</v>
      </c>
      <c r="L252" s="173">
        <f>H252*1.03</f>
        <v>0</v>
      </c>
      <c r="M252" s="173">
        <f t="shared" ref="M252:M255" si="215">SUM(K252:L252)</f>
        <v>0</v>
      </c>
      <c r="N252" s="175"/>
      <c r="O252" s="172">
        <f>K252*1.03</f>
        <v>0</v>
      </c>
      <c r="P252" s="173">
        <f>L252*1.03</f>
        <v>0</v>
      </c>
      <c r="Q252" s="173">
        <f t="shared" ref="Q252:Q255" si="216">SUM(O252:P252)</f>
        <v>0</v>
      </c>
      <c r="R252" s="175"/>
      <c r="S252" s="172">
        <f>O252*1.03</f>
        <v>0</v>
      </c>
      <c r="T252" s="173">
        <f>P252*1.03</f>
        <v>0</v>
      </c>
      <c r="U252" s="173">
        <f t="shared" ref="U252:U255" si="217">SUM(S252:T252)</f>
        <v>0</v>
      </c>
      <c r="V252" s="176"/>
      <c r="W252" s="227">
        <f>C252+G252+K252+O252+S252</f>
        <v>0</v>
      </c>
      <c r="X252" s="173">
        <f t="shared" ref="X252:Y256" si="218">D252+H252+L252+P252+T252</f>
        <v>0</v>
      </c>
      <c r="Y252" s="177">
        <f t="shared" si="218"/>
        <v>0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si="213"/>
        <v>0</v>
      </c>
      <c r="F253" s="175"/>
      <c r="G253" s="172">
        <f t="shared" ref="G253:H255" si="219">C253*1.03</f>
        <v>0</v>
      </c>
      <c r="H253" s="173">
        <f t="shared" si="219"/>
        <v>0</v>
      </c>
      <c r="I253" s="173">
        <f t="shared" si="214"/>
        <v>0</v>
      </c>
      <c r="J253" s="175"/>
      <c r="K253" s="172">
        <f t="shared" ref="K253:L255" si="220">G253*1.03</f>
        <v>0</v>
      </c>
      <c r="L253" s="173">
        <f t="shared" si="220"/>
        <v>0</v>
      </c>
      <c r="M253" s="173">
        <f t="shared" si="215"/>
        <v>0</v>
      </c>
      <c r="N253" s="175"/>
      <c r="O253" s="172">
        <f t="shared" ref="O253:P255" si="221">K253*1.03</f>
        <v>0</v>
      </c>
      <c r="P253" s="173">
        <f t="shared" si="221"/>
        <v>0</v>
      </c>
      <c r="Q253" s="173">
        <f t="shared" si="216"/>
        <v>0</v>
      </c>
      <c r="R253" s="175"/>
      <c r="S253" s="172">
        <f t="shared" ref="S253:T255" si="222">O253*1.03</f>
        <v>0</v>
      </c>
      <c r="T253" s="173">
        <f t="shared" si="222"/>
        <v>0</v>
      </c>
      <c r="U253" s="173">
        <f t="shared" si="217"/>
        <v>0</v>
      </c>
      <c r="V253" s="176"/>
      <c r="W253" s="227">
        <f t="shared" ref="W253:W256" si="223">C253+G253+K253+O253+S253</f>
        <v>0</v>
      </c>
      <c r="X253" s="173">
        <f t="shared" si="218"/>
        <v>0</v>
      </c>
      <c r="Y253" s="177">
        <f t="shared" si="218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213"/>
        <v>0</v>
      </c>
      <c r="F254" s="175"/>
      <c r="G254" s="172">
        <f t="shared" si="219"/>
        <v>0</v>
      </c>
      <c r="H254" s="173">
        <f t="shared" si="219"/>
        <v>0</v>
      </c>
      <c r="I254" s="173">
        <f t="shared" si="214"/>
        <v>0</v>
      </c>
      <c r="J254" s="175"/>
      <c r="K254" s="172">
        <f t="shared" si="220"/>
        <v>0</v>
      </c>
      <c r="L254" s="173">
        <f t="shared" si="220"/>
        <v>0</v>
      </c>
      <c r="M254" s="173">
        <f t="shared" si="215"/>
        <v>0</v>
      </c>
      <c r="N254" s="175"/>
      <c r="O254" s="172">
        <f t="shared" si="221"/>
        <v>0</v>
      </c>
      <c r="P254" s="173">
        <f t="shared" si="221"/>
        <v>0</v>
      </c>
      <c r="Q254" s="173">
        <f t="shared" si="216"/>
        <v>0</v>
      </c>
      <c r="R254" s="175"/>
      <c r="S254" s="172">
        <f t="shared" si="222"/>
        <v>0</v>
      </c>
      <c r="T254" s="173">
        <f t="shared" si="222"/>
        <v>0</v>
      </c>
      <c r="U254" s="173">
        <f t="shared" si="217"/>
        <v>0</v>
      </c>
      <c r="V254" s="176"/>
      <c r="W254" s="227">
        <f t="shared" si="223"/>
        <v>0</v>
      </c>
      <c r="X254" s="173">
        <f t="shared" si="218"/>
        <v>0</v>
      </c>
      <c r="Y254" s="177">
        <f t="shared" si="218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213"/>
        <v>0</v>
      </c>
      <c r="F255" s="175"/>
      <c r="G255" s="172">
        <f t="shared" si="219"/>
        <v>0</v>
      </c>
      <c r="H255" s="173">
        <f t="shared" si="219"/>
        <v>0</v>
      </c>
      <c r="I255" s="173">
        <f t="shared" si="214"/>
        <v>0</v>
      </c>
      <c r="J255" s="175"/>
      <c r="K255" s="172">
        <f t="shared" si="220"/>
        <v>0</v>
      </c>
      <c r="L255" s="173">
        <f t="shared" si="220"/>
        <v>0</v>
      </c>
      <c r="M255" s="173">
        <f t="shared" si="215"/>
        <v>0</v>
      </c>
      <c r="N255" s="175"/>
      <c r="O255" s="172">
        <f t="shared" si="221"/>
        <v>0</v>
      </c>
      <c r="P255" s="173">
        <f t="shared" si="221"/>
        <v>0</v>
      </c>
      <c r="Q255" s="173">
        <f t="shared" si="216"/>
        <v>0</v>
      </c>
      <c r="R255" s="175"/>
      <c r="S255" s="172">
        <f t="shared" si="222"/>
        <v>0</v>
      </c>
      <c r="T255" s="173">
        <f t="shared" si="222"/>
        <v>0</v>
      </c>
      <c r="U255" s="173">
        <f t="shared" si="217"/>
        <v>0</v>
      </c>
      <c r="V255" s="176"/>
      <c r="W255" s="227">
        <f t="shared" si="223"/>
        <v>0</v>
      </c>
      <c r="X255" s="173">
        <f t="shared" si="218"/>
        <v>0</v>
      </c>
      <c r="Y255" s="177">
        <f t="shared" si="218"/>
        <v>0</v>
      </c>
    </row>
    <row r="256" spans="1:77" s="83" customFormat="1" x14ac:dyDescent="0.25">
      <c r="A256" s="78"/>
      <c r="B256" s="78" t="s">
        <v>9</v>
      </c>
      <c r="C256" s="228">
        <f>SUM(C252:C255)</f>
        <v>0</v>
      </c>
      <c r="D256" s="125">
        <f>SUM(D252:D255)</f>
        <v>0</v>
      </c>
      <c r="E256" s="125">
        <f>SUM(E252:E255)</f>
        <v>0</v>
      </c>
      <c r="F256" s="81"/>
      <c r="G256" s="79">
        <f>SUM(G252:G255)</f>
        <v>0</v>
      </c>
      <c r="H256" s="80">
        <f>SUM(H252:H255)</f>
        <v>0</v>
      </c>
      <c r="I256" s="80">
        <f>SUM(I252:I255)</f>
        <v>0</v>
      </c>
      <c r="J256" s="81"/>
      <c r="K256" s="79">
        <f>SUM(K252:K255)</f>
        <v>0</v>
      </c>
      <c r="L256" s="80">
        <f>SUM(L252:L255)</f>
        <v>0</v>
      </c>
      <c r="M256" s="80">
        <f>SUM(M252:M255)</f>
        <v>0</v>
      </c>
      <c r="N256" s="81"/>
      <c r="O256" s="79">
        <f>SUM(O252:O255)</f>
        <v>0</v>
      </c>
      <c r="P256" s="80">
        <f>SUM(P252:P255)</f>
        <v>0</v>
      </c>
      <c r="Q256" s="80">
        <f>SUM(Q252:Q255)</f>
        <v>0</v>
      </c>
      <c r="R256" s="81"/>
      <c r="S256" s="79">
        <f>SUM(S252:S255)</f>
        <v>0</v>
      </c>
      <c r="T256" s="80">
        <f>SUM(T252:T255)</f>
        <v>0</v>
      </c>
      <c r="U256" s="80">
        <f>SUM(U252:U255)</f>
        <v>0</v>
      </c>
      <c r="V256" s="82"/>
      <c r="W256" s="228">
        <f t="shared" si="223"/>
        <v>0</v>
      </c>
      <c r="X256" s="80">
        <f t="shared" si="218"/>
        <v>0</v>
      </c>
      <c r="Y256" s="80">
        <f t="shared" si="218"/>
        <v>0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:L261" si="224">G258*1.03</f>
        <v>0</v>
      </c>
      <c r="L258" s="57">
        <f t="shared" si="224"/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Y262" si="225">C258+G258+K258+O258+S258</f>
        <v>0</v>
      </c>
      <c r="X258" s="57">
        <f t="shared" si="225"/>
        <v>0</v>
      </c>
      <c r="Y258" s="57">
        <f t="shared" ref="Y258:Y261" si="226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24">
        <v>0</v>
      </c>
      <c r="D259" s="56">
        <v>0</v>
      </c>
      <c r="E259" s="56">
        <f t="shared" ref="E259:E261" si="227">SUM(C259:D259)</f>
        <v>0</v>
      </c>
      <c r="F259" s="58"/>
      <c r="G259" s="55">
        <f t="shared" ref="G259:H261" si="228">C259*1.03</f>
        <v>0</v>
      </c>
      <c r="H259" s="57">
        <f t="shared" si="228"/>
        <v>0</v>
      </c>
      <c r="I259" s="57">
        <f t="shared" ref="I259:I261" si="229">SUM(G259:H259)</f>
        <v>0</v>
      </c>
      <c r="J259" s="58"/>
      <c r="K259" s="55">
        <f t="shared" si="224"/>
        <v>0</v>
      </c>
      <c r="L259" s="57">
        <f t="shared" si="224"/>
        <v>0</v>
      </c>
      <c r="M259" s="57">
        <f t="shared" ref="M259:M261" si="230">SUM(K259:L259)</f>
        <v>0</v>
      </c>
      <c r="N259" s="58"/>
      <c r="O259" s="55">
        <f t="shared" ref="O259:P261" si="231">K259*1.03</f>
        <v>0</v>
      </c>
      <c r="P259" s="57">
        <f t="shared" si="231"/>
        <v>0</v>
      </c>
      <c r="Q259" s="57">
        <f t="shared" ref="Q259:Q261" si="232">SUM(O259:P259)</f>
        <v>0</v>
      </c>
      <c r="R259" s="58"/>
      <c r="S259" s="55">
        <f t="shared" ref="S259:T261" si="233">O259*1.03</f>
        <v>0</v>
      </c>
      <c r="T259" s="57">
        <f t="shared" si="233"/>
        <v>0</v>
      </c>
      <c r="U259" s="57">
        <f t="shared" ref="U259:U261" si="234">SUM(S259:T259)</f>
        <v>0</v>
      </c>
      <c r="V259" s="59"/>
      <c r="W259" s="124">
        <f t="shared" si="225"/>
        <v>0</v>
      </c>
      <c r="X259" s="57">
        <f t="shared" si="225"/>
        <v>0</v>
      </c>
      <c r="Y259" s="57">
        <f t="shared" si="226"/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si="227"/>
        <v>0</v>
      </c>
      <c r="F260" s="58"/>
      <c r="G260" s="55">
        <f t="shared" si="228"/>
        <v>0</v>
      </c>
      <c r="H260" s="57">
        <f t="shared" si="228"/>
        <v>0</v>
      </c>
      <c r="I260" s="57">
        <f t="shared" si="229"/>
        <v>0</v>
      </c>
      <c r="J260" s="58"/>
      <c r="K260" s="55">
        <f t="shared" si="224"/>
        <v>0</v>
      </c>
      <c r="L260" s="57">
        <f t="shared" si="224"/>
        <v>0</v>
      </c>
      <c r="M260" s="57">
        <f t="shared" si="230"/>
        <v>0</v>
      </c>
      <c r="N260" s="58"/>
      <c r="O260" s="55">
        <f t="shared" si="231"/>
        <v>0</v>
      </c>
      <c r="P260" s="57">
        <f t="shared" si="231"/>
        <v>0</v>
      </c>
      <c r="Q260" s="57">
        <f t="shared" si="232"/>
        <v>0</v>
      </c>
      <c r="R260" s="58"/>
      <c r="S260" s="55">
        <f t="shared" si="233"/>
        <v>0</v>
      </c>
      <c r="T260" s="57">
        <f t="shared" si="233"/>
        <v>0</v>
      </c>
      <c r="U260" s="57">
        <f t="shared" si="234"/>
        <v>0</v>
      </c>
      <c r="V260" s="59"/>
      <c r="W260" s="124">
        <f t="shared" si="225"/>
        <v>0</v>
      </c>
      <c r="X260" s="57">
        <f t="shared" si="225"/>
        <v>0</v>
      </c>
      <c r="Y260" s="57">
        <f t="shared" si="226"/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227"/>
        <v>0</v>
      </c>
      <c r="F261" s="58"/>
      <c r="G261" s="55">
        <f t="shared" si="228"/>
        <v>0</v>
      </c>
      <c r="H261" s="57">
        <f t="shared" si="228"/>
        <v>0</v>
      </c>
      <c r="I261" s="57">
        <f t="shared" si="229"/>
        <v>0</v>
      </c>
      <c r="J261" s="58"/>
      <c r="K261" s="55">
        <f t="shared" si="224"/>
        <v>0</v>
      </c>
      <c r="L261" s="57">
        <f t="shared" si="224"/>
        <v>0</v>
      </c>
      <c r="M261" s="57">
        <f t="shared" si="230"/>
        <v>0</v>
      </c>
      <c r="N261" s="58"/>
      <c r="O261" s="55">
        <f t="shared" si="231"/>
        <v>0</v>
      </c>
      <c r="P261" s="57">
        <f t="shared" si="231"/>
        <v>0</v>
      </c>
      <c r="Q261" s="57">
        <f t="shared" si="232"/>
        <v>0</v>
      </c>
      <c r="R261" s="58"/>
      <c r="S261" s="55">
        <f t="shared" si="233"/>
        <v>0</v>
      </c>
      <c r="T261" s="57">
        <f t="shared" si="233"/>
        <v>0</v>
      </c>
      <c r="U261" s="57">
        <f t="shared" si="234"/>
        <v>0</v>
      </c>
      <c r="V261" s="59"/>
      <c r="W261" s="124">
        <f t="shared" si="225"/>
        <v>0</v>
      </c>
      <c r="X261" s="57">
        <f t="shared" si="225"/>
        <v>0</v>
      </c>
      <c r="Y261" s="57">
        <f t="shared" si="226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225"/>
        <v>0</v>
      </c>
      <c r="X262" s="80">
        <f t="shared" si="225"/>
        <v>0</v>
      </c>
      <c r="Y262" s="80">
        <f t="shared" si="225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235">C262+C256</f>
        <v>0</v>
      </c>
      <c r="D263" s="242">
        <f t="shared" si="235"/>
        <v>0</v>
      </c>
      <c r="E263" s="242">
        <f t="shared" si="235"/>
        <v>0</v>
      </c>
      <c r="F263" s="242">
        <f t="shared" si="235"/>
        <v>0</v>
      </c>
      <c r="G263" s="242">
        <f t="shared" si="235"/>
        <v>0</v>
      </c>
      <c r="H263" s="242">
        <f t="shared" si="235"/>
        <v>0</v>
      </c>
      <c r="I263" s="242">
        <f t="shared" si="235"/>
        <v>0</v>
      </c>
      <c r="J263" s="242">
        <f t="shared" si="235"/>
        <v>0</v>
      </c>
      <c r="K263" s="242">
        <f t="shared" si="235"/>
        <v>0</v>
      </c>
      <c r="L263" s="242">
        <f t="shared" si="235"/>
        <v>0</v>
      </c>
      <c r="M263" s="242">
        <f t="shared" si="235"/>
        <v>0</v>
      </c>
      <c r="N263" s="242">
        <f t="shared" si="235"/>
        <v>0</v>
      </c>
      <c r="O263" s="242">
        <f t="shared" si="235"/>
        <v>0</v>
      </c>
      <c r="P263" s="242">
        <f t="shared" si="235"/>
        <v>0</v>
      </c>
      <c r="Q263" s="242">
        <f t="shared" si="235"/>
        <v>0</v>
      </c>
      <c r="R263" s="242">
        <f t="shared" si="235"/>
        <v>0</v>
      </c>
      <c r="S263" s="242">
        <f t="shared" si="235"/>
        <v>0</v>
      </c>
      <c r="T263" s="242">
        <f t="shared" si="235"/>
        <v>0</v>
      </c>
      <c r="U263" s="242">
        <f t="shared" si="235"/>
        <v>0</v>
      </c>
      <c r="V263" s="242">
        <f t="shared" si="235"/>
        <v>0</v>
      </c>
      <c r="W263" s="242">
        <f t="shared" si="235"/>
        <v>0</v>
      </c>
      <c r="X263" s="242">
        <f t="shared" si="235"/>
        <v>0</v>
      </c>
      <c r="Y263" s="243">
        <f>E263+I263+M263+Q263+U263</f>
        <v>0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56">
        <f t="shared" ref="E265:E267" si="236">SUM(C265:D265)</f>
        <v>0</v>
      </c>
      <c r="F265" s="58"/>
      <c r="G265" s="124">
        <f>G258*A265*1.03*1.03</f>
        <v>0</v>
      </c>
      <c r="H265" s="56">
        <f>H258*A265*1.03</f>
        <v>0</v>
      </c>
      <c r="I265" s="57">
        <f t="shared" ref="I265:I267" si="237">SUM(G265:H265)</f>
        <v>0</v>
      </c>
      <c r="J265" s="58"/>
      <c r="K265" s="124">
        <f>K258*A265*1.03*1.03*1.03</f>
        <v>0</v>
      </c>
      <c r="L265" s="56">
        <f>L258*A265*1.03*1.03</f>
        <v>0</v>
      </c>
      <c r="M265" s="57">
        <f t="shared" ref="M265:M267" si="238">SUM(K265:L265)</f>
        <v>0</v>
      </c>
      <c r="N265" s="58"/>
      <c r="O265" s="124">
        <f>O258*A265*1.03*1.03*1.03*1.03</f>
        <v>0</v>
      </c>
      <c r="P265" s="56">
        <f>P258*A265*1.03*1.03*1.03</f>
        <v>0</v>
      </c>
      <c r="Q265" s="57">
        <f t="shared" ref="Q265:Q267" si="239">SUM(O265:P265)</f>
        <v>0</v>
      </c>
      <c r="R265" s="58"/>
      <c r="S265" s="124">
        <f>S258*A265*1.03*1.03*1.03*1.03*1.03</f>
        <v>0</v>
      </c>
      <c r="T265" s="56">
        <f>T258*A265*1.03*1.03*1.03*1.03</f>
        <v>0</v>
      </c>
      <c r="U265" s="57">
        <f t="shared" ref="U265:U267" si="240">SUM(S265:T265)</f>
        <v>0</v>
      </c>
      <c r="V265" s="59"/>
      <c r="W265" s="124">
        <f t="shared" ref="W265:Y268" si="241">C265+G265+K265+O265+S265</f>
        <v>0</v>
      </c>
      <c r="X265" s="57">
        <f t="shared" si="241"/>
        <v>0</v>
      </c>
      <c r="Y265" s="84">
        <f t="shared" si="241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0</v>
      </c>
      <c r="D266" s="56">
        <f>D256*A266*1.03</f>
        <v>0</v>
      </c>
      <c r="E266" s="56">
        <f t="shared" si="236"/>
        <v>0</v>
      </c>
      <c r="F266" s="58"/>
      <c r="G266" s="124">
        <f>G256*A266*1.03*1.03</f>
        <v>0</v>
      </c>
      <c r="H266" s="56">
        <f>H256*A266*1.03*1.03</f>
        <v>0</v>
      </c>
      <c r="I266" s="57">
        <f t="shared" si="237"/>
        <v>0</v>
      </c>
      <c r="J266" s="58"/>
      <c r="K266" s="124">
        <f>K260*A266*1.03*1.03</f>
        <v>0</v>
      </c>
      <c r="L266" s="56">
        <f>L260*A266*1.03*1.03</f>
        <v>0</v>
      </c>
      <c r="M266" s="57">
        <f t="shared" si="238"/>
        <v>0</v>
      </c>
      <c r="N266" s="58"/>
      <c r="O266" s="124">
        <f>O260*A266*1.03*1.03*1.03</f>
        <v>0</v>
      </c>
      <c r="P266" s="56">
        <f>P260*A266*1.03*1.03*1.03</f>
        <v>0</v>
      </c>
      <c r="Q266" s="57">
        <f t="shared" si="239"/>
        <v>0</v>
      </c>
      <c r="R266" s="58"/>
      <c r="S266" s="124">
        <f>S260*A266*1.03*1.03*1.03*1.03</f>
        <v>0</v>
      </c>
      <c r="T266" s="56">
        <f>T260*A266*1.03*1.03*1.03*1.03</f>
        <v>0</v>
      </c>
      <c r="U266" s="57">
        <f t="shared" si="240"/>
        <v>0</v>
      </c>
      <c r="V266" s="59"/>
      <c r="W266" s="124">
        <f t="shared" si="241"/>
        <v>0</v>
      </c>
      <c r="X266" s="57">
        <f t="shared" si="241"/>
        <v>0</v>
      </c>
      <c r="Y266" s="84">
        <f t="shared" si="241"/>
        <v>0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56">
        <f t="shared" si="236"/>
        <v>0</v>
      </c>
      <c r="F267" s="58"/>
      <c r="G267" s="55">
        <f>C267*1.05</f>
        <v>0</v>
      </c>
      <c r="H267" s="57">
        <f>D267*1.05</f>
        <v>0</v>
      </c>
      <c r="I267" s="57">
        <f t="shared" si="237"/>
        <v>0</v>
      </c>
      <c r="J267" s="58"/>
      <c r="K267" s="55">
        <f>K256*A266*1.03*1.03*1.03</f>
        <v>0</v>
      </c>
      <c r="L267" s="56">
        <f>L256*A266*1.03*1.03*1.03</f>
        <v>0</v>
      </c>
      <c r="M267" s="57">
        <f t="shared" si="238"/>
        <v>0</v>
      </c>
      <c r="N267" s="58"/>
      <c r="O267" s="55">
        <f>O256*A266*1.03*1.03*1.03*1.03</f>
        <v>0</v>
      </c>
      <c r="P267" s="56">
        <f>P256*A266*1.03*1.03*1.03*1.03</f>
        <v>0</v>
      </c>
      <c r="Q267" s="57">
        <f t="shared" si="239"/>
        <v>0</v>
      </c>
      <c r="R267" s="58"/>
      <c r="S267" s="55">
        <f>S256*A266*1.03*1.03*1.03*1.03*1.03</f>
        <v>0</v>
      </c>
      <c r="T267" s="56">
        <f>T256*A266*1.03*1.03*1.03*1.03*1.03</f>
        <v>0</v>
      </c>
      <c r="U267" s="57">
        <f t="shared" si="240"/>
        <v>0</v>
      </c>
      <c r="V267" s="59"/>
      <c r="W267" s="124">
        <f t="shared" si="241"/>
        <v>0</v>
      </c>
      <c r="X267" s="57">
        <f t="shared" si="241"/>
        <v>0</v>
      </c>
      <c r="Y267" s="84">
        <f t="shared" si="241"/>
        <v>0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0</v>
      </c>
      <c r="D268" s="125">
        <f>SUM(D265:D267)</f>
        <v>0</v>
      </c>
      <c r="E268" s="125">
        <f>SUM(E265:E267)</f>
        <v>0</v>
      </c>
      <c r="F268" s="81"/>
      <c r="G268" s="79">
        <f>SUM(G265:G267)</f>
        <v>0</v>
      </c>
      <c r="H268" s="80">
        <f>SUM(H265:H267)</f>
        <v>0</v>
      </c>
      <c r="I268" s="80">
        <f>SUM(I265:I267)</f>
        <v>0</v>
      </c>
      <c r="J268" s="81"/>
      <c r="K268" s="79">
        <f>SUM(K265:K267)</f>
        <v>0</v>
      </c>
      <c r="L268" s="80">
        <f>SUM(L265:L267)</f>
        <v>0</v>
      </c>
      <c r="M268" s="80">
        <f>SUM(M265:M267)</f>
        <v>0</v>
      </c>
      <c r="N268" s="81"/>
      <c r="O268" s="79">
        <f>SUM(O265:O267)</f>
        <v>0</v>
      </c>
      <c r="P268" s="80">
        <f>SUM(P265:P267)</f>
        <v>0</v>
      </c>
      <c r="Q268" s="80">
        <f>SUM(Q265:Q267)</f>
        <v>0</v>
      </c>
      <c r="R268" s="81"/>
      <c r="S268" s="79">
        <f>SUM(S265:S267)</f>
        <v>0</v>
      </c>
      <c r="T268" s="80">
        <f>SUM(T265:T267)</f>
        <v>0</v>
      </c>
      <c r="U268" s="80">
        <f>SUM(U265:U267)</f>
        <v>0</v>
      </c>
      <c r="V268" s="82"/>
      <c r="W268" s="228">
        <f t="shared" si="241"/>
        <v>0</v>
      </c>
      <c r="X268" s="80">
        <f t="shared" si="241"/>
        <v>0</v>
      </c>
      <c r="Y268" s="80">
        <f t="shared" si="241"/>
        <v>0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242">C268+C263</f>
        <v>0</v>
      </c>
      <c r="D269" s="242">
        <f t="shared" si="242"/>
        <v>0</v>
      </c>
      <c r="E269" s="242">
        <f t="shared" si="242"/>
        <v>0</v>
      </c>
      <c r="F269" s="242">
        <f t="shared" si="242"/>
        <v>0</v>
      </c>
      <c r="G269" s="242">
        <f t="shared" si="242"/>
        <v>0</v>
      </c>
      <c r="H269" s="242">
        <f t="shared" si="242"/>
        <v>0</v>
      </c>
      <c r="I269" s="242">
        <f t="shared" si="242"/>
        <v>0</v>
      </c>
      <c r="J269" s="242">
        <f t="shared" si="242"/>
        <v>0</v>
      </c>
      <c r="K269" s="242">
        <f t="shared" si="242"/>
        <v>0</v>
      </c>
      <c r="L269" s="242">
        <f t="shared" si="242"/>
        <v>0</v>
      </c>
      <c r="M269" s="242">
        <f t="shared" si="242"/>
        <v>0</v>
      </c>
      <c r="N269" s="242">
        <f t="shared" si="242"/>
        <v>0</v>
      </c>
      <c r="O269" s="242">
        <f t="shared" si="242"/>
        <v>0</v>
      </c>
      <c r="P269" s="242">
        <f t="shared" si="242"/>
        <v>0</v>
      </c>
      <c r="Q269" s="242">
        <f t="shared" si="242"/>
        <v>0</v>
      </c>
      <c r="R269" s="242">
        <f t="shared" si="242"/>
        <v>0</v>
      </c>
      <c r="S269" s="242">
        <f t="shared" si="242"/>
        <v>0</v>
      </c>
      <c r="T269" s="242">
        <f t="shared" si="242"/>
        <v>0</v>
      </c>
      <c r="U269" s="242">
        <f t="shared" si="242"/>
        <v>0</v>
      </c>
      <c r="V269" s="242">
        <f t="shared" si="242"/>
        <v>0</v>
      </c>
      <c r="W269" s="242">
        <f t="shared" si="242"/>
        <v>0</v>
      </c>
      <c r="X269" s="242">
        <f t="shared" si="242"/>
        <v>0</v>
      </c>
      <c r="Y269" s="242">
        <f t="shared" si="242"/>
        <v>0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243">SUM(C271:D271)</f>
        <v>0</v>
      </c>
      <c r="F271" s="58"/>
      <c r="G271" s="55">
        <v>0</v>
      </c>
      <c r="H271" s="57">
        <v>0</v>
      </c>
      <c r="I271" s="57">
        <f t="shared" ref="I271:I273" si="244">SUM(G271:H271)</f>
        <v>0</v>
      </c>
      <c r="J271" s="58"/>
      <c r="K271" s="55">
        <v>0</v>
      </c>
      <c r="L271" s="57">
        <v>0</v>
      </c>
      <c r="M271" s="57">
        <f t="shared" ref="M271:M273" si="245">SUM(K271:L271)</f>
        <v>0</v>
      </c>
      <c r="N271" s="58"/>
      <c r="O271" s="55">
        <v>0</v>
      </c>
      <c r="P271" s="57">
        <v>0</v>
      </c>
      <c r="Q271" s="57">
        <f t="shared" ref="Q271:Q273" si="246">SUM(O271:P271)</f>
        <v>0</v>
      </c>
      <c r="R271" s="58"/>
      <c r="S271" s="55">
        <v>0</v>
      </c>
      <c r="T271" s="57">
        <v>0</v>
      </c>
      <c r="U271" s="57">
        <f t="shared" ref="U271:U273" si="247">SUM(S271:T271)</f>
        <v>0</v>
      </c>
      <c r="V271" s="59"/>
      <c r="W271" s="124">
        <f t="shared" ref="W271:Y274" si="248">C271+G271+K271+O271+S271</f>
        <v>0</v>
      </c>
      <c r="X271" s="57">
        <f t="shared" si="248"/>
        <v>0</v>
      </c>
      <c r="Y271" s="84">
        <f t="shared" si="248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243"/>
        <v>0</v>
      </c>
      <c r="F272" s="58"/>
      <c r="G272" s="55">
        <v>0</v>
      </c>
      <c r="H272" s="57">
        <v>0</v>
      </c>
      <c r="I272" s="57">
        <f t="shared" si="244"/>
        <v>0</v>
      </c>
      <c r="J272" s="58"/>
      <c r="K272" s="55">
        <v>0</v>
      </c>
      <c r="L272" s="57">
        <v>0</v>
      </c>
      <c r="M272" s="57">
        <f t="shared" si="245"/>
        <v>0</v>
      </c>
      <c r="N272" s="58"/>
      <c r="O272" s="55">
        <f>K272</f>
        <v>0</v>
      </c>
      <c r="P272" s="57">
        <v>0</v>
      </c>
      <c r="Q272" s="57">
        <f t="shared" si="246"/>
        <v>0</v>
      </c>
      <c r="R272" s="58"/>
      <c r="S272" s="55">
        <f>O272</f>
        <v>0</v>
      </c>
      <c r="T272" s="57">
        <v>0</v>
      </c>
      <c r="U272" s="57">
        <f t="shared" si="247"/>
        <v>0</v>
      </c>
      <c r="V272" s="59"/>
      <c r="W272" s="124">
        <f t="shared" si="248"/>
        <v>0</v>
      </c>
      <c r="X272" s="57">
        <f t="shared" si="248"/>
        <v>0</v>
      </c>
      <c r="Y272" s="84">
        <f t="shared" si="248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243"/>
        <v>0</v>
      </c>
      <c r="F273" s="58"/>
      <c r="G273" s="55">
        <v>0</v>
      </c>
      <c r="H273" s="57">
        <v>0</v>
      </c>
      <c r="I273" s="57">
        <f t="shared" si="244"/>
        <v>0</v>
      </c>
      <c r="J273" s="58"/>
      <c r="K273" s="55">
        <f>G273</f>
        <v>0</v>
      </c>
      <c r="L273" s="57">
        <v>0</v>
      </c>
      <c r="M273" s="57">
        <f t="shared" si="245"/>
        <v>0</v>
      </c>
      <c r="N273" s="58"/>
      <c r="O273" s="55">
        <v>0</v>
      </c>
      <c r="P273" s="57">
        <v>0</v>
      </c>
      <c r="Q273" s="57">
        <f t="shared" si="246"/>
        <v>0</v>
      </c>
      <c r="R273" s="58"/>
      <c r="S273" s="55">
        <f>O273</f>
        <v>0</v>
      </c>
      <c r="T273" s="57">
        <v>0</v>
      </c>
      <c r="U273" s="57">
        <f t="shared" si="247"/>
        <v>0</v>
      </c>
      <c r="V273" s="59"/>
      <c r="W273" s="124">
        <f t="shared" si="248"/>
        <v>0</v>
      </c>
      <c r="X273" s="57">
        <f t="shared" si="248"/>
        <v>0</v>
      </c>
      <c r="Y273" s="84">
        <f t="shared" si="248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248"/>
        <v>0</v>
      </c>
      <c r="X274" s="80">
        <f t="shared" si="248"/>
        <v>0</v>
      </c>
      <c r="Y274" s="80">
        <f t="shared" si="248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144</v>
      </c>
      <c r="C276" s="124">
        <f>12*800*0.5*0</f>
        <v>0</v>
      </c>
      <c r="D276" s="56">
        <f>12*800*0.5*0</f>
        <v>0</v>
      </c>
      <c r="E276" s="56">
        <f t="shared" ref="E276:E278" si="249">SUM(C276:D276)</f>
        <v>0</v>
      </c>
      <c r="F276" s="58"/>
      <c r="G276" s="55">
        <f>C276</f>
        <v>0</v>
      </c>
      <c r="H276" s="57">
        <f>D276</f>
        <v>0</v>
      </c>
      <c r="I276" s="57">
        <f t="shared" ref="I276:I278" si="250">SUM(G276:H276)</f>
        <v>0</v>
      </c>
      <c r="J276" s="58"/>
      <c r="K276" s="55">
        <f>G276</f>
        <v>0</v>
      </c>
      <c r="L276" s="57">
        <f>H276</f>
        <v>0</v>
      </c>
      <c r="M276" s="57">
        <f t="shared" ref="M276:M278" si="251">SUM(K276:L276)</f>
        <v>0</v>
      </c>
      <c r="N276" s="58"/>
      <c r="O276" s="55">
        <f>K276</f>
        <v>0</v>
      </c>
      <c r="P276" s="57">
        <f>L276</f>
        <v>0</v>
      </c>
      <c r="Q276" s="57">
        <f t="shared" ref="Q276:Q278" si="252">SUM(O276:P276)</f>
        <v>0</v>
      </c>
      <c r="R276" s="58"/>
      <c r="S276" s="55">
        <f>O276</f>
        <v>0</v>
      </c>
      <c r="T276" s="57">
        <f>P276</f>
        <v>0</v>
      </c>
      <c r="U276" s="57">
        <f t="shared" ref="U276:U278" si="253">SUM(S276:T276)</f>
        <v>0</v>
      </c>
      <c r="V276" s="59"/>
      <c r="W276" s="124">
        <f t="shared" ref="W276:Y279" si="254">C276+G276+K276+O276+S276</f>
        <v>0</v>
      </c>
      <c r="X276" s="57">
        <f t="shared" si="254"/>
        <v>0</v>
      </c>
      <c r="Y276" s="84">
        <f t="shared" si="254"/>
        <v>0</v>
      </c>
    </row>
    <row r="277" spans="1:77" s="61" customFormat="1" x14ac:dyDescent="0.25">
      <c r="A277" s="203"/>
      <c r="B277" s="52" t="s">
        <v>57</v>
      </c>
      <c r="C277" s="124">
        <f>2000*5*0.5*0</f>
        <v>0</v>
      </c>
      <c r="D277" s="56">
        <f>2000*5*0.5*0</f>
        <v>0</v>
      </c>
      <c r="E277" s="56">
        <f t="shared" si="249"/>
        <v>0</v>
      </c>
      <c r="F277" s="58"/>
      <c r="G277" s="55">
        <f>C277</f>
        <v>0</v>
      </c>
      <c r="H277" s="57">
        <f>D277</f>
        <v>0</v>
      </c>
      <c r="I277" s="57">
        <f t="shared" si="250"/>
        <v>0</v>
      </c>
      <c r="J277" s="58"/>
      <c r="K277" s="55">
        <f>G277</f>
        <v>0</v>
      </c>
      <c r="L277" s="57">
        <f>H277</f>
        <v>0</v>
      </c>
      <c r="M277" s="57">
        <f t="shared" si="251"/>
        <v>0</v>
      </c>
      <c r="N277" s="58"/>
      <c r="O277" s="55">
        <f>K277</f>
        <v>0</v>
      </c>
      <c r="P277" s="57">
        <f>L277</f>
        <v>0</v>
      </c>
      <c r="Q277" s="57">
        <f t="shared" si="252"/>
        <v>0</v>
      </c>
      <c r="R277" s="58"/>
      <c r="S277" s="55">
        <f>O277</f>
        <v>0</v>
      </c>
      <c r="T277" s="57">
        <f>P277</f>
        <v>0</v>
      </c>
      <c r="U277" s="57">
        <f t="shared" si="253"/>
        <v>0</v>
      </c>
      <c r="V277" s="59"/>
      <c r="W277" s="124">
        <f t="shared" si="254"/>
        <v>0</v>
      </c>
      <c r="X277" s="57">
        <f t="shared" si="254"/>
        <v>0</v>
      </c>
      <c r="Y277" s="84">
        <f t="shared" si="254"/>
        <v>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si="249"/>
        <v>0</v>
      </c>
      <c r="F278" s="58"/>
      <c r="G278" s="55">
        <v>0</v>
      </c>
      <c r="H278" s="57">
        <v>0</v>
      </c>
      <c r="I278" s="57">
        <f t="shared" si="250"/>
        <v>0</v>
      </c>
      <c r="J278" s="58"/>
      <c r="K278" s="55">
        <v>0</v>
      </c>
      <c r="L278" s="57">
        <v>0</v>
      </c>
      <c r="M278" s="57">
        <f t="shared" si="251"/>
        <v>0</v>
      </c>
      <c r="N278" s="58"/>
      <c r="O278" s="55">
        <v>0</v>
      </c>
      <c r="P278" s="57">
        <v>0</v>
      </c>
      <c r="Q278" s="57">
        <f t="shared" si="252"/>
        <v>0</v>
      </c>
      <c r="R278" s="58"/>
      <c r="S278" s="55">
        <v>0</v>
      </c>
      <c r="T278" s="57">
        <v>0</v>
      </c>
      <c r="U278" s="57">
        <f t="shared" si="253"/>
        <v>0</v>
      </c>
      <c r="V278" s="59"/>
      <c r="W278" s="124">
        <f t="shared" si="254"/>
        <v>0</v>
      </c>
      <c r="X278" s="57">
        <f t="shared" si="254"/>
        <v>0</v>
      </c>
      <c r="Y278" s="84">
        <f t="shared" si="254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0</v>
      </c>
      <c r="D279" s="125">
        <f>SUM(D276:D278)</f>
        <v>0</v>
      </c>
      <c r="E279" s="125">
        <f>SUM(E276:E278)</f>
        <v>0</v>
      </c>
      <c r="F279" s="81"/>
      <c r="G279" s="79">
        <f>SUM(G276:G278)</f>
        <v>0</v>
      </c>
      <c r="H279" s="80">
        <f>SUM(H276:H278)</f>
        <v>0</v>
      </c>
      <c r="I279" s="80">
        <f>SUM(I276:I278)</f>
        <v>0</v>
      </c>
      <c r="J279" s="81"/>
      <c r="K279" s="79">
        <f>SUM(K276:K278)</f>
        <v>0</v>
      </c>
      <c r="L279" s="80">
        <f>SUM(L276:L278)</f>
        <v>0</v>
      </c>
      <c r="M279" s="80">
        <f>SUM(M276:M278)</f>
        <v>0</v>
      </c>
      <c r="N279" s="81"/>
      <c r="O279" s="79">
        <f>SUM(O276:O278)</f>
        <v>0</v>
      </c>
      <c r="P279" s="80">
        <f>SUM(P276:P278)</f>
        <v>0</v>
      </c>
      <c r="Q279" s="80">
        <f>SUM(Q276:Q278)</f>
        <v>0</v>
      </c>
      <c r="R279" s="81"/>
      <c r="S279" s="79">
        <f>SUM(S276:S278)</f>
        <v>0</v>
      </c>
      <c r="T279" s="80">
        <f>SUM(T276:T278)</f>
        <v>0</v>
      </c>
      <c r="U279" s="80">
        <f>SUM(U276:U278)</f>
        <v>0</v>
      </c>
      <c r="V279" s="82"/>
      <c r="W279" s="228">
        <f t="shared" si="254"/>
        <v>0</v>
      </c>
      <c r="X279" s="80">
        <f t="shared" si="254"/>
        <v>0</v>
      </c>
      <c r="Y279" s="80">
        <f t="shared" si="254"/>
        <v>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Y283" si="255">C281+G281+K281+O281+S281</f>
        <v>0</v>
      </c>
      <c r="X281" s="57">
        <f t="shared" si="255"/>
        <v>0</v>
      </c>
      <c r="Y281" s="84">
        <f t="shared" si="255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255"/>
        <v>0</v>
      </c>
      <c r="X282" s="56">
        <f t="shared" si="255"/>
        <v>0</v>
      </c>
      <c r="Y282" s="85">
        <f t="shared" si="255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255"/>
        <v>0</v>
      </c>
      <c r="X283" s="80">
        <f t="shared" si="255"/>
        <v>0</v>
      </c>
      <c r="Y283" s="80">
        <f t="shared" si="255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169" customFormat="1" x14ac:dyDescent="0.25">
      <c r="B285" s="169" t="s">
        <v>116</v>
      </c>
      <c r="C285" s="172">
        <v>0</v>
      </c>
      <c r="D285" s="174">
        <v>0</v>
      </c>
      <c r="E285" s="173">
        <f t="shared" ref="E285" si="256">SUM(C285:D285)</f>
        <v>0</v>
      </c>
      <c r="F285" s="175"/>
      <c r="G285" s="172">
        <f>C285</f>
        <v>0</v>
      </c>
      <c r="H285" s="174">
        <v>0</v>
      </c>
      <c r="I285" s="173">
        <f t="shared" ref="I285" si="257">SUM(G285:H285)</f>
        <v>0</v>
      </c>
      <c r="J285" s="175"/>
      <c r="K285" s="172">
        <f>G285</f>
        <v>0</v>
      </c>
      <c r="L285" s="174">
        <v>0</v>
      </c>
      <c r="M285" s="173">
        <f t="shared" ref="M285" si="258">SUM(K285:L285)</f>
        <v>0</v>
      </c>
      <c r="N285" s="175"/>
      <c r="O285" s="172">
        <f>K285</f>
        <v>0</v>
      </c>
      <c r="P285" s="174">
        <v>0</v>
      </c>
      <c r="Q285" s="174">
        <f t="shared" ref="Q285" si="259">SUM(O285:P285)</f>
        <v>0</v>
      </c>
      <c r="R285" s="175"/>
      <c r="S285" s="172">
        <f>O285</f>
        <v>0</v>
      </c>
      <c r="T285" s="174">
        <v>0</v>
      </c>
      <c r="U285" s="173">
        <f t="shared" ref="U285" si="260">SUM(S285:T285)</f>
        <v>0</v>
      </c>
      <c r="V285" s="176"/>
      <c r="W285" s="227">
        <f t="shared" ref="W285:Y289" si="261">C285+G285+K285+O285+S285</f>
        <v>0</v>
      </c>
      <c r="X285" s="173">
        <f t="shared" si="261"/>
        <v>0</v>
      </c>
      <c r="Y285" s="186">
        <f t="shared" si="261"/>
        <v>0</v>
      </c>
    </row>
    <row r="286" spans="1:77" s="61" customFormat="1" x14ac:dyDescent="0.25">
      <c r="A286" s="203"/>
      <c r="B286" s="54" t="s">
        <v>57</v>
      </c>
      <c r="C286" s="124">
        <v>0</v>
      </c>
      <c r="D286" s="56">
        <v>0</v>
      </c>
      <c r="E286" s="56">
        <f t="shared" ref="E286:E288" si="262">SUM(C286:D286)</f>
        <v>0</v>
      </c>
      <c r="F286" s="58"/>
      <c r="G286" s="55">
        <v>0</v>
      </c>
      <c r="H286" s="57">
        <v>0</v>
      </c>
      <c r="I286" s="57">
        <f t="shared" ref="I286:I288" si="263">SUM(G286:H286)</f>
        <v>0</v>
      </c>
      <c r="J286" s="58"/>
      <c r="K286" s="55">
        <v>0</v>
      </c>
      <c r="L286" s="56">
        <v>0</v>
      </c>
      <c r="M286" s="57">
        <f t="shared" ref="M286:M288" si="264">SUM(K286:L286)</f>
        <v>0</v>
      </c>
      <c r="N286" s="58"/>
      <c r="O286" s="55">
        <v>0</v>
      </c>
      <c r="P286" s="57">
        <v>0</v>
      </c>
      <c r="Q286" s="57">
        <f t="shared" ref="Q286:Q288" si="265">SUM(O286:P286)</f>
        <v>0</v>
      </c>
      <c r="R286" s="58"/>
      <c r="S286" s="55">
        <v>0</v>
      </c>
      <c r="T286" s="56">
        <v>0</v>
      </c>
      <c r="U286" s="57">
        <f t="shared" ref="U286:U288" si="266">SUM(S286:T286)</f>
        <v>0</v>
      </c>
      <c r="V286" s="59"/>
      <c r="W286" s="124">
        <f t="shared" si="261"/>
        <v>0</v>
      </c>
      <c r="X286" s="57">
        <f t="shared" si="261"/>
        <v>0</v>
      </c>
      <c r="Y286" s="84">
        <f t="shared" si="261"/>
        <v>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si="262"/>
        <v>0</v>
      </c>
      <c r="F287" s="58"/>
      <c r="G287" s="55">
        <v>0</v>
      </c>
      <c r="H287" s="57"/>
      <c r="I287" s="57">
        <f t="shared" si="263"/>
        <v>0</v>
      </c>
      <c r="J287" s="58"/>
      <c r="K287" s="55">
        <v>0</v>
      </c>
      <c r="L287" s="56">
        <v>0</v>
      </c>
      <c r="M287" s="57">
        <f t="shared" si="264"/>
        <v>0</v>
      </c>
      <c r="N287" s="58"/>
      <c r="O287" s="55">
        <v>0</v>
      </c>
      <c r="P287" s="56">
        <v>0</v>
      </c>
      <c r="Q287" s="56">
        <f t="shared" si="265"/>
        <v>0</v>
      </c>
      <c r="R287" s="58"/>
      <c r="S287" s="55">
        <v>0</v>
      </c>
      <c r="T287" s="56">
        <v>0</v>
      </c>
      <c r="U287" s="57">
        <f t="shared" si="266"/>
        <v>0</v>
      </c>
      <c r="V287" s="59"/>
      <c r="W287" s="124">
        <f t="shared" si="261"/>
        <v>0</v>
      </c>
      <c r="X287" s="57">
        <f t="shared" si="261"/>
        <v>0</v>
      </c>
      <c r="Y287" s="84">
        <f t="shared" si="261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262"/>
        <v>0</v>
      </c>
      <c r="F288" s="58"/>
      <c r="G288" s="55">
        <v>0</v>
      </c>
      <c r="H288" s="57">
        <v>0</v>
      </c>
      <c r="I288" s="57">
        <f t="shared" si="263"/>
        <v>0</v>
      </c>
      <c r="J288" s="58"/>
      <c r="K288" s="55">
        <v>0</v>
      </c>
      <c r="L288" s="57">
        <v>0</v>
      </c>
      <c r="M288" s="57">
        <f t="shared" si="264"/>
        <v>0</v>
      </c>
      <c r="N288" s="58"/>
      <c r="O288" s="55">
        <v>0</v>
      </c>
      <c r="P288" s="57">
        <v>0</v>
      </c>
      <c r="Q288" s="57">
        <f t="shared" si="265"/>
        <v>0</v>
      </c>
      <c r="R288" s="58"/>
      <c r="S288" s="55">
        <v>0</v>
      </c>
      <c r="T288" s="57">
        <v>0</v>
      </c>
      <c r="U288" s="57">
        <f t="shared" si="266"/>
        <v>0</v>
      </c>
      <c r="V288" s="59"/>
      <c r="W288" s="124">
        <f t="shared" si="261"/>
        <v>0</v>
      </c>
      <c r="X288" s="57">
        <f t="shared" si="261"/>
        <v>0</v>
      </c>
      <c r="Y288" s="84">
        <f t="shared" si="261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0</v>
      </c>
      <c r="D289" s="153">
        <f>SUM(D285:D288)</f>
        <v>0</v>
      </c>
      <c r="E289" s="153">
        <f>SUM(E285:E288)</f>
        <v>0</v>
      </c>
      <c r="F289" s="154"/>
      <c r="G289" s="152">
        <f>SUM(G285:G288)</f>
        <v>0</v>
      </c>
      <c r="H289" s="155">
        <f>SUM(H285:H288)</f>
        <v>0</v>
      </c>
      <c r="I289" s="155">
        <f>SUM(I285:I288)</f>
        <v>0</v>
      </c>
      <c r="J289" s="154"/>
      <c r="K289" s="152">
        <f>SUM(K285:K288)</f>
        <v>0</v>
      </c>
      <c r="L289" s="155">
        <f>SUM(L285:L288)</f>
        <v>0</v>
      </c>
      <c r="M289" s="155">
        <f>SUM(M285:M288)</f>
        <v>0</v>
      </c>
      <c r="N289" s="154"/>
      <c r="O289" s="152">
        <f>SUM(O285:O288)</f>
        <v>0</v>
      </c>
      <c r="P289" s="155">
        <f>SUM(P285:P288)</f>
        <v>0</v>
      </c>
      <c r="Q289" s="155">
        <f>SUM(Q285:Q288)</f>
        <v>0</v>
      </c>
      <c r="R289" s="154"/>
      <c r="S289" s="152">
        <f>SUM(S285:S288)</f>
        <v>0</v>
      </c>
      <c r="T289" s="155">
        <f>SUM(T285:T288)</f>
        <v>0</v>
      </c>
      <c r="U289" s="155">
        <f>SUM(U285:U288)</f>
        <v>0</v>
      </c>
      <c r="V289" s="82"/>
      <c r="W289" s="228">
        <f t="shared" si="261"/>
        <v>0</v>
      </c>
      <c r="X289" s="80">
        <f t="shared" si="261"/>
        <v>0</v>
      </c>
      <c r="Y289" s="80">
        <f t="shared" si="261"/>
        <v>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267">SUM(C269+C274+C279+C283+C289)</f>
        <v>0</v>
      </c>
      <c r="D290" s="246">
        <f t="shared" si="267"/>
        <v>0</v>
      </c>
      <c r="E290" s="246">
        <f t="shared" si="267"/>
        <v>0</v>
      </c>
      <c r="F290" s="246">
        <f t="shared" si="267"/>
        <v>0</v>
      </c>
      <c r="G290" s="246">
        <f t="shared" si="267"/>
        <v>0</v>
      </c>
      <c r="H290" s="246">
        <f t="shared" si="267"/>
        <v>0</v>
      </c>
      <c r="I290" s="246">
        <f t="shared" si="267"/>
        <v>0</v>
      </c>
      <c r="J290" s="246">
        <f t="shared" si="267"/>
        <v>0</v>
      </c>
      <c r="K290" s="246">
        <f t="shared" si="267"/>
        <v>0</v>
      </c>
      <c r="L290" s="246">
        <f t="shared" si="267"/>
        <v>0</v>
      </c>
      <c r="M290" s="246">
        <f t="shared" si="267"/>
        <v>0</v>
      </c>
      <c r="N290" s="246">
        <f t="shared" si="267"/>
        <v>0</v>
      </c>
      <c r="O290" s="246">
        <f t="shared" si="267"/>
        <v>0</v>
      </c>
      <c r="P290" s="246">
        <f t="shared" si="267"/>
        <v>0</v>
      </c>
      <c r="Q290" s="246">
        <f t="shared" si="267"/>
        <v>0</v>
      </c>
      <c r="R290" s="246">
        <f t="shared" si="267"/>
        <v>0</v>
      </c>
      <c r="S290" s="246">
        <f t="shared" si="267"/>
        <v>0</v>
      </c>
      <c r="T290" s="246">
        <f t="shared" si="267"/>
        <v>0</v>
      </c>
      <c r="U290" s="246">
        <f t="shared" si="267"/>
        <v>0</v>
      </c>
      <c r="V290" s="246">
        <f t="shared" si="267"/>
        <v>0</v>
      </c>
      <c r="W290" s="246">
        <f t="shared" si="267"/>
        <v>0</v>
      </c>
      <c r="X290" s="246">
        <f t="shared" si="267"/>
        <v>0</v>
      </c>
      <c r="Y290" s="246">
        <f t="shared" si="267"/>
        <v>0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0</v>
      </c>
      <c r="D291" s="246">
        <v>0</v>
      </c>
      <c r="E291" s="246">
        <f>C291</f>
        <v>0</v>
      </c>
      <c r="F291" s="246">
        <f>F263*0.47</f>
        <v>0</v>
      </c>
      <c r="G291" s="246">
        <f>((G263)*0.56)</f>
        <v>0</v>
      </c>
      <c r="H291" s="246">
        <v>0</v>
      </c>
      <c r="I291" s="246">
        <f>G291</f>
        <v>0</v>
      </c>
      <c r="J291" s="246">
        <f>J263*0.47</f>
        <v>0</v>
      </c>
      <c r="K291" s="246">
        <f>((K263)*0.56)</f>
        <v>0</v>
      </c>
      <c r="L291" s="246">
        <v>0</v>
      </c>
      <c r="M291" s="246">
        <f>K291</f>
        <v>0</v>
      </c>
      <c r="N291" s="246">
        <f>N263*0.47</f>
        <v>0</v>
      </c>
      <c r="O291" s="246">
        <f>((O263)*0.56)</f>
        <v>0</v>
      </c>
      <c r="P291" s="246">
        <v>0</v>
      </c>
      <c r="Q291" s="246">
        <f>O291</f>
        <v>0</v>
      </c>
      <c r="R291" s="246">
        <f>R263*0.47</f>
        <v>0</v>
      </c>
      <c r="S291" s="246">
        <f>((S263)*0.56)</f>
        <v>0</v>
      </c>
      <c r="T291" s="246">
        <v>0</v>
      </c>
      <c r="U291" s="246">
        <f>S291</f>
        <v>0</v>
      </c>
      <c r="V291" s="246">
        <f>V263*0.47</f>
        <v>0</v>
      </c>
      <c r="W291" s="246">
        <f>((W263)*0.56)</f>
        <v>0</v>
      </c>
      <c r="X291" s="246">
        <v>0</v>
      </c>
      <c r="Y291" s="246">
        <f>W291</f>
        <v>0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0</v>
      </c>
      <c r="D292" s="246">
        <f t="shared" ref="D292:Y292" si="268">SUM(D290:D291)</f>
        <v>0</v>
      </c>
      <c r="E292" s="246">
        <f t="shared" si="268"/>
        <v>0</v>
      </c>
      <c r="F292" s="246">
        <f t="shared" si="268"/>
        <v>0</v>
      </c>
      <c r="G292" s="246">
        <f t="shared" si="268"/>
        <v>0</v>
      </c>
      <c r="H292" s="246">
        <f t="shared" si="268"/>
        <v>0</v>
      </c>
      <c r="I292" s="246">
        <f t="shared" si="268"/>
        <v>0</v>
      </c>
      <c r="J292" s="246">
        <f t="shared" si="268"/>
        <v>0</v>
      </c>
      <c r="K292" s="246">
        <f t="shared" si="268"/>
        <v>0</v>
      </c>
      <c r="L292" s="246">
        <f t="shared" si="268"/>
        <v>0</v>
      </c>
      <c r="M292" s="246">
        <f t="shared" si="268"/>
        <v>0</v>
      </c>
      <c r="N292" s="246">
        <f t="shared" si="268"/>
        <v>0</v>
      </c>
      <c r="O292" s="246">
        <f t="shared" si="268"/>
        <v>0</v>
      </c>
      <c r="P292" s="246">
        <f t="shared" si="268"/>
        <v>0</v>
      </c>
      <c r="Q292" s="246">
        <f t="shared" si="268"/>
        <v>0</v>
      </c>
      <c r="R292" s="246">
        <f t="shared" si="268"/>
        <v>0</v>
      </c>
      <c r="S292" s="246">
        <f t="shared" si="268"/>
        <v>0</v>
      </c>
      <c r="T292" s="246">
        <f t="shared" si="268"/>
        <v>0</v>
      </c>
      <c r="U292" s="246">
        <f t="shared" si="268"/>
        <v>0</v>
      </c>
      <c r="V292" s="246">
        <f t="shared" si="268"/>
        <v>0</v>
      </c>
      <c r="W292" s="246">
        <f t="shared" si="268"/>
        <v>0</v>
      </c>
      <c r="X292" s="246">
        <f t="shared" si="268"/>
        <v>0</v>
      </c>
      <c r="Y292" s="246">
        <f t="shared" si="268"/>
        <v>0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169" customFormat="1" x14ac:dyDescent="0.25">
      <c r="A296" s="170" t="s">
        <v>57</v>
      </c>
      <c r="B296" s="169" t="s">
        <v>57</v>
      </c>
      <c r="C296" s="172">
        <v>0</v>
      </c>
      <c r="D296" s="173">
        <v>0</v>
      </c>
      <c r="E296" s="173">
        <f t="shared" ref="E296:E299" si="269">SUM(C296:D296)</f>
        <v>0</v>
      </c>
      <c r="F296" s="175"/>
      <c r="G296" s="172">
        <f>C296*1.03</f>
        <v>0</v>
      </c>
      <c r="H296" s="173">
        <f>D296*1.03</f>
        <v>0</v>
      </c>
      <c r="I296" s="173">
        <f t="shared" ref="I296:I299" si="270">SUM(G296:H296)</f>
        <v>0</v>
      </c>
      <c r="J296" s="175"/>
      <c r="K296" s="172">
        <f>G296*1.03</f>
        <v>0</v>
      </c>
      <c r="L296" s="173">
        <f>H296*1.03</f>
        <v>0</v>
      </c>
      <c r="M296" s="173">
        <f t="shared" ref="M296:M299" si="271">SUM(K296:L296)</f>
        <v>0</v>
      </c>
      <c r="N296" s="175"/>
      <c r="O296" s="172">
        <f>K296*1.03</f>
        <v>0</v>
      </c>
      <c r="P296" s="173">
        <f>L296*1.03</f>
        <v>0</v>
      </c>
      <c r="Q296" s="173">
        <f t="shared" ref="Q296:Q299" si="272">SUM(O296:P296)</f>
        <v>0</v>
      </c>
      <c r="R296" s="175"/>
      <c r="S296" s="172">
        <f>O296*1.03</f>
        <v>0</v>
      </c>
      <c r="T296" s="173">
        <f>P296*1.03</f>
        <v>0</v>
      </c>
      <c r="U296" s="173">
        <f t="shared" ref="U296:U299" si="273">SUM(S296:T296)</f>
        <v>0</v>
      </c>
      <c r="V296" s="176"/>
      <c r="W296" s="227">
        <f>C296+G296+K296+O296+S296</f>
        <v>0</v>
      </c>
      <c r="X296" s="173">
        <f t="shared" ref="X296:Y300" si="274">D296+H296+L296+P296+T296</f>
        <v>0</v>
      </c>
      <c r="Y296" s="177">
        <f t="shared" si="274"/>
        <v>0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si="269"/>
        <v>0</v>
      </c>
      <c r="F297" s="175"/>
      <c r="G297" s="172">
        <f t="shared" ref="G297:H299" si="275">C297*1.03</f>
        <v>0</v>
      </c>
      <c r="H297" s="173">
        <f t="shared" si="275"/>
        <v>0</v>
      </c>
      <c r="I297" s="173">
        <f t="shared" si="270"/>
        <v>0</v>
      </c>
      <c r="J297" s="175"/>
      <c r="K297" s="172">
        <f t="shared" ref="K297:L299" si="276">G297*1.03</f>
        <v>0</v>
      </c>
      <c r="L297" s="173">
        <f t="shared" si="276"/>
        <v>0</v>
      </c>
      <c r="M297" s="173">
        <f t="shared" si="271"/>
        <v>0</v>
      </c>
      <c r="N297" s="175"/>
      <c r="O297" s="172">
        <f t="shared" ref="O297:P299" si="277">K297*1.03</f>
        <v>0</v>
      </c>
      <c r="P297" s="173">
        <f t="shared" si="277"/>
        <v>0</v>
      </c>
      <c r="Q297" s="173">
        <f t="shared" si="272"/>
        <v>0</v>
      </c>
      <c r="R297" s="175"/>
      <c r="S297" s="172">
        <f t="shared" ref="S297:T299" si="278">O297*1.03</f>
        <v>0</v>
      </c>
      <c r="T297" s="173">
        <f t="shared" si="278"/>
        <v>0</v>
      </c>
      <c r="U297" s="173">
        <f t="shared" si="273"/>
        <v>0</v>
      </c>
      <c r="V297" s="176"/>
      <c r="W297" s="227">
        <f t="shared" ref="W297:W300" si="279">C297+G297+K297+O297+S297</f>
        <v>0</v>
      </c>
      <c r="X297" s="173">
        <f t="shared" si="274"/>
        <v>0</v>
      </c>
      <c r="Y297" s="177">
        <f t="shared" si="274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269"/>
        <v>0</v>
      </c>
      <c r="F298" s="175"/>
      <c r="G298" s="172">
        <f t="shared" si="275"/>
        <v>0</v>
      </c>
      <c r="H298" s="173">
        <f t="shared" si="275"/>
        <v>0</v>
      </c>
      <c r="I298" s="173">
        <f t="shared" si="270"/>
        <v>0</v>
      </c>
      <c r="J298" s="175"/>
      <c r="K298" s="172">
        <f t="shared" si="276"/>
        <v>0</v>
      </c>
      <c r="L298" s="173">
        <f t="shared" si="276"/>
        <v>0</v>
      </c>
      <c r="M298" s="173">
        <f t="shared" si="271"/>
        <v>0</v>
      </c>
      <c r="N298" s="175"/>
      <c r="O298" s="172">
        <f t="shared" si="277"/>
        <v>0</v>
      </c>
      <c r="P298" s="173">
        <f t="shared" si="277"/>
        <v>0</v>
      </c>
      <c r="Q298" s="173">
        <f t="shared" si="272"/>
        <v>0</v>
      </c>
      <c r="R298" s="175"/>
      <c r="S298" s="172">
        <f t="shared" si="278"/>
        <v>0</v>
      </c>
      <c r="T298" s="173">
        <f t="shared" si="278"/>
        <v>0</v>
      </c>
      <c r="U298" s="173">
        <f t="shared" si="273"/>
        <v>0</v>
      </c>
      <c r="V298" s="176"/>
      <c r="W298" s="227">
        <f t="shared" si="279"/>
        <v>0</v>
      </c>
      <c r="X298" s="173">
        <f t="shared" si="274"/>
        <v>0</v>
      </c>
      <c r="Y298" s="177">
        <f t="shared" si="274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269"/>
        <v>0</v>
      </c>
      <c r="F299" s="175"/>
      <c r="G299" s="172">
        <f t="shared" si="275"/>
        <v>0</v>
      </c>
      <c r="H299" s="173">
        <f t="shared" si="275"/>
        <v>0</v>
      </c>
      <c r="I299" s="173">
        <f t="shared" si="270"/>
        <v>0</v>
      </c>
      <c r="J299" s="175"/>
      <c r="K299" s="172">
        <f t="shared" si="276"/>
        <v>0</v>
      </c>
      <c r="L299" s="173">
        <f t="shared" si="276"/>
        <v>0</v>
      </c>
      <c r="M299" s="173">
        <f t="shared" si="271"/>
        <v>0</v>
      </c>
      <c r="N299" s="175"/>
      <c r="O299" s="172">
        <f t="shared" si="277"/>
        <v>0</v>
      </c>
      <c r="P299" s="173">
        <f t="shared" si="277"/>
        <v>0</v>
      </c>
      <c r="Q299" s="173">
        <f t="shared" si="272"/>
        <v>0</v>
      </c>
      <c r="R299" s="175"/>
      <c r="S299" s="172">
        <f t="shared" si="278"/>
        <v>0</v>
      </c>
      <c r="T299" s="173">
        <f t="shared" si="278"/>
        <v>0</v>
      </c>
      <c r="U299" s="173">
        <f t="shared" si="273"/>
        <v>0</v>
      </c>
      <c r="V299" s="176"/>
      <c r="W299" s="227">
        <f t="shared" si="279"/>
        <v>0</v>
      </c>
      <c r="X299" s="173">
        <f t="shared" si="274"/>
        <v>0</v>
      </c>
      <c r="Y299" s="177">
        <f t="shared" si="274"/>
        <v>0</v>
      </c>
    </row>
    <row r="300" spans="1:77" s="83" customFormat="1" x14ac:dyDescent="0.25">
      <c r="A300" s="78"/>
      <c r="B300" s="78" t="s">
        <v>9</v>
      </c>
      <c r="C300" s="228">
        <f>SUM(C296:C299)</f>
        <v>0</v>
      </c>
      <c r="D300" s="125">
        <f>SUM(D296:D299)</f>
        <v>0</v>
      </c>
      <c r="E300" s="125">
        <f>SUM(E296:E299)</f>
        <v>0</v>
      </c>
      <c r="F300" s="81"/>
      <c r="G300" s="79">
        <f>SUM(G296:G299)</f>
        <v>0</v>
      </c>
      <c r="H300" s="80">
        <f>SUM(H296:H299)</f>
        <v>0</v>
      </c>
      <c r="I300" s="80">
        <f>SUM(I296:I299)</f>
        <v>0</v>
      </c>
      <c r="J300" s="81"/>
      <c r="K300" s="79">
        <f>SUM(K296:K299)</f>
        <v>0</v>
      </c>
      <c r="L300" s="80">
        <f>SUM(L296:L299)</f>
        <v>0</v>
      </c>
      <c r="M300" s="80">
        <f>SUM(M296:M299)</f>
        <v>0</v>
      </c>
      <c r="N300" s="81"/>
      <c r="O300" s="79">
        <f>SUM(O296:O299)</f>
        <v>0</v>
      </c>
      <c r="P300" s="80">
        <f>SUM(P296:P299)</f>
        <v>0</v>
      </c>
      <c r="Q300" s="80">
        <f>SUM(Q296:Q299)</f>
        <v>0</v>
      </c>
      <c r="R300" s="81"/>
      <c r="S300" s="79">
        <f>SUM(S296:S299)</f>
        <v>0</v>
      </c>
      <c r="T300" s="80">
        <f>SUM(T296:T299)</f>
        <v>0</v>
      </c>
      <c r="U300" s="80">
        <f>SUM(U296:U299)</f>
        <v>0</v>
      </c>
      <c r="V300" s="82"/>
      <c r="W300" s="228">
        <f t="shared" si="279"/>
        <v>0</v>
      </c>
      <c r="X300" s="80">
        <f t="shared" si="274"/>
        <v>0</v>
      </c>
      <c r="Y300" s="80">
        <f t="shared" si="274"/>
        <v>0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L305" si="280">G302*1.03</f>
        <v>0</v>
      </c>
      <c r="L302" s="57">
        <f t="shared" si="280"/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Y306" si="281">C302+G302+K302+O302+S302</f>
        <v>0</v>
      </c>
      <c r="X302" s="57">
        <f t="shared" si="281"/>
        <v>0</v>
      </c>
      <c r="Y302" s="57">
        <f t="shared" ref="Y302:Y305" si="282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283">SUM(C303:D303)</f>
        <v>0</v>
      </c>
      <c r="F303" s="58"/>
      <c r="G303" s="55">
        <f t="shared" ref="G303:H305" si="284">C303*1.03</f>
        <v>0</v>
      </c>
      <c r="H303" s="57">
        <f t="shared" si="284"/>
        <v>0</v>
      </c>
      <c r="I303" s="57">
        <f t="shared" ref="I303:I305" si="285">SUM(G303:H303)</f>
        <v>0</v>
      </c>
      <c r="J303" s="58"/>
      <c r="K303" s="55">
        <f t="shared" si="280"/>
        <v>0</v>
      </c>
      <c r="L303" s="57">
        <f t="shared" si="280"/>
        <v>0</v>
      </c>
      <c r="M303" s="57">
        <f t="shared" ref="M303:M305" si="286">SUM(K303:L303)</f>
        <v>0</v>
      </c>
      <c r="N303" s="58"/>
      <c r="O303" s="55">
        <f t="shared" ref="O303:P305" si="287">K303*1.03</f>
        <v>0</v>
      </c>
      <c r="P303" s="57">
        <f t="shared" si="287"/>
        <v>0</v>
      </c>
      <c r="Q303" s="57">
        <f t="shared" ref="Q303:Q305" si="288">SUM(O303:P303)</f>
        <v>0</v>
      </c>
      <c r="R303" s="58"/>
      <c r="S303" s="55">
        <f t="shared" ref="S303:T305" si="289">O303*1.03</f>
        <v>0</v>
      </c>
      <c r="T303" s="57">
        <f t="shared" si="289"/>
        <v>0</v>
      </c>
      <c r="U303" s="57">
        <f t="shared" ref="U303:U305" si="290">SUM(S303:T303)</f>
        <v>0</v>
      </c>
      <c r="V303" s="59"/>
      <c r="W303" s="124">
        <f t="shared" si="281"/>
        <v>0</v>
      </c>
      <c r="X303" s="57">
        <f t="shared" si="281"/>
        <v>0</v>
      </c>
      <c r="Y303" s="57">
        <f t="shared" si="282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283"/>
        <v>0</v>
      </c>
      <c r="F304" s="58"/>
      <c r="G304" s="55">
        <f t="shared" si="284"/>
        <v>0</v>
      </c>
      <c r="H304" s="57">
        <f t="shared" si="284"/>
        <v>0</v>
      </c>
      <c r="I304" s="57">
        <f t="shared" si="285"/>
        <v>0</v>
      </c>
      <c r="J304" s="58"/>
      <c r="K304" s="55">
        <f t="shared" si="280"/>
        <v>0</v>
      </c>
      <c r="L304" s="57">
        <f t="shared" si="280"/>
        <v>0</v>
      </c>
      <c r="M304" s="57">
        <f t="shared" si="286"/>
        <v>0</v>
      </c>
      <c r="N304" s="58"/>
      <c r="O304" s="55">
        <f t="shared" si="287"/>
        <v>0</v>
      </c>
      <c r="P304" s="57">
        <f t="shared" si="287"/>
        <v>0</v>
      </c>
      <c r="Q304" s="57">
        <f t="shared" si="288"/>
        <v>0</v>
      </c>
      <c r="R304" s="58"/>
      <c r="S304" s="55">
        <f t="shared" si="289"/>
        <v>0</v>
      </c>
      <c r="T304" s="57">
        <f t="shared" si="289"/>
        <v>0</v>
      </c>
      <c r="U304" s="57">
        <f t="shared" si="290"/>
        <v>0</v>
      </c>
      <c r="V304" s="59"/>
      <c r="W304" s="124">
        <f t="shared" si="281"/>
        <v>0</v>
      </c>
      <c r="X304" s="57">
        <f t="shared" si="281"/>
        <v>0</v>
      </c>
      <c r="Y304" s="57">
        <f t="shared" si="282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283"/>
        <v>0</v>
      </c>
      <c r="F305" s="58"/>
      <c r="G305" s="55">
        <f t="shared" si="284"/>
        <v>0</v>
      </c>
      <c r="H305" s="57">
        <f t="shared" si="284"/>
        <v>0</v>
      </c>
      <c r="I305" s="57">
        <f t="shared" si="285"/>
        <v>0</v>
      </c>
      <c r="J305" s="58"/>
      <c r="K305" s="55">
        <f t="shared" si="280"/>
        <v>0</v>
      </c>
      <c r="L305" s="57">
        <f t="shared" si="280"/>
        <v>0</v>
      </c>
      <c r="M305" s="57">
        <f t="shared" si="286"/>
        <v>0</v>
      </c>
      <c r="N305" s="58"/>
      <c r="O305" s="55">
        <f t="shared" si="287"/>
        <v>0</v>
      </c>
      <c r="P305" s="57">
        <f t="shared" si="287"/>
        <v>0</v>
      </c>
      <c r="Q305" s="57">
        <f t="shared" si="288"/>
        <v>0</v>
      </c>
      <c r="R305" s="58"/>
      <c r="S305" s="55">
        <f t="shared" si="289"/>
        <v>0</v>
      </c>
      <c r="T305" s="57">
        <f t="shared" si="289"/>
        <v>0</v>
      </c>
      <c r="U305" s="57">
        <f t="shared" si="290"/>
        <v>0</v>
      </c>
      <c r="V305" s="59"/>
      <c r="W305" s="124">
        <f t="shared" si="281"/>
        <v>0</v>
      </c>
      <c r="X305" s="57">
        <f t="shared" si="281"/>
        <v>0</v>
      </c>
      <c r="Y305" s="57">
        <f t="shared" si="282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281"/>
        <v>0</v>
      </c>
      <c r="X306" s="80">
        <f t="shared" si="281"/>
        <v>0</v>
      </c>
      <c r="Y306" s="80">
        <f t="shared" si="281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291">C306+C300</f>
        <v>0</v>
      </c>
      <c r="D307" s="248">
        <f t="shared" si="291"/>
        <v>0</v>
      </c>
      <c r="E307" s="248">
        <f t="shared" si="291"/>
        <v>0</v>
      </c>
      <c r="F307" s="248">
        <f t="shared" si="291"/>
        <v>0</v>
      </c>
      <c r="G307" s="248">
        <f t="shared" si="291"/>
        <v>0</v>
      </c>
      <c r="H307" s="248">
        <f t="shared" si="291"/>
        <v>0</v>
      </c>
      <c r="I307" s="248">
        <f t="shared" si="291"/>
        <v>0</v>
      </c>
      <c r="J307" s="248">
        <f t="shared" si="291"/>
        <v>0</v>
      </c>
      <c r="K307" s="248">
        <f t="shared" si="291"/>
        <v>0</v>
      </c>
      <c r="L307" s="248">
        <f t="shared" si="291"/>
        <v>0</v>
      </c>
      <c r="M307" s="248">
        <f t="shared" si="291"/>
        <v>0</v>
      </c>
      <c r="N307" s="248">
        <f t="shared" si="291"/>
        <v>0</v>
      </c>
      <c r="O307" s="248">
        <f t="shared" si="291"/>
        <v>0</v>
      </c>
      <c r="P307" s="248">
        <f t="shared" si="291"/>
        <v>0</v>
      </c>
      <c r="Q307" s="248">
        <f t="shared" si="291"/>
        <v>0</v>
      </c>
      <c r="R307" s="248">
        <f t="shared" si="291"/>
        <v>0</v>
      </c>
      <c r="S307" s="248">
        <f t="shared" si="291"/>
        <v>0</v>
      </c>
      <c r="T307" s="248">
        <f t="shared" si="291"/>
        <v>0</v>
      </c>
      <c r="U307" s="248">
        <f t="shared" si="291"/>
        <v>0</v>
      </c>
      <c r="V307" s="248">
        <f t="shared" si="291"/>
        <v>0</v>
      </c>
      <c r="W307" s="248">
        <f t="shared" si="291"/>
        <v>0</v>
      </c>
      <c r="X307" s="248">
        <f t="shared" si="291"/>
        <v>0</v>
      </c>
      <c r="Y307" s="249">
        <f>E307+I307+M307+Q307+U307</f>
        <v>0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292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293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294">SUM(K309:L309)</f>
        <v>0</v>
      </c>
      <c r="N309" s="58"/>
      <c r="O309" s="124">
        <f>O302*A309*1.03*1.03*1.03*1.03</f>
        <v>0</v>
      </c>
      <c r="P309" s="56">
        <f>P302*A309*1.03*1.03*1.03</f>
        <v>0</v>
      </c>
      <c r="Q309" s="57">
        <f t="shared" ref="Q309:Q311" si="295">SUM(O309:P309)</f>
        <v>0</v>
      </c>
      <c r="R309" s="58"/>
      <c r="S309" s="124">
        <f>S302*A309*1.03*1.03*1.03*1.03*1.03</f>
        <v>0</v>
      </c>
      <c r="T309" s="56">
        <f>T302*A309*1.03*1.03*1.03*1.03</f>
        <v>0</v>
      </c>
      <c r="U309" s="57">
        <f t="shared" ref="U309:U311" si="296">SUM(S309:T309)</f>
        <v>0</v>
      </c>
      <c r="V309" s="59"/>
      <c r="W309" s="124">
        <f t="shared" ref="W309:Y312" si="297">C309+G309+K309+O309+S309</f>
        <v>0</v>
      </c>
      <c r="X309" s="57">
        <f t="shared" si="297"/>
        <v>0</v>
      </c>
      <c r="Y309" s="84">
        <f t="shared" si="297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0.54779999999999995</v>
      </c>
      <c r="B310" s="52" t="s">
        <v>109</v>
      </c>
      <c r="C310" s="124">
        <f>C300*(A310*1.03)</f>
        <v>0</v>
      </c>
      <c r="D310" s="56">
        <f>D300*A310*1.03</f>
        <v>0</v>
      </c>
      <c r="E310" s="56">
        <f t="shared" si="292"/>
        <v>0</v>
      </c>
      <c r="F310" s="58"/>
      <c r="G310" s="124">
        <f>G300*A310*1.03*1.03</f>
        <v>0</v>
      </c>
      <c r="H310" s="56">
        <f>H300*A310*1.03*1.03</f>
        <v>0</v>
      </c>
      <c r="I310" s="57">
        <f t="shared" si="293"/>
        <v>0</v>
      </c>
      <c r="J310" s="58"/>
      <c r="K310" s="124">
        <f>K304*A310*1.03*1.03</f>
        <v>0</v>
      </c>
      <c r="L310" s="56">
        <f>L304*A310*1.03*1.03</f>
        <v>0</v>
      </c>
      <c r="M310" s="57">
        <f t="shared" si="294"/>
        <v>0</v>
      </c>
      <c r="N310" s="58"/>
      <c r="O310" s="124">
        <f>O304*A310*1.03*1.03*1.03</f>
        <v>0</v>
      </c>
      <c r="P310" s="56">
        <f>P304*A310*1.03*1.03*1.03</f>
        <v>0</v>
      </c>
      <c r="Q310" s="57">
        <f t="shared" si="295"/>
        <v>0</v>
      </c>
      <c r="R310" s="58"/>
      <c r="S310" s="124">
        <f>S304*A310*1.03*1.03*1.03*1.03</f>
        <v>0</v>
      </c>
      <c r="T310" s="56">
        <f>T304*A310*1.03*1.03*1.03*1.03</f>
        <v>0</v>
      </c>
      <c r="U310" s="57">
        <f t="shared" si="296"/>
        <v>0</v>
      </c>
      <c r="V310" s="59"/>
      <c r="W310" s="124">
        <f t="shared" si="297"/>
        <v>0</v>
      </c>
      <c r="X310" s="57">
        <f t="shared" si="297"/>
        <v>0</v>
      </c>
      <c r="Y310" s="84">
        <f t="shared" si="297"/>
        <v>0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292"/>
        <v>0</v>
      </c>
      <c r="F311" s="58"/>
      <c r="G311" s="55">
        <f>C311*1.05</f>
        <v>0</v>
      </c>
      <c r="H311" s="57">
        <f>D311*1.05</f>
        <v>0</v>
      </c>
      <c r="I311" s="57">
        <f t="shared" si="293"/>
        <v>0</v>
      </c>
      <c r="J311" s="58"/>
      <c r="K311" s="55">
        <f>K300*A310*1.03*1.03*1.03</f>
        <v>0</v>
      </c>
      <c r="L311" s="56">
        <f>L300*A310*1.03*1.03*1.03</f>
        <v>0</v>
      </c>
      <c r="M311" s="57">
        <f t="shared" si="294"/>
        <v>0</v>
      </c>
      <c r="N311" s="58"/>
      <c r="O311" s="55">
        <f>O300*A310*1.03*1.03*1.03*1.03</f>
        <v>0</v>
      </c>
      <c r="P311" s="56">
        <f>P300*A310*1.03*1.03*1.03*1.03</f>
        <v>0</v>
      </c>
      <c r="Q311" s="57">
        <f t="shared" si="295"/>
        <v>0</v>
      </c>
      <c r="R311" s="58"/>
      <c r="S311" s="55">
        <f>S300*A310*1.03*1.03*1.03*1.03*1.03</f>
        <v>0</v>
      </c>
      <c r="T311" s="56">
        <f>T300*A310*1.03*1.03*1.03*1.03*1.03</f>
        <v>0</v>
      </c>
      <c r="U311" s="57">
        <f t="shared" si="296"/>
        <v>0</v>
      </c>
      <c r="V311" s="59"/>
      <c r="W311" s="124">
        <f t="shared" si="297"/>
        <v>0</v>
      </c>
      <c r="X311" s="57">
        <f t="shared" si="297"/>
        <v>0</v>
      </c>
      <c r="Y311" s="84">
        <f t="shared" si="297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0</v>
      </c>
      <c r="D312" s="125">
        <f>SUM(D309:D311)</f>
        <v>0</v>
      </c>
      <c r="E312" s="125">
        <f>SUM(E309:E311)</f>
        <v>0</v>
      </c>
      <c r="F312" s="81"/>
      <c r="G312" s="79">
        <f>SUM(G309:G311)</f>
        <v>0</v>
      </c>
      <c r="H312" s="80">
        <f>SUM(H309:H311)</f>
        <v>0</v>
      </c>
      <c r="I312" s="80">
        <f>SUM(I309:I311)</f>
        <v>0</v>
      </c>
      <c r="J312" s="81"/>
      <c r="K312" s="79">
        <f>SUM(K309:K311)</f>
        <v>0</v>
      </c>
      <c r="L312" s="80">
        <f>SUM(L309:L311)</f>
        <v>0</v>
      </c>
      <c r="M312" s="80">
        <f>SUM(M309:M311)</f>
        <v>0</v>
      </c>
      <c r="N312" s="81"/>
      <c r="O312" s="79">
        <f>SUM(O309:O311)</f>
        <v>0</v>
      </c>
      <c r="P312" s="80">
        <f>SUM(P309:P311)</f>
        <v>0</v>
      </c>
      <c r="Q312" s="80">
        <f>SUM(Q309:Q311)</f>
        <v>0</v>
      </c>
      <c r="R312" s="81"/>
      <c r="S312" s="79">
        <f>SUM(S309:S311)</f>
        <v>0</v>
      </c>
      <c r="T312" s="80">
        <f>SUM(T309:T311)</f>
        <v>0</v>
      </c>
      <c r="U312" s="80">
        <f>SUM(U309:U311)</f>
        <v>0</v>
      </c>
      <c r="V312" s="82"/>
      <c r="W312" s="228">
        <f t="shared" si="297"/>
        <v>0</v>
      </c>
      <c r="X312" s="80">
        <f t="shared" si="297"/>
        <v>0</v>
      </c>
      <c r="Y312" s="80">
        <f t="shared" si="297"/>
        <v>0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298">C312+C307</f>
        <v>0</v>
      </c>
      <c r="D313" s="248">
        <f t="shared" si="298"/>
        <v>0</v>
      </c>
      <c r="E313" s="248">
        <f t="shared" si="298"/>
        <v>0</v>
      </c>
      <c r="F313" s="248">
        <f t="shared" si="298"/>
        <v>0</v>
      </c>
      <c r="G313" s="248">
        <f t="shared" si="298"/>
        <v>0</v>
      </c>
      <c r="H313" s="248">
        <f t="shared" si="298"/>
        <v>0</v>
      </c>
      <c r="I313" s="248">
        <f t="shared" si="298"/>
        <v>0</v>
      </c>
      <c r="J313" s="248">
        <f t="shared" si="298"/>
        <v>0</v>
      </c>
      <c r="K313" s="248">
        <f t="shared" si="298"/>
        <v>0</v>
      </c>
      <c r="L313" s="248">
        <f t="shared" si="298"/>
        <v>0</v>
      </c>
      <c r="M313" s="248">
        <f t="shared" si="298"/>
        <v>0</v>
      </c>
      <c r="N313" s="248">
        <f t="shared" si="298"/>
        <v>0</v>
      </c>
      <c r="O313" s="248">
        <f t="shared" si="298"/>
        <v>0</v>
      </c>
      <c r="P313" s="248">
        <f t="shared" si="298"/>
        <v>0</v>
      </c>
      <c r="Q313" s="248">
        <f t="shared" si="298"/>
        <v>0</v>
      </c>
      <c r="R313" s="248">
        <f t="shared" si="298"/>
        <v>0</v>
      </c>
      <c r="S313" s="248">
        <f t="shared" si="298"/>
        <v>0</v>
      </c>
      <c r="T313" s="248">
        <f t="shared" si="298"/>
        <v>0</v>
      </c>
      <c r="U313" s="248">
        <f t="shared" si="298"/>
        <v>0</v>
      </c>
      <c r="V313" s="248">
        <f t="shared" si="298"/>
        <v>0</v>
      </c>
      <c r="W313" s="248">
        <f t="shared" si="298"/>
        <v>0</v>
      </c>
      <c r="X313" s="248">
        <f t="shared" si="298"/>
        <v>0</v>
      </c>
      <c r="Y313" s="248">
        <f t="shared" si="298"/>
        <v>0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299">SUM(C315:D315)</f>
        <v>0</v>
      </c>
      <c r="F315" s="58"/>
      <c r="G315" s="55">
        <v>0</v>
      </c>
      <c r="H315" s="57">
        <v>0</v>
      </c>
      <c r="I315" s="57">
        <f t="shared" ref="I315:I317" si="300">SUM(G315:H315)</f>
        <v>0</v>
      </c>
      <c r="J315" s="58"/>
      <c r="K315" s="55">
        <v>0</v>
      </c>
      <c r="L315" s="57">
        <v>0</v>
      </c>
      <c r="M315" s="57">
        <f t="shared" ref="M315:M317" si="301">SUM(K315:L315)</f>
        <v>0</v>
      </c>
      <c r="N315" s="58"/>
      <c r="O315" s="55">
        <v>0</v>
      </c>
      <c r="P315" s="57">
        <v>0</v>
      </c>
      <c r="Q315" s="57">
        <f t="shared" ref="Q315:Q317" si="302">SUM(O315:P315)</f>
        <v>0</v>
      </c>
      <c r="R315" s="58"/>
      <c r="S315" s="55">
        <v>0</v>
      </c>
      <c r="T315" s="57">
        <v>0</v>
      </c>
      <c r="U315" s="57">
        <f t="shared" ref="U315:U317" si="303">SUM(S315:T315)</f>
        <v>0</v>
      </c>
      <c r="V315" s="59"/>
      <c r="W315" s="124">
        <f t="shared" ref="W315:Y318" si="304">C315+G315+K315+O315+S315</f>
        <v>0</v>
      </c>
      <c r="X315" s="57">
        <f t="shared" si="304"/>
        <v>0</v>
      </c>
      <c r="Y315" s="84">
        <f t="shared" si="304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299"/>
        <v>0</v>
      </c>
      <c r="F316" s="58"/>
      <c r="G316" s="55">
        <v>0</v>
      </c>
      <c r="H316" s="57">
        <v>0</v>
      </c>
      <c r="I316" s="57">
        <f t="shared" si="300"/>
        <v>0</v>
      </c>
      <c r="J316" s="58"/>
      <c r="K316" s="55">
        <v>0</v>
      </c>
      <c r="L316" s="57">
        <v>0</v>
      </c>
      <c r="M316" s="57">
        <f t="shared" si="301"/>
        <v>0</v>
      </c>
      <c r="N316" s="58"/>
      <c r="O316" s="55">
        <f>K316</f>
        <v>0</v>
      </c>
      <c r="P316" s="57">
        <v>0</v>
      </c>
      <c r="Q316" s="57">
        <f t="shared" si="302"/>
        <v>0</v>
      </c>
      <c r="R316" s="58"/>
      <c r="S316" s="55">
        <f>O316</f>
        <v>0</v>
      </c>
      <c r="T316" s="57">
        <v>0</v>
      </c>
      <c r="U316" s="57">
        <f t="shared" si="303"/>
        <v>0</v>
      </c>
      <c r="V316" s="59"/>
      <c r="W316" s="124">
        <f t="shared" si="304"/>
        <v>0</v>
      </c>
      <c r="X316" s="57">
        <f t="shared" si="304"/>
        <v>0</v>
      </c>
      <c r="Y316" s="84">
        <f t="shared" si="304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299"/>
        <v>0</v>
      </c>
      <c r="F317" s="58"/>
      <c r="G317" s="55">
        <v>0</v>
      </c>
      <c r="H317" s="57">
        <v>0</v>
      </c>
      <c r="I317" s="57">
        <f t="shared" si="300"/>
        <v>0</v>
      </c>
      <c r="J317" s="58"/>
      <c r="K317" s="55">
        <f>G317</f>
        <v>0</v>
      </c>
      <c r="L317" s="57">
        <v>0</v>
      </c>
      <c r="M317" s="57">
        <f t="shared" si="301"/>
        <v>0</v>
      </c>
      <c r="N317" s="58"/>
      <c r="O317" s="55">
        <v>0</v>
      </c>
      <c r="P317" s="57">
        <v>0</v>
      </c>
      <c r="Q317" s="57">
        <f t="shared" si="302"/>
        <v>0</v>
      </c>
      <c r="R317" s="58"/>
      <c r="S317" s="55">
        <f>O317</f>
        <v>0</v>
      </c>
      <c r="T317" s="57">
        <v>0</v>
      </c>
      <c r="U317" s="57">
        <f t="shared" si="303"/>
        <v>0</v>
      </c>
      <c r="V317" s="59"/>
      <c r="W317" s="124">
        <f t="shared" si="304"/>
        <v>0</v>
      </c>
      <c r="X317" s="57">
        <f t="shared" si="304"/>
        <v>0</v>
      </c>
      <c r="Y317" s="84">
        <f t="shared" si="304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304"/>
        <v>0</v>
      </c>
      <c r="X318" s="80">
        <f t="shared" si="304"/>
        <v>0</v>
      </c>
      <c r="Y318" s="80">
        <f t="shared" si="304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144</v>
      </c>
      <c r="C320" s="124">
        <f>12*800*0.5*0</f>
        <v>0</v>
      </c>
      <c r="D320" s="56">
        <f>12*800*0.5*0</f>
        <v>0</v>
      </c>
      <c r="E320" s="56">
        <f t="shared" ref="E320:E322" si="305">SUM(C320:D320)</f>
        <v>0</v>
      </c>
      <c r="F320" s="58"/>
      <c r="G320" s="55">
        <f>C320</f>
        <v>0</v>
      </c>
      <c r="H320" s="57">
        <f>D320</f>
        <v>0</v>
      </c>
      <c r="I320" s="57">
        <f t="shared" ref="I320:I322" si="306">SUM(G320:H320)</f>
        <v>0</v>
      </c>
      <c r="J320" s="58"/>
      <c r="K320" s="55">
        <f>G320</f>
        <v>0</v>
      </c>
      <c r="L320" s="57">
        <f>H320</f>
        <v>0</v>
      </c>
      <c r="M320" s="57">
        <f t="shared" ref="M320:M322" si="307">SUM(K320:L320)</f>
        <v>0</v>
      </c>
      <c r="N320" s="58"/>
      <c r="O320" s="55">
        <f>K320</f>
        <v>0</v>
      </c>
      <c r="P320" s="57">
        <f>L320</f>
        <v>0</v>
      </c>
      <c r="Q320" s="57">
        <f t="shared" ref="Q320:Q322" si="308">SUM(O320:P320)</f>
        <v>0</v>
      </c>
      <c r="R320" s="58"/>
      <c r="S320" s="55">
        <f>O320</f>
        <v>0</v>
      </c>
      <c r="T320" s="57">
        <f>P320</f>
        <v>0</v>
      </c>
      <c r="U320" s="57">
        <f t="shared" ref="U320:U322" si="309">SUM(S320:T320)</f>
        <v>0</v>
      </c>
      <c r="V320" s="59"/>
      <c r="W320" s="124">
        <f t="shared" ref="W320:Y323" si="310">C320+G320+K320+O320+S320</f>
        <v>0</v>
      </c>
      <c r="X320" s="57">
        <f t="shared" si="310"/>
        <v>0</v>
      </c>
      <c r="Y320" s="84">
        <f t="shared" si="310"/>
        <v>0</v>
      </c>
    </row>
    <row r="321" spans="1:77" s="61" customFormat="1" x14ac:dyDescent="0.25">
      <c r="A321" s="203"/>
      <c r="B321" s="52" t="s">
        <v>57</v>
      </c>
      <c r="C321" s="124">
        <f>2000*5*0.5*0</f>
        <v>0</v>
      </c>
      <c r="D321" s="56">
        <f>2000*5*0.5*0</f>
        <v>0</v>
      </c>
      <c r="E321" s="56">
        <f t="shared" si="305"/>
        <v>0</v>
      </c>
      <c r="F321" s="58"/>
      <c r="G321" s="55">
        <f>C321</f>
        <v>0</v>
      </c>
      <c r="H321" s="57">
        <f>D321</f>
        <v>0</v>
      </c>
      <c r="I321" s="57">
        <f t="shared" si="306"/>
        <v>0</v>
      </c>
      <c r="J321" s="58"/>
      <c r="K321" s="55">
        <f>G321</f>
        <v>0</v>
      </c>
      <c r="L321" s="57">
        <f>H321</f>
        <v>0</v>
      </c>
      <c r="M321" s="57">
        <f t="shared" si="307"/>
        <v>0</v>
      </c>
      <c r="N321" s="58"/>
      <c r="O321" s="55">
        <f>K321</f>
        <v>0</v>
      </c>
      <c r="P321" s="57">
        <f>L321</f>
        <v>0</v>
      </c>
      <c r="Q321" s="57">
        <f t="shared" si="308"/>
        <v>0</v>
      </c>
      <c r="R321" s="58"/>
      <c r="S321" s="55">
        <f>O321</f>
        <v>0</v>
      </c>
      <c r="T321" s="57">
        <f>P321</f>
        <v>0</v>
      </c>
      <c r="U321" s="57">
        <f t="shared" si="309"/>
        <v>0</v>
      </c>
      <c r="V321" s="59"/>
      <c r="W321" s="124">
        <f t="shared" si="310"/>
        <v>0</v>
      </c>
      <c r="X321" s="57">
        <f t="shared" si="310"/>
        <v>0</v>
      </c>
      <c r="Y321" s="84">
        <f t="shared" si="310"/>
        <v>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si="305"/>
        <v>0</v>
      </c>
      <c r="F322" s="58"/>
      <c r="G322" s="55">
        <v>0</v>
      </c>
      <c r="H322" s="57">
        <v>0</v>
      </c>
      <c r="I322" s="57">
        <f t="shared" si="306"/>
        <v>0</v>
      </c>
      <c r="J322" s="58"/>
      <c r="K322" s="55">
        <v>0</v>
      </c>
      <c r="L322" s="57">
        <v>0</v>
      </c>
      <c r="M322" s="57">
        <f t="shared" si="307"/>
        <v>0</v>
      </c>
      <c r="N322" s="58"/>
      <c r="O322" s="55">
        <v>0</v>
      </c>
      <c r="P322" s="57">
        <v>0</v>
      </c>
      <c r="Q322" s="57">
        <f t="shared" si="308"/>
        <v>0</v>
      </c>
      <c r="R322" s="58"/>
      <c r="S322" s="55">
        <v>0</v>
      </c>
      <c r="T322" s="57">
        <v>0</v>
      </c>
      <c r="U322" s="57">
        <f t="shared" si="309"/>
        <v>0</v>
      </c>
      <c r="V322" s="59"/>
      <c r="W322" s="124">
        <f t="shared" si="310"/>
        <v>0</v>
      </c>
      <c r="X322" s="57">
        <f t="shared" si="310"/>
        <v>0</v>
      </c>
      <c r="Y322" s="84">
        <f t="shared" si="310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0</v>
      </c>
      <c r="D323" s="125">
        <f>SUM(D320:D322)</f>
        <v>0</v>
      </c>
      <c r="E323" s="125">
        <f>SUM(E320:E322)</f>
        <v>0</v>
      </c>
      <c r="F323" s="81"/>
      <c r="G323" s="79">
        <f>SUM(G320:G322)</f>
        <v>0</v>
      </c>
      <c r="H323" s="80">
        <f>SUM(H320:H322)</f>
        <v>0</v>
      </c>
      <c r="I323" s="80">
        <f>SUM(I320:I322)</f>
        <v>0</v>
      </c>
      <c r="J323" s="81"/>
      <c r="K323" s="79">
        <f>SUM(K320:K322)</f>
        <v>0</v>
      </c>
      <c r="L323" s="80">
        <f>SUM(L320:L322)</f>
        <v>0</v>
      </c>
      <c r="M323" s="80">
        <f>SUM(M320:M322)</f>
        <v>0</v>
      </c>
      <c r="N323" s="81"/>
      <c r="O323" s="79">
        <f>SUM(O320:O322)</f>
        <v>0</v>
      </c>
      <c r="P323" s="80">
        <f>SUM(P320:P322)</f>
        <v>0</v>
      </c>
      <c r="Q323" s="80">
        <f>SUM(Q320:Q322)</f>
        <v>0</v>
      </c>
      <c r="R323" s="81"/>
      <c r="S323" s="79">
        <f>SUM(S320:S322)</f>
        <v>0</v>
      </c>
      <c r="T323" s="80">
        <f>SUM(T320:T322)</f>
        <v>0</v>
      </c>
      <c r="U323" s="80">
        <f>SUM(U320:U322)</f>
        <v>0</v>
      </c>
      <c r="V323" s="82"/>
      <c r="W323" s="228">
        <f t="shared" si="310"/>
        <v>0</v>
      </c>
      <c r="X323" s="80">
        <f t="shared" si="310"/>
        <v>0</v>
      </c>
      <c r="Y323" s="80">
        <f t="shared" si="310"/>
        <v>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Y327" si="311">C325+G325+K325+O325+S325</f>
        <v>0</v>
      </c>
      <c r="X325" s="57">
        <f t="shared" si="311"/>
        <v>0</v>
      </c>
      <c r="Y325" s="84">
        <f t="shared" si="311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311"/>
        <v>0</v>
      </c>
      <c r="X326" s="56">
        <f t="shared" si="311"/>
        <v>0</v>
      </c>
      <c r="Y326" s="85">
        <f t="shared" si="311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311"/>
        <v>0</v>
      </c>
      <c r="X327" s="80">
        <f t="shared" si="311"/>
        <v>0</v>
      </c>
      <c r="Y327" s="80">
        <f t="shared" si="311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169" customFormat="1" x14ac:dyDescent="0.25">
      <c r="B329" s="169" t="s">
        <v>116</v>
      </c>
      <c r="C329" s="172">
        <v>0</v>
      </c>
      <c r="D329" s="174">
        <v>0</v>
      </c>
      <c r="E329" s="173">
        <f t="shared" ref="E329" si="312">SUM(C329:D329)</f>
        <v>0</v>
      </c>
      <c r="F329" s="175"/>
      <c r="G329" s="172">
        <f>C329</f>
        <v>0</v>
      </c>
      <c r="H329" s="174">
        <v>0</v>
      </c>
      <c r="I329" s="173">
        <f t="shared" ref="I329" si="313">SUM(G329:H329)</f>
        <v>0</v>
      </c>
      <c r="J329" s="175"/>
      <c r="K329" s="172">
        <f>G329</f>
        <v>0</v>
      </c>
      <c r="L329" s="174">
        <v>0</v>
      </c>
      <c r="M329" s="173">
        <f t="shared" ref="M329" si="314">SUM(K329:L329)</f>
        <v>0</v>
      </c>
      <c r="N329" s="175"/>
      <c r="O329" s="172">
        <f>K329</f>
        <v>0</v>
      </c>
      <c r="P329" s="174">
        <v>0</v>
      </c>
      <c r="Q329" s="174">
        <f t="shared" ref="Q329" si="315">SUM(O329:P329)</f>
        <v>0</v>
      </c>
      <c r="R329" s="175"/>
      <c r="S329" s="172">
        <f>O329</f>
        <v>0</v>
      </c>
      <c r="T329" s="174">
        <v>0</v>
      </c>
      <c r="U329" s="173">
        <f t="shared" ref="U329" si="316">SUM(S329:T329)</f>
        <v>0</v>
      </c>
      <c r="V329" s="176"/>
      <c r="W329" s="227">
        <f t="shared" ref="W329:Y333" si="317">C329+G329+K329+O329+S329</f>
        <v>0</v>
      </c>
      <c r="X329" s="173">
        <f t="shared" si="317"/>
        <v>0</v>
      </c>
      <c r="Y329" s="186">
        <f t="shared" si="317"/>
        <v>0</v>
      </c>
    </row>
    <row r="330" spans="1:77" s="61" customFormat="1" x14ac:dyDescent="0.25">
      <c r="A330" s="203"/>
      <c r="B330" s="54" t="s">
        <v>57</v>
      </c>
      <c r="C330" s="124">
        <v>0</v>
      </c>
      <c r="D330" s="56">
        <v>0</v>
      </c>
      <c r="E330" s="56">
        <f t="shared" ref="E330:E332" si="318">SUM(C330:D330)</f>
        <v>0</v>
      </c>
      <c r="F330" s="58"/>
      <c r="G330" s="55">
        <v>0</v>
      </c>
      <c r="H330" s="57">
        <v>0</v>
      </c>
      <c r="I330" s="57">
        <f t="shared" ref="I330:I332" si="319">SUM(G330:H330)</f>
        <v>0</v>
      </c>
      <c r="J330" s="58"/>
      <c r="K330" s="55">
        <v>0</v>
      </c>
      <c r="L330" s="56">
        <v>0</v>
      </c>
      <c r="M330" s="57">
        <f t="shared" ref="M330:M332" si="320">SUM(K330:L330)</f>
        <v>0</v>
      </c>
      <c r="N330" s="58"/>
      <c r="O330" s="55">
        <v>0</v>
      </c>
      <c r="P330" s="57">
        <v>0</v>
      </c>
      <c r="Q330" s="57">
        <f t="shared" ref="Q330:Q332" si="321">SUM(O330:P330)</f>
        <v>0</v>
      </c>
      <c r="R330" s="58"/>
      <c r="S330" s="55">
        <v>0</v>
      </c>
      <c r="T330" s="56">
        <v>0</v>
      </c>
      <c r="U330" s="57">
        <f t="shared" ref="U330:U332" si="322">SUM(S330:T330)</f>
        <v>0</v>
      </c>
      <c r="V330" s="59"/>
      <c r="W330" s="124">
        <f t="shared" si="317"/>
        <v>0</v>
      </c>
      <c r="X330" s="57">
        <f t="shared" si="317"/>
        <v>0</v>
      </c>
      <c r="Y330" s="84">
        <f t="shared" si="317"/>
        <v>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si="318"/>
        <v>0</v>
      </c>
      <c r="F331" s="58"/>
      <c r="G331" s="55">
        <v>0</v>
      </c>
      <c r="H331" s="57"/>
      <c r="I331" s="57">
        <f t="shared" si="319"/>
        <v>0</v>
      </c>
      <c r="J331" s="58"/>
      <c r="K331" s="55">
        <v>0</v>
      </c>
      <c r="L331" s="56">
        <v>0</v>
      </c>
      <c r="M331" s="57">
        <f t="shared" si="320"/>
        <v>0</v>
      </c>
      <c r="N331" s="58"/>
      <c r="O331" s="55">
        <v>0</v>
      </c>
      <c r="P331" s="56">
        <v>0</v>
      </c>
      <c r="Q331" s="56">
        <f t="shared" si="321"/>
        <v>0</v>
      </c>
      <c r="R331" s="58"/>
      <c r="S331" s="55">
        <v>0</v>
      </c>
      <c r="T331" s="56">
        <v>0</v>
      </c>
      <c r="U331" s="57">
        <f t="shared" si="322"/>
        <v>0</v>
      </c>
      <c r="V331" s="59"/>
      <c r="W331" s="124">
        <f t="shared" si="317"/>
        <v>0</v>
      </c>
      <c r="X331" s="57">
        <f t="shared" si="317"/>
        <v>0</v>
      </c>
      <c r="Y331" s="84">
        <f t="shared" si="317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318"/>
        <v>0</v>
      </c>
      <c r="F332" s="58"/>
      <c r="G332" s="55">
        <v>0</v>
      </c>
      <c r="H332" s="57">
        <v>0</v>
      </c>
      <c r="I332" s="57">
        <f t="shared" si="319"/>
        <v>0</v>
      </c>
      <c r="J332" s="58"/>
      <c r="K332" s="55">
        <v>0</v>
      </c>
      <c r="L332" s="57">
        <v>0</v>
      </c>
      <c r="M332" s="57">
        <f t="shared" si="320"/>
        <v>0</v>
      </c>
      <c r="N332" s="58"/>
      <c r="O332" s="55">
        <v>0</v>
      </c>
      <c r="P332" s="57">
        <v>0</v>
      </c>
      <c r="Q332" s="57">
        <f t="shared" si="321"/>
        <v>0</v>
      </c>
      <c r="R332" s="58"/>
      <c r="S332" s="55">
        <v>0</v>
      </c>
      <c r="T332" s="57">
        <v>0</v>
      </c>
      <c r="U332" s="57">
        <f t="shared" si="322"/>
        <v>0</v>
      </c>
      <c r="V332" s="59"/>
      <c r="W332" s="124">
        <f t="shared" si="317"/>
        <v>0</v>
      </c>
      <c r="X332" s="57">
        <f t="shared" si="317"/>
        <v>0</v>
      </c>
      <c r="Y332" s="84">
        <f t="shared" si="317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0</v>
      </c>
      <c r="D333" s="153">
        <f>SUM(D329:D332)</f>
        <v>0</v>
      </c>
      <c r="E333" s="153">
        <f>SUM(E329:E332)</f>
        <v>0</v>
      </c>
      <c r="F333" s="154"/>
      <c r="G333" s="152">
        <f>SUM(G329:G332)</f>
        <v>0</v>
      </c>
      <c r="H333" s="155">
        <f>SUM(H329:H332)</f>
        <v>0</v>
      </c>
      <c r="I333" s="155">
        <f>SUM(I329:I332)</f>
        <v>0</v>
      </c>
      <c r="J333" s="154"/>
      <c r="K333" s="152">
        <f>SUM(K329:K332)</f>
        <v>0</v>
      </c>
      <c r="L333" s="155">
        <f>SUM(L329:L332)</f>
        <v>0</v>
      </c>
      <c r="M333" s="155">
        <f>SUM(M329:M332)</f>
        <v>0</v>
      </c>
      <c r="N333" s="154"/>
      <c r="O333" s="152">
        <f>SUM(O329:O332)</f>
        <v>0</v>
      </c>
      <c r="P333" s="155">
        <f>SUM(P329:P332)</f>
        <v>0</v>
      </c>
      <c r="Q333" s="155">
        <f>SUM(Q329:Q332)</f>
        <v>0</v>
      </c>
      <c r="R333" s="154"/>
      <c r="S333" s="152">
        <f>SUM(S329:S332)</f>
        <v>0</v>
      </c>
      <c r="T333" s="155">
        <f>SUM(T329:T332)</f>
        <v>0</v>
      </c>
      <c r="U333" s="155">
        <f>SUM(U329:U332)</f>
        <v>0</v>
      </c>
      <c r="V333" s="82"/>
      <c r="W333" s="228">
        <f t="shared" si="317"/>
        <v>0</v>
      </c>
      <c r="X333" s="80">
        <f t="shared" si="317"/>
        <v>0</v>
      </c>
      <c r="Y333" s="80">
        <f t="shared" si="317"/>
        <v>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323">SUM(C313+C318+C323+C327+C333)</f>
        <v>0</v>
      </c>
      <c r="D334" s="251">
        <f t="shared" si="323"/>
        <v>0</v>
      </c>
      <c r="E334" s="251">
        <f t="shared" si="323"/>
        <v>0</v>
      </c>
      <c r="F334" s="251">
        <f t="shared" si="323"/>
        <v>0</v>
      </c>
      <c r="G334" s="251">
        <f t="shared" si="323"/>
        <v>0</v>
      </c>
      <c r="H334" s="251">
        <f t="shared" si="323"/>
        <v>0</v>
      </c>
      <c r="I334" s="251">
        <f t="shared" si="323"/>
        <v>0</v>
      </c>
      <c r="J334" s="251">
        <f t="shared" si="323"/>
        <v>0</v>
      </c>
      <c r="K334" s="251">
        <f t="shared" si="323"/>
        <v>0</v>
      </c>
      <c r="L334" s="251">
        <f t="shared" si="323"/>
        <v>0</v>
      </c>
      <c r="M334" s="251">
        <f t="shared" si="323"/>
        <v>0</v>
      </c>
      <c r="N334" s="251">
        <f t="shared" si="323"/>
        <v>0</v>
      </c>
      <c r="O334" s="251">
        <f t="shared" si="323"/>
        <v>0</v>
      </c>
      <c r="P334" s="251">
        <f t="shared" si="323"/>
        <v>0</v>
      </c>
      <c r="Q334" s="251">
        <f t="shared" si="323"/>
        <v>0</v>
      </c>
      <c r="R334" s="251">
        <f t="shared" si="323"/>
        <v>0</v>
      </c>
      <c r="S334" s="251">
        <f t="shared" si="323"/>
        <v>0</v>
      </c>
      <c r="T334" s="251">
        <f t="shared" si="323"/>
        <v>0</v>
      </c>
      <c r="U334" s="251">
        <f t="shared" si="323"/>
        <v>0</v>
      </c>
      <c r="V334" s="251">
        <f t="shared" si="323"/>
        <v>0</v>
      </c>
      <c r="W334" s="251">
        <f t="shared" si="323"/>
        <v>0</v>
      </c>
      <c r="X334" s="251">
        <f t="shared" si="323"/>
        <v>0</v>
      </c>
      <c r="Y334" s="251">
        <f t="shared" si="323"/>
        <v>0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((C307)*0.56)</f>
        <v>0</v>
      </c>
      <c r="D335" s="251">
        <v>0</v>
      </c>
      <c r="E335" s="251">
        <f>C335</f>
        <v>0</v>
      </c>
      <c r="F335" s="251">
        <f>F307*0.47</f>
        <v>0</v>
      </c>
      <c r="G335" s="251">
        <f>((G307)*0.56)</f>
        <v>0</v>
      </c>
      <c r="H335" s="251">
        <v>0</v>
      </c>
      <c r="I335" s="251">
        <f>G335</f>
        <v>0</v>
      </c>
      <c r="J335" s="251">
        <f>J307*0.47</f>
        <v>0</v>
      </c>
      <c r="K335" s="251">
        <f>((K307)*0.56)</f>
        <v>0</v>
      </c>
      <c r="L335" s="251">
        <v>0</v>
      </c>
      <c r="M335" s="251">
        <f>K335</f>
        <v>0</v>
      </c>
      <c r="N335" s="251">
        <f>N307*0.47</f>
        <v>0</v>
      </c>
      <c r="O335" s="251">
        <f>((O307)*0.56)</f>
        <v>0</v>
      </c>
      <c r="P335" s="251">
        <v>0</v>
      </c>
      <c r="Q335" s="251">
        <f>O335</f>
        <v>0</v>
      </c>
      <c r="R335" s="251">
        <f>R307*0.47</f>
        <v>0</v>
      </c>
      <c r="S335" s="251">
        <f>((S307)*0.56)</f>
        <v>0</v>
      </c>
      <c r="T335" s="251">
        <v>0</v>
      </c>
      <c r="U335" s="251">
        <f>S335</f>
        <v>0</v>
      </c>
      <c r="V335" s="251">
        <f>V307*0.47</f>
        <v>0</v>
      </c>
      <c r="W335" s="251">
        <f>((W307)*0.56)</f>
        <v>0</v>
      </c>
      <c r="X335" s="251">
        <v>0</v>
      </c>
      <c r="Y335" s="251">
        <f>W335</f>
        <v>0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0</v>
      </c>
      <c r="D336" s="251">
        <f t="shared" ref="D336:Y336" si="324">SUM(D334:D335)</f>
        <v>0</v>
      </c>
      <c r="E336" s="251">
        <f t="shared" si="324"/>
        <v>0</v>
      </c>
      <c r="F336" s="251">
        <f t="shared" si="324"/>
        <v>0</v>
      </c>
      <c r="G336" s="251">
        <f t="shared" si="324"/>
        <v>0</v>
      </c>
      <c r="H336" s="251">
        <f t="shared" si="324"/>
        <v>0</v>
      </c>
      <c r="I336" s="251">
        <f t="shared" si="324"/>
        <v>0</v>
      </c>
      <c r="J336" s="251">
        <f t="shared" si="324"/>
        <v>0</v>
      </c>
      <c r="K336" s="251">
        <f t="shared" si="324"/>
        <v>0</v>
      </c>
      <c r="L336" s="251">
        <f t="shared" si="324"/>
        <v>0</v>
      </c>
      <c r="M336" s="251">
        <f t="shared" si="324"/>
        <v>0</v>
      </c>
      <c r="N336" s="251">
        <f t="shared" si="324"/>
        <v>0</v>
      </c>
      <c r="O336" s="251">
        <f t="shared" si="324"/>
        <v>0</v>
      </c>
      <c r="P336" s="251">
        <f t="shared" si="324"/>
        <v>0</v>
      </c>
      <c r="Q336" s="251">
        <f t="shared" si="324"/>
        <v>0</v>
      </c>
      <c r="R336" s="251">
        <f t="shared" si="324"/>
        <v>0</v>
      </c>
      <c r="S336" s="251">
        <f t="shared" si="324"/>
        <v>0</v>
      </c>
      <c r="T336" s="251">
        <f t="shared" si="324"/>
        <v>0</v>
      </c>
      <c r="U336" s="251">
        <f t="shared" si="324"/>
        <v>0</v>
      </c>
      <c r="V336" s="251">
        <f t="shared" si="324"/>
        <v>0</v>
      </c>
      <c r="W336" s="251">
        <f t="shared" si="324"/>
        <v>0</v>
      </c>
      <c r="X336" s="251">
        <f t="shared" si="324"/>
        <v>0</v>
      </c>
      <c r="Y336" s="251">
        <f t="shared" si="324"/>
        <v>0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112034.65092999999</v>
      </c>
      <c r="D339" s="121">
        <f t="shared" ref="D339:X339" si="325">D248+D176+D88+D292+D336</f>
        <v>37112.923519999997</v>
      </c>
      <c r="E339" s="121">
        <f t="shared" si="325"/>
        <v>149147.57444999999</v>
      </c>
      <c r="F339" s="121">
        <f t="shared" si="325"/>
        <v>0</v>
      </c>
      <c r="G339" s="121">
        <f t="shared" si="325"/>
        <v>165594.56032574002</v>
      </c>
      <c r="H339" s="121">
        <f t="shared" si="325"/>
        <v>32939.271451968001</v>
      </c>
      <c r="I339" s="121">
        <f t="shared" si="325"/>
        <v>198533.83177770802</v>
      </c>
      <c r="J339" s="121">
        <f t="shared" si="325"/>
        <v>0</v>
      </c>
      <c r="K339" s="121">
        <f t="shared" si="325"/>
        <v>147969.31707918615</v>
      </c>
      <c r="L339" s="121">
        <f t="shared" si="325"/>
        <v>53802.161099680852</v>
      </c>
      <c r="M339" s="121">
        <f t="shared" si="325"/>
        <v>201771.47817886702</v>
      </c>
      <c r="N339" s="121">
        <f t="shared" si="325"/>
        <v>0</v>
      </c>
      <c r="O339" s="121">
        <f t="shared" si="325"/>
        <v>173782.5795759242</v>
      </c>
      <c r="P339" s="121">
        <f t="shared" si="325"/>
        <v>34703.404367428055</v>
      </c>
      <c r="Q339" s="121">
        <f t="shared" si="325"/>
        <v>208485.98394335227</v>
      </c>
      <c r="R339" s="121">
        <f t="shared" si="325"/>
        <v>0</v>
      </c>
      <c r="S339" s="121">
        <f t="shared" si="325"/>
        <v>156545.65833580951</v>
      </c>
      <c r="T339" s="121">
        <f t="shared" si="325"/>
        <v>35644.911099884368</v>
      </c>
      <c r="U339" s="121">
        <f t="shared" si="325"/>
        <v>192190.56943569388</v>
      </c>
      <c r="V339" s="121">
        <f t="shared" si="325"/>
        <v>0</v>
      </c>
      <c r="W339" s="121">
        <f t="shared" si="325"/>
        <v>755926.7662466598</v>
      </c>
      <c r="X339" s="121">
        <f t="shared" si="325"/>
        <v>194202.67153896129</v>
      </c>
      <c r="Y339" s="121">
        <f>Y248+Y176+Y88+Y292+Y336</f>
        <v>950129.43778562115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4" customFormat="1" x14ac:dyDescent="0.25">
      <c r="V340" s="45"/>
      <c r="W340" s="47"/>
      <c r="X340" s="47"/>
      <c r="Y340" s="46"/>
    </row>
    <row r="341" spans="1:77" s="4" customFormat="1" x14ac:dyDescent="0.25">
      <c r="V341" s="45"/>
      <c r="W341" s="47"/>
      <c r="X341" s="47"/>
      <c r="Y341" s="46"/>
    </row>
    <row r="342" spans="1:77" s="4" customFormat="1" x14ac:dyDescent="0.25">
      <c r="V342" s="45"/>
      <c r="W342" s="47"/>
      <c r="X342" s="47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12"/>
      <c r="X348" s="12"/>
      <c r="Y348" s="46"/>
    </row>
    <row r="349" spans="1:77" s="4" customFormat="1" x14ac:dyDescent="0.25">
      <c r="V349" s="45"/>
      <c r="W349" s="12"/>
      <c r="X349" s="12"/>
      <c r="Y349" s="46"/>
    </row>
    <row r="350" spans="1:77" s="4" customFormat="1" x14ac:dyDescent="0.25">
      <c r="V350" s="45"/>
      <c r="W350" s="12"/>
      <c r="X350" s="12"/>
      <c r="Y350" s="46"/>
    </row>
    <row r="351" spans="1:77" s="4" customFormat="1" x14ac:dyDescent="0.25">
      <c r="V351" s="45"/>
      <c r="W351" s="12"/>
      <c r="X351" s="12"/>
      <c r="Y351" s="46"/>
    </row>
    <row r="352" spans="1:77" s="4" customFormat="1" x14ac:dyDescent="0.25">
      <c r="V352" s="45"/>
      <c r="W352" s="12"/>
      <c r="X352" s="12"/>
      <c r="Y352" s="46"/>
    </row>
    <row r="353" spans="22:25" s="4" customFormat="1" x14ac:dyDescent="0.25">
      <c r="V353" s="45"/>
      <c r="W353" s="12"/>
      <c r="X353" s="12"/>
      <c r="Y353" s="46"/>
    </row>
    <row r="354" spans="22:25" s="4" customFormat="1" x14ac:dyDescent="0.25">
      <c r="V354" s="45"/>
      <c r="W354" s="12"/>
      <c r="X354" s="12"/>
      <c r="Y354" s="46"/>
    </row>
    <row r="355" spans="22:25" s="4" customFormat="1" x14ac:dyDescent="0.25">
      <c r="V355" s="45"/>
      <c r="W355" s="12"/>
      <c r="X355" s="12"/>
      <c r="Y355" s="46"/>
    </row>
    <row r="356" spans="22:25" s="4" customFormat="1" x14ac:dyDescent="0.25">
      <c r="V356" s="45"/>
      <c r="W356" s="12"/>
      <c r="X356" s="12"/>
      <c r="Y356" s="46"/>
    </row>
    <row r="357" spans="22:25" s="4" customFormat="1" x14ac:dyDescent="0.25">
      <c r="V357" s="45"/>
      <c r="W357" s="12"/>
      <c r="X357" s="12"/>
      <c r="Y357" s="46"/>
    </row>
    <row r="358" spans="22:25" s="4" customFormat="1" x14ac:dyDescent="0.25">
      <c r="V358" s="45"/>
      <c r="W358" s="12"/>
      <c r="X358" s="12"/>
      <c r="Y358" s="46"/>
    </row>
    <row r="359" spans="22:25" s="4" customFormat="1" x14ac:dyDescent="0.25">
      <c r="V359" s="45"/>
      <c r="W359" s="12"/>
      <c r="X359" s="12"/>
      <c r="Y359" s="46"/>
    </row>
    <row r="360" spans="22:25" s="4" customFormat="1" x14ac:dyDescent="0.25">
      <c r="V360" s="45"/>
      <c r="W360" s="12"/>
      <c r="X360" s="12"/>
      <c r="Y360" s="46"/>
    </row>
    <row r="361" spans="22:25" s="4" customFormat="1" x14ac:dyDescent="0.25">
      <c r="V361" s="45"/>
      <c r="W361" s="12"/>
      <c r="X361" s="12"/>
      <c r="Y361" s="46"/>
    </row>
    <row r="362" spans="22:25" s="4" customFormat="1" x14ac:dyDescent="0.25">
      <c r="V362" s="45"/>
      <c r="W362" s="12"/>
      <c r="X362" s="12"/>
      <c r="Y362" s="46"/>
    </row>
    <row r="363" spans="22:25" s="4" customFormat="1" x14ac:dyDescent="0.25">
      <c r="V363" s="45"/>
      <c r="W363" s="12"/>
      <c r="X363" s="12"/>
      <c r="Y363" s="46"/>
    </row>
    <row r="364" spans="22:25" s="4" customFormat="1" x14ac:dyDescent="0.25">
      <c r="V364" s="45"/>
      <c r="W364" s="12"/>
      <c r="X364" s="12"/>
      <c r="Y364" s="46"/>
    </row>
    <row r="365" spans="22:25" s="4" customFormat="1" x14ac:dyDescent="0.25">
      <c r="V365" s="45"/>
      <c r="W365" s="12"/>
      <c r="X365" s="12"/>
      <c r="Y365" s="46"/>
    </row>
    <row r="366" spans="22:25" s="4" customFormat="1" x14ac:dyDescent="0.25">
      <c r="V366" s="45"/>
      <c r="W366" s="12"/>
      <c r="X366" s="12"/>
      <c r="Y366" s="46"/>
    </row>
    <row r="367" spans="22:25" s="4" customFormat="1" x14ac:dyDescent="0.25">
      <c r="V367" s="45"/>
      <c r="W367" s="12"/>
      <c r="X367" s="12"/>
      <c r="Y367" s="46"/>
    </row>
    <row r="368" spans="22:25" s="4" customFormat="1" x14ac:dyDescent="0.25">
      <c r="V368" s="45"/>
      <c r="W368" s="12"/>
      <c r="X368" s="12"/>
      <c r="Y368" s="46"/>
    </row>
    <row r="369" spans="22:25" s="4" customFormat="1" x14ac:dyDescent="0.25">
      <c r="V369" s="45"/>
      <c r="W369" s="12"/>
      <c r="X369" s="12"/>
      <c r="Y369" s="46"/>
    </row>
    <row r="370" spans="22:25" s="4" customFormat="1" x14ac:dyDescent="0.25">
      <c r="V370" s="45"/>
      <c r="W370" s="12"/>
      <c r="X370" s="12"/>
      <c r="Y370" s="46"/>
    </row>
    <row r="371" spans="22:25" s="4" customFormat="1" x14ac:dyDescent="0.25">
      <c r="V371" s="45"/>
      <c r="W371" s="12"/>
      <c r="X371" s="12"/>
      <c r="Y371" s="46"/>
    </row>
    <row r="372" spans="22:25" s="4" customFormat="1" x14ac:dyDescent="0.25">
      <c r="V372" s="45"/>
      <c r="W372" s="12"/>
      <c r="X372" s="12"/>
      <c r="Y372" s="46"/>
    </row>
    <row r="373" spans="22:25" s="4" customFormat="1" x14ac:dyDescent="0.25">
      <c r="V373" s="45"/>
      <c r="W373" s="12"/>
      <c r="X373" s="12"/>
      <c r="Y373" s="46"/>
    </row>
    <row r="374" spans="22:25" s="4" customFormat="1" x14ac:dyDescent="0.25">
      <c r="V374" s="45"/>
      <c r="W374" s="12"/>
      <c r="X374" s="12"/>
      <c r="Y374" s="46"/>
    </row>
    <row r="375" spans="22:25" s="4" customFormat="1" x14ac:dyDescent="0.25">
      <c r="V375" s="45"/>
      <c r="W375" s="12"/>
      <c r="X375" s="12"/>
      <c r="Y375" s="46"/>
    </row>
    <row r="376" spans="22:25" s="4" customFormat="1" x14ac:dyDescent="0.25">
      <c r="V376" s="45"/>
      <c r="W376" s="12"/>
      <c r="X376" s="12"/>
      <c r="Y376" s="46"/>
    </row>
    <row r="377" spans="22:25" s="4" customFormat="1" x14ac:dyDescent="0.25">
      <c r="V377" s="45"/>
      <c r="W377" s="12"/>
      <c r="X377" s="12"/>
      <c r="Y377" s="46"/>
    </row>
    <row r="378" spans="22:25" s="4" customFormat="1" x14ac:dyDescent="0.25">
      <c r="V378" s="45"/>
      <c r="W378" s="12"/>
      <c r="X378" s="12"/>
      <c r="Y378" s="46"/>
    </row>
    <row r="379" spans="22:25" s="4" customFormat="1" x14ac:dyDescent="0.25">
      <c r="V379" s="45"/>
      <c r="W379" s="12"/>
      <c r="X379" s="12"/>
      <c r="Y379" s="46"/>
    </row>
    <row r="380" spans="22:25" s="4" customFormat="1" x14ac:dyDescent="0.25">
      <c r="V380" s="45"/>
      <c r="W380" s="12"/>
      <c r="X380" s="12"/>
      <c r="Y380" s="46"/>
    </row>
    <row r="381" spans="22:25" s="4" customFormat="1" x14ac:dyDescent="0.25">
      <c r="V381" s="45"/>
      <c r="W381" s="12"/>
      <c r="X381" s="12"/>
      <c r="Y381" s="46"/>
    </row>
    <row r="382" spans="22:25" s="4" customFormat="1" x14ac:dyDescent="0.25">
      <c r="V382" s="45"/>
      <c r="W382" s="12"/>
      <c r="X382" s="12"/>
      <c r="Y382" s="46"/>
    </row>
    <row r="383" spans="22:25" s="4" customFormat="1" x14ac:dyDescent="0.25">
      <c r="V383" s="45"/>
      <c r="W383" s="12"/>
      <c r="X383" s="12"/>
      <c r="Y383" s="46"/>
    </row>
    <row r="384" spans="22:25" s="4" customFormat="1" x14ac:dyDescent="0.25">
      <c r="V384" s="45"/>
      <c r="W384" s="12"/>
      <c r="X384" s="12"/>
      <c r="Y384" s="46"/>
    </row>
    <row r="385" spans="22:25" s="4" customFormat="1" x14ac:dyDescent="0.25">
      <c r="V385" s="45"/>
      <c r="W385" s="12"/>
      <c r="X385" s="12"/>
      <c r="Y385" s="46"/>
    </row>
    <row r="386" spans="22:25" s="4" customFormat="1" x14ac:dyDescent="0.25">
      <c r="V386" s="45"/>
      <c r="W386" s="12"/>
      <c r="X386" s="12"/>
      <c r="Y386" s="46"/>
    </row>
    <row r="387" spans="22:25" s="4" customFormat="1" x14ac:dyDescent="0.25">
      <c r="V387" s="45"/>
      <c r="W387" s="12"/>
      <c r="X387" s="12"/>
      <c r="Y387" s="46"/>
    </row>
    <row r="388" spans="22:25" s="4" customFormat="1" x14ac:dyDescent="0.25">
      <c r="V388" s="45"/>
      <c r="W388" s="12"/>
      <c r="X388" s="12"/>
      <c r="Y388" s="46"/>
    </row>
    <row r="389" spans="22:25" s="4" customFormat="1" x14ac:dyDescent="0.25">
      <c r="V389" s="45"/>
      <c r="W389" s="12"/>
      <c r="X389" s="12"/>
      <c r="Y389" s="46"/>
    </row>
    <row r="390" spans="22:25" s="4" customFormat="1" x14ac:dyDescent="0.25">
      <c r="V390" s="45"/>
      <c r="W390" s="12"/>
      <c r="X390" s="12"/>
      <c r="Y390" s="46"/>
    </row>
    <row r="391" spans="22:25" s="4" customFormat="1" x14ac:dyDescent="0.25">
      <c r="V391" s="45"/>
      <c r="W391" s="12"/>
      <c r="X391" s="12"/>
      <c r="Y391" s="46"/>
    </row>
    <row r="392" spans="22:25" s="4" customFormat="1" x14ac:dyDescent="0.25">
      <c r="V392" s="45"/>
      <c r="W392" s="12"/>
      <c r="X392" s="12"/>
      <c r="Y392" s="46"/>
    </row>
    <row r="393" spans="22:25" s="4" customFormat="1" x14ac:dyDescent="0.25">
      <c r="V393" s="45"/>
      <c r="W393" s="12"/>
      <c r="X393" s="12"/>
      <c r="Y393" s="46"/>
    </row>
    <row r="394" spans="22:25" s="4" customFormat="1" x14ac:dyDescent="0.25">
      <c r="V394" s="45"/>
      <c r="W394" s="12"/>
      <c r="X394" s="12"/>
      <c r="Y394" s="46"/>
    </row>
    <row r="395" spans="22:25" s="4" customFormat="1" x14ac:dyDescent="0.25">
      <c r="V395" s="45"/>
      <c r="W395" s="12"/>
      <c r="X395" s="12"/>
      <c r="Y395" s="46"/>
    </row>
    <row r="396" spans="22:25" s="4" customFormat="1" x14ac:dyDescent="0.25">
      <c r="V396" s="45"/>
      <c r="W396" s="12"/>
      <c r="X396" s="12"/>
      <c r="Y396" s="46"/>
    </row>
    <row r="397" spans="22:25" s="4" customFormat="1" x14ac:dyDescent="0.25">
      <c r="V397" s="45"/>
      <c r="W397" s="12"/>
      <c r="X397" s="12"/>
      <c r="Y397" s="46"/>
    </row>
    <row r="398" spans="22:25" s="4" customFormat="1" x14ac:dyDescent="0.25">
      <c r="V398" s="45"/>
      <c r="W398" s="12"/>
      <c r="X398" s="12"/>
      <c r="Y398" s="46"/>
    </row>
    <row r="399" spans="22:25" s="4" customFormat="1" x14ac:dyDescent="0.25">
      <c r="V399" s="45"/>
      <c r="W399" s="12"/>
      <c r="X399" s="12"/>
      <c r="Y399" s="46"/>
    </row>
    <row r="400" spans="22:25" s="4" customFormat="1" x14ac:dyDescent="0.25">
      <c r="V400" s="45"/>
      <c r="W400" s="12"/>
      <c r="X400" s="12"/>
      <c r="Y400" s="46"/>
    </row>
    <row r="401" spans="22:25" s="4" customFormat="1" x14ac:dyDescent="0.25">
      <c r="V401" s="45"/>
      <c r="W401" s="12"/>
      <c r="X401" s="12"/>
      <c r="Y401" s="46"/>
    </row>
    <row r="402" spans="22:25" s="4" customFormat="1" x14ac:dyDescent="0.25">
      <c r="V402" s="45"/>
      <c r="W402" s="12"/>
      <c r="X402" s="12"/>
      <c r="Y402" s="46"/>
    </row>
    <row r="403" spans="22:25" s="4" customFormat="1" x14ac:dyDescent="0.25">
      <c r="V403" s="45"/>
      <c r="W403" s="12"/>
      <c r="X403" s="12"/>
      <c r="Y403" s="46"/>
    </row>
    <row r="404" spans="22:25" s="4" customFormat="1" x14ac:dyDescent="0.25">
      <c r="V404" s="45"/>
      <c r="W404" s="12"/>
      <c r="X404" s="12"/>
      <c r="Y404" s="46"/>
    </row>
    <row r="405" spans="22:25" s="4" customFormat="1" x14ac:dyDescent="0.25">
      <c r="V405" s="45"/>
      <c r="W405" s="12"/>
      <c r="X405" s="12"/>
      <c r="Y405" s="46"/>
    </row>
    <row r="406" spans="22:25" s="4" customFormat="1" x14ac:dyDescent="0.25">
      <c r="V406" s="45"/>
      <c r="W406" s="12"/>
      <c r="X406" s="12"/>
      <c r="Y406" s="46"/>
    </row>
    <row r="407" spans="22:25" s="4" customFormat="1" x14ac:dyDescent="0.25">
      <c r="V407" s="45"/>
      <c r="W407" s="12"/>
      <c r="X407" s="12"/>
      <c r="Y407" s="46"/>
    </row>
    <row r="408" spans="22:25" s="4" customFormat="1" x14ac:dyDescent="0.25">
      <c r="V408" s="45"/>
      <c r="W408" s="12"/>
      <c r="X408" s="12"/>
      <c r="Y408" s="46"/>
    </row>
    <row r="409" spans="22:25" s="4" customFormat="1" x14ac:dyDescent="0.25">
      <c r="V409" s="45"/>
      <c r="W409" s="12"/>
      <c r="X409" s="12"/>
      <c r="Y409" s="46"/>
    </row>
    <row r="410" spans="22:25" s="4" customFormat="1" x14ac:dyDescent="0.25">
      <c r="V410" s="45"/>
      <c r="W410" s="12"/>
      <c r="X410" s="12"/>
      <c r="Y410" s="46"/>
    </row>
    <row r="411" spans="22:25" s="4" customFormat="1" x14ac:dyDescent="0.25">
      <c r="V411" s="45"/>
      <c r="W411" s="12"/>
      <c r="X411" s="12"/>
      <c r="Y411" s="46"/>
    </row>
    <row r="412" spans="22:25" s="4" customFormat="1" x14ac:dyDescent="0.25">
      <c r="V412" s="45"/>
      <c r="W412" s="12"/>
      <c r="X412" s="12"/>
      <c r="Y412" s="46"/>
    </row>
    <row r="413" spans="22:25" s="4" customFormat="1" x14ac:dyDescent="0.25">
      <c r="V413" s="45"/>
      <c r="W413" s="12"/>
      <c r="X413" s="12"/>
      <c r="Y413" s="46"/>
    </row>
    <row r="414" spans="22:25" s="4" customFormat="1" x14ac:dyDescent="0.25">
      <c r="V414" s="45"/>
      <c r="W414" s="12"/>
      <c r="X414" s="12"/>
      <c r="Y414" s="46"/>
    </row>
    <row r="415" spans="22:25" s="4" customFormat="1" x14ac:dyDescent="0.25">
      <c r="V415" s="45"/>
      <c r="W415" s="12"/>
      <c r="X415" s="12"/>
      <c r="Y415" s="46"/>
    </row>
    <row r="416" spans="22:25" s="4" customFormat="1" x14ac:dyDescent="0.25">
      <c r="V416" s="45"/>
      <c r="W416" s="12"/>
      <c r="X416" s="12"/>
      <c r="Y416" s="46"/>
    </row>
    <row r="417" spans="22:25" s="4" customFormat="1" x14ac:dyDescent="0.25">
      <c r="V417" s="45"/>
      <c r="W417" s="12"/>
      <c r="X417" s="12"/>
      <c r="Y417" s="46"/>
    </row>
    <row r="418" spans="22:25" s="4" customFormat="1" x14ac:dyDescent="0.25">
      <c r="V418" s="45"/>
      <c r="W418" s="12"/>
      <c r="X418" s="12"/>
      <c r="Y418" s="46"/>
    </row>
    <row r="419" spans="22:25" s="4" customFormat="1" x14ac:dyDescent="0.25">
      <c r="V419" s="45"/>
      <c r="W419" s="12"/>
      <c r="X419" s="12"/>
      <c r="Y419" s="46"/>
    </row>
    <row r="420" spans="22:25" s="4" customFormat="1" x14ac:dyDescent="0.25">
      <c r="V420" s="45"/>
      <c r="W420" s="12"/>
      <c r="X420" s="12"/>
      <c r="Y420" s="46"/>
    </row>
    <row r="421" spans="22:25" s="4" customFormat="1" x14ac:dyDescent="0.25">
      <c r="V421" s="45"/>
      <c r="W421" s="12"/>
      <c r="X421" s="12"/>
      <c r="Y421" s="46"/>
    </row>
    <row r="422" spans="22:25" s="4" customFormat="1" x14ac:dyDescent="0.25">
      <c r="V422" s="45"/>
      <c r="W422" s="12"/>
      <c r="X422" s="12"/>
      <c r="Y422" s="46"/>
    </row>
    <row r="423" spans="22:25" s="4" customFormat="1" x14ac:dyDescent="0.25">
      <c r="V423" s="45"/>
      <c r="W423" s="12"/>
      <c r="X423" s="12"/>
      <c r="Y423" s="46"/>
    </row>
    <row r="424" spans="22:25" s="4" customFormat="1" x14ac:dyDescent="0.25">
      <c r="V424" s="45"/>
      <c r="W424" s="12"/>
      <c r="X424" s="12"/>
      <c r="Y424" s="46"/>
    </row>
    <row r="425" spans="22:25" s="4" customFormat="1" x14ac:dyDescent="0.25">
      <c r="V425" s="45"/>
      <c r="W425" s="12"/>
      <c r="X425" s="12"/>
      <c r="Y425" s="46"/>
    </row>
    <row r="426" spans="22:25" s="4" customFormat="1" x14ac:dyDescent="0.25">
      <c r="V426" s="45"/>
      <c r="W426" s="12"/>
      <c r="X426" s="12"/>
      <c r="Y426" s="46"/>
    </row>
    <row r="427" spans="22:25" s="4" customFormat="1" x14ac:dyDescent="0.25">
      <c r="V427" s="45"/>
      <c r="W427" s="12"/>
      <c r="X427" s="12"/>
      <c r="Y427" s="46"/>
    </row>
    <row r="428" spans="22:25" s="4" customFormat="1" x14ac:dyDescent="0.25">
      <c r="V428" s="45"/>
      <c r="W428" s="12"/>
      <c r="X428" s="12"/>
      <c r="Y428" s="46"/>
    </row>
    <row r="429" spans="22:25" s="4" customFormat="1" x14ac:dyDescent="0.25">
      <c r="V429" s="45"/>
      <c r="W429" s="12"/>
      <c r="X429" s="12"/>
      <c r="Y429" s="46"/>
    </row>
    <row r="430" spans="22:25" s="4" customFormat="1" x14ac:dyDescent="0.25">
      <c r="V430" s="45"/>
      <c r="W430" s="12"/>
      <c r="X430" s="12"/>
      <c r="Y430" s="46"/>
    </row>
    <row r="431" spans="22:25" s="4" customFormat="1" x14ac:dyDescent="0.25">
      <c r="V431" s="45"/>
      <c r="W431" s="12"/>
      <c r="X431" s="12"/>
      <c r="Y431" s="46"/>
    </row>
    <row r="432" spans="22:25" s="4" customFormat="1" x14ac:dyDescent="0.25">
      <c r="V432" s="45"/>
      <c r="W432" s="12"/>
      <c r="X432" s="12"/>
      <c r="Y432" s="46"/>
    </row>
    <row r="433" spans="22:25" s="4" customFormat="1" x14ac:dyDescent="0.25">
      <c r="V433" s="45"/>
      <c r="W433" s="12"/>
      <c r="X433" s="12"/>
      <c r="Y433" s="46"/>
    </row>
    <row r="434" spans="22:25" s="4" customFormat="1" x14ac:dyDescent="0.25">
      <c r="V434" s="45"/>
      <c r="W434" s="12"/>
      <c r="X434" s="12"/>
      <c r="Y434" s="46"/>
    </row>
    <row r="435" spans="22:25" s="4" customFormat="1" x14ac:dyDescent="0.25">
      <c r="V435" s="45"/>
      <c r="W435" s="12"/>
      <c r="X435" s="12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</sheetData>
  <mergeCells count="13">
    <mergeCell ref="A250:Y250"/>
    <mergeCell ref="A294:Y294"/>
    <mergeCell ref="A4:Y4"/>
    <mergeCell ref="A90:Y90"/>
    <mergeCell ref="A178:Y178"/>
    <mergeCell ref="A1:Y1"/>
    <mergeCell ref="A2:B2"/>
    <mergeCell ref="C2:E2"/>
    <mergeCell ref="G2:I2"/>
    <mergeCell ref="K2:M2"/>
    <mergeCell ref="O2:Q2"/>
    <mergeCell ref="S2:U2"/>
    <mergeCell ref="W2:Y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Y451"/>
  <sheetViews>
    <sheetView zoomScaleNormal="100" zoomScalePageLayoutView="80" workbookViewId="0">
      <pane xSplit="2" ySplit="4" topLeftCell="C146" activePane="bottomRight" state="frozen"/>
      <selection pane="topRight" activeCell="C1" sqref="C1"/>
      <selection pane="bottomLeft" activeCell="A5" sqref="A5"/>
      <selection pane="bottomRight" activeCell="G189" sqref="G189"/>
    </sheetView>
  </sheetViews>
  <sheetFormatPr defaultColWidth="8.88671875" defaultRowHeight="13.2" x14ac:dyDescent="0.25"/>
  <cols>
    <col min="1" max="1" width="10.44140625" style="7" customWidth="1"/>
    <col min="2" max="2" width="42.44140625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4.664062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4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77" s="61" customFormat="1" x14ac:dyDescent="0.25">
      <c r="A1" s="316" t="s">
        <v>99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77" s="61" customFormat="1" x14ac:dyDescent="0.25">
      <c r="A2" s="331">
        <v>44778</v>
      </c>
      <c r="B2" s="332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77" s="72" customFormat="1" ht="26.4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77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77" s="77" customForma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77" s="61" customFormat="1" x14ac:dyDescent="0.25">
      <c r="A6" s="54" t="s">
        <v>57</v>
      </c>
      <c r="B6" s="160" t="s">
        <v>57</v>
      </c>
      <c r="C6" s="124">
        <v>0</v>
      </c>
      <c r="D6" s="56">
        <v>0</v>
      </c>
      <c r="E6" s="56">
        <f t="shared" ref="E6:E14" si="0">SUM(C6:D6)</f>
        <v>0</v>
      </c>
      <c r="F6" s="58"/>
      <c r="G6" s="55">
        <f>60000*0</f>
        <v>0</v>
      </c>
      <c r="H6" s="57">
        <f>D6*1.05</f>
        <v>0</v>
      </c>
      <c r="I6" s="57">
        <f t="shared" ref="I6:I14" si="1">SUM(G6:H6)</f>
        <v>0</v>
      </c>
      <c r="J6" s="58"/>
      <c r="K6" s="55">
        <f>G6</f>
        <v>0</v>
      </c>
      <c r="L6" s="57">
        <f>H6*1.05</f>
        <v>0</v>
      </c>
      <c r="M6" s="57">
        <f t="shared" ref="M6:M14" si="2">SUM(K6:L6)</f>
        <v>0</v>
      </c>
      <c r="N6" s="58"/>
      <c r="O6" s="55">
        <f>K6</f>
        <v>0</v>
      </c>
      <c r="P6" s="57">
        <f>L6*1.05</f>
        <v>0</v>
      </c>
      <c r="Q6" s="57">
        <f t="shared" ref="Q6:Q14" si="3">SUM(O6:P6)</f>
        <v>0</v>
      </c>
      <c r="R6" s="58"/>
      <c r="S6" s="55">
        <f>O6</f>
        <v>0</v>
      </c>
      <c r="T6" s="57">
        <f>P6*1.05</f>
        <v>0</v>
      </c>
      <c r="U6" s="57">
        <f t="shared" ref="U6:U14" si="4">SUM(S6:T6)</f>
        <v>0</v>
      </c>
      <c r="V6" s="59"/>
      <c r="W6" s="124">
        <f t="shared" ref="W6:W15" si="5">C6+G6+K6+O6+S6</f>
        <v>0</v>
      </c>
      <c r="X6" s="196">
        <f t="shared" ref="X6:X15" si="6">D6+H6+L6+P6+T6</f>
        <v>0</v>
      </c>
      <c r="Y6" s="194">
        <f t="shared" ref="Y6:Y15" si="7">E6+I6+M6+Q6+U6</f>
        <v>0</v>
      </c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  <c r="BX6" s="54"/>
      <c r="BY6" s="54"/>
    </row>
    <row r="7" spans="1:77" s="61" customFormat="1" x14ac:dyDescent="0.25">
      <c r="A7" s="53"/>
      <c r="B7" s="52" t="s">
        <v>229</v>
      </c>
      <c r="C7" s="124">
        <f>(45910.8*1.03)*0.5</f>
        <v>23644.062000000002</v>
      </c>
      <c r="D7" s="56">
        <v>0</v>
      </c>
      <c r="E7" s="56">
        <f t="shared" si="0"/>
        <v>23644.062000000002</v>
      </c>
      <c r="F7" s="58"/>
      <c r="G7" s="55">
        <f>C7*1.03*0</f>
        <v>0</v>
      </c>
      <c r="H7" s="57">
        <f>D7*1.05</f>
        <v>0</v>
      </c>
      <c r="I7" s="57">
        <f t="shared" si="1"/>
        <v>0</v>
      </c>
      <c r="J7" s="58"/>
      <c r="K7" s="55">
        <f>G7*1.03*0</f>
        <v>0</v>
      </c>
      <c r="L7" s="57">
        <f>H7*1.05</f>
        <v>0</v>
      </c>
      <c r="M7" s="57">
        <f t="shared" si="2"/>
        <v>0</v>
      </c>
      <c r="N7" s="58"/>
      <c r="O7" s="55">
        <f>K7*1.03</f>
        <v>0</v>
      </c>
      <c r="P7" s="57">
        <f>L7*1.05</f>
        <v>0</v>
      </c>
      <c r="Q7" s="57">
        <f t="shared" si="3"/>
        <v>0</v>
      </c>
      <c r="R7" s="58"/>
      <c r="S7" s="55">
        <f>O7*1.03</f>
        <v>0</v>
      </c>
      <c r="T7" s="57">
        <f>P7*1.05</f>
        <v>0</v>
      </c>
      <c r="U7" s="57">
        <f t="shared" si="4"/>
        <v>0</v>
      </c>
      <c r="V7" s="59"/>
      <c r="W7" s="124">
        <f t="shared" si="5"/>
        <v>23644.062000000002</v>
      </c>
      <c r="X7" s="57">
        <f t="shared" si="6"/>
        <v>0</v>
      </c>
      <c r="Y7" s="60">
        <f t="shared" si="7"/>
        <v>23644.062000000002</v>
      </c>
    </row>
    <row r="8" spans="1:77" s="160" customFormat="1" x14ac:dyDescent="0.25">
      <c r="A8" s="192" t="s">
        <v>75</v>
      </c>
      <c r="B8" s="54" t="s">
        <v>57</v>
      </c>
      <c r="C8" s="124">
        <v>0</v>
      </c>
      <c r="D8" s="56">
        <v>0</v>
      </c>
      <c r="E8" s="56">
        <f t="shared" si="0"/>
        <v>0</v>
      </c>
      <c r="F8" s="58"/>
      <c r="G8" s="55">
        <f t="shared" ref="G8:G14" si="8">C8*1.05</f>
        <v>0</v>
      </c>
      <c r="H8" s="56">
        <f>D8*1.03</f>
        <v>0</v>
      </c>
      <c r="I8" s="56">
        <f t="shared" si="1"/>
        <v>0</v>
      </c>
      <c r="J8" s="58"/>
      <c r="K8" s="55">
        <f t="shared" ref="K8:K14" si="9">G8*1.05</f>
        <v>0</v>
      </c>
      <c r="L8" s="56">
        <f>H8*1.03</f>
        <v>0</v>
      </c>
      <c r="M8" s="56">
        <f t="shared" si="2"/>
        <v>0</v>
      </c>
      <c r="N8" s="58"/>
      <c r="O8" s="55">
        <f t="shared" ref="O8:O14" si="10">K8*1.05</f>
        <v>0</v>
      </c>
      <c r="P8" s="56">
        <f>L8*1.03</f>
        <v>0</v>
      </c>
      <c r="Q8" s="56">
        <f t="shared" si="3"/>
        <v>0</v>
      </c>
      <c r="R8" s="58"/>
      <c r="S8" s="55">
        <f t="shared" ref="S8:S14" si="11">O8*1.05</f>
        <v>0</v>
      </c>
      <c r="T8" s="56">
        <f>P8*1.03</f>
        <v>0</v>
      </c>
      <c r="U8" s="56">
        <f t="shared" si="4"/>
        <v>0</v>
      </c>
      <c r="V8" s="59"/>
      <c r="W8" s="124">
        <f t="shared" si="5"/>
        <v>0</v>
      </c>
      <c r="X8" s="56">
        <f t="shared" si="6"/>
        <v>0</v>
      </c>
      <c r="Y8" s="193">
        <f t="shared" si="7"/>
        <v>0</v>
      </c>
    </row>
    <row r="9" spans="1:77" s="61" customFormat="1" x14ac:dyDescent="0.25">
      <c r="A9" s="53"/>
      <c r="B9" s="54"/>
      <c r="C9" s="124">
        <v>0</v>
      </c>
      <c r="D9" s="56">
        <v>0</v>
      </c>
      <c r="E9" s="56">
        <f t="shared" si="0"/>
        <v>0</v>
      </c>
      <c r="F9" s="58"/>
      <c r="G9" s="55">
        <f t="shared" si="8"/>
        <v>0</v>
      </c>
      <c r="H9" s="57">
        <f t="shared" ref="H9:H14" si="12">D9*1.05</f>
        <v>0</v>
      </c>
      <c r="I9" s="57">
        <f t="shared" si="1"/>
        <v>0</v>
      </c>
      <c r="J9" s="58"/>
      <c r="K9" s="55">
        <f t="shared" si="9"/>
        <v>0</v>
      </c>
      <c r="L9" s="57">
        <f t="shared" ref="L9:L14" si="13">H9*1.05</f>
        <v>0</v>
      </c>
      <c r="M9" s="57">
        <f t="shared" si="2"/>
        <v>0</v>
      </c>
      <c r="N9" s="58"/>
      <c r="O9" s="55">
        <f t="shared" si="10"/>
        <v>0</v>
      </c>
      <c r="P9" s="57">
        <f t="shared" ref="P9:P14" si="14">L9*1.05</f>
        <v>0</v>
      </c>
      <c r="Q9" s="57">
        <f t="shared" si="3"/>
        <v>0</v>
      </c>
      <c r="R9" s="58"/>
      <c r="S9" s="55">
        <f t="shared" si="11"/>
        <v>0</v>
      </c>
      <c r="T9" s="57">
        <f t="shared" ref="T9:T14" si="15">P9*1.05</f>
        <v>0</v>
      </c>
      <c r="U9" s="57">
        <f t="shared" si="4"/>
        <v>0</v>
      </c>
      <c r="V9" s="59"/>
      <c r="W9" s="124">
        <f t="shared" si="5"/>
        <v>0</v>
      </c>
      <c r="X9" s="57">
        <f t="shared" si="6"/>
        <v>0</v>
      </c>
      <c r="Y9" s="60">
        <f t="shared" si="7"/>
        <v>0</v>
      </c>
    </row>
    <row r="10" spans="1:77" s="61" customFormat="1" x14ac:dyDescent="0.25">
      <c r="A10" s="53"/>
      <c r="B10" s="54"/>
      <c r="C10" s="124">
        <v>0</v>
      </c>
      <c r="D10" s="56">
        <v>0</v>
      </c>
      <c r="E10" s="56">
        <f t="shared" si="0"/>
        <v>0</v>
      </c>
      <c r="F10" s="58"/>
      <c r="G10" s="55">
        <f t="shared" si="8"/>
        <v>0</v>
      </c>
      <c r="H10" s="57">
        <f t="shared" si="12"/>
        <v>0</v>
      </c>
      <c r="I10" s="57">
        <f t="shared" si="1"/>
        <v>0</v>
      </c>
      <c r="J10" s="58"/>
      <c r="K10" s="55">
        <f t="shared" si="9"/>
        <v>0</v>
      </c>
      <c r="L10" s="57">
        <f t="shared" si="13"/>
        <v>0</v>
      </c>
      <c r="M10" s="57">
        <f t="shared" si="2"/>
        <v>0</v>
      </c>
      <c r="N10" s="58"/>
      <c r="O10" s="55">
        <f t="shared" si="10"/>
        <v>0</v>
      </c>
      <c r="P10" s="57">
        <f t="shared" si="14"/>
        <v>0</v>
      </c>
      <c r="Q10" s="57">
        <f t="shared" si="3"/>
        <v>0</v>
      </c>
      <c r="R10" s="58"/>
      <c r="S10" s="55">
        <f t="shared" si="11"/>
        <v>0</v>
      </c>
      <c r="T10" s="57">
        <f t="shared" si="15"/>
        <v>0</v>
      </c>
      <c r="U10" s="57">
        <f t="shared" si="4"/>
        <v>0</v>
      </c>
      <c r="V10" s="59"/>
      <c r="W10" s="124">
        <f t="shared" si="5"/>
        <v>0</v>
      </c>
      <c r="X10" s="57">
        <f t="shared" si="6"/>
        <v>0</v>
      </c>
      <c r="Y10" s="60">
        <f t="shared" si="7"/>
        <v>0</v>
      </c>
    </row>
    <row r="11" spans="1:77" s="61" customFormat="1" x14ac:dyDescent="0.25">
      <c r="A11" s="53"/>
      <c r="B11" s="54"/>
      <c r="C11" s="124">
        <v>0</v>
      </c>
      <c r="D11" s="56">
        <v>0</v>
      </c>
      <c r="E11" s="56">
        <f t="shared" si="0"/>
        <v>0</v>
      </c>
      <c r="F11" s="58"/>
      <c r="G11" s="55">
        <f t="shared" si="8"/>
        <v>0</v>
      </c>
      <c r="H11" s="57">
        <f t="shared" si="12"/>
        <v>0</v>
      </c>
      <c r="I11" s="57">
        <f t="shared" si="1"/>
        <v>0</v>
      </c>
      <c r="J11" s="58"/>
      <c r="K11" s="55">
        <f t="shared" si="9"/>
        <v>0</v>
      </c>
      <c r="L11" s="57">
        <f t="shared" si="13"/>
        <v>0</v>
      </c>
      <c r="M11" s="57">
        <f t="shared" si="2"/>
        <v>0</v>
      </c>
      <c r="N11" s="58"/>
      <c r="O11" s="55">
        <f t="shared" si="10"/>
        <v>0</v>
      </c>
      <c r="P11" s="57">
        <f t="shared" si="14"/>
        <v>0</v>
      </c>
      <c r="Q11" s="57">
        <f t="shared" si="3"/>
        <v>0</v>
      </c>
      <c r="R11" s="58"/>
      <c r="S11" s="55">
        <f t="shared" si="11"/>
        <v>0</v>
      </c>
      <c r="T11" s="57">
        <f t="shared" si="15"/>
        <v>0</v>
      </c>
      <c r="U11" s="57">
        <f t="shared" si="4"/>
        <v>0</v>
      </c>
      <c r="V11" s="59"/>
      <c r="W11" s="124">
        <f t="shared" si="5"/>
        <v>0</v>
      </c>
      <c r="X11" s="57">
        <f t="shared" si="6"/>
        <v>0</v>
      </c>
      <c r="Y11" s="60">
        <f t="shared" si="7"/>
        <v>0</v>
      </c>
    </row>
    <row r="12" spans="1:77" s="61" customFormat="1" x14ac:dyDescent="0.25">
      <c r="A12" s="52"/>
      <c r="B12" s="54"/>
      <c r="C12" s="124">
        <v>0</v>
      </c>
      <c r="D12" s="56">
        <v>0</v>
      </c>
      <c r="E12" s="56">
        <f t="shared" si="0"/>
        <v>0</v>
      </c>
      <c r="F12" s="58"/>
      <c r="G12" s="55">
        <f t="shared" si="8"/>
        <v>0</v>
      </c>
      <c r="H12" s="57">
        <f t="shared" si="12"/>
        <v>0</v>
      </c>
      <c r="I12" s="57">
        <f t="shared" si="1"/>
        <v>0</v>
      </c>
      <c r="J12" s="58"/>
      <c r="K12" s="55">
        <f t="shared" si="9"/>
        <v>0</v>
      </c>
      <c r="L12" s="57">
        <f t="shared" si="13"/>
        <v>0</v>
      </c>
      <c r="M12" s="57">
        <f t="shared" si="2"/>
        <v>0</v>
      </c>
      <c r="N12" s="58"/>
      <c r="O12" s="55">
        <f t="shared" si="10"/>
        <v>0</v>
      </c>
      <c r="P12" s="57">
        <f t="shared" si="14"/>
        <v>0</v>
      </c>
      <c r="Q12" s="57">
        <f t="shared" si="3"/>
        <v>0</v>
      </c>
      <c r="R12" s="58"/>
      <c r="S12" s="55">
        <f t="shared" si="11"/>
        <v>0</v>
      </c>
      <c r="T12" s="57">
        <f t="shared" si="15"/>
        <v>0</v>
      </c>
      <c r="U12" s="57">
        <f t="shared" si="4"/>
        <v>0</v>
      </c>
      <c r="V12" s="59"/>
      <c r="W12" s="124">
        <f t="shared" si="5"/>
        <v>0</v>
      </c>
      <c r="X12" s="57">
        <f t="shared" si="6"/>
        <v>0</v>
      </c>
      <c r="Y12" s="84">
        <f t="shared" si="7"/>
        <v>0</v>
      </c>
    </row>
    <row r="13" spans="1:77" s="61" customFormat="1" x14ac:dyDescent="0.25">
      <c r="A13" s="52"/>
      <c r="B13" s="54"/>
      <c r="C13" s="124">
        <v>0</v>
      </c>
      <c r="D13" s="56">
        <v>0</v>
      </c>
      <c r="E13" s="56">
        <f t="shared" si="0"/>
        <v>0</v>
      </c>
      <c r="F13" s="58"/>
      <c r="G13" s="55">
        <f t="shared" si="8"/>
        <v>0</v>
      </c>
      <c r="H13" s="57">
        <f t="shared" si="12"/>
        <v>0</v>
      </c>
      <c r="I13" s="57">
        <f t="shared" si="1"/>
        <v>0</v>
      </c>
      <c r="J13" s="58"/>
      <c r="K13" s="55">
        <f t="shared" si="9"/>
        <v>0</v>
      </c>
      <c r="L13" s="57">
        <f t="shared" si="13"/>
        <v>0</v>
      </c>
      <c r="M13" s="57">
        <f t="shared" si="2"/>
        <v>0</v>
      </c>
      <c r="N13" s="58"/>
      <c r="O13" s="55">
        <f t="shared" si="10"/>
        <v>0</v>
      </c>
      <c r="P13" s="57">
        <f t="shared" si="14"/>
        <v>0</v>
      </c>
      <c r="Q13" s="57">
        <f t="shared" si="3"/>
        <v>0</v>
      </c>
      <c r="R13" s="58"/>
      <c r="S13" s="55">
        <f t="shared" si="11"/>
        <v>0</v>
      </c>
      <c r="T13" s="57">
        <f t="shared" si="15"/>
        <v>0</v>
      </c>
      <c r="U13" s="57">
        <f t="shared" si="4"/>
        <v>0</v>
      </c>
      <c r="V13" s="59"/>
      <c r="W13" s="124">
        <f t="shared" si="5"/>
        <v>0</v>
      </c>
      <c r="X13" s="57">
        <f t="shared" si="6"/>
        <v>0</v>
      </c>
      <c r="Y13" s="84">
        <f t="shared" si="7"/>
        <v>0</v>
      </c>
    </row>
    <row r="14" spans="1:77" s="61" customFormat="1" x14ac:dyDescent="0.25">
      <c r="A14" s="52"/>
      <c r="B14" s="54"/>
      <c r="C14" s="124">
        <v>0</v>
      </c>
      <c r="D14" s="56">
        <v>0</v>
      </c>
      <c r="E14" s="56">
        <f t="shared" si="0"/>
        <v>0</v>
      </c>
      <c r="F14" s="58"/>
      <c r="G14" s="55">
        <f t="shared" si="8"/>
        <v>0</v>
      </c>
      <c r="H14" s="57">
        <f t="shared" si="12"/>
        <v>0</v>
      </c>
      <c r="I14" s="57">
        <f t="shared" si="1"/>
        <v>0</v>
      </c>
      <c r="J14" s="58"/>
      <c r="K14" s="55">
        <f t="shared" si="9"/>
        <v>0</v>
      </c>
      <c r="L14" s="57">
        <f t="shared" si="13"/>
        <v>0</v>
      </c>
      <c r="M14" s="57">
        <f t="shared" si="2"/>
        <v>0</v>
      </c>
      <c r="N14" s="58"/>
      <c r="O14" s="55">
        <f t="shared" si="10"/>
        <v>0</v>
      </c>
      <c r="P14" s="57">
        <f t="shared" si="14"/>
        <v>0</v>
      </c>
      <c r="Q14" s="57">
        <f t="shared" si="3"/>
        <v>0</v>
      </c>
      <c r="R14" s="58"/>
      <c r="S14" s="55">
        <f t="shared" si="11"/>
        <v>0</v>
      </c>
      <c r="T14" s="57">
        <f t="shared" si="15"/>
        <v>0</v>
      </c>
      <c r="U14" s="57">
        <f t="shared" si="4"/>
        <v>0</v>
      </c>
      <c r="V14" s="59"/>
      <c r="W14" s="124">
        <f t="shared" si="5"/>
        <v>0</v>
      </c>
      <c r="X14" s="57">
        <f t="shared" si="6"/>
        <v>0</v>
      </c>
      <c r="Y14" s="84">
        <f t="shared" si="7"/>
        <v>0</v>
      </c>
    </row>
    <row r="15" spans="1:77" s="83" customFormat="1" x14ac:dyDescent="0.25">
      <c r="A15" s="78"/>
      <c r="B15" s="78" t="s">
        <v>9</v>
      </c>
      <c r="C15" s="228">
        <f>SUM(C6:C14)</f>
        <v>23644.062000000002</v>
      </c>
      <c r="D15" s="125">
        <f>SUM(D6:D14)</f>
        <v>0</v>
      </c>
      <c r="E15" s="125">
        <f>SUM(E6:E14)</f>
        <v>23644.062000000002</v>
      </c>
      <c r="F15" s="81"/>
      <c r="G15" s="79">
        <f>SUM(G6:G14)</f>
        <v>0</v>
      </c>
      <c r="H15" s="80">
        <f>SUM(H6:H14)</f>
        <v>0</v>
      </c>
      <c r="I15" s="80">
        <f>SUM(I6:I14)</f>
        <v>0</v>
      </c>
      <c r="J15" s="81"/>
      <c r="K15" s="79">
        <f>SUM(K6:K14)</f>
        <v>0</v>
      </c>
      <c r="L15" s="80">
        <f>SUM(L6:L14)</f>
        <v>0</v>
      </c>
      <c r="M15" s="80">
        <f>SUM(M6:M14)</f>
        <v>0</v>
      </c>
      <c r="N15" s="81"/>
      <c r="O15" s="79">
        <f>SUM(O6:O14)</f>
        <v>0</v>
      </c>
      <c r="P15" s="80">
        <f>SUM(P6:P14)</f>
        <v>0</v>
      </c>
      <c r="Q15" s="80">
        <f>SUM(Q6:Q14)</f>
        <v>0</v>
      </c>
      <c r="R15" s="81"/>
      <c r="S15" s="79">
        <f>SUM(S6:S14)</f>
        <v>0</v>
      </c>
      <c r="T15" s="80">
        <f>SUM(T6:T14)</f>
        <v>0</v>
      </c>
      <c r="U15" s="80">
        <f>SUM(U6:U14)</f>
        <v>0</v>
      </c>
      <c r="V15" s="82"/>
      <c r="W15" s="228">
        <f t="shared" si="5"/>
        <v>23644.062000000002</v>
      </c>
      <c r="X15" s="80">
        <f t="shared" si="6"/>
        <v>0</v>
      </c>
      <c r="Y15" s="80">
        <f t="shared" si="7"/>
        <v>23644.062000000002</v>
      </c>
    </row>
    <row r="16" spans="1:77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61" customFormat="1" x14ac:dyDescent="0.25">
      <c r="A17" s="52"/>
      <c r="B17" s="54"/>
      <c r="C17" s="124">
        <v>0</v>
      </c>
      <c r="D17" s="56">
        <v>0</v>
      </c>
      <c r="E17" s="56">
        <f t="shared" ref="E17:E25" si="16">SUM(C17:D17)</f>
        <v>0</v>
      </c>
      <c r="F17" s="58"/>
      <c r="G17" s="55">
        <f t="shared" ref="G17:G25" si="17">C17*1.05</f>
        <v>0</v>
      </c>
      <c r="H17" s="57">
        <f t="shared" ref="H17:H25" si="18">D17*1.05</f>
        <v>0</v>
      </c>
      <c r="I17" s="57">
        <f t="shared" ref="I17:I25" si="19">SUM(G17:H17)</f>
        <v>0</v>
      </c>
      <c r="J17" s="58"/>
      <c r="K17" s="55">
        <f t="shared" ref="K17:K25" si="20">G17*1.05</f>
        <v>0</v>
      </c>
      <c r="L17" s="57">
        <f t="shared" ref="L17:L25" si="21">H17*1.05</f>
        <v>0</v>
      </c>
      <c r="M17" s="57">
        <f t="shared" ref="M17:M25" si="22">SUM(K17:L17)</f>
        <v>0</v>
      </c>
      <c r="N17" s="58"/>
      <c r="O17" s="55">
        <f t="shared" ref="O17:O25" si="23">K17*1.05</f>
        <v>0</v>
      </c>
      <c r="P17" s="57">
        <f t="shared" ref="P17:P25" si="24">L17*1.05</f>
        <v>0</v>
      </c>
      <c r="Q17" s="57">
        <f t="shared" ref="Q17:Q25" si="25">SUM(O17:P17)</f>
        <v>0</v>
      </c>
      <c r="R17" s="58"/>
      <c r="S17" s="55">
        <f t="shared" ref="S17:S25" si="26">O17*1.05</f>
        <v>0</v>
      </c>
      <c r="T17" s="57">
        <f t="shared" ref="T17:T25" si="27">P17*1.05</f>
        <v>0</v>
      </c>
      <c r="U17" s="57">
        <f t="shared" ref="U17:U25" si="28">SUM(S17:T17)</f>
        <v>0</v>
      </c>
      <c r="V17" s="59"/>
      <c r="W17" s="124">
        <f t="shared" ref="W17:W26" si="29">C17+G17+K17+O17+S17</f>
        <v>0</v>
      </c>
      <c r="X17" s="57">
        <f t="shared" ref="X17:X26" si="30">D17+H17+L17+P17+T17</f>
        <v>0</v>
      </c>
      <c r="Y17" s="84">
        <f t="shared" ref="Y17:Y26" si="31">E17+I17+M17+Q17+U17</f>
        <v>0</v>
      </c>
    </row>
    <row r="18" spans="1:77" s="61" customFormat="1" x14ac:dyDescent="0.25">
      <c r="A18" s="203"/>
      <c r="B18" s="199" t="s">
        <v>57</v>
      </c>
      <c r="C18" s="124">
        <f>28000*0</f>
        <v>0</v>
      </c>
      <c r="D18" s="56">
        <v>0</v>
      </c>
      <c r="E18" s="56">
        <f t="shared" si="16"/>
        <v>0</v>
      </c>
      <c r="F18" s="58"/>
      <c r="G18" s="201">
        <f>((28000*1)*1.03)*0</f>
        <v>0</v>
      </c>
      <c r="H18" s="57">
        <f>D18*1.03</f>
        <v>0</v>
      </c>
      <c r="I18" s="57">
        <f t="shared" ref="I18" si="32">SUM(G18:H18)</f>
        <v>0</v>
      </c>
      <c r="J18" s="58"/>
      <c r="K18" s="55">
        <f>G18*1.03</f>
        <v>0</v>
      </c>
      <c r="L18" s="57">
        <f>H18*1.03</f>
        <v>0</v>
      </c>
      <c r="M18" s="57">
        <f t="shared" ref="M18" si="33">SUM(K18:L18)</f>
        <v>0</v>
      </c>
      <c r="N18" s="58"/>
      <c r="O18" s="55">
        <f>K18*1.03</f>
        <v>0</v>
      </c>
      <c r="P18" s="57">
        <f t="shared" ref="P18" si="34">L18*1.03</f>
        <v>0</v>
      </c>
      <c r="Q18" s="57">
        <f t="shared" ref="Q18" si="35">SUM(O18:P18)</f>
        <v>0</v>
      </c>
      <c r="R18" s="58"/>
      <c r="S18" s="55">
        <f t="shared" ref="S18:T18" si="36">O18*1.03</f>
        <v>0</v>
      </c>
      <c r="T18" s="57">
        <f t="shared" si="36"/>
        <v>0</v>
      </c>
      <c r="U18" s="57">
        <f t="shared" ref="U18" si="37">SUM(S18:T18)</f>
        <v>0</v>
      </c>
      <c r="V18" s="59"/>
      <c r="W18" s="124">
        <f t="shared" si="29"/>
        <v>0</v>
      </c>
      <c r="X18" s="57">
        <f t="shared" si="30"/>
        <v>0</v>
      </c>
      <c r="Y18" s="57">
        <f t="shared" ref="Y18" si="38">SUM(W18:X18)</f>
        <v>0</v>
      </c>
    </row>
    <row r="19" spans="1:77" s="61" customFormat="1" x14ac:dyDescent="0.25">
      <c r="A19" s="52"/>
      <c r="B19" s="52"/>
      <c r="C19" s="124">
        <v>0</v>
      </c>
      <c r="D19" s="56">
        <v>0</v>
      </c>
      <c r="E19" s="56">
        <f t="shared" si="16"/>
        <v>0</v>
      </c>
      <c r="F19" s="58"/>
      <c r="G19" s="55">
        <f t="shared" si="17"/>
        <v>0</v>
      </c>
      <c r="H19" s="57">
        <f t="shared" si="18"/>
        <v>0</v>
      </c>
      <c r="I19" s="57">
        <f t="shared" si="19"/>
        <v>0</v>
      </c>
      <c r="J19" s="58"/>
      <c r="K19" s="55">
        <f t="shared" si="20"/>
        <v>0</v>
      </c>
      <c r="L19" s="57">
        <f t="shared" si="21"/>
        <v>0</v>
      </c>
      <c r="M19" s="57">
        <f t="shared" si="22"/>
        <v>0</v>
      </c>
      <c r="N19" s="58"/>
      <c r="O19" s="55">
        <f t="shared" si="23"/>
        <v>0</v>
      </c>
      <c r="P19" s="57">
        <f t="shared" si="24"/>
        <v>0</v>
      </c>
      <c r="Q19" s="57">
        <f t="shared" si="25"/>
        <v>0</v>
      </c>
      <c r="R19" s="58"/>
      <c r="S19" s="55">
        <f t="shared" si="26"/>
        <v>0</v>
      </c>
      <c r="T19" s="57">
        <f t="shared" si="27"/>
        <v>0</v>
      </c>
      <c r="U19" s="57">
        <f t="shared" si="28"/>
        <v>0</v>
      </c>
      <c r="V19" s="59"/>
      <c r="W19" s="124">
        <f t="shared" si="29"/>
        <v>0</v>
      </c>
      <c r="X19" s="57">
        <f t="shared" si="30"/>
        <v>0</v>
      </c>
      <c r="Y19" s="84">
        <f t="shared" si="31"/>
        <v>0</v>
      </c>
    </row>
    <row r="20" spans="1:77" s="61" customFormat="1" x14ac:dyDescent="0.25">
      <c r="A20" s="52"/>
      <c r="B20" s="54"/>
      <c r="C20" s="124">
        <v>0</v>
      </c>
      <c r="D20" s="56">
        <v>0</v>
      </c>
      <c r="E20" s="56">
        <f t="shared" si="16"/>
        <v>0</v>
      </c>
      <c r="F20" s="58"/>
      <c r="G20" s="55">
        <f t="shared" si="17"/>
        <v>0</v>
      </c>
      <c r="H20" s="57">
        <f t="shared" si="18"/>
        <v>0</v>
      </c>
      <c r="I20" s="57">
        <f t="shared" si="19"/>
        <v>0</v>
      </c>
      <c r="J20" s="58"/>
      <c r="K20" s="55">
        <f t="shared" si="20"/>
        <v>0</v>
      </c>
      <c r="L20" s="57">
        <f t="shared" si="21"/>
        <v>0</v>
      </c>
      <c r="M20" s="57">
        <f t="shared" si="22"/>
        <v>0</v>
      </c>
      <c r="N20" s="58"/>
      <c r="O20" s="55">
        <f t="shared" si="23"/>
        <v>0</v>
      </c>
      <c r="P20" s="57">
        <f t="shared" si="24"/>
        <v>0</v>
      </c>
      <c r="Q20" s="57">
        <f t="shared" si="25"/>
        <v>0</v>
      </c>
      <c r="R20" s="58"/>
      <c r="S20" s="55">
        <f t="shared" si="26"/>
        <v>0</v>
      </c>
      <c r="T20" s="57">
        <f t="shared" si="27"/>
        <v>0</v>
      </c>
      <c r="U20" s="57">
        <f t="shared" si="28"/>
        <v>0</v>
      </c>
      <c r="V20" s="59"/>
      <c r="W20" s="124">
        <f t="shared" si="29"/>
        <v>0</v>
      </c>
      <c r="X20" s="57">
        <f t="shared" si="30"/>
        <v>0</v>
      </c>
      <c r="Y20" s="84">
        <f t="shared" si="31"/>
        <v>0</v>
      </c>
    </row>
    <row r="21" spans="1:77" s="61" customFormat="1" x14ac:dyDescent="0.25">
      <c r="A21" s="87"/>
      <c r="B21" s="54"/>
      <c r="C21" s="124">
        <v>0</v>
      </c>
      <c r="D21" s="56">
        <v>0</v>
      </c>
      <c r="E21" s="56">
        <f t="shared" si="16"/>
        <v>0</v>
      </c>
      <c r="F21" s="58"/>
      <c r="G21" s="55">
        <f t="shared" si="17"/>
        <v>0</v>
      </c>
      <c r="H21" s="57">
        <f t="shared" si="18"/>
        <v>0</v>
      </c>
      <c r="I21" s="57">
        <f t="shared" si="19"/>
        <v>0</v>
      </c>
      <c r="J21" s="58"/>
      <c r="K21" s="55">
        <f t="shared" si="20"/>
        <v>0</v>
      </c>
      <c r="L21" s="57">
        <f t="shared" si="21"/>
        <v>0</v>
      </c>
      <c r="M21" s="57">
        <f t="shared" si="22"/>
        <v>0</v>
      </c>
      <c r="N21" s="58"/>
      <c r="O21" s="55">
        <f t="shared" si="23"/>
        <v>0</v>
      </c>
      <c r="P21" s="57">
        <f t="shared" si="24"/>
        <v>0</v>
      </c>
      <c r="Q21" s="57">
        <f t="shared" si="25"/>
        <v>0</v>
      </c>
      <c r="R21" s="58"/>
      <c r="S21" s="55">
        <f t="shared" si="26"/>
        <v>0</v>
      </c>
      <c r="T21" s="57">
        <f t="shared" si="27"/>
        <v>0</v>
      </c>
      <c r="U21" s="57">
        <f t="shared" si="28"/>
        <v>0</v>
      </c>
      <c r="V21" s="59"/>
      <c r="W21" s="124">
        <f t="shared" si="29"/>
        <v>0</v>
      </c>
      <c r="X21" s="57">
        <f t="shared" si="30"/>
        <v>0</v>
      </c>
      <c r="Y21" s="84">
        <f t="shared" si="31"/>
        <v>0</v>
      </c>
    </row>
    <row r="22" spans="1:77" s="61" customFormat="1" x14ac:dyDescent="0.25">
      <c r="A22" s="87"/>
      <c r="B22" s="54"/>
      <c r="C22" s="124">
        <v>0</v>
      </c>
      <c r="D22" s="56">
        <v>0</v>
      </c>
      <c r="E22" s="56">
        <f t="shared" si="16"/>
        <v>0</v>
      </c>
      <c r="F22" s="58"/>
      <c r="G22" s="55">
        <f t="shared" si="17"/>
        <v>0</v>
      </c>
      <c r="H22" s="57">
        <f t="shared" si="18"/>
        <v>0</v>
      </c>
      <c r="I22" s="57">
        <f t="shared" si="19"/>
        <v>0</v>
      </c>
      <c r="J22" s="58"/>
      <c r="K22" s="55">
        <f t="shared" si="20"/>
        <v>0</v>
      </c>
      <c r="L22" s="57">
        <f t="shared" si="21"/>
        <v>0</v>
      </c>
      <c r="M22" s="57">
        <f t="shared" si="22"/>
        <v>0</v>
      </c>
      <c r="N22" s="58"/>
      <c r="O22" s="55">
        <f t="shared" si="23"/>
        <v>0</v>
      </c>
      <c r="P22" s="57">
        <f t="shared" si="24"/>
        <v>0</v>
      </c>
      <c r="Q22" s="57">
        <f t="shared" si="25"/>
        <v>0</v>
      </c>
      <c r="R22" s="58"/>
      <c r="S22" s="55">
        <f t="shared" si="26"/>
        <v>0</v>
      </c>
      <c r="T22" s="57">
        <f t="shared" si="27"/>
        <v>0</v>
      </c>
      <c r="U22" s="57">
        <f t="shared" si="28"/>
        <v>0</v>
      </c>
      <c r="V22" s="59"/>
      <c r="W22" s="124">
        <f t="shared" si="29"/>
        <v>0</v>
      </c>
      <c r="X22" s="57">
        <f t="shared" si="30"/>
        <v>0</v>
      </c>
      <c r="Y22" s="84">
        <f t="shared" si="31"/>
        <v>0</v>
      </c>
    </row>
    <row r="23" spans="1:77" s="61" customFormat="1" x14ac:dyDescent="0.25">
      <c r="A23" s="52"/>
      <c r="B23" s="54"/>
      <c r="C23" s="124">
        <v>0</v>
      </c>
      <c r="D23" s="56">
        <v>0</v>
      </c>
      <c r="E23" s="56">
        <f t="shared" si="16"/>
        <v>0</v>
      </c>
      <c r="F23" s="58"/>
      <c r="G23" s="55">
        <f t="shared" si="17"/>
        <v>0</v>
      </c>
      <c r="H23" s="57">
        <f t="shared" si="18"/>
        <v>0</v>
      </c>
      <c r="I23" s="57">
        <f t="shared" si="19"/>
        <v>0</v>
      </c>
      <c r="J23" s="58"/>
      <c r="K23" s="55">
        <f t="shared" si="20"/>
        <v>0</v>
      </c>
      <c r="L23" s="57">
        <f t="shared" si="21"/>
        <v>0</v>
      </c>
      <c r="M23" s="57">
        <f t="shared" si="22"/>
        <v>0</v>
      </c>
      <c r="N23" s="58"/>
      <c r="O23" s="55">
        <f t="shared" si="23"/>
        <v>0</v>
      </c>
      <c r="P23" s="57">
        <f t="shared" si="24"/>
        <v>0</v>
      </c>
      <c r="Q23" s="57">
        <f t="shared" si="25"/>
        <v>0</v>
      </c>
      <c r="R23" s="58"/>
      <c r="S23" s="55">
        <f t="shared" si="26"/>
        <v>0</v>
      </c>
      <c r="T23" s="57">
        <f t="shared" si="27"/>
        <v>0</v>
      </c>
      <c r="U23" s="57">
        <f t="shared" si="28"/>
        <v>0</v>
      </c>
      <c r="V23" s="59"/>
      <c r="W23" s="124">
        <f t="shared" si="29"/>
        <v>0</v>
      </c>
      <c r="X23" s="57">
        <f t="shared" si="30"/>
        <v>0</v>
      </c>
      <c r="Y23" s="84">
        <f t="shared" si="31"/>
        <v>0</v>
      </c>
    </row>
    <row r="24" spans="1:77" s="61" customFormat="1" x14ac:dyDescent="0.25">
      <c r="A24" s="52"/>
      <c r="B24" s="54"/>
      <c r="C24" s="124">
        <v>0</v>
      </c>
      <c r="D24" s="56">
        <v>0</v>
      </c>
      <c r="E24" s="56">
        <f t="shared" si="16"/>
        <v>0</v>
      </c>
      <c r="F24" s="58"/>
      <c r="G24" s="55">
        <f t="shared" si="17"/>
        <v>0</v>
      </c>
      <c r="H24" s="57">
        <f t="shared" si="18"/>
        <v>0</v>
      </c>
      <c r="I24" s="57">
        <f t="shared" si="19"/>
        <v>0</v>
      </c>
      <c r="J24" s="58"/>
      <c r="K24" s="55">
        <f t="shared" si="20"/>
        <v>0</v>
      </c>
      <c r="L24" s="57">
        <f t="shared" si="21"/>
        <v>0</v>
      </c>
      <c r="M24" s="57">
        <f t="shared" si="22"/>
        <v>0</v>
      </c>
      <c r="N24" s="58"/>
      <c r="O24" s="55">
        <f t="shared" si="23"/>
        <v>0</v>
      </c>
      <c r="P24" s="57">
        <f t="shared" si="24"/>
        <v>0</v>
      </c>
      <c r="Q24" s="57">
        <f t="shared" si="25"/>
        <v>0</v>
      </c>
      <c r="R24" s="58"/>
      <c r="S24" s="55">
        <f t="shared" si="26"/>
        <v>0</v>
      </c>
      <c r="T24" s="57">
        <f t="shared" si="27"/>
        <v>0</v>
      </c>
      <c r="U24" s="57">
        <f t="shared" si="28"/>
        <v>0</v>
      </c>
      <c r="V24" s="59"/>
      <c r="W24" s="124">
        <f t="shared" si="29"/>
        <v>0</v>
      </c>
      <c r="X24" s="57">
        <f t="shared" si="30"/>
        <v>0</v>
      </c>
      <c r="Y24" s="84">
        <f t="shared" si="31"/>
        <v>0</v>
      </c>
    </row>
    <row r="25" spans="1:77" s="61" customFormat="1" x14ac:dyDescent="0.25">
      <c r="A25" s="52"/>
      <c r="B25" s="54"/>
      <c r="C25" s="124">
        <v>0</v>
      </c>
      <c r="D25" s="56">
        <v>0</v>
      </c>
      <c r="E25" s="56">
        <f t="shared" si="16"/>
        <v>0</v>
      </c>
      <c r="F25" s="58"/>
      <c r="G25" s="55">
        <f t="shared" si="17"/>
        <v>0</v>
      </c>
      <c r="H25" s="57">
        <f t="shared" si="18"/>
        <v>0</v>
      </c>
      <c r="I25" s="57">
        <f t="shared" si="19"/>
        <v>0</v>
      </c>
      <c r="J25" s="58"/>
      <c r="K25" s="55">
        <f t="shared" si="20"/>
        <v>0</v>
      </c>
      <c r="L25" s="57">
        <f t="shared" si="21"/>
        <v>0</v>
      </c>
      <c r="M25" s="57">
        <f t="shared" si="22"/>
        <v>0</v>
      </c>
      <c r="N25" s="58"/>
      <c r="O25" s="55">
        <f t="shared" si="23"/>
        <v>0</v>
      </c>
      <c r="P25" s="57">
        <f t="shared" si="24"/>
        <v>0</v>
      </c>
      <c r="Q25" s="57">
        <f t="shared" si="25"/>
        <v>0</v>
      </c>
      <c r="R25" s="58"/>
      <c r="S25" s="55">
        <f t="shared" si="26"/>
        <v>0</v>
      </c>
      <c r="T25" s="57">
        <f t="shared" si="27"/>
        <v>0</v>
      </c>
      <c r="U25" s="57">
        <f t="shared" si="28"/>
        <v>0</v>
      </c>
      <c r="V25" s="59"/>
      <c r="W25" s="124">
        <f t="shared" si="29"/>
        <v>0</v>
      </c>
      <c r="X25" s="57">
        <f t="shared" si="30"/>
        <v>0</v>
      </c>
      <c r="Y25" s="84">
        <f t="shared" si="31"/>
        <v>0</v>
      </c>
    </row>
    <row r="26" spans="1:77" s="83" customFormat="1" x14ac:dyDescent="0.25">
      <c r="A26" s="78"/>
      <c r="B26" s="78" t="s">
        <v>9</v>
      </c>
      <c r="C26" s="228">
        <f>SUM(C17:C25)</f>
        <v>0</v>
      </c>
      <c r="D26" s="125">
        <f>SUM(D17:D25)</f>
        <v>0</v>
      </c>
      <c r="E26" s="125">
        <f>SUM(E17:E25)</f>
        <v>0</v>
      </c>
      <c r="F26" s="81"/>
      <c r="G26" s="79">
        <f>SUM(G17:G25)</f>
        <v>0</v>
      </c>
      <c r="H26" s="80">
        <f>SUM(H17:H25)</f>
        <v>0</v>
      </c>
      <c r="I26" s="80">
        <f>SUM(I17:I25)</f>
        <v>0</v>
      </c>
      <c r="J26" s="81"/>
      <c r="K26" s="79">
        <f>SUM(K17:K25)</f>
        <v>0</v>
      </c>
      <c r="L26" s="80">
        <f>SUM(L17:L25)</f>
        <v>0</v>
      </c>
      <c r="M26" s="80">
        <f>SUM(M17:M25)</f>
        <v>0</v>
      </c>
      <c r="N26" s="81"/>
      <c r="O26" s="79">
        <f>SUM(O17:O25)</f>
        <v>0</v>
      </c>
      <c r="P26" s="80">
        <f>SUM(P17:P25)</f>
        <v>0</v>
      </c>
      <c r="Q26" s="80">
        <f>SUM(Q17:Q25)</f>
        <v>0</v>
      </c>
      <c r="R26" s="81"/>
      <c r="S26" s="79">
        <f>SUM(S17:S25)</f>
        <v>0</v>
      </c>
      <c r="T26" s="80">
        <f>SUM(T17:T25)</f>
        <v>0</v>
      </c>
      <c r="U26" s="80">
        <f>SUM(U17:U25)</f>
        <v>0</v>
      </c>
      <c r="V26" s="82"/>
      <c r="W26" s="228">
        <f t="shared" si="29"/>
        <v>0</v>
      </c>
      <c r="X26" s="80">
        <f t="shared" si="30"/>
        <v>0</v>
      </c>
      <c r="Y26" s="80">
        <f t="shared" si="31"/>
        <v>0</v>
      </c>
    </row>
    <row r="27" spans="1:77" s="92" customFormat="1" x14ac:dyDescent="0.25">
      <c r="A27" s="89" t="s">
        <v>16</v>
      </c>
      <c r="B27" s="89"/>
      <c r="C27" s="90">
        <f>C26+C15</f>
        <v>23644.062000000002</v>
      </c>
      <c r="D27" s="90">
        <f t="shared" ref="D27:Y27" si="39">D26+D15</f>
        <v>0</v>
      </c>
      <c r="E27" s="90">
        <f t="shared" si="39"/>
        <v>23644.062000000002</v>
      </c>
      <c r="F27" s="90">
        <f t="shared" si="39"/>
        <v>0</v>
      </c>
      <c r="G27" s="90">
        <f t="shared" si="39"/>
        <v>0</v>
      </c>
      <c r="H27" s="90">
        <f t="shared" si="39"/>
        <v>0</v>
      </c>
      <c r="I27" s="90">
        <f t="shared" si="39"/>
        <v>0</v>
      </c>
      <c r="J27" s="90">
        <f t="shared" si="39"/>
        <v>0</v>
      </c>
      <c r="K27" s="90">
        <f t="shared" si="39"/>
        <v>0</v>
      </c>
      <c r="L27" s="90">
        <f t="shared" si="39"/>
        <v>0</v>
      </c>
      <c r="M27" s="90">
        <f t="shared" si="39"/>
        <v>0</v>
      </c>
      <c r="N27" s="90">
        <f t="shared" si="39"/>
        <v>0</v>
      </c>
      <c r="O27" s="90">
        <f t="shared" si="39"/>
        <v>0</v>
      </c>
      <c r="P27" s="90">
        <f t="shared" si="39"/>
        <v>0</v>
      </c>
      <c r="Q27" s="90">
        <f t="shared" si="39"/>
        <v>0</v>
      </c>
      <c r="R27" s="90">
        <f t="shared" si="39"/>
        <v>0</v>
      </c>
      <c r="S27" s="90">
        <f t="shared" si="39"/>
        <v>0</v>
      </c>
      <c r="T27" s="90">
        <f t="shared" si="39"/>
        <v>0</v>
      </c>
      <c r="U27" s="90">
        <f t="shared" si="39"/>
        <v>0</v>
      </c>
      <c r="V27" s="90">
        <f t="shared" si="39"/>
        <v>0</v>
      </c>
      <c r="W27" s="90">
        <f t="shared" si="39"/>
        <v>23644.062000000002</v>
      </c>
      <c r="X27" s="90">
        <f t="shared" si="39"/>
        <v>0</v>
      </c>
      <c r="Y27" s="90">
        <f t="shared" si="39"/>
        <v>23644.062000000002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>
        <v>0</v>
      </c>
      <c r="D29" s="56">
        <v>0</v>
      </c>
      <c r="E29" s="56">
        <f t="shared" ref="E29:E35" si="40">SUM(C29:D29)</f>
        <v>0</v>
      </c>
      <c r="F29" s="58"/>
      <c r="G29" s="55">
        <v>0</v>
      </c>
      <c r="H29" s="57">
        <v>0</v>
      </c>
      <c r="I29" s="57">
        <f t="shared" ref="I29:I35" si="41">SUM(G29:H29)</f>
        <v>0</v>
      </c>
      <c r="J29" s="58"/>
      <c r="K29" s="55">
        <v>0</v>
      </c>
      <c r="L29" s="57">
        <v>0</v>
      </c>
      <c r="M29" s="57">
        <f t="shared" ref="M29:M35" si="42">SUM(K29:L29)</f>
        <v>0</v>
      </c>
      <c r="N29" s="58"/>
      <c r="O29" s="55">
        <v>0</v>
      </c>
      <c r="P29" s="57">
        <v>0</v>
      </c>
      <c r="Q29" s="57">
        <f t="shared" ref="Q29:Q35" si="43">SUM(O29:P29)</f>
        <v>0</v>
      </c>
      <c r="R29" s="58"/>
      <c r="S29" s="55">
        <v>0</v>
      </c>
      <c r="T29" s="57">
        <v>0</v>
      </c>
      <c r="U29" s="57">
        <f t="shared" ref="U29:U35" si="44">SUM(S29:T29)</f>
        <v>0</v>
      </c>
      <c r="V29" s="59"/>
      <c r="W29" s="124">
        <f t="shared" ref="W29:Y36" si="45">C29+G29+K29+O29+S29</f>
        <v>0</v>
      </c>
      <c r="X29" s="57">
        <f t="shared" si="45"/>
        <v>0</v>
      </c>
      <c r="Y29" s="84">
        <f t="shared" si="45"/>
        <v>0</v>
      </c>
    </row>
    <row r="30" spans="1:77" s="61" customFormat="1" x14ac:dyDescent="0.25">
      <c r="A30" s="234">
        <v>3.5999999999999997E-2</v>
      </c>
      <c r="B30" s="52" t="s">
        <v>40</v>
      </c>
      <c r="C30" s="124">
        <f>(C26)*(A30*1.03)</f>
        <v>0</v>
      </c>
      <c r="D30" s="56">
        <v>0</v>
      </c>
      <c r="E30" s="56">
        <f t="shared" si="40"/>
        <v>0</v>
      </c>
      <c r="F30" s="58"/>
      <c r="G30" s="55">
        <f>G26*(A30*1.03*1.03)</f>
        <v>0</v>
      </c>
      <c r="H30" s="57">
        <f t="shared" ref="H30:H35" si="46">D30*1.05</f>
        <v>0</v>
      </c>
      <c r="I30" s="57">
        <f t="shared" si="41"/>
        <v>0</v>
      </c>
      <c r="J30" s="58"/>
      <c r="K30" s="55">
        <f>K26*(A30*1.03*1.03*1.03)</f>
        <v>0</v>
      </c>
      <c r="L30" s="57">
        <f t="shared" ref="L30:L35" si="47">H30*1.05</f>
        <v>0</v>
      </c>
      <c r="M30" s="57">
        <f t="shared" si="42"/>
        <v>0</v>
      </c>
      <c r="N30" s="58"/>
      <c r="O30" s="55">
        <f>O26*(A30*1.03*1.03*1.03*1.03)</f>
        <v>0</v>
      </c>
      <c r="P30" s="57">
        <f t="shared" ref="P30:P35" si="48">L30*1.05</f>
        <v>0</v>
      </c>
      <c r="Q30" s="57">
        <f t="shared" si="43"/>
        <v>0</v>
      </c>
      <c r="R30" s="58"/>
      <c r="S30" s="55">
        <f>O26*(A30*1.03*1.03*1.03*1.03*1.03)</f>
        <v>0</v>
      </c>
      <c r="T30" s="57">
        <v>0</v>
      </c>
      <c r="U30" s="57">
        <f t="shared" si="44"/>
        <v>0</v>
      </c>
      <c r="V30" s="59"/>
      <c r="W30" s="124">
        <f t="shared" si="45"/>
        <v>0</v>
      </c>
      <c r="X30" s="57">
        <f t="shared" si="45"/>
        <v>0</v>
      </c>
      <c r="Y30" s="84">
        <f t="shared" si="45"/>
        <v>0</v>
      </c>
    </row>
    <row r="31" spans="1:77" s="61" customFormat="1" x14ac:dyDescent="0.25">
      <c r="A31" s="234">
        <v>8.6999999999999994E-2</v>
      </c>
      <c r="B31" s="52" t="s">
        <v>42</v>
      </c>
      <c r="C31" s="124">
        <v>0</v>
      </c>
      <c r="D31" s="56">
        <v>0</v>
      </c>
      <c r="E31" s="56">
        <f t="shared" si="40"/>
        <v>0</v>
      </c>
      <c r="F31" s="58"/>
      <c r="G31" s="55">
        <f>C31*1.05</f>
        <v>0</v>
      </c>
      <c r="H31" s="57">
        <f t="shared" si="46"/>
        <v>0</v>
      </c>
      <c r="I31" s="57">
        <f t="shared" si="41"/>
        <v>0</v>
      </c>
      <c r="J31" s="58"/>
      <c r="K31" s="55">
        <f>G31*1.05</f>
        <v>0</v>
      </c>
      <c r="L31" s="57">
        <f t="shared" si="47"/>
        <v>0</v>
      </c>
      <c r="M31" s="57">
        <f t="shared" si="42"/>
        <v>0</v>
      </c>
      <c r="N31" s="58"/>
      <c r="O31" s="55">
        <f>K31*1.05</f>
        <v>0</v>
      </c>
      <c r="P31" s="57">
        <f t="shared" si="48"/>
        <v>0</v>
      </c>
      <c r="Q31" s="57">
        <f t="shared" si="43"/>
        <v>0</v>
      </c>
      <c r="R31" s="58"/>
      <c r="S31" s="55">
        <f>O31*1.05</f>
        <v>0</v>
      </c>
      <c r="T31" s="57">
        <f>P31*1.05</f>
        <v>0</v>
      </c>
      <c r="U31" s="57">
        <f t="shared" si="44"/>
        <v>0</v>
      </c>
      <c r="V31" s="59"/>
      <c r="W31" s="124">
        <f t="shared" si="45"/>
        <v>0</v>
      </c>
      <c r="X31" s="57">
        <f t="shared" si="45"/>
        <v>0</v>
      </c>
      <c r="Y31" s="84">
        <f t="shared" si="45"/>
        <v>0</v>
      </c>
    </row>
    <row r="32" spans="1:77" s="61" customFormat="1" x14ac:dyDescent="0.25">
      <c r="A32" s="234">
        <v>0.30099999999999999</v>
      </c>
      <c r="B32" s="54" t="s">
        <v>52</v>
      </c>
      <c r="C32" s="124">
        <f>C15*A32*1.03</f>
        <v>7330.3685418600007</v>
      </c>
      <c r="D32" s="56">
        <v>0</v>
      </c>
      <c r="E32" s="56">
        <f t="shared" si="40"/>
        <v>7330.3685418600007</v>
      </c>
      <c r="F32" s="58"/>
      <c r="G32" s="55">
        <f>G15*A32*1.03*1.03</f>
        <v>0</v>
      </c>
      <c r="H32" s="57">
        <f t="shared" si="46"/>
        <v>0</v>
      </c>
      <c r="I32" s="57">
        <f t="shared" si="41"/>
        <v>0</v>
      </c>
      <c r="J32" s="58"/>
      <c r="K32" s="55">
        <f>K15*A32*1.03*1.03*1.03</f>
        <v>0</v>
      </c>
      <c r="L32" s="57">
        <f t="shared" si="47"/>
        <v>0</v>
      </c>
      <c r="M32" s="57">
        <f t="shared" si="42"/>
        <v>0</v>
      </c>
      <c r="N32" s="58"/>
      <c r="O32" s="55">
        <f>O15*A32*1.03*1.03*1.03*1.03</f>
        <v>0</v>
      </c>
      <c r="P32" s="57">
        <f t="shared" si="48"/>
        <v>0</v>
      </c>
      <c r="Q32" s="57">
        <f t="shared" si="43"/>
        <v>0</v>
      </c>
      <c r="R32" s="58"/>
      <c r="S32" s="55">
        <f>S15*A32*1.03*1.03*1.03*1.03*1.03</f>
        <v>0</v>
      </c>
      <c r="T32" s="57">
        <f>P32*1.05</f>
        <v>0</v>
      </c>
      <c r="U32" s="57">
        <f t="shared" si="44"/>
        <v>0</v>
      </c>
      <c r="V32" s="59"/>
      <c r="W32" s="124">
        <f t="shared" si="45"/>
        <v>7330.3685418600007</v>
      </c>
      <c r="X32" s="57">
        <f t="shared" si="45"/>
        <v>0</v>
      </c>
      <c r="Y32" s="84">
        <f t="shared" si="45"/>
        <v>7330.3685418600007</v>
      </c>
    </row>
    <row r="33" spans="1:77" s="61" customFormat="1" x14ac:dyDescent="0.25">
      <c r="A33" s="234">
        <v>0.42</v>
      </c>
      <c r="B33" s="54" t="s">
        <v>53</v>
      </c>
      <c r="C33" s="124">
        <v>0</v>
      </c>
      <c r="D33" s="56">
        <v>0</v>
      </c>
      <c r="E33" s="56">
        <f t="shared" si="40"/>
        <v>0</v>
      </c>
      <c r="F33" s="58"/>
      <c r="G33" s="55">
        <f>C33*1.05</f>
        <v>0</v>
      </c>
      <c r="H33" s="57">
        <f t="shared" si="46"/>
        <v>0</v>
      </c>
      <c r="I33" s="57">
        <f t="shared" si="41"/>
        <v>0</v>
      </c>
      <c r="J33" s="58"/>
      <c r="K33" s="55">
        <f>G33*1.05</f>
        <v>0</v>
      </c>
      <c r="L33" s="57">
        <f t="shared" si="47"/>
        <v>0</v>
      </c>
      <c r="M33" s="57">
        <f t="shared" si="42"/>
        <v>0</v>
      </c>
      <c r="N33" s="58"/>
      <c r="O33" s="55">
        <f>K33*1.05</f>
        <v>0</v>
      </c>
      <c r="P33" s="57">
        <f t="shared" si="48"/>
        <v>0</v>
      </c>
      <c r="Q33" s="57">
        <f t="shared" si="43"/>
        <v>0</v>
      </c>
      <c r="R33" s="58"/>
      <c r="S33" s="55">
        <f>O33*1.05</f>
        <v>0</v>
      </c>
      <c r="T33" s="57">
        <f>P33*1.05</f>
        <v>0</v>
      </c>
      <c r="U33" s="57">
        <f t="shared" si="44"/>
        <v>0</v>
      </c>
      <c r="V33" s="59"/>
      <c r="W33" s="124">
        <f t="shared" si="45"/>
        <v>0</v>
      </c>
      <c r="X33" s="57">
        <f t="shared" si="45"/>
        <v>0</v>
      </c>
      <c r="Y33" s="84">
        <f t="shared" si="45"/>
        <v>0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40"/>
        <v>0</v>
      </c>
      <c r="F34" s="58"/>
      <c r="G34" s="55">
        <f>C34*1.05</f>
        <v>0</v>
      </c>
      <c r="H34" s="57">
        <f t="shared" si="46"/>
        <v>0</v>
      </c>
      <c r="I34" s="57">
        <f t="shared" si="41"/>
        <v>0</v>
      </c>
      <c r="J34" s="58"/>
      <c r="K34" s="55">
        <f>G34*1.05</f>
        <v>0</v>
      </c>
      <c r="L34" s="57">
        <f t="shared" si="47"/>
        <v>0</v>
      </c>
      <c r="M34" s="57">
        <f t="shared" si="42"/>
        <v>0</v>
      </c>
      <c r="N34" s="58"/>
      <c r="O34" s="55">
        <f>K34*1.05</f>
        <v>0</v>
      </c>
      <c r="P34" s="57">
        <f t="shared" si="48"/>
        <v>0</v>
      </c>
      <c r="Q34" s="57">
        <f t="shared" si="43"/>
        <v>0</v>
      </c>
      <c r="R34" s="58"/>
      <c r="S34" s="55">
        <f>O34*1.05</f>
        <v>0</v>
      </c>
      <c r="T34" s="57">
        <f>P34*1.05</f>
        <v>0</v>
      </c>
      <c r="U34" s="57">
        <f t="shared" si="44"/>
        <v>0</v>
      </c>
      <c r="V34" s="59"/>
      <c r="W34" s="124">
        <f t="shared" si="45"/>
        <v>0</v>
      </c>
      <c r="X34" s="57">
        <f t="shared" si="45"/>
        <v>0</v>
      </c>
      <c r="Y34" s="84">
        <f t="shared" si="45"/>
        <v>0</v>
      </c>
    </row>
    <row r="35" spans="1:77" s="61" customFormat="1" x14ac:dyDescent="0.25">
      <c r="A35" s="6"/>
      <c r="B35" s="52"/>
      <c r="C35" s="124">
        <v>0</v>
      </c>
      <c r="D35" s="56">
        <v>0</v>
      </c>
      <c r="E35" s="56">
        <f t="shared" si="40"/>
        <v>0</v>
      </c>
      <c r="F35" s="58"/>
      <c r="G35" s="55">
        <f>C35*1.05</f>
        <v>0</v>
      </c>
      <c r="H35" s="57">
        <f t="shared" si="46"/>
        <v>0</v>
      </c>
      <c r="I35" s="57">
        <f t="shared" si="41"/>
        <v>0</v>
      </c>
      <c r="J35" s="58"/>
      <c r="K35" s="55">
        <f>G35*1.05</f>
        <v>0</v>
      </c>
      <c r="L35" s="57">
        <f t="shared" si="47"/>
        <v>0</v>
      </c>
      <c r="M35" s="57">
        <f t="shared" si="42"/>
        <v>0</v>
      </c>
      <c r="N35" s="58"/>
      <c r="O35" s="55">
        <f>K35*1.05</f>
        <v>0</v>
      </c>
      <c r="P35" s="57">
        <f t="shared" si="48"/>
        <v>0</v>
      </c>
      <c r="Q35" s="57">
        <f t="shared" si="43"/>
        <v>0</v>
      </c>
      <c r="R35" s="58"/>
      <c r="S35" s="55">
        <f>O35*1.05</f>
        <v>0</v>
      </c>
      <c r="T35" s="57">
        <f>P35*1.05</f>
        <v>0</v>
      </c>
      <c r="U35" s="57">
        <f t="shared" si="44"/>
        <v>0</v>
      </c>
      <c r="V35" s="59"/>
      <c r="W35" s="124">
        <f t="shared" si="45"/>
        <v>0</v>
      </c>
      <c r="X35" s="57">
        <f t="shared" si="45"/>
        <v>0</v>
      </c>
      <c r="Y35" s="84">
        <f t="shared" si="45"/>
        <v>0</v>
      </c>
    </row>
    <row r="36" spans="1:77" s="83" customFormat="1" x14ac:dyDescent="0.25">
      <c r="A36" s="78"/>
      <c r="B36" s="78" t="s">
        <v>9</v>
      </c>
      <c r="C36" s="228">
        <f>SUM(C29:C35)</f>
        <v>7330.3685418600007</v>
      </c>
      <c r="D36" s="125">
        <f>SUM(D29:D35)</f>
        <v>0</v>
      </c>
      <c r="E36" s="125">
        <f>SUM(E29:E35)</f>
        <v>7330.3685418600007</v>
      </c>
      <c r="F36" s="81"/>
      <c r="G36" s="79">
        <f>SUM(G29:G35)</f>
        <v>0</v>
      </c>
      <c r="H36" s="80">
        <f>SUM(H29:H35)</f>
        <v>0</v>
      </c>
      <c r="I36" s="80">
        <f>SUM(I29:I35)</f>
        <v>0</v>
      </c>
      <c r="J36" s="81"/>
      <c r="K36" s="79">
        <f>SUM(K29:K35)</f>
        <v>0</v>
      </c>
      <c r="L36" s="80">
        <f>SUM(L29:L35)</f>
        <v>0</v>
      </c>
      <c r="M36" s="80">
        <f>SUM(M29:M35)</f>
        <v>0</v>
      </c>
      <c r="N36" s="81"/>
      <c r="O36" s="79">
        <f>SUM(O29:O35)</f>
        <v>0</v>
      </c>
      <c r="P36" s="80">
        <f>SUM(P29:P35)</f>
        <v>0</v>
      </c>
      <c r="Q36" s="80">
        <f>SUM(Q29:Q35)</f>
        <v>0</v>
      </c>
      <c r="R36" s="81"/>
      <c r="S36" s="79">
        <f>SUM(S29:S35)</f>
        <v>0</v>
      </c>
      <c r="T36" s="57">
        <f>P36*1.05</f>
        <v>0</v>
      </c>
      <c r="U36" s="80">
        <f>SUM(U29:U35)</f>
        <v>0</v>
      </c>
      <c r="V36" s="82"/>
      <c r="W36" s="228">
        <f t="shared" si="45"/>
        <v>7330.3685418600007</v>
      </c>
      <c r="X36" s="80">
        <f t="shared" si="45"/>
        <v>0</v>
      </c>
      <c r="Y36" s="80">
        <f t="shared" si="45"/>
        <v>7330.3685418600007</v>
      </c>
    </row>
    <row r="37" spans="1:77" s="94" customFormat="1" x14ac:dyDescent="0.25">
      <c r="A37" s="89" t="s">
        <v>17</v>
      </c>
      <c r="B37" s="89"/>
      <c r="C37" s="90">
        <f t="shared" ref="C37:Y37" si="49">C36+C27</f>
        <v>30974.430541860002</v>
      </c>
      <c r="D37" s="90">
        <f t="shared" si="49"/>
        <v>0</v>
      </c>
      <c r="E37" s="90">
        <f t="shared" si="49"/>
        <v>30974.430541860002</v>
      </c>
      <c r="F37" s="90">
        <f t="shared" si="49"/>
        <v>0</v>
      </c>
      <c r="G37" s="90">
        <f t="shared" si="49"/>
        <v>0</v>
      </c>
      <c r="H37" s="90">
        <f t="shared" si="49"/>
        <v>0</v>
      </c>
      <c r="I37" s="90">
        <f t="shared" si="49"/>
        <v>0</v>
      </c>
      <c r="J37" s="90">
        <f t="shared" si="49"/>
        <v>0</v>
      </c>
      <c r="K37" s="90">
        <f t="shared" si="49"/>
        <v>0</v>
      </c>
      <c r="L37" s="90">
        <f t="shared" si="49"/>
        <v>0</v>
      </c>
      <c r="M37" s="90">
        <f t="shared" si="49"/>
        <v>0</v>
      </c>
      <c r="N37" s="90">
        <f t="shared" si="49"/>
        <v>0</v>
      </c>
      <c r="O37" s="90">
        <f t="shared" si="49"/>
        <v>0</v>
      </c>
      <c r="P37" s="90">
        <f t="shared" si="49"/>
        <v>0</v>
      </c>
      <c r="Q37" s="90">
        <f t="shared" si="49"/>
        <v>0</v>
      </c>
      <c r="R37" s="90">
        <f t="shared" si="49"/>
        <v>0</v>
      </c>
      <c r="S37" s="90">
        <f t="shared" si="49"/>
        <v>0</v>
      </c>
      <c r="T37" s="90">
        <f t="shared" si="49"/>
        <v>0</v>
      </c>
      <c r="U37" s="90">
        <f t="shared" si="49"/>
        <v>0</v>
      </c>
      <c r="V37" s="90">
        <f t="shared" si="49"/>
        <v>0</v>
      </c>
      <c r="W37" s="90">
        <f t="shared" si="49"/>
        <v>30974.430541860002</v>
      </c>
      <c r="X37" s="90">
        <f t="shared" si="49"/>
        <v>0</v>
      </c>
      <c r="Y37" s="90">
        <f t="shared" si="49"/>
        <v>30974.430541860002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2"/>
      <c r="B39" s="52"/>
      <c r="C39" s="124">
        <v>0</v>
      </c>
      <c r="D39" s="56">
        <v>0</v>
      </c>
      <c r="E39" s="56">
        <f t="shared" ref="E39:E48" si="50">SUM(C39:D39)</f>
        <v>0</v>
      </c>
      <c r="F39" s="58"/>
      <c r="G39" s="55">
        <v>0</v>
      </c>
      <c r="H39" s="57">
        <v>0</v>
      </c>
      <c r="I39" s="57">
        <f t="shared" ref="I39:I48" si="51">SUM(G39:H39)</f>
        <v>0</v>
      </c>
      <c r="J39" s="58"/>
      <c r="K39" s="55">
        <v>0</v>
      </c>
      <c r="L39" s="57">
        <v>0</v>
      </c>
      <c r="M39" s="57">
        <f t="shared" ref="M39:M48" si="52">SUM(K39:L39)</f>
        <v>0</v>
      </c>
      <c r="N39" s="58"/>
      <c r="O39" s="55">
        <v>0</v>
      </c>
      <c r="P39" s="57">
        <v>0</v>
      </c>
      <c r="Q39" s="57">
        <f t="shared" ref="Q39:Q48" si="53">SUM(O39:P39)</f>
        <v>0</v>
      </c>
      <c r="R39" s="58"/>
      <c r="S39" s="55">
        <v>0</v>
      </c>
      <c r="T39" s="57">
        <v>0</v>
      </c>
      <c r="U39" s="57">
        <f t="shared" ref="U39:U48" si="54">SUM(S39:T39)</f>
        <v>0</v>
      </c>
      <c r="V39" s="59"/>
      <c r="W39" s="124">
        <f t="shared" ref="W39:W49" si="55">C39+G39+K39+O39+S39</f>
        <v>0</v>
      </c>
      <c r="X39" s="57">
        <f t="shared" ref="X39:X49" si="56">D39+H39+L39+P39+T39</f>
        <v>0</v>
      </c>
      <c r="Y39" s="84">
        <f t="shared" ref="Y39:Y49" si="57">E39+I39+M39+Q39+U39</f>
        <v>0</v>
      </c>
    </row>
    <row r="40" spans="1:77" s="61" customFormat="1" x14ac:dyDescent="0.25">
      <c r="A40" s="52"/>
      <c r="B40" s="52"/>
      <c r="C40" s="124">
        <v>0</v>
      </c>
      <c r="D40" s="56">
        <v>0</v>
      </c>
      <c r="E40" s="56">
        <f t="shared" si="50"/>
        <v>0</v>
      </c>
      <c r="F40" s="58"/>
      <c r="G40" s="55">
        <v>0</v>
      </c>
      <c r="H40" s="57">
        <v>0</v>
      </c>
      <c r="I40" s="57">
        <f t="shared" si="51"/>
        <v>0</v>
      </c>
      <c r="J40" s="58"/>
      <c r="K40" s="55">
        <v>0</v>
      </c>
      <c r="L40" s="57">
        <v>0</v>
      </c>
      <c r="M40" s="57">
        <f t="shared" si="52"/>
        <v>0</v>
      </c>
      <c r="N40" s="58"/>
      <c r="O40" s="55">
        <v>0</v>
      </c>
      <c r="P40" s="57">
        <v>0</v>
      </c>
      <c r="Q40" s="57">
        <f t="shared" si="53"/>
        <v>0</v>
      </c>
      <c r="R40" s="58"/>
      <c r="S40" s="55">
        <v>0</v>
      </c>
      <c r="T40" s="57">
        <v>0</v>
      </c>
      <c r="U40" s="57">
        <f t="shared" si="54"/>
        <v>0</v>
      </c>
      <c r="V40" s="59"/>
      <c r="W40" s="124">
        <f t="shared" si="55"/>
        <v>0</v>
      </c>
      <c r="X40" s="57">
        <f t="shared" si="56"/>
        <v>0</v>
      </c>
      <c r="Y40" s="84">
        <f t="shared" si="57"/>
        <v>0</v>
      </c>
    </row>
    <row r="41" spans="1:77" s="61" customFormat="1" x14ac:dyDescent="0.25">
      <c r="A41" s="52"/>
      <c r="B41" s="52"/>
      <c r="C41" s="124">
        <v>0</v>
      </c>
      <c r="D41" s="56">
        <v>0</v>
      </c>
      <c r="E41" s="56">
        <f t="shared" si="50"/>
        <v>0</v>
      </c>
      <c r="F41" s="58"/>
      <c r="G41" s="55">
        <v>0</v>
      </c>
      <c r="H41" s="57">
        <v>0</v>
      </c>
      <c r="I41" s="57">
        <f t="shared" si="51"/>
        <v>0</v>
      </c>
      <c r="J41" s="58"/>
      <c r="K41" s="55">
        <v>0</v>
      </c>
      <c r="L41" s="57">
        <v>0</v>
      </c>
      <c r="M41" s="57">
        <f t="shared" si="52"/>
        <v>0</v>
      </c>
      <c r="N41" s="58"/>
      <c r="O41" s="55">
        <v>0</v>
      </c>
      <c r="P41" s="57">
        <v>0</v>
      </c>
      <c r="Q41" s="57">
        <f t="shared" si="53"/>
        <v>0</v>
      </c>
      <c r="R41" s="58"/>
      <c r="S41" s="55">
        <v>0</v>
      </c>
      <c r="T41" s="57">
        <v>0</v>
      </c>
      <c r="U41" s="57">
        <f t="shared" si="54"/>
        <v>0</v>
      </c>
      <c r="V41" s="59"/>
      <c r="W41" s="124">
        <f t="shared" si="55"/>
        <v>0</v>
      </c>
      <c r="X41" s="57">
        <f t="shared" si="56"/>
        <v>0</v>
      </c>
      <c r="Y41" s="84">
        <f t="shared" si="57"/>
        <v>0</v>
      </c>
    </row>
    <row r="42" spans="1:77" s="61" customFormat="1" x14ac:dyDescent="0.25">
      <c r="A42" s="52"/>
      <c r="B42" s="52"/>
      <c r="C42" s="124">
        <v>0</v>
      </c>
      <c r="D42" s="56">
        <v>0</v>
      </c>
      <c r="E42" s="56">
        <f t="shared" si="50"/>
        <v>0</v>
      </c>
      <c r="F42" s="58"/>
      <c r="G42" s="55">
        <v>0</v>
      </c>
      <c r="H42" s="57">
        <v>0</v>
      </c>
      <c r="I42" s="57">
        <f t="shared" si="51"/>
        <v>0</v>
      </c>
      <c r="J42" s="58"/>
      <c r="K42" s="55">
        <v>0</v>
      </c>
      <c r="L42" s="57">
        <v>0</v>
      </c>
      <c r="M42" s="57">
        <f t="shared" si="52"/>
        <v>0</v>
      </c>
      <c r="N42" s="58"/>
      <c r="O42" s="55">
        <v>0</v>
      </c>
      <c r="P42" s="57">
        <v>0</v>
      </c>
      <c r="Q42" s="57">
        <f t="shared" si="53"/>
        <v>0</v>
      </c>
      <c r="R42" s="58"/>
      <c r="S42" s="55">
        <v>0</v>
      </c>
      <c r="T42" s="57">
        <v>0</v>
      </c>
      <c r="U42" s="57">
        <f t="shared" si="54"/>
        <v>0</v>
      </c>
      <c r="V42" s="59"/>
      <c r="W42" s="124">
        <f t="shared" si="55"/>
        <v>0</v>
      </c>
      <c r="X42" s="57">
        <f t="shared" si="56"/>
        <v>0</v>
      </c>
      <c r="Y42" s="84">
        <f t="shared" si="57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50"/>
        <v>0</v>
      </c>
      <c r="F43" s="58"/>
      <c r="G43" s="55">
        <v>0</v>
      </c>
      <c r="H43" s="57">
        <v>0</v>
      </c>
      <c r="I43" s="57">
        <f t="shared" si="51"/>
        <v>0</v>
      </c>
      <c r="J43" s="58"/>
      <c r="K43" s="55">
        <v>0</v>
      </c>
      <c r="L43" s="57">
        <v>0</v>
      </c>
      <c r="M43" s="57">
        <f t="shared" si="52"/>
        <v>0</v>
      </c>
      <c r="N43" s="58"/>
      <c r="O43" s="55">
        <v>0</v>
      </c>
      <c r="P43" s="57">
        <v>0</v>
      </c>
      <c r="Q43" s="57">
        <f t="shared" si="53"/>
        <v>0</v>
      </c>
      <c r="R43" s="58"/>
      <c r="S43" s="55">
        <v>0</v>
      </c>
      <c r="T43" s="57">
        <v>0</v>
      </c>
      <c r="U43" s="57">
        <f t="shared" si="54"/>
        <v>0</v>
      </c>
      <c r="V43" s="59"/>
      <c r="W43" s="124">
        <f t="shared" si="55"/>
        <v>0</v>
      </c>
      <c r="X43" s="57">
        <f t="shared" si="56"/>
        <v>0</v>
      </c>
      <c r="Y43" s="84">
        <f t="shared" si="57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50"/>
        <v>0</v>
      </c>
      <c r="F44" s="58"/>
      <c r="G44" s="55">
        <v>0</v>
      </c>
      <c r="H44" s="57">
        <v>0</v>
      </c>
      <c r="I44" s="57">
        <f t="shared" si="51"/>
        <v>0</v>
      </c>
      <c r="J44" s="58"/>
      <c r="K44" s="55">
        <v>0</v>
      </c>
      <c r="L44" s="57">
        <v>0</v>
      </c>
      <c r="M44" s="57">
        <f t="shared" si="52"/>
        <v>0</v>
      </c>
      <c r="N44" s="58"/>
      <c r="O44" s="55">
        <v>0</v>
      </c>
      <c r="P44" s="57">
        <v>0</v>
      </c>
      <c r="Q44" s="57">
        <f t="shared" si="53"/>
        <v>0</v>
      </c>
      <c r="R44" s="58"/>
      <c r="S44" s="55">
        <v>0</v>
      </c>
      <c r="T44" s="57">
        <v>0</v>
      </c>
      <c r="U44" s="57">
        <f t="shared" si="54"/>
        <v>0</v>
      </c>
      <c r="V44" s="59"/>
      <c r="W44" s="124">
        <f t="shared" si="55"/>
        <v>0</v>
      </c>
      <c r="X44" s="57">
        <f t="shared" si="56"/>
        <v>0</v>
      </c>
      <c r="Y44" s="84">
        <f t="shared" si="57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50"/>
        <v>0</v>
      </c>
      <c r="F45" s="58"/>
      <c r="G45" s="55">
        <v>0</v>
      </c>
      <c r="H45" s="57">
        <v>0</v>
      </c>
      <c r="I45" s="57">
        <f t="shared" si="51"/>
        <v>0</v>
      </c>
      <c r="J45" s="58"/>
      <c r="K45" s="55">
        <v>0</v>
      </c>
      <c r="L45" s="57">
        <v>0</v>
      </c>
      <c r="M45" s="57">
        <f t="shared" si="52"/>
        <v>0</v>
      </c>
      <c r="N45" s="58"/>
      <c r="O45" s="55">
        <v>0</v>
      </c>
      <c r="P45" s="57">
        <v>0</v>
      </c>
      <c r="Q45" s="57">
        <f t="shared" si="53"/>
        <v>0</v>
      </c>
      <c r="R45" s="58"/>
      <c r="S45" s="55">
        <v>0</v>
      </c>
      <c r="T45" s="57">
        <v>0</v>
      </c>
      <c r="U45" s="57">
        <f t="shared" si="54"/>
        <v>0</v>
      </c>
      <c r="V45" s="59"/>
      <c r="W45" s="124">
        <f t="shared" si="55"/>
        <v>0</v>
      </c>
      <c r="X45" s="57">
        <f t="shared" si="56"/>
        <v>0</v>
      </c>
      <c r="Y45" s="84">
        <f t="shared" si="57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50"/>
        <v>0</v>
      </c>
      <c r="F46" s="58"/>
      <c r="G46" s="55">
        <v>0</v>
      </c>
      <c r="H46" s="57">
        <v>0</v>
      </c>
      <c r="I46" s="57">
        <f t="shared" si="51"/>
        <v>0</v>
      </c>
      <c r="J46" s="58"/>
      <c r="K46" s="55">
        <v>0</v>
      </c>
      <c r="L46" s="57">
        <v>0</v>
      </c>
      <c r="M46" s="57">
        <f t="shared" si="52"/>
        <v>0</v>
      </c>
      <c r="N46" s="58"/>
      <c r="O46" s="55">
        <v>0</v>
      </c>
      <c r="P46" s="57">
        <v>0</v>
      </c>
      <c r="Q46" s="57">
        <f t="shared" si="53"/>
        <v>0</v>
      </c>
      <c r="R46" s="58"/>
      <c r="S46" s="55">
        <v>0</v>
      </c>
      <c r="T46" s="57">
        <v>0</v>
      </c>
      <c r="U46" s="57">
        <f t="shared" si="54"/>
        <v>0</v>
      </c>
      <c r="V46" s="59"/>
      <c r="W46" s="124">
        <f t="shared" si="55"/>
        <v>0</v>
      </c>
      <c r="X46" s="57">
        <f t="shared" si="56"/>
        <v>0</v>
      </c>
      <c r="Y46" s="84">
        <f t="shared" si="57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50"/>
        <v>0</v>
      </c>
      <c r="F47" s="58"/>
      <c r="G47" s="55">
        <v>0</v>
      </c>
      <c r="H47" s="57">
        <v>0</v>
      </c>
      <c r="I47" s="57">
        <f t="shared" si="51"/>
        <v>0</v>
      </c>
      <c r="J47" s="58"/>
      <c r="K47" s="55">
        <v>0</v>
      </c>
      <c r="L47" s="57">
        <v>0</v>
      </c>
      <c r="M47" s="57">
        <f t="shared" si="52"/>
        <v>0</v>
      </c>
      <c r="N47" s="58"/>
      <c r="O47" s="55">
        <v>0</v>
      </c>
      <c r="P47" s="57">
        <v>0</v>
      </c>
      <c r="Q47" s="57">
        <f t="shared" si="53"/>
        <v>0</v>
      </c>
      <c r="R47" s="58"/>
      <c r="S47" s="55">
        <v>0</v>
      </c>
      <c r="T47" s="57">
        <v>0</v>
      </c>
      <c r="U47" s="57">
        <f t="shared" si="54"/>
        <v>0</v>
      </c>
      <c r="V47" s="59"/>
      <c r="W47" s="124">
        <f t="shared" si="55"/>
        <v>0</v>
      </c>
      <c r="X47" s="57">
        <f t="shared" si="56"/>
        <v>0</v>
      </c>
      <c r="Y47" s="84">
        <f t="shared" si="57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50"/>
        <v>0</v>
      </c>
      <c r="F48" s="58"/>
      <c r="G48" s="55">
        <v>0</v>
      </c>
      <c r="H48" s="57">
        <v>0</v>
      </c>
      <c r="I48" s="57">
        <f t="shared" si="51"/>
        <v>0</v>
      </c>
      <c r="J48" s="58"/>
      <c r="K48" s="55">
        <v>0</v>
      </c>
      <c r="L48" s="57">
        <v>0</v>
      </c>
      <c r="M48" s="57">
        <f t="shared" si="52"/>
        <v>0</v>
      </c>
      <c r="N48" s="58"/>
      <c r="O48" s="55">
        <v>0</v>
      </c>
      <c r="P48" s="57">
        <v>0</v>
      </c>
      <c r="Q48" s="57">
        <f t="shared" si="53"/>
        <v>0</v>
      </c>
      <c r="R48" s="58"/>
      <c r="S48" s="55">
        <v>0</v>
      </c>
      <c r="T48" s="57">
        <v>0</v>
      </c>
      <c r="U48" s="57">
        <f t="shared" si="54"/>
        <v>0</v>
      </c>
      <c r="V48" s="59"/>
      <c r="W48" s="124">
        <f t="shared" si="55"/>
        <v>0</v>
      </c>
      <c r="X48" s="57">
        <f t="shared" si="56"/>
        <v>0</v>
      </c>
      <c r="Y48" s="84">
        <f t="shared" si="57"/>
        <v>0</v>
      </c>
    </row>
    <row r="49" spans="1:25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0</v>
      </c>
      <c r="E49" s="125">
        <f>SUM(E39:E48)</f>
        <v>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55"/>
        <v>0</v>
      </c>
      <c r="X49" s="80">
        <f t="shared" si="56"/>
        <v>0</v>
      </c>
      <c r="Y49" s="80">
        <f t="shared" si="57"/>
        <v>0</v>
      </c>
    </row>
    <row r="50" spans="1:25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25" s="61" customFormat="1" x14ac:dyDescent="0.25">
      <c r="A51" s="52"/>
      <c r="B51" s="195" t="s">
        <v>57</v>
      </c>
      <c r="C51" s="55">
        <v>0</v>
      </c>
      <c r="D51" s="57">
        <v>0</v>
      </c>
      <c r="E51" s="57">
        <f t="shared" ref="E51" si="58">SUM(C51:D51)</f>
        <v>0</v>
      </c>
      <c r="F51" s="58"/>
      <c r="G51" s="55">
        <f>C51</f>
        <v>0</v>
      </c>
      <c r="H51" s="57">
        <v>0</v>
      </c>
      <c r="I51" s="57">
        <f t="shared" ref="I51" si="59">SUM(G51:H51)</f>
        <v>0</v>
      </c>
      <c r="J51" s="58"/>
      <c r="K51" s="55">
        <f>G51</f>
        <v>0</v>
      </c>
      <c r="L51" s="57">
        <v>0</v>
      </c>
      <c r="M51" s="57">
        <f t="shared" ref="M51" si="60">SUM(K51:L51)</f>
        <v>0</v>
      </c>
      <c r="N51" s="58"/>
      <c r="O51" s="55">
        <f>K51</f>
        <v>0</v>
      </c>
      <c r="P51" s="57">
        <v>0</v>
      </c>
      <c r="Q51" s="57">
        <f t="shared" ref="Q51" si="61">SUM(O51:P51)</f>
        <v>0</v>
      </c>
      <c r="R51" s="58"/>
      <c r="S51" s="55">
        <f>O51</f>
        <v>0</v>
      </c>
      <c r="T51" s="57">
        <v>0</v>
      </c>
      <c r="U51" s="57">
        <f t="shared" ref="U51:U56" si="62">SUM(S51:T51)</f>
        <v>0</v>
      </c>
      <c r="V51" s="59"/>
      <c r="W51" s="124">
        <f t="shared" ref="W51:Y57" si="63">C51+G51+K51+O51+S51</f>
        <v>0</v>
      </c>
      <c r="X51" s="196">
        <f t="shared" si="63"/>
        <v>0</v>
      </c>
      <c r="Y51" s="194">
        <f t="shared" si="63"/>
        <v>0</v>
      </c>
    </row>
    <row r="52" spans="1:25" s="61" customFormat="1" x14ac:dyDescent="0.25">
      <c r="A52" s="52"/>
      <c r="B52" s="54" t="s">
        <v>206</v>
      </c>
      <c r="C52" s="55">
        <f>3000</f>
        <v>3000</v>
      </c>
      <c r="D52" s="57">
        <v>0</v>
      </c>
      <c r="E52" s="57">
        <f t="shared" ref="E52" si="64">SUM(C52:D52)</f>
        <v>3000</v>
      </c>
      <c r="F52" s="58"/>
      <c r="G52" s="55">
        <f>C52</f>
        <v>3000</v>
      </c>
      <c r="H52" s="57">
        <v>0</v>
      </c>
      <c r="I52" s="57">
        <f t="shared" ref="I52" si="65">SUM(G52:H52)</f>
        <v>3000</v>
      </c>
      <c r="J52" s="58"/>
      <c r="K52" s="55">
        <f>G52</f>
        <v>3000</v>
      </c>
      <c r="L52" s="57">
        <v>0</v>
      </c>
      <c r="M52" s="57">
        <f t="shared" ref="M52" si="66">SUM(K52:L52)</f>
        <v>3000</v>
      </c>
      <c r="N52" s="58"/>
      <c r="O52" s="55">
        <f>K52</f>
        <v>3000</v>
      </c>
      <c r="P52" s="57">
        <v>0</v>
      </c>
      <c r="Q52" s="57">
        <f t="shared" ref="Q52" si="67">SUM(O52:P52)</f>
        <v>3000</v>
      </c>
      <c r="R52" s="58"/>
      <c r="S52" s="55">
        <f>O52</f>
        <v>3000</v>
      </c>
      <c r="T52" s="57">
        <v>0</v>
      </c>
      <c r="U52" s="57">
        <f t="shared" ref="U52" si="68">SUM(S52:T52)</f>
        <v>3000</v>
      </c>
      <c r="V52" s="59"/>
      <c r="W52" s="124">
        <f t="shared" ref="W52" si="69">C52+G52+K52+O52+S52</f>
        <v>15000</v>
      </c>
      <c r="X52" s="196">
        <f t="shared" ref="X52" si="70">D52+H52+L52+P52+T52</f>
        <v>0</v>
      </c>
      <c r="Y52" s="194">
        <f t="shared" ref="Y52" si="71">E52+I52+M52+Q52+U52</f>
        <v>15000</v>
      </c>
    </row>
    <row r="53" spans="1:25" s="61" customFormat="1" x14ac:dyDescent="0.25">
      <c r="A53" s="52"/>
      <c r="B53" s="195" t="s">
        <v>166</v>
      </c>
      <c r="C53" s="124">
        <v>2000</v>
      </c>
      <c r="D53" s="56">
        <v>0</v>
      </c>
      <c r="E53" s="56">
        <f t="shared" ref="E53:E56" si="72">SUM(C53:D53)</f>
        <v>2000</v>
      </c>
      <c r="F53" s="58"/>
      <c r="G53" s="55">
        <f>C53</f>
        <v>2000</v>
      </c>
      <c r="H53" s="57">
        <v>0</v>
      </c>
      <c r="I53" s="57">
        <f t="shared" ref="I53:I56" si="73">SUM(G53:H53)</f>
        <v>2000</v>
      </c>
      <c r="J53" s="58"/>
      <c r="K53" s="55">
        <f>G53</f>
        <v>2000</v>
      </c>
      <c r="L53" s="57">
        <v>0</v>
      </c>
      <c r="M53" s="57">
        <f t="shared" ref="M53:M56" si="74">SUM(K53:L53)</f>
        <v>2000</v>
      </c>
      <c r="N53" s="58"/>
      <c r="O53" s="55">
        <f>K53</f>
        <v>2000</v>
      </c>
      <c r="P53" s="57">
        <v>0</v>
      </c>
      <c r="Q53" s="57">
        <f t="shared" ref="Q53:Q56" si="75">SUM(O53:P53)</f>
        <v>2000</v>
      </c>
      <c r="R53" s="58"/>
      <c r="S53" s="55">
        <f>O53</f>
        <v>2000</v>
      </c>
      <c r="T53" s="57">
        <v>0</v>
      </c>
      <c r="U53" s="57">
        <f t="shared" si="62"/>
        <v>2000</v>
      </c>
      <c r="V53" s="59"/>
      <c r="W53" s="124">
        <f t="shared" si="63"/>
        <v>10000</v>
      </c>
      <c r="X53" s="57">
        <f t="shared" si="63"/>
        <v>0</v>
      </c>
      <c r="Y53" s="84">
        <f t="shared" si="63"/>
        <v>10000</v>
      </c>
    </row>
    <row r="54" spans="1:25" s="61" customFormat="1" x14ac:dyDescent="0.25">
      <c r="A54" s="52"/>
      <c r="B54" s="52"/>
      <c r="C54" s="124">
        <v>0</v>
      </c>
      <c r="D54" s="56">
        <v>0</v>
      </c>
      <c r="E54" s="56">
        <f t="shared" si="72"/>
        <v>0</v>
      </c>
      <c r="F54" s="58"/>
      <c r="G54" s="55">
        <v>0</v>
      </c>
      <c r="H54" s="57">
        <v>0</v>
      </c>
      <c r="I54" s="57">
        <f t="shared" si="73"/>
        <v>0</v>
      </c>
      <c r="J54" s="58"/>
      <c r="K54" s="55">
        <v>0</v>
      </c>
      <c r="L54" s="57">
        <v>0</v>
      </c>
      <c r="M54" s="57">
        <f t="shared" si="74"/>
        <v>0</v>
      </c>
      <c r="N54" s="58"/>
      <c r="O54" s="55">
        <v>0</v>
      </c>
      <c r="P54" s="57">
        <v>0</v>
      </c>
      <c r="Q54" s="57">
        <f t="shared" si="75"/>
        <v>0</v>
      </c>
      <c r="R54" s="58"/>
      <c r="S54" s="55">
        <v>0</v>
      </c>
      <c r="T54" s="57">
        <v>0</v>
      </c>
      <c r="U54" s="57">
        <f t="shared" si="62"/>
        <v>0</v>
      </c>
      <c r="V54" s="59"/>
      <c r="W54" s="124">
        <f t="shared" si="63"/>
        <v>0</v>
      </c>
      <c r="X54" s="57">
        <f t="shared" si="63"/>
        <v>0</v>
      </c>
      <c r="Y54" s="84">
        <f t="shared" si="63"/>
        <v>0</v>
      </c>
    </row>
    <row r="55" spans="1:25" s="61" customFormat="1" x14ac:dyDescent="0.25">
      <c r="A55" s="52"/>
      <c r="B55" s="52"/>
      <c r="C55" s="124">
        <v>0</v>
      </c>
      <c r="D55" s="56">
        <v>0</v>
      </c>
      <c r="E55" s="56">
        <f t="shared" si="72"/>
        <v>0</v>
      </c>
      <c r="F55" s="58"/>
      <c r="G55" s="55">
        <v>0</v>
      </c>
      <c r="H55" s="57">
        <v>0</v>
      </c>
      <c r="I55" s="57">
        <f t="shared" si="73"/>
        <v>0</v>
      </c>
      <c r="J55" s="58"/>
      <c r="K55" s="55">
        <v>0</v>
      </c>
      <c r="L55" s="57">
        <v>0</v>
      </c>
      <c r="M55" s="57">
        <f t="shared" si="74"/>
        <v>0</v>
      </c>
      <c r="N55" s="58"/>
      <c r="O55" s="55">
        <v>0</v>
      </c>
      <c r="P55" s="57">
        <v>0</v>
      </c>
      <c r="Q55" s="57">
        <f t="shared" si="75"/>
        <v>0</v>
      </c>
      <c r="R55" s="58"/>
      <c r="S55" s="55">
        <v>0</v>
      </c>
      <c r="T55" s="57">
        <v>0</v>
      </c>
      <c r="U55" s="57">
        <f t="shared" si="62"/>
        <v>0</v>
      </c>
      <c r="V55" s="59"/>
      <c r="W55" s="124">
        <f t="shared" si="63"/>
        <v>0</v>
      </c>
      <c r="X55" s="57">
        <f t="shared" si="63"/>
        <v>0</v>
      </c>
      <c r="Y55" s="84">
        <f t="shared" si="63"/>
        <v>0</v>
      </c>
    </row>
    <row r="56" spans="1:25" s="61" customFormat="1" x14ac:dyDescent="0.25">
      <c r="A56" s="52"/>
      <c r="B56" s="52"/>
      <c r="C56" s="124">
        <v>0</v>
      </c>
      <c r="D56" s="56">
        <v>0</v>
      </c>
      <c r="E56" s="56">
        <f t="shared" si="72"/>
        <v>0</v>
      </c>
      <c r="F56" s="58"/>
      <c r="G56" s="55">
        <v>0</v>
      </c>
      <c r="H56" s="57">
        <v>0</v>
      </c>
      <c r="I56" s="57">
        <f t="shared" si="73"/>
        <v>0</v>
      </c>
      <c r="J56" s="58"/>
      <c r="K56" s="55">
        <v>0</v>
      </c>
      <c r="L56" s="57">
        <v>0</v>
      </c>
      <c r="M56" s="57">
        <f t="shared" si="74"/>
        <v>0</v>
      </c>
      <c r="N56" s="58"/>
      <c r="O56" s="55">
        <v>0</v>
      </c>
      <c r="P56" s="57">
        <v>0</v>
      </c>
      <c r="Q56" s="57">
        <f t="shared" si="75"/>
        <v>0</v>
      </c>
      <c r="R56" s="58"/>
      <c r="S56" s="55">
        <v>0</v>
      </c>
      <c r="T56" s="57">
        <v>0</v>
      </c>
      <c r="U56" s="57">
        <f t="shared" si="62"/>
        <v>0</v>
      </c>
      <c r="V56" s="59"/>
      <c r="W56" s="124">
        <f t="shared" si="63"/>
        <v>0</v>
      </c>
      <c r="X56" s="57">
        <f t="shared" si="63"/>
        <v>0</v>
      </c>
      <c r="Y56" s="84">
        <f t="shared" si="63"/>
        <v>0</v>
      </c>
    </row>
    <row r="57" spans="1:25" s="83" customFormat="1" x14ac:dyDescent="0.25">
      <c r="A57" s="78"/>
      <c r="B57" s="78" t="s">
        <v>9</v>
      </c>
      <c r="C57" s="228">
        <f>SUM(C51:C56)</f>
        <v>5000</v>
      </c>
      <c r="D57" s="125">
        <f>SUM(D51:D56)</f>
        <v>0</v>
      </c>
      <c r="E57" s="125">
        <f>SUM(E51:E56)</f>
        <v>5000</v>
      </c>
      <c r="F57" s="81"/>
      <c r="G57" s="79">
        <f>SUM(G51:G56)</f>
        <v>5000</v>
      </c>
      <c r="H57" s="80">
        <f>SUM(H51:H56)</f>
        <v>0</v>
      </c>
      <c r="I57" s="80">
        <f>SUM(I51:I56)</f>
        <v>5000</v>
      </c>
      <c r="J57" s="81"/>
      <c r="K57" s="79">
        <f>SUM(K51:K56)</f>
        <v>5000</v>
      </c>
      <c r="L57" s="80">
        <f>SUM(L51:L56)</f>
        <v>0</v>
      </c>
      <c r="M57" s="80">
        <f>SUM(M51:M56)</f>
        <v>5000</v>
      </c>
      <c r="N57" s="81"/>
      <c r="O57" s="79">
        <f>SUM(O51:O56)</f>
        <v>5000</v>
      </c>
      <c r="P57" s="80">
        <f>SUM(P51:P56)</f>
        <v>0</v>
      </c>
      <c r="Q57" s="80">
        <f>SUM(Q51:Q56)</f>
        <v>5000</v>
      </c>
      <c r="R57" s="81"/>
      <c r="S57" s="79">
        <f>SUM(S51:S56)</f>
        <v>5000</v>
      </c>
      <c r="T57" s="80">
        <f>SUM(T51:T56)</f>
        <v>0</v>
      </c>
      <c r="U57" s="80">
        <f>SUM(U51:U56)</f>
        <v>5000</v>
      </c>
      <c r="V57" s="82"/>
      <c r="W57" s="228">
        <f t="shared" si="63"/>
        <v>25000</v>
      </c>
      <c r="X57" s="80">
        <f t="shared" si="63"/>
        <v>0</v>
      </c>
      <c r="Y57" s="80">
        <f t="shared" si="63"/>
        <v>25000</v>
      </c>
    </row>
    <row r="58" spans="1:25" s="77" customFormat="1" x14ac:dyDescent="0.25">
      <c r="A58" s="74" t="s">
        <v>131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25" s="61" customFormat="1" x14ac:dyDescent="0.25">
      <c r="A59" s="52"/>
      <c r="B59" s="52" t="s">
        <v>57</v>
      </c>
      <c r="C59" s="124">
        <v>0</v>
      </c>
      <c r="D59" s="56">
        <v>0</v>
      </c>
      <c r="E59" s="56">
        <f>SUM(C59:D59)</f>
        <v>0</v>
      </c>
      <c r="F59" s="58"/>
      <c r="G59" s="55">
        <v>0</v>
      </c>
      <c r="H59" s="57">
        <v>0</v>
      </c>
      <c r="I59" s="57">
        <f>SUM(G59:H59)</f>
        <v>0</v>
      </c>
      <c r="J59" s="58"/>
      <c r="K59" s="55">
        <v>0</v>
      </c>
      <c r="L59" s="57">
        <v>0</v>
      </c>
      <c r="M59" s="57">
        <f>SUM(K59:L59)</f>
        <v>0</v>
      </c>
      <c r="N59" s="58"/>
      <c r="O59" s="55">
        <v>0</v>
      </c>
      <c r="P59" s="57">
        <v>0</v>
      </c>
      <c r="Q59" s="57">
        <f>SUM(O59:P59)</f>
        <v>0</v>
      </c>
      <c r="R59" s="58"/>
      <c r="S59" s="55">
        <v>0</v>
      </c>
      <c r="T59" s="57">
        <v>0</v>
      </c>
      <c r="U59" s="57">
        <f>SUM(S59:T59)</f>
        <v>0</v>
      </c>
      <c r="V59" s="59"/>
      <c r="W59" s="124">
        <f t="shared" ref="W59:Y63" si="76">C59+G59+K59+O59+S59</f>
        <v>0</v>
      </c>
      <c r="X59" s="57">
        <f t="shared" si="76"/>
        <v>0</v>
      </c>
      <c r="Y59" s="84">
        <f t="shared" si="76"/>
        <v>0</v>
      </c>
    </row>
    <row r="60" spans="1:25" s="61" customFormat="1" x14ac:dyDescent="0.25">
      <c r="A60" s="52"/>
      <c r="B60" s="52"/>
      <c r="C60" s="124">
        <v>0</v>
      </c>
      <c r="D60" s="56">
        <v>0</v>
      </c>
      <c r="E60" s="56">
        <f>SUM(C60:D60)</f>
        <v>0</v>
      </c>
      <c r="F60" s="58"/>
      <c r="G60" s="55">
        <v>0</v>
      </c>
      <c r="H60" s="57">
        <v>0</v>
      </c>
      <c r="I60" s="57">
        <f>SUM(G60:H60)</f>
        <v>0</v>
      </c>
      <c r="J60" s="58"/>
      <c r="K60" s="55">
        <v>0</v>
      </c>
      <c r="L60" s="57">
        <v>0</v>
      </c>
      <c r="M60" s="57">
        <f>SUM(K60:L60)</f>
        <v>0</v>
      </c>
      <c r="N60" s="58"/>
      <c r="O60" s="55">
        <v>0</v>
      </c>
      <c r="P60" s="57">
        <v>0</v>
      </c>
      <c r="Q60" s="57">
        <f>SUM(O60:P60)</f>
        <v>0</v>
      </c>
      <c r="R60" s="58"/>
      <c r="S60" s="55">
        <v>0</v>
      </c>
      <c r="T60" s="57">
        <v>0</v>
      </c>
      <c r="U60" s="57">
        <f>SUM(S60:T60)</f>
        <v>0</v>
      </c>
      <c r="V60" s="59"/>
      <c r="W60" s="124">
        <f t="shared" si="76"/>
        <v>0</v>
      </c>
      <c r="X60" s="57">
        <f t="shared" si="76"/>
        <v>0</v>
      </c>
      <c r="Y60" s="84">
        <f t="shared" si="76"/>
        <v>0</v>
      </c>
    </row>
    <row r="61" spans="1:25" s="61" customFormat="1" x14ac:dyDescent="0.25">
      <c r="A61" s="54"/>
      <c r="B61" s="195" t="s">
        <v>57</v>
      </c>
      <c r="C61" s="124">
        <f>((4956*0.5)+549+951)*1.05*0</f>
        <v>0</v>
      </c>
      <c r="D61" s="56">
        <v>0</v>
      </c>
      <c r="E61" s="56">
        <f>SUM(C61:D61)</f>
        <v>0</v>
      </c>
      <c r="F61" s="58"/>
      <c r="G61" s="55">
        <f>((((4956+951)*1.05*1.05)*1*2)+(549*1.05*1.05*1))*0</f>
        <v>0</v>
      </c>
      <c r="H61" s="57">
        <f>D61*1.05</f>
        <v>0</v>
      </c>
      <c r="I61" s="57">
        <f>SUM(G61:H61)</f>
        <v>0</v>
      </c>
      <c r="J61" s="58"/>
      <c r="K61" s="55">
        <f>(G61*1.05)</f>
        <v>0</v>
      </c>
      <c r="L61" s="57">
        <f>H61*1.05</f>
        <v>0</v>
      </c>
      <c r="M61" s="57">
        <f>SUM(K61:L61)</f>
        <v>0</v>
      </c>
      <c r="N61" s="58"/>
      <c r="O61" s="55">
        <f>K61*1.05</f>
        <v>0</v>
      </c>
      <c r="P61" s="57">
        <f>L61*1.05</f>
        <v>0</v>
      </c>
      <c r="Q61" s="57">
        <f>SUM(O61:P61)</f>
        <v>0</v>
      </c>
      <c r="R61" s="58"/>
      <c r="S61" s="55">
        <f>O61*1.05</f>
        <v>0</v>
      </c>
      <c r="T61" s="57">
        <f>P61*1.05</f>
        <v>0</v>
      </c>
      <c r="U61" s="57">
        <f>SUM(S61:T61)</f>
        <v>0</v>
      </c>
      <c r="V61" s="59"/>
      <c r="W61" s="124">
        <f t="shared" si="76"/>
        <v>0</v>
      </c>
      <c r="X61" s="57">
        <f t="shared" si="76"/>
        <v>0</v>
      </c>
      <c r="Y61" s="84">
        <f>E61+I61+M61+Q61+U61</f>
        <v>0</v>
      </c>
    </row>
    <row r="62" spans="1:25" s="61" customFormat="1" x14ac:dyDescent="0.25">
      <c r="A62" s="52"/>
      <c r="B62" s="52"/>
      <c r="C62" s="124">
        <v>0</v>
      </c>
      <c r="D62" s="56">
        <v>0</v>
      </c>
      <c r="E62" s="56">
        <f>SUM(C62:D62)</f>
        <v>0</v>
      </c>
      <c r="F62" s="58"/>
      <c r="G62" s="55">
        <v>0</v>
      </c>
      <c r="H62" s="57">
        <v>0</v>
      </c>
      <c r="I62" s="57">
        <f>SUM(G62:H62)</f>
        <v>0</v>
      </c>
      <c r="J62" s="58"/>
      <c r="K62" s="55">
        <v>0</v>
      </c>
      <c r="L62" s="57">
        <v>0</v>
      </c>
      <c r="M62" s="57">
        <f>SUM(K62:L62)</f>
        <v>0</v>
      </c>
      <c r="N62" s="58"/>
      <c r="O62" s="55">
        <v>0</v>
      </c>
      <c r="P62" s="57">
        <v>0</v>
      </c>
      <c r="Q62" s="57">
        <f>SUM(O62:P62)</f>
        <v>0</v>
      </c>
      <c r="R62" s="58"/>
      <c r="S62" s="55">
        <v>0</v>
      </c>
      <c r="T62" s="57">
        <v>0</v>
      </c>
      <c r="U62" s="57">
        <f>SUM(S62:T62)</f>
        <v>0</v>
      </c>
      <c r="V62" s="59"/>
      <c r="W62" s="124">
        <f t="shared" si="76"/>
        <v>0</v>
      </c>
      <c r="X62" s="57">
        <f t="shared" si="76"/>
        <v>0</v>
      </c>
      <c r="Y62" s="84">
        <f t="shared" si="76"/>
        <v>0</v>
      </c>
    </row>
    <row r="63" spans="1:25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0</v>
      </c>
      <c r="H63" s="125">
        <f>SUM(H59:H62)</f>
        <v>0</v>
      </c>
      <c r="I63" s="125">
        <f>SUM(I59:I62)</f>
        <v>0</v>
      </c>
      <c r="J63" s="81"/>
      <c r="K63" s="79">
        <f>SUM(K59:K62)</f>
        <v>0</v>
      </c>
      <c r="L63" s="125">
        <f>SUM(L59:L62)</f>
        <v>0</v>
      </c>
      <c r="M63" s="125">
        <f>SUM(M59:M62)</f>
        <v>0</v>
      </c>
      <c r="N63" s="81"/>
      <c r="O63" s="79">
        <f>SUM(O59:O62)</f>
        <v>0</v>
      </c>
      <c r="P63" s="125">
        <f>SUM(P59:P62)</f>
        <v>0</v>
      </c>
      <c r="Q63" s="125">
        <f>SUM(Q59:Q62)</f>
        <v>0</v>
      </c>
      <c r="R63" s="81"/>
      <c r="S63" s="79">
        <f>SUM(S59:S62)</f>
        <v>0</v>
      </c>
      <c r="T63" s="125">
        <f>SUM(T59:T62)</f>
        <v>0</v>
      </c>
      <c r="U63" s="125">
        <f>SUM(U59:U62)</f>
        <v>0</v>
      </c>
      <c r="V63" s="82"/>
      <c r="W63" s="228">
        <f t="shared" si="76"/>
        <v>0</v>
      </c>
      <c r="X63" s="80">
        <f t="shared" si="76"/>
        <v>0</v>
      </c>
      <c r="Y63" s="84">
        <f t="shared" si="76"/>
        <v>0</v>
      </c>
    </row>
    <row r="64" spans="1:25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25" s="61" customFormat="1" x14ac:dyDescent="0.25">
      <c r="A65" s="52"/>
      <c r="B65" s="52"/>
      <c r="C65" s="124">
        <v>0</v>
      </c>
      <c r="D65" s="56">
        <v>0</v>
      </c>
      <c r="E65" s="56">
        <f t="shared" ref="E65:E84" si="77">SUM(C65:D65)</f>
        <v>0</v>
      </c>
      <c r="F65" s="58"/>
      <c r="G65" s="55">
        <v>0</v>
      </c>
      <c r="H65" s="57">
        <v>0</v>
      </c>
      <c r="I65" s="57">
        <f t="shared" ref="I65:I84" si="78">SUM(G65:H65)</f>
        <v>0</v>
      </c>
      <c r="J65" s="58"/>
      <c r="K65" s="55">
        <v>0</v>
      </c>
      <c r="L65" s="57">
        <v>0</v>
      </c>
      <c r="M65" s="57">
        <f t="shared" ref="M65:M84" si="79">SUM(K65:L65)</f>
        <v>0</v>
      </c>
      <c r="N65" s="58"/>
      <c r="O65" s="55">
        <v>0</v>
      </c>
      <c r="P65" s="57">
        <v>0</v>
      </c>
      <c r="Q65" s="57">
        <f t="shared" ref="Q65:Q84" si="80">SUM(O65:P65)</f>
        <v>0</v>
      </c>
      <c r="R65" s="58"/>
      <c r="S65" s="55">
        <v>0</v>
      </c>
      <c r="T65" s="57">
        <v>0</v>
      </c>
      <c r="U65" s="57">
        <f t="shared" ref="U65:U84" si="81">SUM(S65:T65)</f>
        <v>0</v>
      </c>
      <c r="V65" s="59"/>
      <c r="W65" s="124">
        <f t="shared" ref="W65:W85" si="82">C65+G65+K65+O65+S65</f>
        <v>0</v>
      </c>
      <c r="X65" s="57">
        <f t="shared" ref="X65:X85" si="83">D65+H65+L65+P65+T65</f>
        <v>0</v>
      </c>
      <c r="Y65" s="84">
        <f t="shared" ref="Y65:Y85" si="84">E65+I65+M65+Q65+U65</f>
        <v>0</v>
      </c>
    </row>
    <row r="66" spans="1:25" s="61" customFormat="1" x14ac:dyDescent="0.25">
      <c r="A66" s="52"/>
      <c r="B66" s="52" t="s">
        <v>57</v>
      </c>
      <c r="C66" s="124">
        <v>0</v>
      </c>
      <c r="D66" s="56">
        <v>0</v>
      </c>
      <c r="E66" s="56">
        <f t="shared" si="77"/>
        <v>0</v>
      </c>
      <c r="F66" s="58"/>
      <c r="G66" s="55">
        <v>0</v>
      </c>
      <c r="H66" s="57">
        <v>0</v>
      </c>
      <c r="I66" s="57">
        <f t="shared" si="78"/>
        <v>0</v>
      </c>
      <c r="J66" s="58"/>
      <c r="K66" s="55">
        <v>0</v>
      </c>
      <c r="L66" s="57">
        <v>0</v>
      </c>
      <c r="M66" s="57">
        <f t="shared" si="79"/>
        <v>0</v>
      </c>
      <c r="N66" s="58"/>
      <c r="O66" s="55">
        <v>0</v>
      </c>
      <c r="P66" s="57">
        <v>0</v>
      </c>
      <c r="Q66" s="57">
        <f t="shared" si="80"/>
        <v>0</v>
      </c>
      <c r="R66" s="58"/>
      <c r="S66" s="55">
        <v>0</v>
      </c>
      <c r="T66" s="57">
        <v>0</v>
      </c>
      <c r="U66" s="57">
        <f t="shared" si="81"/>
        <v>0</v>
      </c>
      <c r="V66" s="59"/>
      <c r="W66" s="124">
        <f t="shared" si="82"/>
        <v>0</v>
      </c>
      <c r="X66" s="57">
        <f t="shared" si="83"/>
        <v>0</v>
      </c>
      <c r="Y66" s="84">
        <f t="shared" si="84"/>
        <v>0</v>
      </c>
    </row>
    <row r="67" spans="1:25" s="61" customFormat="1" x14ac:dyDescent="0.25">
      <c r="A67" s="52"/>
      <c r="B67" s="52"/>
      <c r="C67" s="124">
        <v>0</v>
      </c>
      <c r="D67" s="56">
        <v>0</v>
      </c>
      <c r="E67" s="56">
        <f t="shared" ref="E67" si="85">SUM(C67:D67)</f>
        <v>0</v>
      </c>
      <c r="F67" s="58"/>
      <c r="G67" s="55">
        <v>0</v>
      </c>
      <c r="H67" s="57">
        <v>0</v>
      </c>
      <c r="I67" s="57">
        <f t="shared" ref="I67" si="86">SUM(G67:H67)</f>
        <v>0</v>
      </c>
      <c r="J67" s="58"/>
      <c r="K67" s="55">
        <v>0</v>
      </c>
      <c r="L67" s="57">
        <v>0</v>
      </c>
      <c r="M67" s="57">
        <f t="shared" ref="M67" si="87">SUM(K67:L67)</f>
        <v>0</v>
      </c>
      <c r="N67" s="58"/>
      <c r="O67" s="55">
        <v>0</v>
      </c>
      <c r="P67" s="57">
        <v>0</v>
      </c>
      <c r="Q67" s="57">
        <f t="shared" ref="Q67" si="88">SUM(O67:P67)</f>
        <v>0</v>
      </c>
      <c r="R67" s="58"/>
      <c r="S67" s="55">
        <v>0</v>
      </c>
      <c r="T67" s="57">
        <v>0</v>
      </c>
      <c r="U67" s="57">
        <f t="shared" ref="U67" si="89">SUM(S67:T67)</f>
        <v>0</v>
      </c>
      <c r="V67" s="59"/>
      <c r="W67" s="124">
        <f t="shared" ref="W67" si="90">C67+G67+K67+O67+S67</f>
        <v>0</v>
      </c>
      <c r="X67" s="57">
        <f t="shared" ref="X67" si="91">D67+H67+L67+P67+T67</f>
        <v>0</v>
      </c>
      <c r="Y67" s="84">
        <f t="shared" ref="Y67" si="92">E67+I67+M67+Q67+U67</f>
        <v>0</v>
      </c>
    </row>
    <row r="68" spans="1:25" s="61" customFormat="1" x14ac:dyDescent="0.25">
      <c r="B68" s="61" t="s">
        <v>57</v>
      </c>
      <c r="C68" s="55">
        <v>0</v>
      </c>
      <c r="D68" s="57">
        <v>0</v>
      </c>
      <c r="E68" s="57">
        <f t="shared" si="77"/>
        <v>0</v>
      </c>
      <c r="F68" s="58"/>
      <c r="G68" s="55">
        <v>0</v>
      </c>
      <c r="H68" s="57">
        <v>0</v>
      </c>
      <c r="I68" s="57">
        <f t="shared" si="78"/>
        <v>0</v>
      </c>
      <c r="J68" s="58"/>
      <c r="K68" s="55">
        <v>0</v>
      </c>
      <c r="L68" s="57">
        <v>0</v>
      </c>
      <c r="M68" s="57">
        <f t="shared" si="79"/>
        <v>0</v>
      </c>
      <c r="N68" s="58"/>
      <c r="O68" s="55">
        <v>0</v>
      </c>
      <c r="P68" s="57">
        <v>0</v>
      </c>
      <c r="Q68" s="57">
        <f t="shared" si="80"/>
        <v>0</v>
      </c>
      <c r="R68" s="58"/>
      <c r="S68" s="55">
        <v>0</v>
      </c>
      <c r="T68" s="57">
        <v>0</v>
      </c>
      <c r="U68" s="57">
        <f t="shared" si="81"/>
        <v>0</v>
      </c>
      <c r="V68" s="59"/>
      <c r="W68" s="124">
        <f t="shared" si="82"/>
        <v>0</v>
      </c>
      <c r="X68" s="57">
        <f t="shared" si="83"/>
        <v>0</v>
      </c>
      <c r="Y68" s="202">
        <f t="shared" si="84"/>
        <v>0</v>
      </c>
    </row>
    <row r="69" spans="1:25" s="61" customFormat="1" x14ac:dyDescent="0.25">
      <c r="B69" s="199" t="s">
        <v>228</v>
      </c>
      <c r="C69" s="55">
        <f>26000-2000</f>
        <v>24000</v>
      </c>
      <c r="D69" s="57">
        <v>0</v>
      </c>
      <c r="E69" s="57">
        <f t="shared" si="77"/>
        <v>24000</v>
      </c>
      <c r="F69" s="58"/>
      <c r="G69" s="55">
        <f>C69</f>
        <v>24000</v>
      </c>
      <c r="H69" s="57">
        <v>0</v>
      </c>
      <c r="I69" s="57">
        <f t="shared" si="78"/>
        <v>24000</v>
      </c>
      <c r="J69" s="58"/>
      <c r="K69" s="55">
        <f>G69</f>
        <v>24000</v>
      </c>
      <c r="L69" s="57">
        <v>0</v>
      </c>
      <c r="M69" s="57">
        <f t="shared" si="79"/>
        <v>24000</v>
      </c>
      <c r="N69" s="58"/>
      <c r="O69" s="55">
        <f>K69</f>
        <v>24000</v>
      </c>
      <c r="P69" s="57">
        <v>0</v>
      </c>
      <c r="Q69" s="57">
        <f t="shared" si="80"/>
        <v>24000</v>
      </c>
      <c r="R69" s="58"/>
      <c r="S69" s="55">
        <f>O69</f>
        <v>24000</v>
      </c>
      <c r="T69" s="57">
        <v>0</v>
      </c>
      <c r="U69" s="57">
        <f t="shared" si="81"/>
        <v>24000</v>
      </c>
      <c r="V69" s="59"/>
      <c r="W69" s="124">
        <f t="shared" si="82"/>
        <v>120000</v>
      </c>
      <c r="X69" s="57">
        <f t="shared" si="83"/>
        <v>0</v>
      </c>
      <c r="Y69" s="202">
        <f t="shared" si="84"/>
        <v>120000</v>
      </c>
    </row>
    <row r="70" spans="1:25" s="61" customFormat="1" x14ac:dyDescent="0.25">
      <c r="A70" s="52"/>
      <c r="B70" s="52"/>
      <c r="C70" s="124">
        <v>0</v>
      </c>
      <c r="D70" s="56">
        <v>0</v>
      </c>
      <c r="E70" s="56">
        <f t="shared" si="77"/>
        <v>0</v>
      </c>
      <c r="F70" s="58"/>
      <c r="G70" s="55">
        <v>0</v>
      </c>
      <c r="H70" s="57">
        <v>0</v>
      </c>
      <c r="I70" s="57">
        <f t="shared" si="78"/>
        <v>0</v>
      </c>
      <c r="J70" s="58"/>
      <c r="K70" s="55">
        <v>0</v>
      </c>
      <c r="L70" s="57">
        <v>0</v>
      </c>
      <c r="M70" s="57">
        <f t="shared" si="79"/>
        <v>0</v>
      </c>
      <c r="N70" s="58"/>
      <c r="O70" s="55">
        <v>0</v>
      </c>
      <c r="P70" s="57">
        <v>0</v>
      </c>
      <c r="Q70" s="57">
        <f t="shared" si="80"/>
        <v>0</v>
      </c>
      <c r="R70" s="58"/>
      <c r="S70" s="55">
        <v>0</v>
      </c>
      <c r="T70" s="57">
        <v>0</v>
      </c>
      <c r="U70" s="57">
        <f t="shared" si="81"/>
        <v>0</v>
      </c>
      <c r="V70" s="59"/>
      <c r="W70" s="124">
        <f t="shared" si="82"/>
        <v>0</v>
      </c>
      <c r="X70" s="57">
        <f t="shared" si="83"/>
        <v>0</v>
      </c>
      <c r="Y70" s="84">
        <f t="shared" si="84"/>
        <v>0</v>
      </c>
    </row>
    <row r="71" spans="1:25" s="61" customFormat="1" x14ac:dyDescent="0.25">
      <c r="A71" s="52"/>
      <c r="B71" s="52"/>
      <c r="C71" s="124">
        <v>0</v>
      </c>
      <c r="D71" s="56">
        <v>0</v>
      </c>
      <c r="E71" s="56">
        <f t="shared" si="77"/>
        <v>0</v>
      </c>
      <c r="F71" s="58"/>
      <c r="G71" s="55">
        <v>0</v>
      </c>
      <c r="H71" s="57">
        <v>0</v>
      </c>
      <c r="I71" s="57">
        <f t="shared" si="78"/>
        <v>0</v>
      </c>
      <c r="J71" s="58"/>
      <c r="K71" s="55">
        <v>0</v>
      </c>
      <c r="L71" s="57">
        <v>0</v>
      </c>
      <c r="M71" s="57">
        <f t="shared" si="79"/>
        <v>0</v>
      </c>
      <c r="N71" s="58"/>
      <c r="O71" s="55">
        <v>0</v>
      </c>
      <c r="P71" s="57">
        <v>0</v>
      </c>
      <c r="Q71" s="57">
        <f t="shared" si="80"/>
        <v>0</v>
      </c>
      <c r="R71" s="58"/>
      <c r="S71" s="55">
        <v>0</v>
      </c>
      <c r="T71" s="57">
        <v>0</v>
      </c>
      <c r="U71" s="57">
        <f t="shared" si="81"/>
        <v>0</v>
      </c>
      <c r="V71" s="59"/>
      <c r="W71" s="124">
        <f t="shared" si="82"/>
        <v>0</v>
      </c>
      <c r="X71" s="57">
        <f t="shared" si="83"/>
        <v>0</v>
      </c>
      <c r="Y71" s="84">
        <f t="shared" si="84"/>
        <v>0</v>
      </c>
    </row>
    <row r="72" spans="1:25" s="61" customFormat="1" x14ac:dyDescent="0.25">
      <c r="A72" s="52"/>
      <c r="B72" s="52"/>
      <c r="C72" s="124">
        <v>0</v>
      </c>
      <c r="D72" s="56">
        <v>0</v>
      </c>
      <c r="E72" s="56">
        <f t="shared" si="77"/>
        <v>0</v>
      </c>
      <c r="F72" s="58"/>
      <c r="G72" s="55">
        <v>0</v>
      </c>
      <c r="H72" s="57">
        <v>0</v>
      </c>
      <c r="I72" s="57">
        <f t="shared" si="78"/>
        <v>0</v>
      </c>
      <c r="J72" s="58"/>
      <c r="K72" s="55">
        <v>0</v>
      </c>
      <c r="L72" s="57">
        <v>0</v>
      </c>
      <c r="M72" s="57">
        <f t="shared" si="79"/>
        <v>0</v>
      </c>
      <c r="N72" s="58"/>
      <c r="O72" s="55">
        <v>0</v>
      </c>
      <c r="P72" s="57">
        <v>0</v>
      </c>
      <c r="Q72" s="57">
        <f t="shared" si="80"/>
        <v>0</v>
      </c>
      <c r="R72" s="58"/>
      <c r="S72" s="55">
        <v>0</v>
      </c>
      <c r="T72" s="57">
        <v>0</v>
      </c>
      <c r="U72" s="57">
        <f t="shared" si="81"/>
        <v>0</v>
      </c>
      <c r="V72" s="59"/>
      <c r="W72" s="124">
        <f t="shared" si="82"/>
        <v>0</v>
      </c>
      <c r="X72" s="57">
        <f t="shared" si="83"/>
        <v>0</v>
      </c>
      <c r="Y72" s="84">
        <f t="shared" si="84"/>
        <v>0</v>
      </c>
    </row>
    <row r="73" spans="1:25" s="61" customFormat="1" x14ac:dyDescent="0.25">
      <c r="A73" s="87"/>
      <c r="B73" s="54"/>
      <c r="C73" s="124">
        <v>0</v>
      </c>
      <c r="D73" s="56">
        <v>0</v>
      </c>
      <c r="E73" s="56">
        <f t="shared" si="77"/>
        <v>0</v>
      </c>
      <c r="F73" s="58"/>
      <c r="G73" s="55">
        <v>0</v>
      </c>
      <c r="H73" s="57">
        <v>0</v>
      </c>
      <c r="I73" s="57">
        <f t="shared" si="78"/>
        <v>0</v>
      </c>
      <c r="J73" s="58"/>
      <c r="K73" s="55">
        <v>0</v>
      </c>
      <c r="L73" s="57">
        <v>0</v>
      </c>
      <c r="M73" s="57">
        <f t="shared" si="79"/>
        <v>0</v>
      </c>
      <c r="N73" s="58"/>
      <c r="O73" s="55">
        <v>0</v>
      </c>
      <c r="P73" s="57">
        <v>0</v>
      </c>
      <c r="Q73" s="57">
        <f t="shared" si="80"/>
        <v>0</v>
      </c>
      <c r="R73" s="58"/>
      <c r="S73" s="55">
        <v>0</v>
      </c>
      <c r="T73" s="57">
        <v>0</v>
      </c>
      <c r="U73" s="57">
        <f t="shared" si="81"/>
        <v>0</v>
      </c>
      <c r="V73" s="59"/>
      <c r="W73" s="124">
        <f t="shared" si="82"/>
        <v>0</v>
      </c>
      <c r="X73" s="57">
        <f t="shared" si="83"/>
        <v>0</v>
      </c>
      <c r="Y73" s="84">
        <f t="shared" si="84"/>
        <v>0</v>
      </c>
    </row>
    <row r="74" spans="1:25" s="61" customFormat="1" x14ac:dyDescent="0.25">
      <c r="A74" s="87"/>
      <c r="B74" s="54"/>
      <c r="C74" s="124">
        <v>0</v>
      </c>
      <c r="D74" s="56">
        <v>0</v>
      </c>
      <c r="E74" s="56">
        <f t="shared" si="77"/>
        <v>0</v>
      </c>
      <c r="F74" s="58"/>
      <c r="G74" s="55">
        <v>0</v>
      </c>
      <c r="H74" s="57">
        <v>0</v>
      </c>
      <c r="I74" s="57">
        <f t="shared" si="78"/>
        <v>0</v>
      </c>
      <c r="J74" s="58"/>
      <c r="K74" s="55">
        <v>0</v>
      </c>
      <c r="L74" s="57">
        <v>0</v>
      </c>
      <c r="M74" s="57">
        <f t="shared" si="79"/>
        <v>0</v>
      </c>
      <c r="N74" s="58"/>
      <c r="O74" s="55">
        <v>0</v>
      </c>
      <c r="P74" s="57">
        <v>0</v>
      </c>
      <c r="Q74" s="57">
        <f t="shared" si="80"/>
        <v>0</v>
      </c>
      <c r="R74" s="58"/>
      <c r="S74" s="55">
        <v>0</v>
      </c>
      <c r="T74" s="57">
        <v>0</v>
      </c>
      <c r="U74" s="57">
        <f t="shared" si="81"/>
        <v>0</v>
      </c>
      <c r="V74" s="59"/>
      <c r="W74" s="124">
        <f t="shared" si="82"/>
        <v>0</v>
      </c>
      <c r="X74" s="57">
        <f t="shared" si="83"/>
        <v>0</v>
      </c>
      <c r="Y74" s="84">
        <f t="shared" si="84"/>
        <v>0</v>
      </c>
    </row>
    <row r="75" spans="1:25" s="61" customFormat="1" x14ac:dyDescent="0.25">
      <c r="A75" s="87"/>
      <c r="B75" s="54"/>
      <c r="C75" s="124">
        <v>0</v>
      </c>
      <c r="D75" s="56">
        <v>0</v>
      </c>
      <c r="E75" s="56">
        <f t="shared" si="77"/>
        <v>0</v>
      </c>
      <c r="F75" s="58"/>
      <c r="G75" s="55">
        <v>0</v>
      </c>
      <c r="H75" s="57">
        <v>0</v>
      </c>
      <c r="I75" s="57">
        <f t="shared" si="78"/>
        <v>0</v>
      </c>
      <c r="J75" s="58"/>
      <c r="K75" s="55">
        <v>0</v>
      </c>
      <c r="L75" s="57">
        <v>0</v>
      </c>
      <c r="M75" s="57">
        <f t="shared" si="79"/>
        <v>0</v>
      </c>
      <c r="N75" s="58"/>
      <c r="O75" s="55">
        <v>0</v>
      </c>
      <c r="P75" s="57">
        <v>0</v>
      </c>
      <c r="Q75" s="57">
        <f t="shared" si="80"/>
        <v>0</v>
      </c>
      <c r="R75" s="58"/>
      <c r="S75" s="55">
        <v>0</v>
      </c>
      <c r="T75" s="57">
        <v>0</v>
      </c>
      <c r="U75" s="57">
        <f t="shared" si="81"/>
        <v>0</v>
      </c>
      <c r="V75" s="59"/>
      <c r="W75" s="124">
        <f t="shared" si="82"/>
        <v>0</v>
      </c>
      <c r="X75" s="57">
        <f t="shared" si="83"/>
        <v>0</v>
      </c>
      <c r="Y75" s="84">
        <f t="shared" si="84"/>
        <v>0</v>
      </c>
    </row>
    <row r="76" spans="1:25" s="61" customFormat="1" x14ac:dyDescent="0.25">
      <c r="A76" s="87"/>
      <c r="B76" s="54"/>
      <c r="C76" s="124">
        <v>0</v>
      </c>
      <c r="D76" s="56">
        <v>0</v>
      </c>
      <c r="E76" s="56">
        <f t="shared" si="77"/>
        <v>0</v>
      </c>
      <c r="F76" s="58"/>
      <c r="G76" s="55">
        <v>0</v>
      </c>
      <c r="H76" s="57">
        <v>0</v>
      </c>
      <c r="I76" s="57">
        <f t="shared" si="78"/>
        <v>0</v>
      </c>
      <c r="J76" s="58"/>
      <c r="K76" s="55">
        <v>0</v>
      </c>
      <c r="L76" s="57">
        <v>0</v>
      </c>
      <c r="M76" s="57">
        <f t="shared" si="79"/>
        <v>0</v>
      </c>
      <c r="N76" s="58"/>
      <c r="O76" s="55">
        <v>0</v>
      </c>
      <c r="P76" s="57">
        <v>0</v>
      </c>
      <c r="Q76" s="57">
        <f t="shared" si="80"/>
        <v>0</v>
      </c>
      <c r="R76" s="58"/>
      <c r="S76" s="55">
        <v>0</v>
      </c>
      <c r="T76" s="57">
        <v>0</v>
      </c>
      <c r="U76" s="57">
        <f t="shared" si="81"/>
        <v>0</v>
      </c>
      <c r="V76" s="59"/>
      <c r="W76" s="124">
        <f t="shared" si="82"/>
        <v>0</v>
      </c>
      <c r="X76" s="57">
        <f t="shared" si="83"/>
        <v>0</v>
      </c>
      <c r="Y76" s="84">
        <f t="shared" si="84"/>
        <v>0</v>
      </c>
    </row>
    <row r="77" spans="1:25" s="61" customFormat="1" x14ac:dyDescent="0.25">
      <c r="A77" s="87"/>
      <c r="B77" s="54"/>
      <c r="C77" s="124">
        <v>0</v>
      </c>
      <c r="D77" s="56">
        <v>0</v>
      </c>
      <c r="E77" s="56">
        <f t="shared" si="77"/>
        <v>0</v>
      </c>
      <c r="F77" s="58"/>
      <c r="G77" s="55">
        <v>0</v>
      </c>
      <c r="H77" s="57">
        <v>0</v>
      </c>
      <c r="I77" s="57">
        <f t="shared" si="78"/>
        <v>0</v>
      </c>
      <c r="J77" s="58"/>
      <c r="K77" s="55">
        <v>0</v>
      </c>
      <c r="L77" s="57">
        <v>0</v>
      </c>
      <c r="M77" s="57">
        <f t="shared" si="79"/>
        <v>0</v>
      </c>
      <c r="N77" s="58"/>
      <c r="O77" s="55">
        <v>0</v>
      </c>
      <c r="P77" s="57">
        <v>0</v>
      </c>
      <c r="Q77" s="57">
        <f t="shared" si="80"/>
        <v>0</v>
      </c>
      <c r="R77" s="58"/>
      <c r="S77" s="55">
        <v>0</v>
      </c>
      <c r="T77" s="57">
        <v>0</v>
      </c>
      <c r="U77" s="57">
        <f t="shared" si="81"/>
        <v>0</v>
      </c>
      <c r="V77" s="59"/>
      <c r="W77" s="124">
        <f t="shared" si="82"/>
        <v>0</v>
      </c>
      <c r="X77" s="57">
        <f t="shared" si="83"/>
        <v>0</v>
      </c>
      <c r="Y77" s="84">
        <f t="shared" si="84"/>
        <v>0</v>
      </c>
    </row>
    <row r="78" spans="1:25" s="61" customFormat="1" x14ac:dyDescent="0.25">
      <c r="A78" s="87"/>
      <c r="B78" s="54"/>
      <c r="C78" s="124">
        <v>0</v>
      </c>
      <c r="D78" s="56">
        <v>0</v>
      </c>
      <c r="E78" s="56">
        <f t="shared" si="77"/>
        <v>0</v>
      </c>
      <c r="F78" s="58"/>
      <c r="G78" s="55">
        <v>0</v>
      </c>
      <c r="H78" s="57">
        <v>0</v>
      </c>
      <c r="I78" s="57">
        <f t="shared" si="78"/>
        <v>0</v>
      </c>
      <c r="J78" s="58"/>
      <c r="K78" s="55">
        <v>0</v>
      </c>
      <c r="L78" s="57">
        <v>0</v>
      </c>
      <c r="M78" s="57">
        <f t="shared" si="79"/>
        <v>0</v>
      </c>
      <c r="N78" s="58"/>
      <c r="O78" s="55">
        <v>0</v>
      </c>
      <c r="P78" s="57">
        <v>0</v>
      </c>
      <c r="Q78" s="57">
        <f t="shared" si="80"/>
        <v>0</v>
      </c>
      <c r="R78" s="58"/>
      <c r="S78" s="55">
        <v>0</v>
      </c>
      <c r="T78" s="57">
        <v>0</v>
      </c>
      <c r="U78" s="57">
        <f t="shared" si="81"/>
        <v>0</v>
      </c>
      <c r="V78" s="59"/>
      <c r="W78" s="124">
        <f t="shared" si="82"/>
        <v>0</v>
      </c>
      <c r="X78" s="57">
        <f t="shared" si="83"/>
        <v>0</v>
      </c>
      <c r="Y78" s="84">
        <f t="shared" si="84"/>
        <v>0</v>
      </c>
    </row>
    <row r="79" spans="1:25" s="61" customFormat="1" x14ac:dyDescent="0.25">
      <c r="A79" s="87"/>
      <c r="B79" s="54"/>
      <c r="C79" s="124">
        <v>0</v>
      </c>
      <c r="D79" s="56">
        <v>0</v>
      </c>
      <c r="E79" s="56">
        <f t="shared" si="77"/>
        <v>0</v>
      </c>
      <c r="F79" s="58"/>
      <c r="G79" s="55">
        <v>0</v>
      </c>
      <c r="H79" s="57">
        <v>0</v>
      </c>
      <c r="I79" s="57">
        <f t="shared" si="78"/>
        <v>0</v>
      </c>
      <c r="J79" s="58"/>
      <c r="K79" s="55">
        <v>0</v>
      </c>
      <c r="L79" s="57">
        <v>0</v>
      </c>
      <c r="M79" s="57">
        <f t="shared" si="79"/>
        <v>0</v>
      </c>
      <c r="N79" s="58"/>
      <c r="O79" s="55">
        <v>0</v>
      </c>
      <c r="P79" s="57">
        <v>0</v>
      </c>
      <c r="Q79" s="57">
        <f t="shared" si="80"/>
        <v>0</v>
      </c>
      <c r="R79" s="58"/>
      <c r="S79" s="55">
        <v>0</v>
      </c>
      <c r="T79" s="57">
        <v>0</v>
      </c>
      <c r="U79" s="57">
        <f t="shared" si="81"/>
        <v>0</v>
      </c>
      <c r="V79" s="59"/>
      <c r="W79" s="124">
        <f t="shared" si="82"/>
        <v>0</v>
      </c>
      <c r="X79" s="57">
        <f t="shared" si="83"/>
        <v>0</v>
      </c>
      <c r="Y79" s="84">
        <f t="shared" si="84"/>
        <v>0</v>
      </c>
    </row>
    <row r="80" spans="1:25" s="61" customFormat="1" x14ac:dyDescent="0.25">
      <c r="A80" s="52"/>
      <c r="B80" s="52"/>
      <c r="C80" s="124">
        <v>0</v>
      </c>
      <c r="D80" s="56">
        <v>0</v>
      </c>
      <c r="E80" s="56">
        <f t="shared" si="77"/>
        <v>0</v>
      </c>
      <c r="F80" s="58"/>
      <c r="G80" s="55">
        <v>0</v>
      </c>
      <c r="H80" s="57">
        <v>0</v>
      </c>
      <c r="I80" s="57">
        <f t="shared" si="78"/>
        <v>0</v>
      </c>
      <c r="J80" s="58"/>
      <c r="K80" s="55">
        <v>0</v>
      </c>
      <c r="L80" s="57">
        <v>0</v>
      </c>
      <c r="M80" s="57">
        <f t="shared" si="79"/>
        <v>0</v>
      </c>
      <c r="N80" s="58"/>
      <c r="O80" s="55">
        <v>0</v>
      </c>
      <c r="P80" s="57">
        <v>0</v>
      </c>
      <c r="Q80" s="57">
        <f t="shared" si="80"/>
        <v>0</v>
      </c>
      <c r="R80" s="58"/>
      <c r="S80" s="55">
        <v>0</v>
      </c>
      <c r="T80" s="57">
        <v>0</v>
      </c>
      <c r="U80" s="57">
        <f t="shared" si="81"/>
        <v>0</v>
      </c>
      <c r="V80" s="59"/>
      <c r="W80" s="124">
        <f t="shared" si="82"/>
        <v>0</v>
      </c>
      <c r="X80" s="57">
        <f t="shared" si="83"/>
        <v>0</v>
      </c>
      <c r="Y80" s="84">
        <f t="shared" si="84"/>
        <v>0</v>
      </c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77"/>
        <v>0</v>
      </c>
      <c r="F81" s="58"/>
      <c r="G81" s="55">
        <v>0</v>
      </c>
      <c r="H81" s="57">
        <v>0</v>
      </c>
      <c r="I81" s="57">
        <f t="shared" si="78"/>
        <v>0</v>
      </c>
      <c r="J81" s="58"/>
      <c r="K81" s="55">
        <v>0</v>
      </c>
      <c r="L81" s="57">
        <v>0</v>
      </c>
      <c r="M81" s="57">
        <f t="shared" si="79"/>
        <v>0</v>
      </c>
      <c r="N81" s="58"/>
      <c r="O81" s="55">
        <v>0</v>
      </c>
      <c r="P81" s="57">
        <v>0</v>
      </c>
      <c r="Q81" s="57">
        <f t="shared" si="80"/>
        <v>0</v>
      </c>
      <c r="R81" s="58"/>
      <c r="S81" s="55">
        <v>0</v>
      </c>
      <c r="T81" s="57">
        <v>0</v>
      </c>
      <c r="U81" s="57">
        <f t="shared" si="81"/>
        <v>0</v>
      </c>
      <c r="V81" s="59"/>
      <c r="W81" s="124">
        <f t="shared" si="82"/>
        <v>0</v>
      </c>
      <c r="X81" s="57">
        <f t="shared" si="83"/>
        <v>0</v>
      </c>
      <c r="Y81" s="84">
        <f t="shared" si="84"/>
        <v>0</v>
      </c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77"/>
        <v>0</v>
      </c>
      <c r="F82" s="58"/>
      <c r="G82" s="55">
        <v>0</v>
      </c>
      <c r="H82" s="57">
        <v>0</v>
      </c>
      <c r="I82" s="57">
        <f t="shared" si="78"/>
        <v>0</v>
      </c>
      <c r="J82" s="58"/>
      <c r="K82" s="55">
        <v>0</v>
      </c>
      <c r="L82" s="57">
        <v>0</v>
      </c>
      <c r="M82" s="57">
        <f t="shared" si="79"/>
        <v>0</v>
      </c>
      <c r="N82" s="58"/>
      <c r="O82" s="55">
        <v>0</v>
      </c>
      <c r="P82" s="57">
        <v>0</v>
      </c>
      <c r="Q82" s="57">
        <f t="shared" si="80"/>
        <v>0</v>
      </c>
      <c r="R82" s="58"/>
      <c r="S82" s="55">
        <v>0</v>
      </c>
      <c r="T82" s="57">
        <v>0</v>
      </c>
      <c r="U82" s="57">
        <f t="shared" si="81"/>
        <v>0</v>
      </c>
      <c r="V82" s="59"/>
      <c r="W82" s="124">
        <f t="shared" si="82"/>
        <v>0</v>
      </c>
      <c r="X82" s="57">
        <f t="shared" si="83"/>
        <v>0</v>
      </c>
      <c r="Y82" s="84">
        <f t="shared" si="84"/>
        <v>0</v>
      </c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77"/>
        <v>0</v>
      </c>
      <c r="F83" s="58"/>
      <c r="G83" s="55">
        <v>0</v>
      </c>
      <c r="H83" s="57">
        <v>0</v>
      </c>
      <c r="I83" s="57">
        <f t="shared" si="78"/>
        <v>0</v>
      </c>
      <c r="J83" s="58"/>
      <c r="K83" s="55">
        <v>0</v>
      </c>
      <c r="L83" s="57">
        <v>0</v>
      </c>
      <c r="M83" s="57">
        <f t="shared" si="79"/>
        <v>0</v>
      </c>
      <c r="N83" s="58"/>
      <c r="O83" s="55">
        <v>0</v>
      </c>
      <c r="P83" s="57">
        <v>0</v>
      </c>
      <c r="Q83" s="57">
        <f t="shared" si="80"/>
        <v>0</v>
      </c>
      <c r="R83" s="58"/>
      <c r="S83" s="55">
        <v>0</v>
      </c>
      <c r="T83" s="57">
        <v>0</v>
      </c>
      <c r="U83" s="57">
        <f t="shared" si="81"/>
        <v>0</v>
      </c>
      <c r="V83" s="59"/>
      <c r="W83" s="124">
        <f t="shared" si="82"/>
        <v>0</v>
      </c>
      <c r="X83" s="57">
        <f t="shared" si="83"/>
        <v>0</v>
      </c>
      <c r="Y83" s="84">
        <f t="shared" si="84"/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77"/>
        <v>0</v>
      </c>
      <c r="F84" s="58"/>
      <c r="G84" s="55">
        <v>0</v>
      </c>
      <c r="H84" s="57">
        <v>0</v>
      </c>
      <c r="I84" s="57">
        <f t="shared" si="78"/>
        <v>0</v>
      </c>
      <c r="J84" s="58"/>
      <c r="K84" s="55">
        <v>0</v>
      </c>
      <c r="L84" s="57">
        <v>0</v>
      </c>
      <c r="M84" s="57">
        <f t="shared" si="79"/>
        <v>0</v>
      </c>
      <c r="N84" s="58"/>
      <c r="O84" s="55">
        <v>0</v>
      </c>
      <c r="P84" s="57">
        <v>0</v>
      </c>
      <c r="Q84" s="57">
        <f t="shared" si="80"/>
        <v>0</v>
      </c>
      <c r="R84" s="58"/>
      <c r="S84" s="55">
        <v>0</v>
      </c>
      <c r="T84" s="57">
        <v>0</v>
      </c>
      <c r="U84" s="57">
        <f t="shared" si="81"/>
        <v>0</v>
      </c>
      <c r="V84" s="59"/>
      <c r="W84" s="124">
        <f t="shared" si="82"/>
        <v>0</v>
      </c>
      <c r="X84" s="57">
        <f t="shared" si="83"/>
        <v>0</v>
      </c>
      <c r="Y84" s="84">
        <f t="shared" si="84"/>
        <v>0</v>
      </c>
    </row>
    <row r="85" spans="1:77" s="83" customFormat="1" x14ac:dyDescent="0.25">
      <c r="A85" s="78"/>
      <c r="B85" s="78" t="s">
        <v>9</v>
      </c>
      <c r="C85" s="229">
        <f>SUM(C65:C84)</f>
        <v>24000</v>
      </c>
      <c r="D85" s="153">
        <f>SUM(D65:D84)</f>
        <v>0</v>
      </c>
      <c r="E85" s="153">
        <f>SUM(E65:E84)</f>
        <v>24000</v>
      </c>
      <c r="F85" s="154"/>
      <c r="G85" s="152">
        <f>SUM(G65:G84)</f>
        <v>24000</v>
      </c>
      <c r="H85" s="153">
        <f>SUM(H65:H84)</f>
        <v>0</v>
      </c>
      <c r="I85" s="153">
        <f>SUM(I65:I84)</f>
        <v>24000</v>
      </c>
      <c r="J85" s="154"/>
      <c r="K85" s="152">
        <f>SUM(K65:K84)</f>
        <v>24000</v>
      </c>
      <c r="L85" s="153">
        <f>SUM(L65:L84)</f>
        <v>0</v>
      </c>
      <c r="M85" s="153">
        <f>SUM(M65:M84)</f>
        <v>24000</v>
      </c>
      <c r="N85" s="154"/>
      <c r="O85" s="152">
        <f>SUM(O65:O84)</f>
        <v>24000</v>
      </c>
      <c r="P85" s="153">
        <f>SUM(P65:P84)</f>
        <v>0</v>
      </c>
      <c r="Q85" s="153">
        <f>SUM(Q65:Q84)</f>
        <v>24000</v>
      </c>
      <c r="R85" s="154"/>
      <c r="S85" s="152">
        <f>SUM(S65:S84)</f>
        <v>24000</v>
      </c>
      <c r="T85" s="153">
        <f>SUM(T65:T84)</f>
        <v>0</v>
      </c>
      <c r="U85" s="153">
        <f>SUM(U65:U84)</f>
        <v>24000</v>
      </c>
      <c r="V85" s="82"/>
      <c r="W85" s="228">
        <f t="shared" si="82"/>
        <v>120000</v>
      </c>
      <c r="X85" s="80">
        <f t="shared" si="83"/>
        <v>0</v>
      </c>
      <c r="Y85" s="80">
        <f t="shared" si="84"/>
        <v>120000</v>
      </c>
    </row>
    <row r="86" spans="1:77" s="97" customFormat="1" x14ac:dyDescent="0.25">
      <c r="A86" s="89" t="s">
        <v>28</v>
      </c>
      <c r="B86" s="89"/>
      <c r="C86" s="95">
        <f>C85+C63+C57+C49+C37</f>
        <v>59974.430541859998</v>
      </c>
      <c r="D86" s="95">
        <f t="shared" ref="D86:X86" si="93">D85+D63+D57+D49+D37</f>
        <v>0</v>
      </c>
      <c r="E86" s="95">
        <f>SUM(C86:D86)</f>
        <v>59974.430541859998</v>
      </c>
      <c r="F86" s="95"/>
      <c r="G86" s="95">
        <f t="shared" si="93"/>
        <v>29000</v>
      </c>
      <c r="H86" s="95">
        <f t="shared" si="93"/>
        <v>0</v>
      </c>
      <c r="I86" s="95">
        <f>SUM(G86:H86)</f>
        <v>29000</v>
      </c>
      <c r="J86" s="95"/>
      <c r="K86" s="95">
        <f t="shared" si="93"/>
        <v>29000</v>
      </c>
      <c r="L86" s="95">
        <f t="shared" si="93"/>
        <v>0</v>
      </c>
      <c r="M86" s="95">
        <f>SUM(K86:L86)</f>
        <v>29000</v>
      </c>
      <c r="N86" s="95"/>
      <c r="O86" s="95">
        <f t="shared" si="93"/>
        <v>29000</v>
      </c>
      <c r="P86" s="95">
        <f t="shared" si="93"/>
        <v>0</v>
      </c>
      <c r="Q86" s="95">
        <f>SUM(O86:P86)</f>
        <v>29000</v>
      </c>
      <c r="R86" s="95"/>
      <c r="S86" s="95">
        <f t="shared" si="93"/>
        <v>29000</v>
      </c>
      <c r="T86" s="95">
        <f t="shared" si="93"/>
        <v>0</v>
      </c>
      <c r="U86" s="95">
        <f>SUM(S86:T86)</f>
        <v>29000</v>
      </c>
      <c r="V86" s="95"/>
      <c r="W86" s="95">
        <f t="shared" si="93"/>
        <v>175974.43054186</v>
      </c>
      <c r="X86" s="95">
        <f t="shared" si="93"/>
        <v>0</v>
      </c>
      <c r="Y86" s="95">
        <f>SUM(W86:X86)</f>
        <v>175974.43054186</v>
      </c>
      <c r="Z86" s="96"/>
      <c r="AA86" s="96">
        <f>Y86-W86</f>
        <v>0</v>
      </c>
    </row>
    <row r="87" spans="1:77" s="97" customFormat="1" x14ac:dyDescent="0.25">
      <c r="A87" s="89" t="s">
        <v>27</v>
      </c>
      <c r="B87" s="89"/>
      <c r="C87" s="95">
        <f>(C37+C57+C85)*0.5</f>
        <v>29987.215270929999</v>
      </c>
      <c r="D87" s="95">
        <v>0</v>
      </c>
      <c r="E87" s="95">
        <f>SUM(C87:D87)</f>
        <v>29987.215270929999</v>
      </c>
      <c r="F87" s="95"/>
      <c r="G87" s="95">
        <f>(G37+G57+G85)*0.5</f>
        <v>14500</v>
      </c>
      <c r="H87" s="95">
        <v>0</v>
      </c>
      <c r="I87" s="95">
        <f>SUM(G87:H87)</f>
        <v>14500</v>
      </c>
      <c r="J87" s="95"/>
      <c r="K87" s="95">
        <f>(K37+K57+K85)*0.5</f>
        <v>14500</v>
      </c>
      <c r="L87" s="95">
        <v>0</v>
      </c>
      <c r="M87" s="95">
        <f>SUM(K87:L87)</f>
        <v>14500</v>
      </c>
      <c r="N87" s="95"/>
      <c r="O87" s="95">
        <f>(O37+O57+O85)*0.5</f>
        <v>14500</v>
      </c>
      <c r="P87" s="95">
        <v>0</v>
      </c>
      <c r="Q87" s="95">
        <f>SUM(O87:P87)</f>
        <v>14500</v>
      </c>
      <c r="R87" s="95"/>
      <c r="S87" s="95">
        <f>(S37+S57+S85)*0.5</f>
        <v>14500</v>
      </c>
      <c r="T87" s="95">
        <v>0</v>
      </c>
      <c r="U87" s="95">
        <f>SUM(S87:T87)</f>
        <v>14500</v>
      </c>
      <c r="V87" s="95"/>
      <c r="W87" s="95">
        <f>(W37+W57+W85)*0.5</f>
        <v>87987.215270929999</v>
      </c>
      <c r="X87" s="95">
        <v>0</v>
      </c>
      <c r="Y87" s="95">
        <f>SUM(W87:X87)</f>
        <v>87987.215270929999</v>
      </c>
      <c r="Z87" s="96"/>
      <c r="AA87" s="96"/>
    </row>
    <row r="88" spans="1:77" s="97" customFormat="1" x14ac:dyDescent="0.25">
      <c r="A88" s="89" t="s">
        <v>29</v>
      </c>
      <c r="B88" s="89"/>
      <c r="C88" s="95">
        <f>SUM(C86:C87)</f>
        <v>89961.645812789997</v>
      </c>
      <c r="D88" s="95">
        <f t="shared" ref="D88:X88" si="94">SUM(D86:D87)</f>
        <v>0</v>
      </c>
      <c r="E88" s="95">
        <f>SUM(C88:D88)</f>
        <v>89961.645812789997</v>
      </c>
      <c r="F88" s="95"/>
      <c r="G88" s="95">
        <f t="shared" si="94"/>
        <v>43500</v>
      </c>
      <c r="H88" s="95">
        <f t="shared" si="94"/>
        <v>0</v>
      </c>
      <c r="I88" s="95">
        <f>SUM(G88:H88)</f>
        <v>43500</v>
      </c>
      <c r="J88" s="95"/>
      <c r="K88" s="95">
        <f t="shared" si="94"/>
        <v>43500</v>
      </c>
      <c r="L88" s="95">
        <f t="shared" si="94"/>
        <v>0</v>
      </c>
      <c r="M88" s="95">
        <f>SUM(K88:L88)</f>
        <v>43500</v>
      </c>
      <c r="N88" s="95"/>
      <c r="O88" s="95">
        <f t="shared" si="94"/>
        <v>43500</v>
      </c>
      <c r="P88" s="95">
        <f t="shared" si="94"/>
        <v>0</v>
      </c>
      <c r="Q88" s="95">
        <f>SUM(Q86:Q87)</f>
        <v>43500</v>
      </c>
      <c r="R88" s="95">
        <f t="shared" si="94"/>
        <v>0</v>
      </c>
      <c r="S88" s="95">
        <f t="shared" si="94"/>
        <v>43500</v>
      </c>
      <c r="T88" s="95">
        <f t="shared" si="94"/>
        <v>0</v>
      </c>
      <c r="U88" s="95">
        <f>SUM(S88:T88)</f>
        <v>43500</v>
      </c>
      <c r="V88" s="95"/>
      <c r="W88" s="95">
        <f t="shared" si="94"/>
        <v>263961.64581279003</v>
      </c>
      <c r="X88" s="95">
        <f t="shared" si="94"/>
        <v>0</v>
      </c>
      <c r="Y88" s="95">
        <f>SUM(W88:X88)</f>
        <v>263961.64581279003</v>
      </c>
      <c r="Z88" s="96"/>
      <c r="AA88" s="96"/>
    </row>
    <row r="89" spans="1:77" s="30" customFormat="1" x14ac:dyDescent="0.25">
      <c r="A89" s="24"/>
      <c r="B89" s="24"/>
      <c r="C89" s="27"/>
      <c r="D89" s="27"/>
      <c r="E89" s="28"/>
      <c r="F89" s="24"/>
      <c r="G89" s="27"/>
      <c r="H89" s="27"/>
      <c r="I89" s="28"/>
      <c r="J89" s="24"/>
      <c r="K89" s="27"/>
      <c r="L89" s="27"/>
      <c r="M89" s="28"/>
      <c r="N89" s="24"/>
      <c r="O89" s="27"/>
      <c r="P89" s="27"/>
      <c r="Q89" s="28"/>
      <c r="R89" s="24"/>
      <c r="S89" s="27"/>
      <c r="T89" s="27"/>
      <c r="U89" s="28"/>
      <c r="V89" s="29"/>
      <c r="W89" s="28"/>
      <c r="X89" s="28"/>
      <c r="Y89" s="27"/>
      <c r="Z89" s="28"/>
      <c r="AA89" s="28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s="61" customFormat="1" x14ac:dyDescent="0.25">
      <c r="A92" s="52"/>
      <c r="B92" s="61" t="s">
        <v>57</v>
      </c>
      <c r="C92" s="124">
        <v>0</v>
      </c>
      <c r="D92" s="56">
        <v>0</v>
      </c>
      <c r="E92" s="56">
        <f t="shared" ref="E92:E98" si="95">SUM(C92:D92)</f>
        <v>0</v>
      </c>
      <c r="F92" s="58"/>
      <c r="G92" s="55">
        <v>0</v>
      </c>
      <c r="H92" s="57">
        <f t="shared" ref="H92:H98" si="96">D92*1.05</f>
        <v>0</v>
      </c>
      <c r="I92" s="57">
        <f t="shared" ref="I92:I98" si="97">SUM(G92:H92)</f>
        <v>0</v>
      </c>
      <c r="J92" s="58"/>
      <c r="K92" s="55">
        <v>0</v>
      </c>
      <c r="L92" s="57">
        <f t="shared" ref="L92:L98" si="98">H92*1.05</f>
        <v>0</v>
      </c>
      <c r="M92" s="57">
        <f t="shared" ref="M92:M98" si="99">SUM(K92:L92)</f>
        <v>0</v>
      </c>
      <c r="N92" s="58"/>
      <c r="O92" s="55">
        <v>0</v>
      </c>
      <c r="P92" s="57">
        <f t="shared" ref="P92:P98" si="100">L92*1.05</f>
        <v>0</v>
      </c>
      <c r="Q92" s="57">
        <f t="shared" ref="Q92:Q98" si="101">SUM(O92:P92)</f>
        <v>0</v>
      </c>
      <c r="R92" s="58"/>
      <c r="S92" s="55">
        <v>0</v>
      </c>
      <c r="T92" s="57">
        <f t="shared" ref="T92:T98" si="102">P92*1.05</f>
        <v>0</v>
      </c>
      <c r="U92" s="57">
        <f t="shared" ref="U92:U98" si="103">SUM(S92:T92)</f>
        <v>0</v>
      </c>
      <c r="V92" s="59"/>
      <c r="W92" s="124">
        <f t="shared" ref="W92:Y99" si="104">C92+G92+K92+O92+S92</f>
        <v>0</v>
      </c>
      <c r="X92" s="57">
        <f t="shared" si="104"/>
        <v>0</v>
      </c>
      <c r="Y92" s="84">
        <f t="shared" si="104"/>
        <v>0</v>
      </c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</row>
    <row r="93" spans="1:77" s="61" customFormat="1" x14ac:dyDescent="0.25">
      <c r="A93" s="54" t="s">
        <v>57</v>
      </c>
      <c r="B93" s="61" t="s">
        <v>57</v>
      </c>
      <c r="C93" s="124">
        <v>0</v>
      </c>
      <c r="D93" s="56">
        <v>0</v>
      </c>
      <c r="E93" s="56">
        <f t="shared" si="95"/>
        <v>0</v>
      </c>
      <c r="F93" s="58"/>
      <c r="G93" s="55">
        <v>0</v>
      </c>
      <c r="H93" s="57">
        <f t="shared" si="96"/>
        <v>0</v>
      </c>
      <c r="I93" s="57">
        <f t="shared" si="97"/>
        <v>0</v>
      </c>
      <c r="J93" s="58"/>
      <c r="K93" s="55">
        <f>G93</f>
        <v>0</v>
      </c>
      <c r="L93" s="57">
        <f t="shared" si="98"/>
        <v>0</v>
      </c>
      <c r="M93" s="57">
        <f t="shared" si="99"/>
        <v>0</v>
      </c>
      <c r="N93" s="58"/>
      <c r="O93" s="55">
        <v>0</v>
      </c>
      <c r="P93" s="57">
        <f t="shared" si="100"/>
        <v>0</v>
      </c>
      <c r="Q93" s="57">
        <f t="shared" si="101"/>
        <v>0</v>
      </c>
      <c r="R93" s="58"/>
      <c r="S93" s="55">
        <f>0</f>
        <v>0</v>
      </c>
      <c r="T93" s="57">
        <f t="shared" si="102"/>
        <v>0</v>
      </c>
      <c r="U93" s="57">
        <f t="shared" si="103"/>
        <v>0</v>
      </c>
      <c r="V93" s="59"/>
      <c r="W93" s="124">
        <f t="shared" si="104"/>
        <v>0</v>
      </c>
      <c r="X93" s="57">
        <f t="shared" si="104"/>
        <v>0</v>
      </c>
      <c r="Y93" s="84">
        <f t="shared" si="104"/>
        <v>0</v>
      </c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</row>
    <row r="94" spans="1:77" s="61" customFormat="1" x14ac:dyDescent="0.25">
      <c r="A94" s="52"/>
      <c r="B94" s="52"/>
      <c r="C94" s="124">
        <v>0</v>
      </c>
      <c r="D94" s="56">
        <v>0</v>
      </c>
      <c r="E94" s="56">
        <f t="shared" si="95"/>
        <v>0</v>
      </c>
      <c r="F94" s="58"/>
      <c r="G94" s="55">
        <f>C94*1.05</f>
        <v>0</v>
      </c>
      <c r="H94" s="57">
        <f t="shared" si="96"/>
        <v>0</v>
      </c>
      <c r="I94" s="57">
        <f t="shared" si="97"/>
        <v>0</v>
      </c>
      <c r="J94" s="58"/>
      <c r="K94" s="55">
        <f>G94*1.05</f>
        <v>0</v>
      </c>
      <c r="L94" s="57">
        <f t="shared" si="98"/>
        <v>0</v>
      </c>
      <c r="M94" s="57">
        <f t="shared" si="99"/>
        <v>0</v>
      </c>
      <c r="N94" s="58"/>
      <c r="O94" s="55">
        <f>K94*1.05</f>
        <v>0</v>
      </c>
      <c r="P94" s="57">
        <f t="shared" si="100"/>
        <v>0</v>
      </c>
      <c r="Q94" s="57">
        <f t="shared" si="101"/>
        <v>0</v>
      </c>
      <c r="R94" s="58"/>
      <c r="S94" s="55">
        <f>O94*1.05</f>
        <v>0</v>
      </c>
      <c r="T94" s="57">
        <f t="shared" si="102"/>
        <v>0</v>
      </c>
      <c r="U94" s="57">
        <f t="shared" si="103"/>
        <v>0</v>
      </c>
      <c r="V94" s="59"/>
      <c r="W94" s="124">
        <f t="shared" si="104"/>
        <v>0</v>
      </c>
      <c r="X94" s="57">
        <f t="shared" si="104"/>
        <v>0</v>
      </c>
      <c r="Y94" s="84">
        <f t="shared" si="104"/>
        <v>0</v>
      </c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</row>
    <row r="95" spans="1:77" s="61" customFormat="1" x14ac:dyDescent="0.25">
      <c r="A95" s="52"/>
      <c r="B95" s="52"/>
      <c r="C95" s="124">
        <v>0</v>
      </c>
      <c r="D95" s="56">
        <v>0</v>
      </c>
      <c r="E95" s="56">
        <f t="shared" si="95"/>
        <v>0</v>
      </c>
      <c r="F95" s="58"/>
      <c r="G95" s="55">
        <f>C95*1.05</f>
        <v>0</v>
      </c>
      <c r="H95" s="57">
        <f t="shared" si="96"/>
        <v>0</v>
      </c>
      <c r="I95" s="57">
        <f t="shared" si="97"/>
        <v>0</v>
      </c>
      <c r="J95" s="58"/>
      <c r="K95" s="55">
        <f>G95*1.05</f>
        <v>0</v>
      </c>
      <c r="L95" s="57">
        <f t="shared" si="98"/>
        <v>0</v>
      </c>
      <c r="M95" s="57">
        <f t="shared" si="99"/>
        <v>0</v>
      </c>
      <c r="N95" s="58"/>
      <c r="O95" s="55">
        <f>K95*1.05</f>
        <v>0</v>
      </c>
      <c r="P95" s="57">
        <f t="shared" si="100"/>
        <v>0</v>
      </c>
      <c r="Q95" s="57">
        <f t="shared" si="101"/>
        <v>0</v>
      </c>
      <c r="R95" s="58"/>
      <c r="S95" s="55">
        <f>O95*1.05</f>
        <v>0</v>
      </c>
      <c r="T95" s="57">
        <f t="shared" si="102"/>
        <v>0</v>
      </c>
      <c r="U95" s="57">
        <f t="shared" si="103"/>
        <v>0</v>
      </c>
      <c r="V95" s="59"/>
      <c r="W95" s="124">
        <f t="shared" si="104"/>
        <v>0</v>
      </c>
      <c r="X95" s="57">
        <f t="shared" si="104"/>
        <v>0</v>
      </c>
      <c r="Y95" s="84">
        <f t="shared" si="104"/>
        <v>0</v>
      </c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</row>
    <row r="96" spans="1:77" s="61" customFormat="1" x14ac:dyDescent="0.25">
      <c r="A96" s="52"/>
      <c r="B96" s="52"/>
      <c r="C96" s="124">
        <v>0</v>
      </c>
      <c r="D96" s="56">
        <v>0</v>
      </c>
      <c r="E96" s="56">
        <f t="shared" si="95"/>
        <v>0</v>
      </c>
      <c r="F96" s="58"/>
      <c r="G96" s="55">
        <f>C96*1.05</f>
        <v>0</v>
      </c>
      <c r="H96" s="57">
        <f t="shared" si="96"/>
        <v>0</v>
      </c>
      <c r="I96" s="57">
        <f t="shared" si="97"/>
        <v>0</v>
      </c>
      <c r="J96" s="58"/>
      <c r="K96" s="55">
        <f>G96*1.05</f>
        <v>0</v>
      </c>
      <c r="L96" s="57">
        <f t="shared" si="98"/>
        <v>0</v>
      </c>
      <c r="M96" s="57">
        <f t="shared" si="99"/>
        <v>0</v>
      </c>
      <c r="N96" s="58"/>
      <c r="O96" s="55">
        <f>K96*1.05</f>
        <v>0</v>
      </c>
      <c r="P96" s="57">
        <f t="shared" si="100"/>
        <v>0</v>
      </c>
      <c r="Q96" s="57">
        <f t="shared" si="101"/>
        <v>0</v>
      </c>
      <c r="R96" s="58"/>
      <c r="S96" s="55">
        <f>O96*1.05</f>
        <v>0</v>
      </c>
      <c r="T96" s="57">
        <f t="shared" si="102"/>
        <v>0</v>
      </c>
      <c r="U96" s="57">
        <f t="shared" si="103"/>
        <v>0</v>
      </c>
      <c r="V96" s="59"/>
      <c r="W96" s="124">
        <f t="shared" si="104"/>
        <v>0</v>
      </c>
      <c r="X96" s="57">
        <f t="shared" si="104"/>
        <v>0</v>
      </c>
      <c r="Y96" s="84">
        <f t="shared" si="104"/>
        <v>0</v>
      </c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</row>
    <row r="97" spans="1:77" s="61" customFormat="1" x14ac:dyDescent="0.25">
      <c r="A97" s="52"/>
      <c r="B97" s="52"/>
      <c r="C97" s="124">
        <v>0</v>
      </c>
      <c r="D97" s="56">
        <v>0</v>
      </c>
      <c r="E97" s="56">
        <f t="shared" si="95"/>
        <v>0</v>
      </c>
      <c r="F97" s="58"/>
      <c r="G97" s="55">
        <f>C97*1.05</f>
        <v>0</v>
      </c>
      <c r="H97" s="57">
        <f t="shared" si="96"/>
        <v>0</v>
      </c>
      <c r="I97" s="57">
        <f t="shared" si="97"/>
        <v>0</v>
      </c>
      <c r="J97" s="58"/>
      <c r="K97" s="55">
        <f>G97*1.05</f>
        <v>0</v>
      </c>
      <c r="L97" s="57">
        <f t="shared" si="98"/>
        <v>0</v>
      </c>
      <c r="M97" s="57">
        <f t="shared" si="99"/>
        <v>0</v>
      </c>
      <c r="N97" s="58"/>
      <c r="O97" s="55">
        <f>K97*1.05</f>
        <v>0</v>
      </c>
      <c r="P97" s="57">
        <f t="shared" si="100"/>
        <v>0</v>
      </c>
      <c r="Q97" s="57">
        <f t="shared" si="101"/>
        <v>0</v>
      </c>
      <c r="R97" s="58"/>
      <c r="S97" s="55">
        <f>O97*1.05</f>
        <v>0</v>
      </c>
      <c r="T97" s="57">
        <f t="shared" si="102"/>
        <v>0</v>
      </c>
      <c r="U97" s="57">
        <f t="shared" si="103"/>
        <v>0</v>
      </c>
      <c r="V97" s="59"/>
      <c r="W97" s="124">
        <f t="shared" si="104"/>
        <v>0</v>
      </c>
      <c r="X97" s="57">
        <f t="shared" si="104"/>
        <v>0</v>
      </c>
      <c r="Y97" s="84">
        <f t="shared" si="104"/>
        <v>0</v>
      </c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</row>
    <row r="98" spans="1:77" s="61" customFormat="1" x14ac:dyDescent="0.25">
      <c r="A98" s="52"/>
      <c r="B98" s="52"/>
      <c r="C98" s="124">
        <v>0</v>
      </c>
      <c r="D98" s="56">
        <v>0</v>
      </c>
      <c r="E98" s="56">
        <f t="shared" si="95"/>
        <v>0</v>
      </c>
      <c r="F98" s="58"/>
      <c r="G98" s="55">
        <f>C98*1.05</f>
        <v>0</v>
      </c>
      <c r="H98" s="57">
        <f t="shared" si="96"/>
        <v>0</v>
      </c>
      <c r="I98" s="57">
        <f t="shared" si="97"/>
        <v>0</v>
      </c>
      <c r="J98" s="58"/>
      <c r="K98" s="55">
        <f>G98*1.05</f>
        <v>0</v>
      </c>
      <c r="L98" s="57">
        <f t="shared" si="98"/>
        <v>0</v>
      </c>
      <c r="M98" s="57">
        <f t="shared" si="99"/>
        <v>0</v>
      </c>
      <c r="N98" s="58"/>
      <c r="O98" s="55">
        <f>K98*1.05</f>
        <v>0</v>
      </c>
      <c r="P98" s="57">
        <f t="shared" si="100"/>
        <v>0</v>
      </c>
      <c r="Q98" s="57">
        <f t="shared" si="101"/>
        <v>0</v>
      </c>
      <c r="R98" s="58"/>
      <c r="S98" s="55">
        <f>O98*1.05</f>
        <v>0</v>
      </c>
      <c r="T98" s="57">
        <f t="shared" si="102"/>
        <v>0</v>
      </c>
      <c r="U98" s="57">
        <f t="shared" si="103"/>
        <v>0</v>
      </c>
      <c r="V98" s="59"/>
      <c r="W98" s="124">
        <f t="shared" si="104"/>
        <v>0</v>
      </c>
      <c r="X98" s="57">
        <f t="shared" si="104"/>
        <v>0</v>
      </c>
      <c r="Y98" s="84">
        <f t="shared" si="104"/>
        <v>0</v>
      </c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</row>
    <row r="99" spans="1:77" s="83" customFormat="1" x14ac:dyDescent="0.25">
      <c r="A99" s="78"/>
      <c r="B99" s="78" t="s">
        <v>9</v>
      </c>
      <c r="C99" s="228">
        <f>SUM(C92:C98)</f>
        <v>0</v>
      </c>
      <c r="D99" s="125">
        <f>SUM(D92:D98)</f>
        <v>0</v>
      </c>
      <c r="E99" s="125">
        <f>SUM(E92:E98)</f>
        <v>0</v>
      </c>
      <c r="F99" s="81"/>
      <c r="G99" s="79">
        <f>SUM(G92:G98)</f>
        <v>0</v>
      </c>
      <c r="H99" s="80">
        <f>SUM(H92:H98)</f>
        <v>0</v>
      </c>
      <c r="I99" s="80">
        <f>SUM(I92:I98)</f>
        <v>0</v>
      </c>
      <c r="J99" s="81"/>
      <c r="K99" s="79">
        <f>SUM(K92:K98)</f>
        <v>0</v>
      </c>
      <c r="L99" s="80">
        <f>SUM(L92:L98)</f>
        <v>0</v>
      </c>
      <c r="M99" s="80">
        <f>SUM(M92:M98)</f>
        <v>0</v>
      </c>
      <c r="N99" s="81"/>
      <c r="O99" s="79">
        <f>SUM(O92:O98)</f>
        <v>0</v>
      </c>
      <c r="P99" s="80">
        <f>SUM(P92:P98)</f>
        <v>0</v>
      </c>
      <c r="Q99" s="80">
        <f>SUM(Q92:Q98)</f>
        <v>0</v>
      </c>
      <c r="R99" s="81"/>
      <c r="S99" s="79">
        <f>SUM(S92:S98)</f>
        <v>0</v>
      </c>
      <c r="T99" s="80">
        <f>SUM(T92:T98)</f>
        <v>0</v>
      </c>
      <c r="U99" s="80">
        <f>SUM(U92:U98)</f>
        <v>0</v>
      </c>
      <c r="V99" s="82"/>
      <c r="W99" s="228">
        <f t="shared" si="104"/>
        <v>0</v>
      </c>
      <c r="X99" s="80">
        <f t="shared" si="104"/>
        <v>0</v>
      </c>
      <c r="Y99" s="80">
        <f t="shared" si="104"/>
        <v>0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s="61" customFormat="1" x14ac:dyDescent="0.25">
      <c r="A101" s="52"/>
      <c r="B101" s="52"/>
      <c r="C101" s="124">
        <v>0</v>
      </c>
      <c r="D101" s="56">
        <v>0</v>
      </c>
      <c r="E101" s="56">
        <f t="shared" ref="E101:E111" si="105">SUM(C101:D101)</f>
        <v>0</v>
      </c>
      <c r="F101" s="58"/>
      <c r="G101" s="55">
        <f t="shared" ref="G101:G111" si="106">C101*1.05</f>
        <v>0</v>
      </c>
      <c r="H101" s="57">
        <f t="shared" ref="H101:H111" si="107">D101*1.05</f>
        <v>0</v>
      </c>
      <c r="I101" s="57">
        <f t="shared" ref="I101:I111" si="108">SUM(G101:H101)</f>
        <v>0</v>
      </c>
      <c r="J101" s="58"/>
      <c r="K101" s="55">
        <f t="shared" ref="K101:K111" si="109">G101*1.05</f>
        <v>0</v>
      </c>
      <c r="L101" s="57">
        <f t="shared" ref="L101:L111" si="110">H101*1.05</f>
        <v>0</v>
      </c>
      <c r="M101" s="57">
        <f t="shared" ref="M101:M111" si="111">SUM(K101:L101)</f>
        <v>0</v>
      </c>
      <c r="N101" s="58"/>
      <c r="O101" s="55">
        <f t="shared" ref="O101:O111" si="112">K101*1.05</f>
        <v>0</v>
      </c>
      <c r="P101" s="57">
        <f t="shared" ref="P101:P111" si="113">L101*1.05</f>
        <v>0</v>
      </c>
      <c r="Q101" s="57">
        <f t="shared" ref="Q101:Q111" si="114">SUM(O101:P101)</f>
        <v>0</v>
      </c>
      <c r="R101" s="58"/>
      <c r="S101" s="55">
        <f t="shared" ref="S101:S111" si="115">O101*1.05</f>
        <v>0</v>
      </c>
      <c r="T101" s="57">
        <f t="shared" ref="T101:T111" si="116">P101*1.05</f>
        <v>0</v>
      </c>
      <c r="U101" s="57">
        <f t="shared" ref="U101:U111" si="117">SUM(S101:T101)</f>
        <v>0</v>
      </c>
      <c r="V101" s="59"/>
      <c r="W101" s="124">
        <f t="shared" ref="W101:W112" si="118">C101+G101+K101+O101+S101</f>
        <v>0</v>
      </c>
      <c r="X101" s="57">
        <f t="shared" ref="X101:X112" si="119">D101+H101+L101+P101+T101</f>
        <v>0</v>
      </c>
      <c r="Y101" s="84">
        <f t="shared" ref="Y101:Y112" si="120">E101+I101+M101+Q101+U101</f>
        <v>0</v>
      </c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</row>
    <row r="102" spans="1:77" s="61" customFormat="1" x14ac:dyDescent="0.25">
      <c r="A102" s="87"/>
      <c r="B102" s="52"/>
      <c r="C102" s="124">
        <v>0</v>
      </c>
      <c r="D102" s="56">
        <v>0</v>
      </c>
      <c r="E102" s="56">
        <f t="shared" si="105"/>
        <v>0</v>
      </c>
      <c r="F102" s="58"/>
      <c r="G102" s="55">
        <f t="shared" si="106"/>
        <v>0</v>
      </c>
      <c r="H102" s="57">
        <f t="shared" si="107"/>
        <v>0</v>
      </c>
      <c r="I102" s="57">
        <f t="shared" si="108"/>
        <v>0</v>
      </c>
      <c r="J102" s="58"/>
      <c r="K102" s="55">
        <f t="shared" si="109"/>
        <v>0</v>
      </c>
      <c r="L102" s="57">
        <f t="shared" si="110"/>
        <v>0</v>
      </c>
      <c r="M102" s="57">
        <f t="shared" si="111"/>
        <v>0</v>
      </c>
      <c r="N102" s="58"/>
      <c r="O102" s="55">
        <f t="shared" si="112"/>
        <v>0</v>
      </c>
      <c r="P102" s="57">
        <f t="shared" si="113"/>
        <v>0</v>
      </c>
      <c r="Q102" s="57">
        <f t="shared" si="114"/>
        <v>0</v>
      </c>
      <c r="R102" s="58"/>
      <c r="S102" s="55">
        <f t="shared" si="115"/>
        <v>0</v>
      </c>
      <c r="T102" s="57">
        <f t="shared" si="116"/>
        <v>0</v>
      </c>
      <c r="U102" s="57">
        <f t="shared" si="117"/>
        <v>0</v>
      </c>
      <c r="V102" s="59"/>
      <c r="W102" s="124">
        <f t="shared" si="118"/>
        <v>0</v>
      </c>
      <c r="X102" s="57">
        <f t="shared" si="119"/>
        <v>0</v>
      </c>
      <c r="Y102" s="84">
        <f t="shared" si="120"/>
        <v>0</v>
      </c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</row>
    <row r="103" spans="1:77" s="61" customFormat="1" x14ac:dyDescent="0.25">
      <c r="A103" s="52"/>
      <c r="B103" s="54"/>
      <c r="C103" s="124">
        <v>0</v>
      </c>
      <c r="D103" s="56">
        <v>0</v>
      </c>
      <c r="E103" s="56">
        <f t="shared" si="105"/>
        <v>0</v>
      </c>
      <c r="F103" s="58"/>
      <c r="G103" s="55">
        <f t="shared" si="106"/>
        <v>0</v>
      </c>
      <c r="H103" s="57">
        <f t="shared" si="107"/>
        <v>0</v>
      </c>
      <c r="I103" s="57">
        <f t="shared" si="108"/>
        <v>0</v>
      </c>
      <c r="J103" s="58"/>
      <c r="K103" s="55">
        <f t="shared" si="109"/>
        <v>0</v>
      </c>
      <c r="L103" s="57">
        <f t="shared" si="110"/>
        <v>0</v>
      </c>
      <c r="M103" s="57">
        <f t="shared" si="111"/>
        <v>0</v>
      </c>
      <c r="N103" s="58"/>
      <c r="O103" s="55">
        <f t="shared" si="112"/>
        <v>0</v>
      </c>
      <c r="P103" s="57">
        <f t="shared" si="113"/>
        <v>0</v>
      </c>
      <c r="Q103" s="57">
        <f t="shared" si="114"/>
        <v>0</v>
      </c>
      <c r="R103" s="58"/>
      <c r="S103" s="55">
        <f t="shared" si="115"/>
        <v>0</v>
      </c>
      <c r="T103" s="57">
        <f t="shared" si="116"/>
        <v>0</v>
      </c>
      <c r="U103" s="57">
        <f t="shared" si="117"/>
        <v>0</v>
      </c>
      <c r="V103" s="59"/>
      <c r="W103" s="124">
        <f t="shared" si="118"/>
        <v>0</v>
      </c>
      <c r="X103" s="57">
        <f t="shared" si="119"/>
        <v>0</v>
      </c>
      <c r="Y103" s="84">
        <f t="shared" si="120"/>
        <v>0</v>
      </c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</row>
    <row r="104" spans="1:77" s="61" customFormat="1" x14ac:dyDescent="0.25">
      <c r="A104" s="52"/>
      <c r="B104" s="52"/>
      <c r="C104" s="124">
        <v>0</v>
      </c>
      <c r="D104" s="56">
        <v>0</v>
      </c>
      <c r="E104" s="56">
        <f t="shared" si="105"/>
        <v>0</v>
      </c>
      <c r="F104" s="58"/>
      <c r="G104" s="55">
        <f t="shared" si="106"/>
        <v>0</v>
      </c>
      <c r="H104" s="57">
        <f t="shared" si="107"/>
        <v>0</v>
      </c>
      <c r="I104" s="57">
        <f t="shared" si="108"/>
        <v>0</v>
      </c>
      <c r="J104" s="58"/>
      <c r="K104" s="55">
        <f t="shared" si="109"/>
        <v>0</v>
      </c>
      <c r="L104" s="57">
        <f t="shared" si="110"/>
        <v>0</v>
      </c>
      <c r="M104" s="57">
        <f t="shared" si="111"/>
        <v>0</v>
      </c>
      <c r="N104" s="58"/>
      <c r="O104" s="55">
        <f t="shared" si="112"/>
        <v>0</v>
      </c>
      <c r="P104" s="57">
        <f t="shared" si="113"/>
        <v>0</v>
      </c>
      <c r="Q104" s="57">
        <f t="shared" si="114"/>
        <v>0</v>
      </c>
      <c r="R104" s="58"/>
      <c r="S104" s="55">
        <f t="shared" si="115"/>
        <v>0</v>
      </c>
      <c r="T104" s="57">
        <f t="shared" si="116"/>
        <v>0</v>
      </c>
      <c r="U104" s="57">
        <f t="shared" si="117"/>
        <v>0</v>
      </c>
      <c r="V104" s="59"/>
      <c r="W104" s="124">
        <f t="shared" si="118"/>
        <v>0</v>
      </c>
      <c r="X104" s="57">
        <f t="shared" si="119"/>
        <v>0</v>
      </c>
      <c r="Y104" s="84">
        <f t="shared" si="120"/>
        <v>0</v>
      </c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s="61" customFormat="1" x14ac:dyDescent="0.25">
      <c r="A105" s="87"/>
      <c r="B105" s="52"/>
      <c r="C105" s="124">
        <v>0</v>
      </c>
      <c r="D105" s="56">
        <v>0</v>
      </c>
      <c r="E105" s="56">
        <f t="shared" si="105"/>
        <v>0</v>
      </c>
      <c r="F105" s="58"/>
      <c r="G105" s="55">
        <f t="shared" si="106"/>
        <v>0</v>
      </c>
      <c r="H105" s="57">
        <f t="shared" si="107"/>
        <v>0</v>
      </c>
      <c r="I105" s="57">
        <f t="shared" si="108"/>
        <v>0</v>
      </c>
      <c r="J105" s="58"/>
      <c r="K105" s="55">
        <f t="shared" si="109"/>
        <v>0</v>
      </c>
      <c r="L105" s="57">
        <f t="shared" si="110"/>
        <v>0</v>
      </c>
      <c r="M105" s="57">
        <f t="shared" si="111"/>
        <v>0</v>
      </c>
      <c r="N105" s="58"/>
      <c r="O105" s="55">
        <f t="shared" si="112"/>
        <v>0</v>
      </c>
      <c r="P105" s="57">
        <f t="shared" si="113"/>
        <v>0</v>
      </c>
      <c r="Q105" s="57">
        <f t="shared" si="114"/>
        <v>0</v>
      </c>
      <c r="R105" s="58"/>
      <c r="S105" s="55">
        <f t="shared" si="115"/>
        <v>0</v>
      </c>
      <c r="T105" s="57">
        <f t="shared" si="116"/>
        <v>0</v>
      </c>
      <c r="U105" s="57">
        <f t="shared" si="117"/>
        <v>0</v>
      </c>
      <c r="V105" s="59"/>
      <c r="W105" s="124">
        <f t="shared" si="118"/>
        <v>0</v>
      </c>
      <c r="X105" s="57">
        <f t="shared" si="119"/>
        <v>0</v>
      </c>
      <c r="Y105" s="84">
        <f t="shared" si="120"/>
        <v>0</v>
      </c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s="61" customFormat="1" x14ac:dyDescent="0.25">
      <c r="A106" s="87"/>
      <c r="B106" s="52"/>
      <c r="C106" s="124">
        <v>0</v>
      </c>
      <c r="D106" s="56">
        <v>0</v>
      </c>
      <c r="E106" s="56">
        <f t="shared" si="105"/>
        <v>0</v>
      </c>
      <c r="F106" s="58"/>
      <c r="G106" s="55">
        <f t="shared" si="106"/>
        <v>0</v>
      </c>
      <c r="H106" s="57">
        <f t="shared" si="107"/>
        <v>0</v>
      </c>
      <c r="I106" s="57">
        <f t="shared" si="108"/>
        <v>0</v>
      </c>
      <c r="J106" s="58"/>
      <c r="K106" s="55">
        <f t="shared" si="109"/>
        <v>0</v>
      </c>
      <c r="L106" s="57">
        <f t="shared" si="110"/>
        <v>0</v>
      </c>
      <c r="M106" s="57">
        <f t="shared" si="111"/>
        <v>0</v>
      </c>
      <c r="N106" s="58"/>
      <c r="O106" s="55">
        <f t="shared" si="112"/>
        <v>0</v>
      </c>
      <c r="P106" s="57">
        <f t="shared" si="113"/>
        <v>0</v>
      </c>
      <c r="Q106" s="57">
        <f t="shared" si="114"/>
        <v>0</v>
      </c>
      <c r="R106" s="58"/>
      <c r="S106" s="55">
        <f t="shared" si="115"/>
        <v>0</v>
      </c>
      <c r="T106" s="57">
        <f t="shared" si="116"/>
        <v>0</v>
      </c>
      <c r="U106" s="57">
        <f t="shared" si="117"/>
        <v>0</v>
      </c>
      <c r="V106" s="59"/>
      <c r="W106" s="124">
        <f t="shared" si="118"/>
        <v>0</v>
      </c>
      <c r="X106" s="57">
        <f t="shared" si="119"/>
        <v>0</v>
      </c>
      <c r="Y106" s="84">
        <f t="shared" si="120"/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2"/>
      <c r="C107" s="124">
        <v>0</v>
      </c>
      <c r="D107" s="56">
        <v>0</v>
      </c>
      <c r="E107" s="56">
        <f t="shared" si="105"/>
        <v>0</v>
      </c>
      <c r="F107" s="58"/>
      <c r="G107" s="55">
        <f t="shared" si="106"/>
        <v>0</v>
      </c>
      <c r="H107" s="57">
        <f t="shared" si="107"/>
        <v>0</v>
      </c>
      <c r="I107" s="57">
        <f t="shared" si="108"/>
        <v>0</v>
      </c>
      <c r="J107" s="58"/>
      <c r="K107" s="55">
        <f t="shared" si="109"/>
        <v>0</v>
      </c>
      <c r="L107" s="57">
        <f t="shared" si="110"/>
        <v>0</v>
      </c>
      <c r="M107" s="57">
        <f t="shared" si="111"/>
        <v>0</v>
      </c>
      <c r="N107" s="58"/>
      <c r="O107" s="55">
        <f t="shared" si="112"/>
        <v>0</v>
      </c>
      <c r="P107" s="57">
        <f t="shared" si="113"/>
        <v>0</v>
      </c>
      <c r="Q107" s="57">
        <f t="shared" si="114"/>
        <v>0</v>
      </c>
      <c r="R107" s="58"/>
      <c r="S107" s="55">
        <f t="shared" si="115"/>
        <v>0</v>
      </c>
      <c r="T107" s="57">
        <f t="shared" si="116"/>
        <v>0</v>
      </c>
      <c r="U107" s="57">
        <f t="shared" si="117"/>
        <v>0</v>
      </c>
      <c r="V107" s="59"/>
      <c r="W107" s="124">
        <f t="shared" si="118"/>
        <v>0</v>
      </c>
      <c r="X107" s="57">
        <f t="shared" si="119"/>
        <v>0</v>
      </c>
      <c r="Y107" s="84">
        <f t="shared" si="120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52"/>
      <c r="B108" s="54"/>
      <c r="C108" s="124">
        <v>0</v>
      </c>
      <c r="D108" s="56">
        <v>0</v>
      </c>
      <c r="E108" s="56">
        <f t="shared" si="105"/>
        <v>0</v>
      </c>
      <c r="F108" s="58"/>
      <c r="G108" s="55">
        <f t="shared" si="106"/>
        <v>0</v>
      </c>
      <c r="H108" s="57">
        <f t="shared" si="107"/>
        <v>0</v>
      </c>
      <c r="I108" s="57">
        <f t="shared" si="108"/>
        <v>0</v>
      </c>
      <c r="J108" s="58"/>
      <c r="K108" s="55">
        <f t="shared" si="109"/>
        <v>0</v>
      </c>
      <c r="L108" s="57">
        <f t="shared" si="110"/>
        <v>0</v>
      </c>
      <c r="M108" s="57">
        <f t="shared" si="111"/>
        <v>0</v>
      </c>
      <c r="N108" s="58"/>
      <c r="O108" s="55">
        <f t="shared" si="112"/>
        <v>0</v>
      </c>
      <c r="P108" s="57">
        <f t="shared" si="113"/>
        <v>0</v>
      </c>
      <c r="Q108" s="57">
        <f t="shared" si="114"/>
        <v>0</v>
      </c>
      <c r="R108" s="58"/>
      <c r="S108" s="55">
        <f t="shared" si="115"/>
        <v>0</v>
      </c>
      <c r="T108" s="57">
        <f t="shared" si="116"/>
        <v>0</v>
      </c>
      <c r="U108" s="57">
        <f t="shared" si="117"/>
        <v>0</v>
      </c>
      <c r="V108" s="59"/>
      <c r="W108" s="124">
        <f t="shared" si="118"/>
        <v>0</v>
      </c>
      <c r="X108" s="57">
        <f t="shared" si="119"/>
        <v>0</v>
      </c>
      <c r="Y108" s="84">
        <f t="shared" si="120"/>
        <v>0</v>
      </c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105"/>
        <v>0</v>
      </c>
      <c r="F109" s="74"/>
      <c r="G109" s="55">
        <f t="shared" si="106"/>
        <v>0</v>
      </c>
      <c r="H109" s="57">
        <f t="shared" si="107"/>
        <v>0</v>
      </c>
      <c r="I109" s="57">
        <f t="shared" si="108"/>
        <v>0</v>
      </c>
      <c r="J109" s="74"/>
      <c r="K109" s="55">
        <f t="shared" si="109"/>
        <v>0</v>
      </c>
      <c r="L109" s="57">
        <f t="shared" si="110"/>
        <v>0</v>
      </c>
      <c r="M109" s="57">
        <f t="shared" si="111"/>
        <v>0</v>
      </c>
      <c r="N109" s="74"/>
      <c r="O109" s="55">
        <f t="shared" si="112"/>
        <v>0</v>
      </c>
      <c r="P109" s="57">
        <f t="shared" si="113"/>
        <v>0</v>
      </c>
      <c r="Q109" s="57">
        <f t="shared" si="114"/>
        <v>0</v>
      </c>
      <c r="R109" s="74"/>
      <c r="S109" s="55">
        <f t="shared" si="115"/>
        <v>0</v>
      </c>
      <c r="T109" s="57">
        <f t="shared" si="116"/>
        <v>0</v>
      </c>
      <c r="U109" s="57">
        <f t="shared" si="117"/>
        <v>0</v>
      </c>
      <c r="V109" s="59"/>
      <c r="W109" s="124">
        <f t="shared" si="118"/>
        <v>0</v>
      </c>
      <c r="X109" s="57">
        <f t="shared" si="119"/>
        <v>0</v>
      </c>
      <c r="Y109" s="84">
        <f t="shared" si="120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105"/>
        <v>0</v>
      </c>
      <c r="F110" s="74"/>
      <c r="G110" s="55">
        <f t="shared" si="106"/>
        <v>0</v>
      </c>
      <c r="H110" s="57">
        <f t="shared" si="107"/>
        <v>0</v>
      </c>
      <c r="I110" s="57">
        <f t="shared" si="108"/>
        <v>0</v>
      </c>
      <c r="J110" s="74"/>
      <c r="K110" s="55">
        <f t="shared" si="109"/>
        <v>0</v>
      </c>
      <c r="L110" s="57">
        <f t="shared" si="110"/>
        <v>0</v>
      </c>
      <c r="M110" s="57">
        <f t="shared" si="111"/>
        <v>0</v>
      </c>
      <c r="N110" s="74"/>
      <c r="O110" s="55">
        <f t="shared" si="112"/>
        <v>0</v>
      </c>
      <c r="P110" s="57">
        <f t="shared" si="113"/>
        <v>0</v>
      </c>
      <c r="Q110" s="57">
        <f t="shared" si="114"/>
        <v>0</v>
      </c>
      <c r="R110" s="74"/>
      <c r="S110" s="55">
        <f t="shared" si="115"/>
        <v>0</v>
      </c>
      <c r="T110" s="57">
        <f t="shared" si="116"/>
        <v>0</v>
      </c>
      <c r="U110" s="57">
        <f t="shared" si="117"/>
        <v>0</v>
      </c>
      <c r="V110" s="59"/>
      <c r="W110" s="124">
        <f t="shared" si="118"/>
        <v>0</v>
      </c>
      <c r="X110" s="57">
        <f t="shared" si="119"/>
        <v>0</v>
      </c>
      <c r="Y110" s="84">
        <f t="shared" si="120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105"/>
        <v>0</v>
      </c>
      <c r="F111" s="74"/>
      <c r="G111" s="55">
        <f t="shared" si="106"/>
        <v>0</v>
      </c>
      <c r="H111" s="57">
        <f t="shared" si="107"/>
        <v>0</v>
      </c>
      <c r="I111" s="57">
        <f t="shared" si="108"/>
        <v>0</v>
      </c>
      <c r="J111" s="74"/>
      <c r="K111" s="55">
        <f t="shared" si="109"/>
        <v>0</v>
      </c>
      <c r="L111" s="57">
        <f t="shared" si="110"/>
        <v>0</v>
      </c>
      <c r="M111" s="57">
        <f t="shared" si="111"/>
        <v>0</v>
      </c>
      <c r="N111" s="74"/>
      <c r="O111" s="55">
        <f t="shared" si="112"/>
        <v>0</v>
      </c>
      <c r="P111" s="57">
        <f t="shared" si="113"/>
        <v>0</v>
      </c>
      <c r="Q111" s="57">
        <f t="shared" si="114"/>
        <v>0</v>
      </c>
      <c r="R111" s="74"/>
      <c r="S111" s="55">
        <f t="shared" si="115"/>
        <v>0</v>
      </c>
      <c r="T111" s="57">
        <f t="shared" si="116"/>
        <v>0</v>
      </c>
      <c r="U111" s="57">
        <f t="shared" si="117"/>
        <v>0</v>
      </c>
      <c r="V111" s="59"/>
      <c r="W111" s="124">
        <f t="shared" si="118"/>
        <v>0</v>
      </c>
      <c r="X111" s="57">
        <f t="shared" si="119"/>
        <v>0</v>
      </c>
      <c r="Y111" s="84">
        <f t="shared" si="120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0</v>
      </c>
      <c r="D112" s="125">
        <f>SUM(D101:D111)</f>
        <v>0</v>
      </c>
      <c r="E112" s="125">
        <f>SUM(E101:E111)</f>
        <v>0</v>
      </c>
      <c r="F112" s="81"/>
      <c r="G112" s="79">
        <f>SUM(G101:G111)</f>
        <v>0</v>
      </c>
      <c r="H112" s="80">
        <f>SUM(H101:H111)</f>
        <v>0</v>
      </c>
      <c r="I112" s="80">
        <f>SUM(I101:I111)</f>
        <v>0</v>
      </c>
      <c r="J112" s="81"/>
      <c r="K112" s="79">
        <f>SUM(K101:K111)</f>
        <v>0</v>
      </c>
      <c r="L112" s="80">
        <f>SUM(L101:L111)</f>
        <v>0</v>
      </c>
      <c r="M112" s="80">
        <f>SUM(M101:M111)</f>
        <v>0</v>
      </c>
      <c r="N112" s="81"/>
      <c r="O112" s="79">
        <f>SUM(O101:O111)</f>
        <v>0</v>
      </c>
      <c r="P112" s="80">
        <f>SUM(P101:P111)</f>
        <v>0</v>
      </c>
      <c r="Q112" s="80">
        <f>SUM(Q101:Q111)</f>
        <v>0</v>
      </c>
      <c r="R112" s="81"/>
      <c r="S112" s="79">
        <f>SUM(S101:S111)</f>
        <v>0</v>
      </c>
      <c r="T112" s="80">
        <f>SUM(T101:T111)</f>
        <v>0</v>
      </c>
      <c r="U112" s="80">
        <f>SUM(U101:U111)</f>
        <v>0</v>
      </c>
      <c r="V112" s="82"/>
      <c r="W112" s="228">
        <f t="shared" si="118"/>
        <v>0</v>
      </c>
      <c r="X112" s="80">
        <f t="shared" si="119"/>
        <v>0</v>
      </c>
      <c r="Y112" s="80">
        <f t="shared" si="120"/>
        <v>0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>C112+C99</f>
        <v>0</v>
      </c>
      <c r="D113" s="101">
        <f t="shared" ref="D113:Y113" si="121">D112+D99</f>
        <v>0</v>
      </c>
      <c r="E113" s="101">
        <f t="shared" si="121"/>
        <v>0</v>
      </c>
      <c r="F113" s="101">
        <f t="shared" si="121"/>
        <v>0</v>
      </c>
      <c r="G113" s="101">
        <f t="shared" si="121"/>
        <v>0</v>
      </c>
      <c r="H113" s="101">
        <f t="shared" si="121"/>
        <v>0</v>
      </c>
      <c r="I113" s="101">
        <f t="shared" si="121"/>
        <v>0</v>
      </c>
      <c r="J113" s="101">
        <f t="shared" si="121"/>
        <v>0</v>
      </c>
      <c r="K113" s="101">
        <f t="shared" si="121"/>
        <v>0</v>
      </c>
      <c r="L113" s="101">
        <f t="shared" si="121"/>
        <v>0</v>
      </c>
      <c r="M113" s="101">
        <f t="shared" si="121"/>
        <v>0</v>
      </c>
      <c r="N113" s="101">
        <f t="shared" si="121"/>
        <v>0</v>
      </c>
      <c r="O113" s="101">
        <f t="shared" si="121"/>
        <v>0</v>
      </c>
      <c r="P113" s="101">
        <f t="shared" si="121"/>
        <v>0</v>
      </c>
      <c r="Q113" s="101">
        <f t="shared" si="121"/>
        <v>0</v>
      </c>
      <c r="R113" s="101">
        <f t="shared" si="121"/>
        <v>0</v>
      </c>
      <c r="S113" s="101">
        <f t="shared" si="121"/>
        <v>0</v>
      </c>
      <c r="T113" s="101">
        <f t="shared" si="121"/>
        <v>0</v>
      </c>
      <c r="U113" s="101">
        <f t="shared" si="121"/>
        <v>0</v>
      </c>
      <c r="V113" s="101">
        <f t="shared" si="121"/>
        <v>0</v>
      </c>
      <c r="W113" s="101">
        <f t="shared" si="121"/>
        <v>0</v>
      </c>
      <c r="X113" s="101">
        <f t="shared" si="121"/>
        <v>0</v>
      </c>
      <c r="Y113" s="101">
        <f t="shared" si="121"/>
        <v>0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f>C92*0.35</f>
        <v>0</v>
      </c>
      <c r="D115" s="56">
        <v>0</v>
      </c>
      <c r="E115" s="56">
        <f t="shared" ref="E115:E121" si="122">SUM(C115:D115)</f>
        <v>0</v>
      </c>
      <c r="F115" s="58"/>
      <c r="G115" s="55">
        <v>0</v>
      </c>
      <c r="H115" s="57">
        <v>0</v>
      </c>
      <c r="I115" s="57">
        <f t="shared" ref="I115:I121" si="123">SUM(G115:H115)</f>
        <v>0</v>
      </c>
      <c r="J115" s="58"/>
      <c r="K115" s="55">
        <v>0</v>
      </c>
      <c r="L115" s="57">
        <v>0</v>
      </c>
      <c r="M115" s="57">
        <f t="shared" ref="M115:M121" si="124">SUM(K115:L115)</f>
        <v>0</v>
      </c>
      <c r="N115" s="58"/>
      <c r="O115" s="55">
        <v>0</v>
      </c>
      <c r="P115" s="57">
        <v>0</v>
      </c>
      <c r="Q115" s="57">
        <f t="shared" ref="Q115:Q121" si="125">SUM(O115:P115)</f>
        <v>0</v>
      </c>
      <c r="R115" s="58"/>
      <c r="S115" s="55">
        <v>0</v>
      </c>
      <c r="T115" s="57">
        <v>0</v>
      </c>
      <c r="U115" s="57">
        <f t="shared" ref="U115:U121" si="126">SUM(S115:T115)</f>
        <v>0</v>
      </c>
      <c r="V115" s="59"/>
      <c r="W115" s="124">
        <f t="shared" ref="W115:Y121" si="127">C115+G115+K115+O115+S115</f>
        <v>0</v>
      </c>
      <c r="X115" s="57">
        <f t="shared" si="127"/>
        <v>0</v>
      </c>
      <c r="Y115" s="84">
        <f t="shared" si="127"/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s="61" customFormat="1" x14ac:dyDescent="0.25">
      <c r="A116" s="3">
        <v>0.04</v>
      </c>
      <c r="B116" s="52" t="s">
        <v>37</v>
      </c>
      <c r="C116" s="124">
        <f>C96*0.35</f>
        <v>0</v>
      </c>
      <c r="D116" s="56">
        <v>0</v>
      </c>
      <c r="E116" s="56">
        <f t="shared" si="122"/>
        <v>0</v>
      </c>
      <c r="F116" s="58"/>
      <c r="G116" s="55">
        <f t="shared" ref="G116:H118" si="128">C116*1.05</f>
        <v>0</v>
      </c>
      <c r="H116" s="57">
        <f t="shared" si="128"/>
        <v>0</v>
      </c>
      <c r="I116" s="57">
        <f t="shared" si="123"/>
        <v>0</v>
      </c>
      <c r="J116" s="58"/>
      <c r="K116" s="55">
        <f t="shared" ref="K116:L118" si="129">G116*1.05</f>
        <v>0</v>
      </c>
      <c r="L116" s="57">
        <f t="shared" si="129"/>
        <v>0</v>
      </c>
      <c r="M116" s="57">
        <f t="shared" si="124"/>
        <v>0</v>
      </c>
      <c r="N116" s="58"/>
      <c r="O116" s="55">
        <f t="shared" ref="O116:P118" si="130">K116*1.05</f>
        <v>0</v>
      </c>
      <c r="P116" s="57">
        <f t="shared" si="130"/>
        <v>0</v>
      </c>
      <c r="Q116" s="57">
        <f t="shared" si="125"/>
        <v>0</v>
      </c>
      <c r="R116" s="58"/>
      <c r="S116" s="55">
        <f t="shared" ref="S116:T118" si="131">O116*1.05</f>
        <v>0</v>
      </c>
      <c r="T116" s="57">
        <f t="shared" si="131"/>
        <v>0</v>
      </c>
      <c r="U116" s="57">
        <f t="shared" si="126"/>
        <v>0</v>
      </c>
      <c r="V116" s="59"/>
      <c r="W116" s="124">
        <f t="shared" si="127"/>
        <v>0</v>
      </c>
      <c r="X116" s="57">
        <f t="shared" si="127"/>
        <v>0</v>
      </c>
      <c r="Y116" s="84">
        <f t="shared" si="127"/>
        <v>0</v>
      </c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</row>
    <row r="117" spans="1:77" s="61" customFormat="1" x14ac:dyDescent="0.25">
      <c r="A117" s="3">
        <v>0.09</v>
      </c>
      <c r="B117" s="52" t="s">
        <v>38</v>
      </c>
      <c r="C117" s="124">
        <f>C101*0.34</f>
        <v>0</v>
      </c>
      <c r="D117" s="56">
        <v>0</v>
      </c>
      <c r="E117" s="56">
        <f t="shared" si="122"/>
        <v>0</v>
      </c>
      <c r="F117" s="58"/>
      <c r="G117" s="55">
        <f t="shared" si="128"/>
        <v>0</v>
      </c>
      <c r="H117" s="57">
        <f t="shared" si="128"/>
        <v>0</v>
      </c>
      <c r="I117" s="57">
        <f t="shared" si="123"/>
        <v>0</v>
      </c>
      <c r="J117" s="58"/>
      <c r="K117" s="55">
        <f t="shared" si="129"/>
        <v>0</v>
      </c>
      <c r="L117" s="57">
        <f t="shared" si="129"/>
        <v>0</v>
      </c>
      <c r="M117" s="57">
        <f t="shared" si="124"/>
        <v>0</v>
      </c>
      <c r="N117" s="58"/>
      <c r="O117" s="55">
        <f t="shared" si="130"/>
        <v>0</v>
      </c>
      <c r="P117" s="57">
        <f t="shared" si="130"/>
        <v>0</v>
      </c>
      <c r="Q117" s="57">
        <f t="shared" si="125"/>
        <v>0</v>
      </c>
      <c r="R117" s="58"/>
      <c r="S117" s="55">
        <f t="shared" si="131"/>
        <v>0</v>
      </c>
      <c r="T117" s="57">
        <f t="shared" si="131"/>
        <v>0</v>
      </c>
      <c r="U117" s="57">
        <f t="shared" si="126"/>
        <v>0</v>
      </c>
      <c r="V117" s="59"/>
      <c r="W117" s="124">
        <f t="shared" si="127"/>
        <v>0</v>
      </c>
      <c r="X117" s="57">
        <f t="shared" si="127"/>
        <v>0</v>
      </c>
      <c r="Y117" s="84">
        <f t="shared" si="127"/>
        <v>0</v>
      </c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</row>
    <row r="118" spans="1:77" s="61" customFormat="1" x14ac:dyDescent="0.25">
      <c r="A118" s="3">
        <v>0.09</v>
      </c>
      <c r="B118" s="52" t="s">
        <v>39</v>
      </c>
      <c r="C118" s="124">
        <f>C103*0.43</f>
        <v>0</v>
      </c>
      <c r="D118" s="56">
        <f>D108*0.29</f>
        <v>0</v>
      </c>
      <c r="E118" s="56">
        <f t="shared" si="122"/>
        <v>0</v>
      </c>
      <c r="F118" s="58"/>
      <c r="G118" s="55">
        <f t="shared" si="128"/>
        <v>0</v>
      </c>
      <c r="H118" s="57">
        <f t="shared" si="128"/>
        <v>0</v>
      </c>
      <c r="I118" s="57">
        <f t="shared" si="123"/>
        <v>0</v>
      </c>
      <c r="J118" s="58"/>
      <c r="K118" s="55">
        <f t="shared" si="129"/>
        <v>0</v>
      </c>
      <c r="L118" s="57">
        <f t="shared" si="129"/>
        <v>0</v>
      </c>
      <c r="M118" s="57">
        <f t="shared" si="124"/>
        <v>0</v>
      </c>
      <c r="N118" s="58"/>
      <c r="O118" s="55">
        <f t="shared" si="130"/>
        <v>0</v>
      </c>
      <c r="P118" s="57">
        <f t="shared" si="130"/>
        <v>0</v>
      </c>
      <c r="Q118" s="57">
        <f t="shared" si="125"/>
        <v>0</v>
      </c>
      <c r="R118" s="58"/>
      <c r="S118" s="55">
        <f t="shared" si="131"/>
        <v>0</v>
      </c>
      <c r="T118" s="57">
        <f t="shared" si="131"/>
        <v>0</v>
      </c>
      <c r="U118" s="57">
        <f t="shared" si="126"/>
        <v>0</v>
      </c>
      <c r="V118" s="59"/>
      <c r="W118" s="124">
        <f t="shared" si="127"/>
        <v>0</v>
      </c>
      <c r="X118" s="57">
        <f t="shared" si="127"/>
        <v>0</v>
      </c>
      <c r="Y118" s="84">
        <f t="shared" si="127"/>
        <v>0</v>
      </c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</row>
    <row r="119" spans="1:77" s="61" customFormat="1" x14ac:dyDescent="0.25">
      <c r="A119" s="3">
        <v>0.19689999999999999</v>
      </c>
      <c r="B119" s="52" t="s">
        <v>55</v>
      </c>
      <c r="C119" s="124">
        <f>(A119*C99)</f>
        <v>0</v>
      </c>
      <c r="D119" s="56">
        <v>0</v>
      </c>
      <c r="E119" s="56">
        <f t="shared" si="122"/>
        <v>0</v>
      </c>
      <c r="F119" s="58"/>
      <c r="G119" s="55">
        <f>(G99*A119)</f>
        <v>0</v>
      </c>
      <c r="H119" s="57">
        <f>D119*1.05</f>
        <v>0</v>
      </c>
      <c r="I119" s="57">
        <f t="shared" si="123"/>
        <v>0</v>
      </c>
      <c r="J119" s="58"/>
      <c r="K119" s="55">
        <f>(K99*A119)</f>
        <v>0</v>
      </c>
      <c r="L119" s="57">
        <f>H119*1.05</f>
        <v>0</v>
      </c>
      <c r="M119" s="57">
        <f t="shared" si="124"/>
        <v>0</v>
      </c>
      <c r="N119" s="58"/>
      <c r="O119" s="55">
        <f>O99*A119</f>
        <v>0</v>
      </c>
      <c r="P119" s="57">
        <f>L119*1.05</f>
        <v>0</v>
      </c>
      <c r="Q119" s="57">
        <f t="shared" si="125"/>
        <v>0</v>
      </c>
      <c r="R119" s="58"/>
      <c r="S119" s="55">
        <f>S99*A119</f>
        <v>0</v>
      </c>
      <c r="T119" s="57">
        <f>P119*1.05</f>
        <v>0</v>
      </c>
      <c r="U119" s="57">
        <f t="shared" si="126"/>
        <v>0</v>
      </c>
      <c r="V119" s="59"/>
      <c r="W119" s="124">
        <f t="shared" si="127"/>
        <v>0</v>
      </c>
      <c r="X119" s="57">
        <f t="shared" si="127"/>
        <v>0</v>
      </c>
      <c r="Y119" s="84">
        <f t="shared" si="127"/>
        <v>0</v>
      </c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</row>
    <row r="120" spans="1:77" s="61" customFormat="1" x14ac:dyDescent="0.25">
      <c r="A120" s="3">
        <v>0.2079</v>
      </c>
      <c r="B120" s="52" t="s">
        <v>67</v>
      </c>
      <c r="C120" s="124">
        <f>C107*0.06</f>
        <v>0</v>
      </c>
      <c r="D120" s="56">
        <v>0</v>
      </c>
      <c r="E120" s="56">
        <f t="shared" si="122"/>
        <v>0</v>
      </c>
      <c r="F120" s="58"/>
      <c r="G120" s="55">
        <f>C120*1.05</f>
        <v>0</v>
      </c>
      <c r="H120" s="57">
        <f>D120*1.05</f>
        <v>0</v>
      </c>
      <c r="I120" s="57">
        <f t="shared" si="123"/>
        <v>0</v>
      </c>
      <c r="J120" s="58"/>
      <c r="K120" s="55">
        <f>G120*1.05</f>
        <v>0</v>
      </c>
      <c r="L120" s="57">
        <f>H120*1.05</f>
        <v>0</v>
      </c>
      <c r="M120" s="57">
        <f t="shared" si="124"/>
        <v>0</v>
      </c>
      <c r="N120" s="58"/>
      <c r="O120" s="55">
        <f>K120*1.05</f>
        <v>0</v>
      </c>
      <c r="P120" s="57">
        <f>L120*1.05</f>
        <v>0</v>
      </c>
      <c r="Q120" s="57">
        <f t="shared" si="125"/>
        <v>0</v>
      </c>
      <c r="R120" s="58"/>
      <c r="S120" s="55">
        <f>O120*1.05</f>
        <v>0</v>
      </c>
      <c r="T120" s="57">
        <f>P120*1.05</f>
        <v>0</v>
      </c>
      <c r="U120" s="57">
        <f t="shared" si="126"/>
        <v>0</v>
      </c>
      <c r="V120" s="59"/>
      <c r="W120" s="124">
        <f t="shared" si="127"/>
        <v>0</v>
      </c>
      <c r="X120" s="57">
        <f t="shared" si="127"/>
        <v>0</v>
      </c>
      <c r="Y120" s="84">
        <f t="shared" si="127"/>
        <v>0</v>
      </c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</row>
    <row r="121" spans="1:77" s="61" customFormat="1" x14ac:dyDescent="0.25">
      <c r="A121" s="51">
        <v>12500</v>
      </c>
      <c r="B121" s="52" t="s">
        <v>36</v>
      </c>
      <c r="C121" s="124">
        <f>C108*0.06</f>
        <v>0</v>
      </c>
      <c r="D121" s="56">
        <v>0</v>
      </c>
      <c r="E121" s="56">
        <f t="shared" si="122"/>
        <v>0</v>
      </c>
      <c r="F121" s="58"/>
      <c r="G121" s="55">
        <f>C121*1.05</f>
        <v>0</v>
      </c>
      <c r="H121" s="57">
        <f>D121*1.05</f>
        <v>0</v>
      </c>
      <c r="I121" s="57">
        <f t="shared" si="123"/>
        <v>0</v>
      </c>
      <c r="J121" s="58"/>
      <c r="K121" s="55">
        <f>G121*1.05</f>
        <v>0</v>
      </c>
      <c r="L121" s="57">
        <f>H121*1.05</f>
        <v>0</v>
      </c>
      <c r="M121" s="57">
        <f t="shared" si="124"/>
        <v>0</v>
      </c>
      <c r="N121" s="58"/>
      <c r="O121" s="55">
        <f>K121*1.05</f>
        <v>0</v>
      </c>
      <c r="P121" s="57">
        <f>L121*1.05</f>
        <v>0</v>
      </c>
      <c r="Q121" s="57">
        <f t="shared" si="125"/>
        <v>0</v>
      </c>
      <c r="R121" s="58"/>
      <c r="S121" s="55">
        <f>O121*1.05</f>
        <v>0</v>
      </c>
      <c r="T121" s="57">
        <f>P121*1.05</f>
        <v>0</v>
      </c>
      <c r="U121" s="57">
        <f t="shared" si="126"/>
        <v>0</v>
      </c>
      <c r="V121" s="59"/>
      <c r="W121" s="124">
        <f t="shared" si="127"/>
        <v>0</v>
      </c>
      <c r="X121" s="57">
        <f t="shared" si="127"/>
        <v>0</v>
      </c>
      <c r="Y121" s="84">
        <f t="shared" si="127"/>
        <v>0</v>
      </c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</row>
    <row r="122" spans="1:77" s="61" customFormat="1" x14ac:dyDescent="0.25">
      <c r="A122" s="51"/>
      <c r="B122" s="52"/>
      <c r="C122" s="124"/>
      <c r="D122" s="56"/>
      <c r="E122" s="56"/>
      <c r="F122" s="58"/>
      <c r="G122" s="55"/>
      <c r="H122" s="57"/>
      <c r="I122" s="57"/>
      <c r="J122" s="58"/>
      <c r="K122" s="55"/>
      <c r="L122" s="57"/>
      <c r="M122" s="57"/>
      <c r="N122" s="58"/>
      <c r="O122" s="55"/>
      <c r="P122" s="57"/>
      <c r="Q122" s="57"/>
      <c r="R122" s="58"/>
      <c r="S122" s="55"/>
      <c r="T122" s="57"/>
      <c r="U122" s="57"/>
      <c r="V122" s="59"/>
      <c r="W122" s="124"/>
      <c r="X122" s="57"/>
      <c r="Y122" s="8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</row>
    <row r="123" spans="1:77" s="61" customFormat="1" x14ac:dyDescent="0.25">
      <c r="A123" s="51"/>
      <c r="B123" s="52"/>
      <c r="C123" s="124"/>
      <c r="D123" s="56"/>
      <c r="E123" s="56"/>
      <c r="F123" s="58"/>
      <c r="G123" s="55"/>
      <c r="H123" s="57"/>
      <c r="I123" s="57"/>
      <c r="J123" s="58"/>
      <c r="K123" s="55"/>
      <c r="L123" s="57"/>
      <c r="M123" s="57"/>
      <c r="N123" s="58"/>
      <c r="O123" s="55"/>
      <c r="P123" s="57"/>
      <c r="Q123" s="57"/>
      <c r="R123" s="58"/>
      <c r="S123" s="55"/>
      <c r="T123" s="57"/>
      <c r="U123" s="57"/>
      <c r="V123" s="59"/>
      <c r="W123" s="124"/>
      <c r="X123" s="57"/>
      <c r="Y123" s="8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0</v>
      </c>
      <c r="D124" s="125">
        <f>SUM(D115:D123)</f>
        <v>0</v>
      </c>
      <c r="E124" s="125">
        <f>SUM(E115:E123)</f>
        <v>0</v>
      </c>
      <c r="F124" s="81"/>
      <c r="G124" s="79">
        <f>SUM(G115:G123)</f>
        <v>0</v>
      </c>
      <c r="H124" s="80">
        <f>SUM(H115:H123)</f>
        <v>0</v>
      </c>
      <c r="I124" s="80">
        <f>SUM(I115:I123)</f>
        <v>0</v>
      </c>
      <c r="J124" s="81"/>
      <c r="K124" s="79">
        <f>SUM(K115:K123)</f>
        <v>0</v>
      </c>
      <c r="L124" s="80">
        <f>SUM(L115:L123)</f>
        <v>0</v>
      </c>
      <c r="M124" s="80">
        <f>SUM(M115:M123)</f>
        <v>0</v>
      </c>
      <c r="N124" s="81"/>
      <c r="O124" s="79">
        <f>SUM(O115:O123)</f>
        <v>0</v>
      </c>
      <c r="P124" s="80">
        <f>SUM(P115:P123)</f>
        <v>0</v>
      </c>
      <c r="Q124" s="80">
        <f>SUM(Q115:Q123)</f>
        <v>0</v>
      </c>
      <c r="R124" s="81"/>
      <c r="S124" s="79">
        <f>SUM(S115:S123)</f>
        <v>0</v>
      </c>
      <c r="T124" s="80">
        <f>SUM(T115:T123)</f>
        <v>0</v>
      </c>
      <c r="U124" s="80">
        <f>SUM(U115:U123)</f>
        <v>0</v>
      </c>
      <c r="V124" s="82"/>
      <c r="W124" s="228">
        <f>C124+G124+K124+O124+S124</f>
        <v>0</v>
      </c>
      <c r="X124" s="80">
        <f>D124+H124+L124+P124+T124</f>
        <v>0</v>
      </c>
      <c r="Y124" s="84">
        <f>E124+I124+M124+Q124+U124</f>
        <v>0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132">C124+C113</f>
        <v>0</v>
      </c>
      <c r="D125" s="101">
        <f t="shared" si="132"/>
        <v>0</v>
      </c>
      <c r="E125" s="101">
        <f t="shared" si="132"/>
        <v>0</v>
      </c>
      <c r="F125" s="101">
        <f t="shared" si="132"/>
        <v>0</v>
      </c>
      <c r="G125" s="101">
        <f t="shared" si="132"/>
        <v>0</v>
      </c>
      <c r="H125" s="101">
        <f t="shared" si="132"/>
        <v>0</v>
      </c>
      <c r="I125" s="101">
        <f t="shared" si="132"/>
        <v>0</v>
      </c>
      <c r="J125" s="101">
        <f t="shared" si="132"/>
        <v>0</v>
      </c>
      <c r="K125" s="101">
        <f t="shared" si="132"/>
        <v>0</v>
      </c>
      <c r="L125" s="101">
        <f t="shared" si="132"/>
        <v>0</v>
      </c>
      <c r="M125" s="101">
        <f t="shared" si="132"/>
        <v>0</v>
      </c>
      <c r="N125" s="101">
        <f t="shared" si="132"/>
        <v>0</v>
      </c>
      <c r="O125" s="101">
        <f t="shared" si="132"/>
        <v>0</v>
      </c>
      <c r="P125" s="101">
        <f t="shared" si="132"/>
        <v>0</v>
      </c>
      <c r="Q125" s="101">
        <f t="shared" si="132"/>
        <v>0</v>
      </c>
      <c r="R125" s="101">
        <f t="shared" si="132"/>
        <v>0</v>
      </c>
      <c r="S125" s="101">
        <f t="shared" si="132"/>
        <v>0</v>
      </c>
      <c r="T125" s="101">
        <f t="shared" si="132"/>
        <v>0</v>
      </c>
      <c r="U125" s="101">
        <f t="shared" si="132"/>
        <v>0</v>
      </c>
      <c r="V125" s="101">
        <f t="shared" si="132"/>
        <v>0</v>
      </c>
      <c r="W125" s="101">
        <f t="shared" si="132"/>
        <v>0</v>
      </c>
      <c r="X125" s="101">
        <f t="shared" si="132"/>
        <v>0</v>
      </c>
      <c r="Y125" s="101">
        <f t="shared" si="132"/>
        <v>0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x14ac:dyDescent="0.25">
      <c r="A127" s="52"/>
      <c r="B127" s="52"/>
      <c r="C127" s="124">
        <v>0</v>
      </c>
      <c r="D127" s="56">
        <v>0</v>
      </c>
      <c r="E127" s="56">
        <f t="shared" ref="E127:E140" si="133">SUM(C127:D127)</f>
        <v>0</v>
      </c>
      <c r="F127" s="58"/>
      <c r="G127" s="55">
        <v>0</v>
      </c>
      <c r="H127" s="57">
        <v>0</v>
      </c>
      <c r="I127" s="57">
        <f t="shared" ref="I127:I140" si="134">SUM(G127:H127)</f>
        <v>0</v>
      </c>
      <c r="J127" s="58"/>
      <c r="K127" s="55">
        <v>0</v>
      </c>
      <c r="L127" s="57">
        <v>0</v>
      </c>
      <c r="M127" s="57">
        <f t="shared" ref="M127:M140" si="135">SUM(K127:L127)</f>
        <v>0</v>
      </c>
      <c r="N127" s="58"/>
      <c r="O127" s="55">
        <v>0</v>
      </c>
      <c r="P127" s="57">
        <v>0</v>
      </c>
      <c r="Q127" s="57">
        <f t="shared" ref="Q127:Q140" si="136">SUM(O127:P127)</f>
        <v>0</v>
      </c>
      <c r="R127" s="58"/>
      <c r="S127" s="55">
        <v>0</v>
      </c>
      <c r="T127" s="57">
        <v>0</v>
      </c>
      <c r="U127" s="57">
        <f t="shared" ref="U127:U140" si="137">SUM(S127:T127)</f>
        <v>0</v>
      </c>
      <c r="V127" s="59"/>
      <c r="W127" s="124">
        <f t="shared" ref="W127:W141" si="138">C127+G127+K127+O127+S127</f>
        <v>0</v>
      </c>
      <c r="X127" s="57">
        <f t="shared" ref="X127:X141" si="139">D127+H127+L127+P127+T127</f>
        <v>0</v>
      </c>
      <c r="Y127" s="84">
        <f t="shared" ref="Y127:Y141" si="140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x14ac:dyDescent="0.25">
      <c r="A128" s="52"/>
      <c r="B128" s="52"/>
      <c r="C128" s="124">
        <v>0</v>
      </c>
      <c r="D128" s="56">
        <v>0</v>
      </c>
      <c r="E128" s="56">
        <f t="shared" si="133"/>
        <v>0</v>
      </c>
      <c r="F128" s="58"/>
      <c r="G128" s="55">
        <v>0</v>
      </c>
      <c r="H128" s="57">
        <v>0</v>
      </c>
      <c r="I128" s="57">
        <f t="shared" si="134"/>
        <v>0</v>
      </c>
      <c r="J128" s="58"/>
      <c r="K128" s="55">
        <v>0</v>
      </c>
      <c r="L128" s="57">
        <v>0</v>
      </c>
      <c r="M128" s="57">
        <f t="shared" si="135"/>
        <v>0</v>
      </c>
      <c r="N128" s="58"/>
      <c r="O128" s="55">
        <v>0</v>
      </c>
      <c r="P128" s="57">
        <v>0</v>
      </c>
      <c r="Q128" s="57">
        <f t="shared" si="136"/>
        <v>0</v>
      </c>
      <c r="R128" s="58"/>
      <c r="S128" s="55">
        <v>0</v>
      </c>
      <c r="T128" s="57">
        <v>0</v>
      </c>
      <c r="U128" s="57">
        <f t="shared" si="137"/>
        <v>0</v>
      </c>
      <c r="V128" s="59"/>
      <c r="W128" s="124">
        <f t="shared" si="138"/>
        <v>0</v>
      </c>
      <c r="X128" s="57">
        <f t="shared" si="139"/>
        <v>0</v>
      </c>
      <c r="Y128" s="84">
        <f t="shared" si="140"/>
        <v>0</v>
      </c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</row>
    <row r="129" spans="1:77" s="61" customFormat="1" x14ac:dyDescent="0.25">
      <c r="A129" s="52"/>
      <c r="B129" s="52"/>
      <c r="C129" s="124">
        <v>0</v>
      </c>
      <c r="D129" s="56">
        <v>0</v>
      </c>
      <c r="E129" s="56">
        <f t="shared" si="133"/>
        <v>0</v>
      </c>
      <c r="F129" s="58"/>
      <c r="G129" s="55">
        <v>0</v>
      </c>
      <c r="H129" s="57">
        <v>0</v>
      </c>
      <c r="I129" s="57">
        <f t="shared" si="134"/>
        <v>0</v>
      </c>
      <c r="J129" s="58"/>
      <c r="K129" s="55">
        <v>0</v>
      </c>
      <c r="L129" s="57">
        <v>0</v>
      </c>
      <c r="M129" s="57">
        <f t="shared" si="135"/>
        <v>0</v>
      </c>
      <c r="N129" s="58"/>
      <c r="O129" s="55">
        <v>0</v>
      </c>
      <c r="P129" s="57">
        <v>0</v>
      </c>
      <c r="Q129" s="57">
        <f t="shared" si="136"/>
        <v>0</v>
      </c>
      <c r="R129" s="58"/>
      <c r="S129" s="55">
        <v>0</v>
      </c>
      <c r="T129" s="57">
        <v>0</v>
      </c>
      <c r="U129" s="57">
        <f t="shared" si="137"/>
        <v>0</v>
      </c>
      <c r="V129" s="59"/>
      <c r="W129" s="124">
        <f t="shared" si="138"/>
        <v>0</v>
      </c>
      <c r="X129" s="57">
        <f t="shared" si="139"/>
        <v>0</v>
      </c>
      <c r="Y129" s="84">
        <f t="shared" si="140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133"/>
        <v>0</v>
      </c>
      <c r="F130" s="58"/>
      <c r="G130" s="55">
        <v>0</v>
      </c>
      <c r="H130" s="57">
        <v>0</v>
      </c>
      <c r="I130" s="57">
        <f t="shared" si="134"/>
        <v>0</v>
      </c>
      <c r="J130" s="58"/>
      <c r="K130" s="55">
        <v>0</v>
      </c>
      <c r="L130" s="57">
        <v>0</v>
      </c>
      <c r="M130" s="57">
        <f t="shared" si="135"/>
        <v>0</v>
      </c>
      <c r="N130" s="58"/>
      <c r="O130" s="55">
        <v>0</v>
      </c>
      <c r="P130" s="57">
        <v>0</v>
      </c>
      <c r="Q130" s="57">
        <f t="shared" si="136"/>
        <v>0</v>
      </c>
      <c r="R130" s="58"/>
      <c r="S130" s="55">
        <v>0</v>
      </c>
      <c r="T130" s="57">
        <v>0</v>
      </c>
      <c r="U130" s="57">
        <f t="shared" si="137"/>
        <v>0</v>
      </c>
      <c r="V130" s="59"/>
      <c r="W130" s="124">
        <f t="shared" si="138"/>
        <v>0</v>
      </c>
      <c r="X130" s="57">
        <f t="shared" si="139"/>
        <v>0</v>
      </c>
      <c r="Y130" s="84">
        <f t="shared" si="140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133"/>
        <v>0</v>
      </c>
      <c r="F131" s="58"/>
      <c r="G131" s="55">
        <v>0</v>
      </c>
      <c r="H131" s="57">
        <v>0</v>
      </c>
      <c r="I131" s="57">
        <f t="shared" si="134"/>
        <v>0</v>
      </c>
      <c r="J131" s="58"/>
      <c r="K131" s="55">
        <v>0</v>
      </c>
      <c r="L131" s="57">
        <v>0</v>
      </c>
      <c r="M131" s="57">
        <f t="shared" si="135"/>
        <v>0</v>
      </c>
      <c r="N131" s="58"/>
      <c r="O131" s="55">
        <v>0</v>
      </c>
      <c r="P131" s="57">
        <v>0</v>
      </c>
      <c r="Q131" s="57">
        <f t="shared" si="136"/>
        <v>0</v>
      </c>
      <c r="R131" s="58"/>
      <c r="S131" s="55">
        <v>0</v>
      </c>
      <c r="T131" s="57">
        <v>0</v>
      </c>
      <c r="U131" s="57">
        <f t="shared" si="137"/>
        <v>0</v>
      </c>
      <c r="V131" s="59"/>
      <c r="W131" s="124">
        <f t="shared" si="138"/>
        <v>0</v>
      </c>
      <c r="X131" s="57">
        <f t="shared" si="139"/>
        <v>0</v>
      </c>
      <c r="Y131" s="84">
        <f t="shared" si="140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133"/>
        <v>0</v>
      </c>
      <c r="F132" s="58"/>
      <c r="G132" s="55">
        <v>0</v>
      </c>
      <c r="H132" s="57">
        <v>0</v>
      </c>
      <c r="I132" s="57">
        <f t="shared" si="134"/>
        <v>0</v>
      </c>
      <c r="J132" s="58"/>
      <c r="K132" s="55">
        <v>0</v>
      </c>
      <c r="L132" s="57">
        <v>0</v>
      </c>
      <c r="M132" s="57">
        <f t="shared" si="135"/>
        <v>0</v>
      </c>
      <c r="N132" s="58"/>
      <c r="O132" s="55">
        <v>0</v>
      </c>
      <c r="P132" s="57">
        <v>0</v>
      </c>
      <c r="Q132" s="57">
        <f t="shared" si="136"/>
        <v>0</v>
      </c>
      <c r="R132" s="58"/>
      <c r="S132" s="55">
        <v>0</v>
      </c>
      <c r="T132" s="57">
        <v>0</v>
      </c>
      <c r="U132" s="57">
        <f t="shared" si="137"/>
        <v>0</v>
      </c>
      <c r="V132" s="59"/>
      <c r="W132" s="124">
        <f t="shared" si="138"/>
        <v>0</v>
      </c>
      <c r="X132" s="57">
        <f t="shared" si="139"/>
        <v>0</v>
      </c>
      <c r="Y132" s="84">
        <f t="shared" si="140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133"/>
        <v>0</v>
      </c>
      <c r="F133" s="58"/>
      <c r="G133" s="55">
        <v>0</v>
      </c>
      <c r="H133" s="57">
        <v>0</v>
      </c>
      <c r="I133" s="57">
        <f t="shared" si="134"/>
        <v>0</v>
      </c>
      <c r="J133" s="58"/>
      <c r="K133" s="55">
        <v>0</v>
      </c>
      <c r="L133" s="57">
        <v>0</v>
      </c>
      <c r="M133" s="57">
        <f t="shared" si="135"/>
        <v>0</v>
      </c>
      <c r="N133" s="58"/>
      <c r="O133" s="55">
        <v>0</v>
      </c>
      <c r="P133" s="57">
        <v>0</v>
      </c>
      <c r="Q133" s="57">
        <f t="shared" si="136"/>
        <v>0</v>
      </c>
      <c r="R133" s="58"/>
      <c r="S133" s="55">
        <v>0</v>
      </c>
      <c r="T133" s="57">
        <v>0</v>
      </c>
      <c r="U133" s="57">
        <f t="shared" si="137"/>
        <v>0</v>
      </c>
      <c r="V133" s="59"/>
      <c r="W133" s="124">
        <f t="shared" si="138"/>
        <v>0</v>
      </c>
      <c r="X133" s="57">
        <f t="shared" si="139"/>
        <v>0</v>
      </c>
      <c r="Y133" s="84">
        <f t="shared" si="140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133"/>
        <v>0</v>
      </c>
      <c r="F134" s="58"/>
      <c r="G134" s="55">
        <v>0</v>
      </c>
      <c r="H134" s="57">
        <v>0</v>
      </c>
      <c r="I134" s="57">
        <f t="shared" si="134"/>
        <v>0</v>
      </c>
      <c r="J134" s="58"/>
      <c r="K134" s="55">
        <v>0</v>
      </c>
      <c r="L134" s="57">
        <v>0</v>
      </c>
      <c r="M134" s="57">
        <f t="shared" si="135"/>
        <v>0</v>
      </c>
      <c r="N134" s="58"/>
      <c r="O134" s="55">
        <v>0</v>
      </c>
      <c r="P134" s="57">
        <v>0</v>
      </c>
      <c r="Q134" s="57">
        <f t="shared" si="136"/>
        <v>0</v>
      </c>
      <c r="R134" s="58"/>
      <c r="S134" s="55">
        <v>0</v>
      </c>
      <c r="T134" s="57">
        <v>0</v>
      </c>
      <c r="U134" s="57">
        <f t="shared" si="137"/>
        <v>0</v>
      </c>
      <c r="V134" s="59"/>
      <c r="W134" s="124">
        <f t="shared" si="138"/>
        <v>0</v>
      </c>
      <c r="X134" s="57">
        <f t="shared" si="139"/>
        <v>0</v>
      </c>
      <c r="Y134" s="84">
        <f t="shared" si="140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133"/>
        <v>0</v>
      </c>
      <c r="F135" s="58"/>
      <c r="G135" s="55">
        <v>0</v>
      </c>
      <c r="H135" s="57">
        <v>0</v>
      </c>
      <c r="I135" s="57">
        <f t="shared" si="134"/>
        <v>0</v>
      </c>
      <c r="J135" s="58"/>
      <c r="K135" s="55">
        <v>0</v>
      </c>
      <c r="L135" s="57">
        <v>0</v>
      </c>
      <c r="M135" s="57">
        <f t="shared" si="135"/>
        <v>0</v>
      </c>
      <c r="N135" s="58"/>
      <c r="O135" s="55">
        <v>0</v>
      </c>
      <c r="P135" s="57">
        <v>0</v>
      </c>
      <c r="Q135" s="57">
        <f t="shared" si="136"/>
        <v>0</v>
      </c>
      <c r="R135" s="58"/>
      <c r="S135" s="55">
        <v>0</v>
      </c>
      <c r="T135" s="57">
        <v>0</v>
      </c>
      <c r="U135" s="57">
        <f t="shared" si="137"/>
        <v>0</v>
      </c>
      <c r="V135" s="59"/>
      <c r="W135" s="124">
        <f t="shared" si="138"/>
        <v>0</v>
      </c>
      <c r="X135" s="57">
        <f t="shared" si="139"/>
        <v>0</v>
      </c>
      <c r="Y135" s="84">
        <f t="shared" si="140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133"/>
        <v>0</v>
      </c>
      <c r="F136" s="58"/>
      <c r="G136" s="55">
        <v>0</v>
      </c>
      <c r="H136" s="57">
        <v>0</v>
      </c>
      <c r="I136" s="57">
        <f t="shared" si="134"/>
        <v>0</v>
      </c>
      <c r="J136" s="58"/>
      <c r="K136" s="55">
        <v>0</v>
      </c>
      <c r="L136" s="57">
        <v>0</v>
      </c>
      <c r="M136" s="57">
        <f t="shared" si="135"/>
        <v>0</v>
      </c>
      <c r="N136" s="58"/>
      <c r="O136" s="55">
        <v>0</v>
      </c>
      <c r="P136" s="57">
        <v>0</v>
      </c>
      <c r="Q136" s="57">
        <f t="shared" si="136"/>
        <v>0</v>
      </c>
      <c r="R136" s="58"/>
      <c r="S136" s="55">
        <v>0</v>
      </c>
      <c r="T136" s="57">
        <v>0</v>
      </c>
      <c r="U136" s="57">
        <f t="shared" si="137"/>
        <v>0</v>
      </c>
      <c r="V136" s="59"/>
      <c r="W136" s="124">
        <f t="shared" si="138"/>
        <v>0</v>
      </c>
      <c r="X136" s="57">
        <f t="shared" si="139"/>
        <v>0</v>
      </c>
      <c r="Y136" s="84">
        <f t="shared" si="140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133"/>
        <v>0</v>
      </c>
      <c r="F137" s="58"/>
      <c r="G137" s="55">
        <v>0</v>
      </c>
      <c r="H137" s="57">
        <v>0</v>
      </c>
      <c r="I137" s="57">
        <f t="shared" si="134"/>
        <v>0</v>
      </c>
      <c r="J137" s="58"/>
      <c r="K137" s="55">
        <v>0</v>
      </c>
      <c r="L137" s="57">
        <v>0</v>
      </c>
      <c r="M137" s="57">
        <f t="shared" si="135"/>
        <v>0</v>
      </c>
      <c r="N137" s="58"/>
      <c r="O137" s="55">
        <v>0</v>
      </c>
      <c r="P137" s="57">
        <v>0</v>
      </c>
      <c r="Q137" s="57">
        <f t="shared" si="136"/>
        <v>0</v>
      </c>
      <c r="R137" s="58"/>
      <c r="S137" s="55">
        <v>0</v>
      </c>
      <c r="T137" s="57">
        <v>0</v>
      </c>
      <c r="U137" s="57">
        <f t="shared" si="137"/>
        <v>0</v>
      </c>
      <c r="V137" s="59"/>
      <c r="W137" s="124">
        <f t="shared" si="138"/>
        <v>0</v>
      </c>
      <c r="X137" s="57">
        <f t="shared" si="139"/>
        <v>0</v>
      </c>
      <c r="Y137" s="84">
        <f t="shared" si="140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133"/>
        <v>0</v>
      </c>
      <c r="F138" s="58"/>
      <c r="G138" s="55">
        <v>0</v>
      </c>
      <c r="H138" s="57">
        <v>0</v>
      </c>
      <c r="I138" s="57">
        <f t="shared" si="134"/>
        <v>0</v>
      </c>
      <c r="J138" s="58"/>
      <c r="K138" s="55">
        <v>0</v>
      </c>
      <c r="L138" s="57">
        <v>0</v>
      </c>
      <c r="M138" s="57">
        <f t="shared" si="135"/>
        <v>0</v>
      </c>
      <c r="N138" s="58"/>
      <c r="O138" s="55">
        <v>0</v>
      </c>
      <c r="P138" s="57">
        <v>0</v>
      </c>
      <c r="Q138" s="57">
        <f t="shared" si="136"/>
        <v>0</v>
      </c>
      <c r="R138" s="58"/>
      <c r="S138" s="55">
        <v>0</v>
      </c>
      <c r="T138" s="57">
        <v>0</v>
      </c>
      <c r="U138" s="57">
        <f t="shared" si="137"/>
        <v>0</v>
      </c>
      <c r="V138" s="59"/>
      <c r="W138" s="124">
        <f t="shared" si="138"/>
        <v>0</v>
      </c>
      <c r="X138" s="57">
        <f t="shared" si="139"/>
        <v>0</v>
      </c>
      <c r="Y138" s="84">
        <f t="shared" si="140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133"/>
        <v>0</v>
      </c>
      <c r="F139" s="58"/>
      <c r="G139" s="55">
        <v>0</v>
      </c>
      <c r="H139" s="57">
        <v>0</v>
      </c>
      <c r="I139" s="57">
        <f t="shared" si="134"/>
        <v>0</v>
      </c>
      <c r="J139" s="58"/>
      <c r="K139" s="55">
        <v>0</v>
      </c>
      <c r="L139" s="57">
        <v>0</v>
      </c>
      <c r="M139" s="57">
        <f t="shared" si="135"/>
        <v>0</v>
      </c>
      <c r="N139" s="58"/>
      <c r="O139" s="55">
        <v>0</v>
      </c>
      <c r="P139" s="57">
        <v>0</v>
      </c>
      <c r="Q139" s="57">
        <f t="shared" si="136"/>
        <v>0</v>
      </c>
      <c r="R139" s="58"/>
      <c r="S139" s="55">
        <v>0</v>
      </c>
      <c r="T139" s="57">
        <v>0</v>
      </c>
      <c r="U139" s="57">
        <f t="shared" si="137"/>
        <v>0</v>
      </c>
      <c r="V139" s="59"/>
      <c r="W139" s="124">
        <f t="shared" si="138"/>
        <v>0</v>
      </c>
      <c r="X139" s="57">
        <f t="shared" si="139"/>
        <v>0</v>
      </c>
      <c r="Y139" s="84">
        <f t="shared" si="140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133"/>
        <v>0</v>
      </c>
      <c r="F140" s="58"/>
      <c r="G140" s="55">
        <v>0</v>
      </c>
      <c r="H140" s="57">
        <v>0</v>
      </c>
      <c r="I140" s="57">
        <f t="shared" si="134"/>
        <v>0</v>
      </c>
      <c r="J140" s="58"/>
      <c r="K140" s="55">
        <v>0</v>
      </c>
      <c r="L140" s="57">
        <v>0</v>
      </c>
      <c r="M140" s="57">
        <f t="shared" si="135"/>
        <v>0</v>
      </c>
      <c r="N140" s="58"/>
      <c r="O140" s="55">
        <v>0</v>
      </c>
      <c r="P140" s="57">
        <v>0</v>
      </c>
      <c r="Q140" s="57">
        <f t="shared" si="136"/>
        <v>0</v>
      </c>
      <c r="R140" s="58"/>
      <c r="S140" s="55">
        <v>0</v>
      </c>
      <c r="T140" s="57">
        <v>0</v>
      </c>
      <c r="U140" s="57">
        <f t="shared" si="137"/>
        <v>0</v>
      </c>
      <c r="V140" s="59"/>
      <c r="W140" s="124">
        <f t="shared" si="138"/>
        <v>0</v>
      </c>
      <c r="X140" s="57">
        <f t="shared" si="139"/>
        <v>0</v>
      </c>
      <c r="Y140" s="84">
        <f t="shared" si="140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138"/>
        <v>0</v>
      </c>
      <c r="X141" s="80">
        <f t="shared" si="139"/>
        <v>0</v>
      </c>
      <c r="Y141" s="80">
        <f t="shared" si="140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s="61" customFormat="1" x14ac:dyDescent="0.25">
      <c r="A143" s="52"/>
      <c r="B143" s="52"/>
      <c r="C143" s="124">
        <v>0</v>
      </c>
      <c r="D143" s="56">
        <v>0</v>
      </c>
      <c r="E143" s="56">
        <f t="shared" ref="E143:E148" si="141">SUM(C143:D143)</f>
        <v>0</v>
      </c>
      <c r="F143" s="58"/>
      <c r="G143" s="55">
        <v>0</v>
      </c>
      <c r="H143" s="57">
        <v>0</v>
      </c>
      <c r="I143" s="57">
        <f t="shared" ref="I143:I148" si="142">SUM(G143:H143)</f>
        <v>0</v>
      </c>
      <c r="J143" s="58"/>
      <c r="K143" s="55">
        <v>0</v>
      </c>
      <c r="L143" s="57">
        <v>0</v>
      </c>
      <c r="M143" s="57">
        <f t="shared" ref="M143:M148" si="143">SUM(K143:L143)</f>
        <v>0</v>
      </c>
      <c r="N143" s="58"/>
      <c r="O143" s="55">
        <v>0</v>
      </c>
      <c r="P143" s="57">
        <v>0</v>
      </c>
      <c r="Q143" s="57">
        <f t="shared" ref="Q143:Q148" si="144">SUM(O143:P143)</f>
        <v>0</v>
      </c>
      <c r="R143" s="58"/>
      <c r="S143" s="55">
        <v>0</v>
      </c>
      <c r="T143" s="57">
        <v>0</v>
      </c>
      <c r="U143" s="57">
        <f t="shared" ref="U143:U148" si="145">SUM(S143:T143)</f>
        <v>0</v>
      </c>
      <c r="V143" s="59"/>
      <c r="W143" s="124">
        <f t="shared" ref="W143:Y149" si="146">C143+G143+K143+O143+S143</f>
        <v>0</v>
      </c>
      <c r="X143" s="57">
        <f t="shared" si="146"/>
        <v>0</v>
      </c>
      <c r="Y143" s="84">
        <f t="shared" si="146"/>
        <v>0</v>
      </c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</row>
    <row r="144" spans="1:77" s="61" customFormat="1" x14ac:dyDescent="0.25">
      <c r="A144" s="52"/>
      <c r="B144" s="54" t="s">
        <v>206</v>
      </c>
      <c r="C144" s="55">
        <f>2000</f>
        <v>2000</v>
      </c>
      <c r="D144" s="57">
        <v>0</v>
      </c>
      <c r="E144" s="57">
        <f t="shared" ref="E144" si="147">SUM(C144:D144)</f>
        <v>2000</v>
      </c>
      <c r="F144" s="58"/>
      <c r="G144" s="55">
        <f>C144</f>
        <v>2000</v>
      </c>
      <c r="H144" s="57">
        <v>0</v>
      </c>
      <c r="I144" s="57">
        <f t="shared" si="142"/>
        <v>2000</v>
      </c>
      <c r="J144" s="58"/>
      <c r="K144" s="55">
        <f>G144</f>
        <v>2000</v>
      </c>
      <c r="L144" s="57">
        <v>0</v>
      </c>
      <c r="M144" s="57">
        <f t="shared" si="143"/>
        <v>2000</v>
      </c>
      <c r="N144" s="58"/>
      <c r="O144" s="55">
        <f>K144</f>
        <v>2000</v>
      </c>
      <c r="P144" s="57">
        <v>0</v>
      </c>
      <c r="Q144" s="57">
        <f t="shared" si="144"/>
        <v>2000</v>
      </c>
      <c r="R144" s="58"/>
      <c r="S144" s="55">
        <f>O144</f>
        <v>2000</v>
      </c>
      <c r="T144" s="57">
        <v>0</v>
      </c>
      <c r="U144" s="57">
        <f t="shared" si="145"/>
        <v>2000</v>
      </c>
      <c r="V144" s="59"/>
      <c r="W144" s="124">
        <f t="shared" si="146"/>
        <v>10000</v>
      </c>
      <c r="X144" s="196">
        <f t="shared" si="146"/>
        <v>0</v>
      </c>
      <c r="Y144" s="194">
        <f t="shared" si="146"/>
        <v>10000</v>
      </c>
    </row>
    <row r="145" spans="1:77" s="61" customFormat="1" x14ac:dyDescent="0.25">
      <c r="A145" s="52"/>
      <c r="B145" s="52"/>
      <c r="C145" s="124">
        <v>0</v>
      </c>
      <c r="D145" s="56">
        <v>0</v>
      </c>
      <c r="E145" s="56">
        <f t="shared" si="141"/>
        <v>0</v>
      </c>
      <c r="F145" s="58"/>
      <c r="G145" s="55">
        <v>0</v>
      </c>
      <c r="H145" s="57">
        <v>0</v>
      </c>
      <c r="I145" s="57">
        <f t="shared" si="142"/>
        <v>0</v>
      </c>
      <c r="J145" s="58"/>
      <c r="K145" s="55">
        <v>0</v>
      </c>
      <c r="L145" s="57">
        <v>0</v>
      </c>
      <c r="M145" s="57">
        <f t="shared" si="143"/>
        <v>0</v>
      </c>
      <c r="N145" s="58"/>
      <c r="O145" s="55">
        <v>0</v>
      </c>
      <c r="P145" s="57">
        <v>0</v>
      </c>
      <c r="Q145" s="57">
        <f t="shared" si="144"/>
        <v>0</v>
      </c>
      <c r="R145" s="58"/>
      <c r="S145" s="55">
        <v>0</v>
      </c>
      <c r="T145" s="57">
        <v>0</v>
      </c>
      <c r="U145" s="57">
        <f t="shared" si="145"/>
        <v>0</v>
      </c>
      <c r="V145" s="59"/>
      <c r="W145" s="124">
        <f t="shared" si="146"/>
        <v>0</v>
      </c>
      <c r="X145" s="57">
        <f t="shared" si="146"/>
        <v>0</v>
      </c>
      <c r="Y145" s="84">
        <f t="shared" si="146"/>
        <v>0</v>
      </c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141"/>
        <v>0</v>
      </c>
      <c r="F146" s="58"/>
      <c r="G146" s="55">
        <v>0</v>
      </c>
      <c r="H146" s="57">
        <v>0</v>
      </c>
      <c r="I146" s="57">
        <f t="shared" si="142"/>
        <v>0</v>
      </c>
      <c r="J146" s="58"/>
      <c r="K146" s="55">
        <v>0</v>
      </c>
      <c r="L146" s="57">
        <v>0</v>
      </c>
      <c r="M146" s="57">
        <f t="shared" si="143"/>
        <v>0</v>
      </c>
      <c r="N146" s="58"/>
      <c r="O146" s="55">
        <v>0</v>
      </c>
      <c r="P146" s="57">
        <v>0</v>
      </c>
      <c r="Q146" s="57">
        <f t="shared" si="144"/>
        <v>0</v>
      </c>
      <c r="R146" s="58"/>
      <c r="S146" s="55">
        <v>0</v>
      </c>
      <c r="T146" s="57">
        <v>0</v>
      </c>
      <c r="U146" s="57">
        <f t="shared" si="145"/>
        <v>0</v>
      </c>
      <c r="V146" s="59"/>
      <c r="W146" s="124">
        <f t="shared" si="146"/>
        <v>0</v>
      </c>
      <c r="X146" s="57">
        <f t="shared" si="146"/>
        <v>0</v>
      </c>
      <c r="Y146" s="84">
        <f t="shared" si="146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141"/>
        <v>0</v>
      </c>
      <c r="F147" s="58"/>
      <c r="G147" s="55">
        <v>0</v>
      </c>
      <c r="H147" s="57">
        <v>0</v>
      </c>
      <c r="I147" s="57">
        <f t="shared" si="142"/>
        <v>0</v>
      </c>
      <c r="J147" s="58"/>
      <c r="K147" s="55">
        <v>0</v>
      </c>
      <c r="L147" s="57">
        <v>0</v>
      </c>
      <c r="M147" s="57">
        <f t="shared" si="143"/>
        <v>0</v>
      </c>
      <c r="N147" s="58"/>
      <c r="O147" s="55">
        <v>0</v>
      </c>
      <c r="P147" s="57">
        <v>0</v>
      </c>
      <c r="Q147" s="57">
        <f t="shared" si="144"/>
        <v>0</v>
      </c>
      <c r="R147" s="58"/>
      <c r="S147" s="55">
        <v>0</v>
      </c>
      <c r="T147" s="57">
        <v>0</v>
      </c>
      <c r="U147" s="57">
        <f t="shared" si="145"/>
        <v>0</v>
      </c>
      <c r="V147" s="59"/>
      <c r="W147" s="124">
        <f t="shared" si="146"/>
        <v>0</v>
      </c>
      <c r="X147" s="57">
        <f t="shared" si="146"/>
        <v>0</v>
      </c>
      <c r="Y147" s="84">
        <f t="shared" si="146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141"/>
        <v>0</v>
      </c>
      <c r="F148" s="58"/>
      <c r="G148" s="55">
        <v>0</v>
      </c>
      <c r="H148" s="57">
        <v>0</v>
      </c>
      <c r="I148" s="57">
        <f t="shared" si="142"/>
        <v>0</v>
      </c>
      <c r="J148" s="58"/>
      <c r="K148" s="55">
        <v>0</v>
      </c>
      <c r="L148" s="57">
        <v>0</v>
      </c>
      <c r="M148" s="57">
        <f t="shared" si="143"/>
        <v>0</v>
      </c>
      <c r="N148" s="58"/>
      <c r="O148" s="55">
        <v>0</v>
      </c>
      <c r="P148" s="57">
        <v>0</v>
      </c>
      <c r="Q148" s="57">
        <f t="shared" si="144"/>
        <v>0</v>
      </c>
      <c r="R148" s="58"/>
      <c r="S148" s="55">
        <v>0</v>
      </c>
      <c r="T148" s="57">
        <v>0</v>
      </c>
      <c r="U148" s="57">
        <f t="shared" si="145"/>
        <v>0</v>
      </c>
      <c r="V148" s="59"/>
      <c r="W148" s="124">
        <f t="shared" si="146"/>
        <v>0</v>
      </c>
      <c r="X148" s="57">
        <f t="shared" si="146"/>
        <v>0</v>
      </c>
      <c r="Y148" s="84">
        <f t="shared" si="146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2000</v>
      </c>
      <c r="D149" s="125">
        <f>SUM(D143:D148)</f>
        <v>0</v>
      </c>
      <c r="E149" s="125">
        <f>SUM(E143:E148)</f>
        <v>2000</v>
      </c>
      <c r="F149" s="81"/>
      <c r="G149" s="79">
        <f>SUM(G143:G148)</f>
        <v>2000</v>
      </c>
      <c r="H149" s="80">
        <f>SUM(H143:H148)</f>
        <v>0</v>
      </c>
      <c r="I149" s="80">
        <f>SUM(I143:I148)</f>
        <v>2000</v>
      </c>
      <c r="J149" s="81"/>
      <c r="K149" s="79">
        <f>SUM(K143:K148)</f>
        <v>2000</v>
      </c>
      <c r="L149" s="80">
        <f>SUM(L143:L148)</f>
        <v>0</v>
      </c>
      <c r="M149" s="80">
        <f>SUM(M143:M148)</f>
        <v>2000</v>
      </c>
      <c r="N149" s="81"/>
      <c r="O149" s="79">
        <f>SUM(O143:O148)</f>
        <v>2000</v>
      </c>
      <c r="P149" s="80">
        <f>SUM(P143:P148)</f>
        <v>0</v>
      </c>
      <c r="Q149" s="80">
        <f>SUM(Q143:Q148)</f>
        <v>2000</v>
      </c>
      <c r="R149" s="81"/>
      <c r="S149" s="79">
        <f>SUM(S143:S148)</f>
        <v>2000</v>
      </c>
      <c r="T149" s="80">
        <f>SUM(T143:T148)</f>
        <v>0</v>
      </c>
      <c r="U149" s="80">
        <f>SUM(U143:U148)</f>
        <v>2000</v>
      </c>
      <c r="V149" s="82"/>
      <c r="W149" s="228">
        <f t="shared" si="146"/>
        <v>10000</v>
      </c>
      <c r="X149" s="80">
        <f t="shared" si="146"/>
        <v>0</v>
      </c>
      <c r="Y149" s="80">
        <f t="shared" si="146"/>
        <v>10000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/>
      <c r="B151" s="54"/>
      <c r="C151" s="124">
        <v>0</v>
      </c>
      <c r="D151" s="56">
        <v>0</v>
      </c>
      <c r="E151" s="56">
        <f>SUM(C151:D151)</f>
        <v>0</v>
      </c>
      <c r="F151" s="58"/>
      <c r="G151" s="55">
        <v>0</v>
      </c>
      <c r="H151" s="56">
        <v>0</v>
      </c>
      <c r="I151" s="56">
        <f>SUM(G151:H151)</f>
        <v>0</v>
      </c>
      <c r="J151" s="58"/>
      <c r="K151" s="55">
        <v>0</v>
      </c>
      <c r="L151" s="56">
        <v>0</v>
      </c>
      <c r="M151" s="56">
        <f>SUM(K151:L151)</f>
        <v>0</v>
      </c>
      <c r="N151" s="58"/>
      <c r="O151" s="55">
        <v>0</v>
      </c>
      <c r="P151" s="56">
        <v>0</v>
      </c>
      <c r="Q151" s="56">
        <f>SUM(O151:P151)</f>
        <v>0</v>
      </c>
      <c r="R151" s="58"/>
      <c r="S151" s="55">
        <v>0</v>
      </c>
      <c r="T151" s="56">
        <v>0</v>
      </c>
      <c r="U151" s="56">
        <f>SUM(S151:T151)</f>
        <v>0</v>
      </c>
      <c r="V151" s="59"/>
      <c r="W151" s="124">
        <f t="shared" ref="W151:Y155" si="148">C151+G151+K151+O151+S151</f>
        <v>0</v>
      </c>
      <c r="X151" s="57">
        <f t="shared" si="148"/>
        <v>0</v>
      </c>
      <c r="Y151" s="84">
        <f t="shared" si="148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77" customFormat="1" x14ac:dyDescent="0.25">
      <c r="A152" s="54"/>
      <c r="B152" s="54"/>
      <c r="C152" s="124">
        <v>0</v>
      </c>
      <c r="D152" s="56">
        <v>0</v>
      </c>
      <c r="E152" s="56">
        <f>SUM(C152:D152)</f>
        <v>0</v>
      </c>
      <c r="F152" s="58"/>
      <c r="G152" s="55">
        <v>0</v>
      </c>
      <c r="H152" s="56">
        <v>0</v>
      </c>
      <c r="I152" s="56">
        <f>SUM(G152:H152)</f>
        <v>0</v>
      </c>
      <c r="J152" s="58"/>
      <c r="K152" s="55">
        <v>0</v>
      </c>
      <c r="L152" s="56">
        <v>0</v>
      </c>
      <c r="M152" s="56">
        <f>SUM(K152:L152)</f>
        <v>0</v>
      </c>
      <c r="N152" s="58"/>
      <c r="O152" s="55">
        <v>0</v>
      </c>
      <c r="P152" s="56">
        <v>0</v>
      </c>
      <c r="Q152" s="56">
        <f>SUM(O152:P152)</f>
        <v>0</v>
      </c>
      <c r="R152" s="58"/>
      <c r="S152" s="55">
        <v>0</v>
      </c>
      <c r="T152" s="56">
        <v>0</v>
      </c>
      <c r="U152" s="56">
        <f>SUM(S152:T152)</f>
        <v>0</v>
      </c>
      <c r="V152" s="59"/>
      <c r="W152" s="124">
        <f t="shared" si="148"/>
        <v>0</v>
      </c>
      <c r="X152" s="57">
        <f t="shared" si="148"/>
        <v>0</v>
      </c>
      <c r="Y152" s="84">
        <f t="shared" si="148"/>
        <v>0</v>
      </c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</row>
    <row r="153" spans="1:77" s="77" customFormat="1" x14ac:dyDescent="0.25">
      <c r="A153" s="54"/>
      <c r="B153" s="54"/>
      <c r="C153" s="124">
        <v>0</v>
      </c>
      <c r="D153" s="56">
        <v>0</v>
      </c>
      <c r="E153" s="56">
        <f>SUM(C153:D153)</f>
        <v>0</v>
      </c>
      <c r="F153" s="58"/>
      <c r="G153" s="55">
        <v>0</v>
      </c>
      <c r="H153" s="56">
        <v>0</v>
      </c>
      <c r="I153" s="56">
        <f>SUM(G153:H153)</f>
        <v>0</v>
      </c>
      <c r="J153" s="58"/>
      <c r="K153" s="55">
        <v>0</v>
      </c>
      <c r="L153" s="56">
        <v>0</v>
      </c>
      <c r="M153" s="56">
        <f>SUM(K153:L153)</f>
        <v>0</v>
      </c>
      <c r="N153" s="58"/>
      <c r="O153" s="55">
        <v>0</v>
      </c>
      <c r="P153" s="56">
        <v>0</v>
      </c>
      <c r="Q153" s="56">
        <f>SUM(O153:P153)</f>
        <v>0</v>
      </c>
      <c r="R153" s="58"/>
      <c r="S153" s="55">
        <v>0</v>
      </c>
      <c r="T153" s="56">
        <v>0</v>
      </c>
      <c r="U153" s="56">
        <f>SUM(S153:T153)</f>
        <v>0</v>
      </c>
      <c r="V153" s="59"/>
      <c r="W153" s="124">
        <f t="shared" si="148"/>
        <v>0</v>
      </c>
      <c r="X153" s="57">
        <f t="shared" si="148"/>
        <v>0</v>
      </c>
      <c r="Y153" s="84">
        <f t="shared" si="148"/>
        <v>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s="61" customFormat="1" x14ac:dyDescent="0.25">
      <c r="A154" s="54"/>
      <c r="B154" s="54"/>
      <c r="C154" s="124">
        <v>0</v>
      </c>
      <c r="D154" s="56">
        <v>0</v>
      </c>
      <c r="E154" s="56">
        <f>SUM(C154:D154)</f>
        <v>0</v>
      </c>
      <c r="F154" s="58"/>
      <c r="G154" s="55">
        <v>0</v>
      </c>
      <c r="H154" s="56">
        <v>0</v>
      </c>
      <c r="I154" s="56">
        <f>SUM(G154:H154)</f>
        <v>0</v>
      </c>
      <c r="J154" s="58"/>
      <c r="K154" s="55">
        <v>0</v>
      </c>
      <c r="L154" s="56">
        <v>0</v>
      </c>
      <c r="M154" s="56">
        <f>SUM(K154:L154)</f>
        <v>0</v>
      </c>
      <c r="N154" s="58"/>
      <c r="O154" s="55">
        <v>0</v>
      </c>
      <c r="P154" s="56">
        <v>0</v>
      </c>
      <c r="Q154" s="56">
        <f>SUM(O154:P154)</f>
        <v>0</v>
      </c>
      <c r="R154" s="58"/>
      <c r="S154" s="55">
        <v>0</v>
      </c>
      <c r="T154" s="56">
        <v>0</v>
      </c>
      <c r="U154" s="56">
        <f>SUM(S154:T154)</f>
        <v>0</v>
      </c>
      <c r="V154" s="59"/>
      <c r="W154" s="124">
        <f t="shared" si="148"/>
        <v>0</v>
      </c>
      <c r="X154" s="57">
        <f t="shared" si="148"/>
        <v>0</v>
      </c>
      <c r="Y154" s="84">
        <f t="shared" si="148"/>
        <v>0</v>
      </c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0</v>
      </c>
      <c r="H155" s="80">
        <f>SUM(H151:H154)</f>
        <v>0</v>
      </c>
      <c r="I155" s="80">
        <f>SUM(I151:I154)</f>
        <v>0</v>
      </c>
      <c r="J155" s="81"/>
      <c r="K155" s="79">
        <f>SUM(K151:K154)</f>
        <v>0</v>
      </c>
      <c r="L155" s="80">
        <f>SUM(L151:L154)</f>
        <v>0</v>
      </c>
      <c r="M155" s="80">
        <f>SUM(M151:M154)</f>
        <v>0</v>
      </c>
      <c r="N155" s="81"/>
      <c r="O155" s="79">
        <f>SUM(O151:O154)</f>
        <v>0</v>
      </c>
      <c r="P155" s="80">
        <f>SUM(P151:P154)</f>
        <v>0</v>
      </c>
      <c r="Q155" s="80">
        <f>SUM(Q151:Q154)</f>
        <v>0</v>
      </c>
      <c r="R155" s="81"/>
      <c r="S155" s="79">
        <f>SUM(S151:S154)</f>
        <v>0</v>
      </c>
      <c r="T155" s="80">
        <f>SUM(T151:T154)</f>
        <v>0</v>
      </c>
      <c r="U155" s="80">
        <f>SUM(U151:U154)</f>
        <v>0</v>
      </c>
      <c r="V155" s="82"/>
      <c r="W155" s="228">
        <f t="shared" si="148"/>
        <v>0</v>
      </c>
      <c r="X155" s="80">
        <f t="shared" si="148"/>
        <v>0</v>
      </c>
      <c r="Y155" s="80">
        <f t="shared" si="148"/>
        <v>0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2"/>
      <c r="B157" s="52"/>
      <c r="C157" s="124">
        <v>0</v>
      </c>
      <c r="D157" s="56">
        <v>0</v>
      </c>
      <c r="E157" s="56">
        <f t="shared" ref="E157:E172" si="149">SUM(C157:D157)</f>
        <v>0</v>
      </c>
      <c r="F157" s="58"/>
      <c r="G157" s="55">
        <v>0</v>
      </c>
      <c r="H157" s="57">
        <v>0</v>
      </c>
      <c r="I157" s="57">
        <f t="shared" ref="I157:I172" si="150">SUM(G157:H157)</f>
        <v>0</v>
      </c>
      <c r="J157" s="58"/>
      <c r="K157" s="55">
        <v>0</v>
      </c>
      <c r="L157" s="57">
        <v>0</v>
      </c>
      <c r="M157" s="57">
        <f t="shared" ref="M157:M172" si="151">SUM(K157:L157)</f>
        <v>0</v>
      </c>
      <c r="N157" s="58"/>
      <c r="O157" s="55">
        <v>0</v>
      </c>
      <c r="P157" s="57">
        <v>0</v>
      </c>
      <c r="Q157" s="57">
        <f t="shared" ref="Q157:Q172" si="152">SUM(O157:P157)</f>
        <v>0</v>
      </c>
      <c r="R157" s="58"/>
      <c r="S157" s="55">
        <v>0</v>
      </c>
      <c r="T157" s="57">
        <v>0</v>
      </c>
      <c r="U157" s="57">
        <f t="shared" ref="U157:U172" si="153">SUM(S157:T157)</f>
        <v>0</v>
      </c>
      <c r="V157" s="59"/>
      <c r="W157" s="124">
        <f t="shared" ref="W157:W173" si="154">C157+G157+K157+O157+S157</f>
        <v>0</v>
      </c>
      <c r="X157" s="57">
        <f t="shared" ref="X157:X173" si="155">D157+H157+L157+P157+T157</f>
        <v>0</v>
      </c>
      <c r="Y157" s="84">
        <f t="shared" ref="Y157:Y173" si="156">E157+I157+M157+Q157+U157</f>
        <v>0</v>
      </c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</row>
    <row r="158" spans="1:77" s="61" customFormat="1" x14ac:dyDescent="0.25">
      <c r="A158" s="87"/>
      <c r="B158" s="52"/>
      <c r="C158" s="124">
        <v>0</v>
      </c>
      <c r="D158" s="56">
        <v>0</v>
      </c>
      <c r="E158" s="56">
        <f t="shared" si="149"/>
        <v>0</v>
      </c>
      <c r="F158" s="58"/>
      <c r="G158" s="55">
        <v>0</v>
      </c>
      <c r="H158" s="57">
        <v>0</v>
      </c>
      <c r="I158" s="57">
        <f t="shared" si="150"/>
        <v>0</v>
      </c>
      <c r="J158" s="58"/>
      <c r="K158" s="55">
        <v>0</v>
      </c>
      <c r="L158" s="57">
        <v>0</v>
      </c>
      <c r="M158" s="57">
        <f t="shared" si="151"/>
        <v>0</v>
      </c>
      <c r="N158" s="58"/>
      <c r="O158" s="55">
        <v>0</v>
      </c>
      <c r="P158" s="57">
        <v>0</v>
      </c>
      <c r="Q158" s="57">
        <f t="shared" si="152"/>
        <v>0</v>
      </c>
      <c r="R158" s="58"/>
      <c r="S158" s="55">
        <v>0</v>
      </c>
      <c r="T158" s="57">
        <v>0</v>
      </c>
      <c r="U158" s="57">
        <f t="shared" si="153"/>
        <v>0</v>
      </c>
      <c r="V158" s="59"/>
      <c r="W158" s="124">
        <f t="shared" si="154"/>
        <v>0</v>
      </c>
      <c r="X158" s="57">
        <f t="shared" si="155"/>
        <v>0</v>
      </c>
      <c r="Y158" s="84">
        <f t="shared" si="156"/>
        <v>0</v>
      </c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</row>
    <row r="159" spans="1:77" s="61" customFormat="1" x14ac:dyDescent="0.25">
      <c r="A159" s="52"/>
      <c r="B159" s="52"/>
      <c r="C159" s="124">
        <v>0</v>
      </c>
      <c r="D159" s="56">
        <v>0</v>
      </c>
      <c r="E159" s="56">
        <f t="shared" si="149"/>
        <v>0</v>
      </c>
      <c r="F159" s="58"/>
      <c r="G159" s="55">
        <v>0</v>
      </c>
      <c r="H159" s="57">
        <v>0</v>
      </c>
      <c r="I159" s="57">
        <f t="shared" si="150"/>
        <v>0</v>
      </c>
      <c r="J159" s="58"/>
      <c r="K159" s="55">
        <v>0</v>
      </c>
      <c r="L159" s="57">
        <v>0</v>
      </c>
      <c r="M159" s="57">
        <f t="shared" si="151"/>
        <v>0</v>
      </c>
      <c r="N159" s="58"/>
      <c r="O159" s="55">
        <v>0</v>
      </c>
      <c r="P159" s="57">
        <v>0</v>
      </c>
      <c r="Q159" s="57">
        <f t="shared" si="152"/>
        <v>0</v>
      </c>
      <c r="R159" s="58"/>
      <c r="S159" s="55">
        <v>0</v>
      </c>
      <c r="T159" s="57">
        <v>0</v>
      </c>
      <c r="U159" s="57">
        <f t="shared" si="153"/>
        <v>0</v>
      </c>
      <c r="V159" s="59"/>
      <c r="W159" s="124">
        <f t="shared" si="154"/>
        <v>0</v>
      </c>
      <c r="X159" s="57">
        <f t="shared" si="155"/>
        <v>0</v>
      </c>
      <c r="Y159" s="84">
        <f t="shared" si="156"/>
        <v>0</v>
      </c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</row>
    <row r="160" spans="1:77" s="61" customFormat="1" x14ac:dyDescent="0.25">
      <c r="A160" s="87"/>
      <c r="B160" s="52"/>
      <c r="C160" s="124">
        <v>0</v>
      </c>
      <c r="D160" s="56">
        <v>0</v>
      </c>
      <c r="E160" s="56">
        <f t="shared" si="149"/>
        <v>0</v>
      </c>
      <c r="F160" s="58"/>
      <c r="G160" s="55">
        <v>0</v>
      </c>
      <c r="H160" s="57">
        <v>0</v>
      </c>
      <c r="I160" s="57">
        <f t="shared" si="150"/>
        <v>0</v>
      </c>
      <c r="J160" s="58"/>
      <c r="K160" s="55">
        <v>0</v>
      </c>
      <c r="L160" s="57">
        <v>0</v>
      </c>
      <c r="M160" s="57">
        <f t="shared" si="151"/>
        <v>0</v>
      </c>
      <c r="N160" s="58"/>
      <c r="O160" s="55">
        <v>0</v>
      </c>
      <c r="P160" s="57">
        <v>0</v>
      </c>
      <c r="Q160" s="57">
        <f t="shared" si="152"/>
        <v>0</v>
      </c>
      <c r="R160" s="58"/>
      <c r="S160" s="55">
        <v>0</v>
      </c>
      <c r="T160" s="57">
        <v>0</v>
      </c>
      <c r="U160" s="57">
        <f t="shared" si="153"/>
        <v>0</v>
      </c>
      <c r="V160" s="59"/>
      <c r="W160" s="124">
        <f t="shared" si="154"/>
        <v>0</v>
      </c>
      <c r="X160" s="57">
        <f t="shared" si="155"/>
        <v>0</v>
      </c>
      <c r="Y160" s="84">
        <f t="shared" si="156"/>
        <v>0</v>
      </c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</row>
    <row r="161" spans="1:77" s="61" customFormat="1" x14ac:dyDescent="0.25">
      <c r="A161" s="52"/>
      <c r="B161" s="52"/>
      <c r="C161" s="124">
        <v>0</v>
      </c>
      <c r="D161" s="56">
        <v>0</v>
      </c>
      <c r="E161" s="56">
        <f t="shared" si="149"/>
        <v>0</v>
      </c>
      <c r="F161" s="58"/>
      <c r="G161" s="55">
        <v>0</v>
      </c>
      <c r="H161" s="57">
        <v>0</v>
      </c>
      <c r="I161" s="57">
        <f t="shared" si="150"/>
        <v>0</v>
      </c>
      <c r="J161" s="58"/>
      <c r="K161" s="55">
        <v>0</v>
      </c>
      <c r="L161" s="57">
        <v>0</v>
      </c>
      <c r="M161" s="57">
        <f t="shared" si="151"/>
        <v>0</v>
      </c>
      <c r="N161" s="58"/>
      <c r="O161" s="55">
        <v>0</v>
      </c>
      <c r="P161" s="57">
        <v>0</v>
      </c>
      <c r="Q161" s="57">
        <f t="shared" si="152"/>
        <v>0</v>
      </c>
      <c r="R161" s="58"/>
      <c r="S161" s="55">
        <v>0</v>
      </c>
      <c r="T161" s="57">
        <v>0</v>
      </c>
      <c r="U161" s="57">
        <f t="shared" si="153"/>
        <v>0</v>
      </c>
      <c r="V161" s="59"/>
      <c r="W161" s="124">
        <f t="shared" si="154"/>
        <v>0</v>
      </c>
      <c r="X161" s="57">
        <f t="shared" si="155"/>
        <v>0</v>
      </c>
      <c r="Y161" s="84">
        <f t="shared" si="156"/>
        <v>0</v>
      </c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1" customFormat="1" x14ac:dyDescent="0.25">
      <c r="A162" s="52"/>
      <c r="B162" s="52"/>
      <c r="C162" s="124">
        <v>0</v>
      </c>
      <c r="D162" s="56">
        <v>0</v>
      </c>
      <c r="E162" s="56">
        <f t="shared" si="149"/>
        <v>0</v>
      </c>
      <c r="F162" s="58"/>
      <c r="G162" s="55">
        <v>0</v>
      </c>
      <c r="H162" s="57">
        <v>0</v>
      </c>
      <c r="I162" s="57">
        <f t="shared" si="150"/>
        <v>0</v>
      </c>
      <c r="J162" s="58"/>
      <c r="K162" s="55">
        <v>0</v>
      </c>
      <c r="L162" s="57">
        <v>0</v>
      </c>
      <c r="M162" s="57">
        <f t="shared" si="151"/>
        <v>0</v>
      </c>
      <c r="N162" s="58"/>
      <c r="O162" s="55">
        <v>0</v>
      </c>
      <c r="P162" s="57">
        <v>0</v>
      </c>
      <c r="Q162" s="57">
        <f t="shared" si="152"/>
        <v>0</v>
      </c>
      <c r="R162" s="58"/>
      <c r="S162" s="55">
        <v>0</v>
      </c>
      <c r="T162" s="57">
        <v>0</v>
      </c>
      <c r="U162" s="57">
        <f t="shared" si="153"/>
        <v>0</v>
      </c>
      <c r="V162" s="59"/>
      <c r="W162" s="124">
        <f t="shared" si="154"/>
        <v>0</v>
      </c>
      <c r="X162" s="57">
        <f t="shared" si="155"/>
        <v>0</v>
      </c>
      <c r="Y162" s="84">
        <f t="shared" si="156"/>
        <v>0</v>
      </c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</row>
    <row r="163" spans="1:77" s="61" customFormat="1" x14ac:dyDescent="0.25">
      <c r="A163" s="87"/>
      <c r="B163" s="52"/>
      <c r="C163" s="124">
        <v>0</v>
      </c>
      <c r="D163" s="56">
        <v>0</v>
      </c>
      <c r="E163" s="56">
        <f t="shared" si="149"/>
        <v>0</v>
      </c>
      <c r="F163" s="58"/>
      <c r="G163" s="55">
        <v>0</v>
      </c>
      <c r="H163" s="57">
        <v>0</v>
      </c>
      <c r="I163" s="57">
        <f t="shared" si="150"/>
        <v>0</v>
      </c>
      <c r="J163" s="58"/>
      <c r="K163" s="55">
        <v>0</v>
      </c>
      <c r="L163" s="57">
        <v>0</v>
      </c>
      <c r="M163" s="57">
        <f t="shared" si="151"/>
        <v>0</v>
      </c>
      <c r="N163" s="58"/>
      <c r="O163" s="55">
        <v>0</v>
      </c>
      <c r="P163" s="57">
        <v>0</v>
      </c>
      <c r="Q163" s="57">
        <f t="shared" si="152"/>
        <v>0</v>
      </c>
      <c r="R163" s="58"/>
      <c r="S163" s="55">
        <v>0</v>
      </c>
      <c r="T163" s="57">
        <v>0</v>
      </c>
      <c r="U163" s="57">
        <f t="shared" si="153"/>
        <v>0</v>
      </c>
      <c r="V163" s="59"/>
      <c r="W163" s="124">
        <f t="shared" si="154"/>
        <v>0</v>
      </c>
      <c r="X163" s="57">
        <f t="shared" si="155"/>
        <v>0</v>
      </c>
      <c r="Y163" s="84">
        <f t="shared" si="156"/>
        <v>0</v>
      </c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s="61" customFormat="1" x14ac:dyDescent="0.25">
      <c r="A164" s="52"/>
      <c r="B164" s="52"/>
      <c r="C164" s="124">
        <v>0</v>
      </c>
      <c r="D164" s="56">
        <v>0</v>
      </c>
      <c r="E164" s="56">
        <f t="shared" si="149"/>
        <v>0</v>
      </c>
      <c r="F164" s="58"/>
      <c r="G164" s="55">
        <v>0</v>
      </c>
      <c r="H164" s="57">
        <v>0</v>
      </c>
      <c r="I164" s="57">
        <f t="shared" si="150"/>
        <v>0</v>
      </c>
      <c r="J164" s="58"/>
      <c r="K164" s="55">
        <v>0</v>
      </c>
      <c r="L164" s="57">
        <v>0</v>
      </c>
      <c r="M164" s="57">
        <f t="shared" si="151"/>
        <v>0</v>
      </c>
      <c r="N164" s="58"/>
      <c r="O164" s="55">
        <v>0</v>
      </c>
      <c r="P164" s="57">
        <v>0</v>
      </c>
      <c r="Q164" s="57">
        <f t="shared" si="152"/>
        <v>0</v>
      </c>
      <c r="R164" s="58"/>
      <c r="S164" s="55">
        <v>0</v>
      </c>
      <c r="T164" s="57">
        <v>0</v>
      </c>
      <c r="U164" s="57">
        <f t="shared" si="153"/>
        <v>0</v>
      </c>
      <c r="V164" s="59"/>
      <c r="W164" s="124">
        <f t="shared" si="154"/>
        <v>0</v>
      </c>
      <c r="X164" s="57">
        <f t="shared" si="155"/>
        <v>0</v>
      </c>
      <c r="Y164" s="84">
        <f t="shared" si="156"/>
        <v>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/>
      <c r="C165" s="124">
        <v>0</v>
      </c>
      <c r="D165" s="56">
        <v>0</v>
      </c>
      <c r="E165" s="56">
        <f t="shared" si="149"/>
        <v>0</v>
      </c>
      <c r="F165" s="58"/>
      <c r="G165" s="55">
        <v>0</v>
      </c>
      <c r="H165" s="57">
        <v>0</v>
      </c>
      <c r="I165" s="57">
        <f t="shared" si="150"/>
        <v>0</v>
      </c>
      <c r="J165" s="58"/>
      <c r="K165" s="55">
        <v>0</v>
      </c>
      <c r="L165" s="57">
        <v>0</v>
      </c>
      <c r="M165" s="57">
        <f t="shared" si="151"/>
        <v>0</v>
      </c>
      <c r="N165" s="58"/>
      <c r="O165" s="55">
        <v>0</v>
      </c>
      <c r="P165" s="57">
        <v>0</v>
      </c>
      <c r="Q165" s="57">
        <f t="shared" si="152"/>
        <v>0</v>
      </c>
      <c r="R165" s="58"/>
      <c r="S165" s="55">
        <v>0</v>
      </c>
      <c r="T165" s="57">
        <v>0</v>
      </c>
      <c r="U165" s="57">
        <f t="shared" si="153"/>
        <v>0</v>
      </c>
      <c r="V165" s="59"/>
      <c r="W165" s="124">
        <f t="shared" si="154"/>
        <v>0</v>
      </c>
      <c r="X165" s="57">
        <f t="shared" si="155"/>
        <v>0</v>
      </c>
      <c r="Y165" s="84">
        <f t="shared" si="156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2"/>
      <c r="C166" s="124">
        <v>0</v>
      </c>
      <c r="D166" s="56">
        <v>0</v>
      </c>
      <c r="E166" s="56">
        <f t="shared" si="149"/>
        <v>0</v>
      </c>
      <c r="F166" s="58"/>
      <c r="G166" s="55">
        <v>0</v>
      </c>
      <c r="H166" s="57">
        <v>0</v>
      </c>
      <c r="I166" s="57">
        <f t="shared" si="150"/>
        <v>0</v>
      </c>
      <c r="J166" s="58"/>
      <c r="K166" s="55">
        <v>0</v>
      </c>
      <c r="L166" s="57">
        <v>0</v>
      </c>
      <c r="M166" s="57">
        <f t="shared" si="151"/>
        <v>0</v>
      </c>
      <c r="N166" s="58"/>
      <c r="O166" s="55">
        <v>0</v>
      </c>
      <c r="P166" s="57">
        <v>0</v>
      </c>
      <c r="Q166" s="57">
        <f t="shared" si="152"/>
        <v>0</v>
      </c>
      <c r="R166" s="58"/>
      <c r="S166" s="55">
        <v>0</v>
      </c>
      <c r="T166" s="57">
        <v>0</v>
      </c>
      <c r="U166" s="57">
        <f t="shared" si="153"/>
        <v>0</v>
      </c>
      <c r="V166" s="59"/>
      <c r="W166" s="124">
        <f t="shared" si="154"/>
        <v>0</v>
      </c>
      <c r="X166" s="57">
        <f t="shared" si="155"/>
        <v>0</v>
      </c>
      <c r="Y166" s="84">
        <f t="shared" si="156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149"/>
        <v>0</v>
      </c>
      <c r="F167" s="58"/>
      <c r="G167" s="55">
        <v>0</v>
      </c>
      <c r="H167" s="57">
        <v>0</v>
      </c>
      <c r="I167" s="57">
        <f t="shared" si="150"/>
        <v>0</v>
      </c>
      <c r="J167" s="58"/>
      <c r="K167" s="55">
        <v>0</v>
      </c>
      <c r="L167" s="57">
        <v>0</v>
      </c>
      <c r="M167" s="57">
        <f t="shared" si="151"/>
        <v>0</v>
      </c>
      <c r="N167" s="58"/>
      <c r="O167" s="55">
        <v>0</v>
      </c>
      <c r="P167" s="57">
        <v>0</v>
      </c>
      <c r="Q167" s="57">
        <f t="shared" si="152"/>
        <v>0</v>
      </c>
      <c r="R167" s="58"/>
      <c r="S167" s="55">
        <v>0</v>
      </c>
      <c r="T167" s="57">
        <v>0</v>
      </c>
      <c r="U167" s="57">
        <f t="shared" si="153"/>
        <v>0</v>
      </c>
      <c r="V167" s="59"/>
      <c r="W167" s="124">
        <f t="shared" si="154"/>
        <v>0</v>
      </c>
      <c r="X167" s="57">
        <f t="shared" si="155"/>
        <v>0</v>
      </c>
      <c r="Y167" s="84">
        <f t="shared" si="156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149"/>
        <v>0</v>
      </c>
      <c r="F168" s="58"/>
      <c r="G168" s="55">
        <v>0</v>
      </c>
      <c r="H168" s="57">
        <v>0</v>
      </c>
      <c r="I168" s="57">
        <f t="shared" si="150"/>
        <v>0</v>
      </c>
      <c r="J168" s="58"/>
      <c r="K168" s="55">
        <v>0</v>
      </c>
      <c r="L168" s="57">
        <v>0</v>
      </c>
      <c r="M168" s="57">
        <f t="shared" si="151"/>
        <v>0</v>
      </c>
      <c r="N168" s="58"/>
      <c r="O168" s="55">
        <v>0</v>
      </c>
      <c r="P168" s="57">
        <v>0</v>
      </c>
      <c r="Q168" s="57">
        <f t="shared" si="152"/>
        <v>0</v>
      </c>
      <c r="R168" s="58"/>
      <c r="S168" s="55">
        <v>0</v>
      </c>
      <c r="T168" s="57">
        <v>0</v>
      </c>
      <c r="U168" s="57">
        <f t="shared" si="153"/>
        <v>0</v>
      </c>
      <c r="V168" s="59"/>
      <c r="W168" s="124">
        <f t="shared" si="154"/>
        <v>0</v>
      </c>
      <c r="X168" s="57">
        <f t="shared" si="155"/>
        <v>0</v>
      </c>
      <c r="Y168" s="84">
        <f t="shared" si="156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149"/>
        <v>0</v>
      </c>
      <c r="F169" s="58"/>
      <c r="G169" s="55">
        <v>0</v>
      </c>
      <c r="H169" s="57">
        <v>0</v>
      </c>
      <c r="I169" s="57">
        <f t="shared" si="150"/>
        <v>0</v>
      </c>
      <c r="J169" s="58"/>
      <c r="K169" s="55">
        <v>0</v>
      </c>
      <c r="L169" s="57">
        <v>0</v>
      </c>
      <c r="M169" s="57">
        <f t="shared" si="151"/>
        <v>0</v>
      </c>
      <c r="N169" s="58"/>
      <c r="O169" s="55">
        <v>0</v>
      </c>
      <c r="P169" s="57">
        <v>0</v>
      </c>
      <c r="Q169" s="57">
        <f t="shared" si="152"/>
        <v>0</v>
      </c>
      <c r="R169" s="58"/>
      <c r="S169" s="55">
        <v>0</v>
      </c>
      <c r="T169" s="57">
        <v>0</v>
      </c>
      <c r="U169" s="57">
        <f t="shared" si="153"/>
        <v>0</v>
      </c>
      <c r="V169" s="59"/>
      <c r="W169" s="124">
        <f t="shared" si="154"/>
        <v>0</v>
      </c>
      <c r="X169" s="57">
        <f t="shared" si="155"/>
        <v>0</v>
      </c>
      <c r="Y169" s="84">
        <f t="shared" si="156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149"/>
        <v>0</v>
      </c>
      <c r="F170" s="58"/>
      <c r="G170" s="55">
        <v>0</v>
      </c>
      <c r="H170" s="57">
        <v>0</v>
      </c>
      <c r="I170" s="57">
        <f t="shared" si="150"/>
        <v>0</v>
      </c>
      <c r="J170" s="58"/>
      <c r="K170" s="55">
        <v>0</v>
      </c>
      <c r="L170" s="57">
        <v>0</v>
      </c>
      <c r="M170" s="57">
        <f t="shared" si="151"/>
        <v>0</v>
      </c>
      <c r="N170" s="58"/>
      <c r="O170" s="55">
        <v>0</v>
      </c>
      <c r="P170" s="57">
        <v>0</v>
      </c>
      <c r="Q170" s="57">
        <f t="shared" si="152"/>
        <v>0</v>
      </c>
      <c r="R170" s="58"/>
      <c r="S170" s="55">
        <v>0</v>
      </c>
      <c r="T170" s="57">
        <v>0</v>
      </c>
      <c r="U170" s="57">
        <f t="shared" si="153"/>
        <v>0</v>
      </c>
      <c r="V170" s="59"/>
      <c r="W170" s="124">
        <f t="shared" si="154"/>
        <v>0</v>
      </c>
      <c r="X170" s="57">
        <f t="shared" si="155"/>
        <v>0</v>
      </c>
      <c r="Y170" s="84">
        <f t="shared" si="156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149"/>
        <v>0</v>
      </c>
      <c r="F171" s="58"/>
      <c r="G171" s="55">
        <v>0</v>
      </c>
      <c r="H171" s="57">
        <v>0</v>
      </c>
      <c r="I171" s="57">
        <f t="shared" si="150"/>
        <v>0</v>
      </c>
      <c r="J171" s="58"/>
      <c r="K171" s="55">
        <v>0</v>
      </c>
      <c r="L171" s="57">
        <v>0</v>
      </c>
      <c r="M171" s="57">
        <f t="shared" si="151"/>
        <v>0</v>
      </c>
      <c r="N171" s="58"/>
      <c r="O171" s="55">
        <v>0</v>
      </c>
      <c r="P171" s="57">
        <v>0</v>
      </c>
      <c r="Q171" s="57">
        <f t="shared" si="152"/>
        <v>0</v>
      </c>
      <c r="R171" s="58"/>
      <c r="S171" s="55">
        <v>0</v>
      </c>
      <c r="T171" s="57">
        <v>0</v>
      </c>
      <c r="U171" s="57">
        <f t="shared" si="153"/>
        <v>0</v>
      </c>
      <c r="V171" s="59"/>
      <c r="W171" s="124">
        <f t="shared" si="154"/>
        <v>0</v>
      </c>
      <c r="X171" s="57">
        <f t="shared" si="155"/>
        <v>0</v>
      </c>
      <c r="Y171" s="84">
        <f t="shared" si="156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149"/>
        <v>0</v>
      </c>
      <c r="F172" s="58"/>
      <c r="G172" s="55">
        <v>0</v>
      </c>
      <c r="H172" s="57">
        <v>0</v>
      </c>
      <c r="I172" s="57">
        <f t="shared" si="150"/>
        <v>0</v>
      </c>
      <c r="J172" s="58"/>
      <c r="K172" s="55">
        <v>0</v>
      </c>
      <c r="L172" s="57">
        <v>0</v>
      </c>
      <c r="M172" s="57">
        <f t="shared" si="151"/>
        <v>0</v>
      </c>
      <c r="N172" s="58"/>
      <c r="O172" s="55">
        <v>0</v>
      </c>
      <c r="P172" s="57">
        <v>0</v>
      </c>
      <c r="Q172" s="57">
        <f t="shared" si="152"/>
        <v>0</v>
      </c>
      <c r="R172" s="58"/>
      <c r="S172" s="55">
        <v>0</v>
      </c>
      <c r="T172" s="57">
        <v>0</v>
      </c>
      <c r="U172" s="57">
        <f t="shared" si="153"/>
        <v>0</v>
      </c>
      <c r="V172" s="59"/>
      <c r="W172" s="124">
        <f t="shared" si="154"/>
        <v>0</v>
      </c>
      <c r="X172" s="57">
        <f t="shared" si="155"/>
        <v>0</v>
      </c>
      <c r="Y172" s="84">
        <f t="shared" si="156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0</v>
      </c>
      <c r="D173" s="153">
        <f>SUM(D157:D172)</f>
        <v>0</v>
      </c>
      <c r="E173" s="153">
        <f>SUM(E157:E172)</f>
        <v>0</v>
      </c>
      <c r="F173" s="154"/>
      <c r="G173" s="152">
        <f>SUM(G157:G172)</f>
        <v>0</v>
      </c>
      <c r="H173" s="155">
        <f>SUM(H157:H172)</f>
        <v>0</v>
      </c>
      <c r="I173" s="155">
        <f>SUM(I157:I172)</f>
        <v>0</v>
      </c>
      <c r="J173" s="154"/>
      <c r="K173" s="152">
        <f>SUM(K157:K172)</f>
        <v>0</v>
      </c>
      <c r="L173" s="155">
        <f>SUM(L157:L172)</f>
        <v>0</v>
      </c>
      <c r="M173" s="155">
        <f>SUM(M157:M172)</f>
        <v>0</v>
      </c>
      <c r="N173" s="154"/>
      <c r="O173" s="152">
        <f>SUM(O157:O172)</f>
        <v>0</v>
      </c>
      <c r="P173" s="155">
        <f>SUM(P157:P172)</f>
        <v>0</v>
      </c>
      <c r="Q173" s="155">
        <f>SUM(Q157:Q172)</f>
        <v>0</v>
      </c>
      <c r="R173" s="154"/>
      <c r="S173" s="152">
        <f>SUM(S157:S172)</f>
        <v>0</v>
      </c>
      <c r="T173" s="155">
        <f>SUM(T157:T172)</f>
        <v>0</v>
      </c>
      <c r="U173" s="155">
        <f>SUM(U157:U172)</f>
        <v>0</v>
      </c>
      <c r="V173" s="82"/>
      <c r="W173" s="228">
        <f t="shared" si="154"/>
        <v>0</v>
      </c>
      <c r="X173" s="80">
        <f t="shared" si="155"/>
        <v>0</v>
      </c>
      <c r="Y173" s="80">
        <f t="shared" si="156"/>
        <v>0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>(C173+ C155+C149+C141+C125)</f>
        <v>2000</v>
      </c>
      <c r="D174" s="104">
        <f t="shared" ref="D174:Y174" si="157">(D173+ D155+D149+D141+D125)</f>
        <v>0</v>
      </c>
      <c r="E174" s="104">
        <f t="shared" si="157"/>
        <v>2000</v>
      </c>
      <c r="F174" s="104">
        <f t="shared" si="157"/>
        <v>0</v>
      </c>
      <c r="G174" s="104">
        <f t="shared" si="157"/>
        <v>2000</v>
      </c>
      <c r="H174" s="104">
        <f t="shared" si="157"/>
        <v>0</v>
      </c>
      <c r="I174" s="104">
        <f t="shared" si="157"/>
        <v>2000</v>
      </c>
      <c r="J174" s="104">
        <f t="shared" si="157"/>
        <v>0</v>
      </c>
      <c r="K174" s="104">
        <f t="shared" si="157"/>
        <v>2000</v>
      </c>
      <c r="L174" s="104">
        <f t="shared" si="157"/>
        <v>0</v>
      </c>
      <c r="M174" s="104">
        <f t="shared" si="157"/>
        <v>2000</v>
      </c>
      <c r="N174" s="104">
        <f t="shared" si="157"/>
        <v>0</v>
      </c>
      <c r="O174" s="104">
        <f t="shared" si="157"/>
        <v>2000</v>
      </c>
      <c r="P174" s="104">
        <f t="shared" si="157"/>
        <v>0</v>
      </c>
      <c r="Q174" s="104">
        <f t="shared" si="157"/>
        <v>2000</v>
      </c>
      <c r="R174" s="104">
        <f t="shared" si="157"/>
        <v>0</v>
      </c>
      <c r="S174" s="104">
        <f t="shared" si="157"/>
        <v>2000</v>
      </c>
      <c r="T174" s="104">
        <f t="shared" si="157"/>
        <v>0</v>
      </c>
      <c r="U174" s="104">
        <f t="shared" si="157"/>
        <v>2000</v>
      </c>
      <c r="V174" s="104">
        <f t="shared" si="157"/>
        <v>0</v>
      </c>
      <c r="W174" s="104">
        <f t="shared" si="157"/>
        <v>10000</v>
      </c>
      <c r="X174" s="104">
        <f t="shared" si="157"/>
        <v>0</v>
      </c>
      <c r="Y174" s="104">
        <f t="shared" si="157"/>
        <v>10000</v>
      </c>
      <c r="Z174" s="105">
        <f>(SUM(C174+G174+K174)/3)</f>
        <v>2000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((C125+C149+C173)*0.405)-0.1</f>
        <v>809.9</v>
      </c>
      <c r="D175" s="104">
        <v>0</v>
      </c>
      <c r="E175" s="104">
        <f>C175</f>
        <v>809.9</v>
      </c>
      <c r="F175" s="104">
        <f>(F125+F149+F173)*0.39</f>
        <v>0</v>
      </c>
      <c r="G175" s="104">
        <f>((G125+G149+G173)*0.405)</f>
        <v>810</v>
      </c>
      <c r="H175" s="104">
        <v>0</v>
      </c>
      <c r="I175" s="104">
        <f>G175</f>
        <v>810</v>
      </c>
      <c r="J175" s="104">
        <f>(J125+J149+J173)*0.39</f>
        <v>0</v>
      </c>
      <c r="K175" s="104">
        <f>(K125+K149+K173)*0.405</f>
        <v>810</v>
      </c>
      <c r="L175" s="104">
        <v>0</v>
      </c>
      <c r="M175" s="104">
        <f>K175</f>
        <v>810</v>
      </c>
      <c r="N175" s="104">
        <f>(N125+N149+N173)*0.39</f>
        <v>0</v>
      </c>
      <c r="O175" s="104">
        <f>(O125+O149+O173)*0.405</f>
        <v>810</v>
      </c>
      <c r="P175" s="104">
        <v>0</v>
      </c>
      <c r="Q175" s="104">
        <f>O175</f>
        <v>810</v>
      </c>
      <c r="R175" s="104">
        <f>(R125+R149+R173)*0.39</f>
        <v>0</v>
      </c>
      <c r="S175" s="104">
        <f>(S125+S149+S173)*0.405</f>
        <v>810</v>
      </c>
      <c r="T175" s="104">
        <v>0</v>
      </c>
      <c r="U175" s="104">
        <f>S175</f>
        <v>810</v>
      </c>
      <c r="V175" s="104">
        <f>(V125+V149+V173)*0.39</f>
        <v>0</v>
      </c>
      <c r="W175" s="104">
        <f>(W125+W149+W173)*0.405</f>
        <v>4050.0000000000005</v>
      </c>
      <c r="X175" s="104">
        <v>0</v>
      </c>
      <c r="Y175" s="104">
        <f>W175</f>
        <v>4050.0000000000005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</f>
        <v>2809.9</v>
      </c>
      <c r="D176" s="104">
        <f t="shared" ref="D176:Y176" si="158">D174+D175</f>
        <v>0</v>
      </c>
      <c r="E176" s="104">
        <f t="shared" si="158"/>
        <v>2809.9</v>
      </c>
      <c r="F176" s="104">
        <f t="shared" si="158"/>
        <v>0</v>
      </c>
      <c r="G176" s="104">
        <f t="shared" si="158"/>
        <v>2810</v>
      </c>
      <c r="H176" s="104">
        <f t="shared" si="158"/>
        <v>0</v>
      </c>
      <c r="I176" s="104">
        <f t="shared" si="158"/>
        <v>2810</v>
      </c>
      <c r="J176" s="104">
        <f t="shared" si="158"/>
        <v>0</v>
      </c>
      <c r="K176" s="104">
        <f t="shared" si="158"/>
        <v>2810</v>
      </c>
      <c r="L176" s="104">
        <f t="shared" si="158"/>
        <v>0</v>
      </c>
      <c r="M176" s="104">
        <f t="shared" si="158"/>
        <v>2810</v>
      </c>
      <c r="N176" s="104">
        <f t="shared" si="158"/>
        <v>0</v>
      </c>
      <c r="O176" s="104">
        <f t="shared" si="158"/>
        <v>2810</v>
      </c>
      <c r="P176" s="104">
        <f t="shared" si="158"/>
        <v>0</v>
      </c>
      <c r="Q176" s="104">
        <f t="shared" si="158"/>
        <v>2810</v>
      </c>
      <c r="R176" s="104">
        <f t="shared" si="158"/>
        <v>0</v>
      </c>
      <c r="S176" s="104">
        <f t="shared" si="158"/>
        <v>2810</v>
      </c>
      <c r="T176" s="104">
        <f t="shared" si="158"/>
        <v>0</v>
      </c>
      <c r="U176" s="104">
        <f t="shared" si="158"/>
        <v>2810</v>
      </c>
      <c r="V176" s="104">
        <f t="shared" si="158"/>
        <v>0</v>
      </c>
      <c r="W176" s="104">
        <f t="shared" si="158"/>
        <v>14050</v>
      </c>
      <c r="X176" s="104">
        <f t="shared" si="158"/>
        <v>0</v>
      </c>
      <c r="Y176" s="104">
        <f t="shared" si="158"/>
        <v>14050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158" customFormat="1" x14ac:dyDescent="0.25">
      <c r="A177" s="91"/>
      <c r="B177" s="91"/>
      <c r="C177" s="156"/>
      <c r="D177" s="156"/>
      <c r="E177" s="105"/>
      <c r="F177" s="91"/>
      <c r="G177" s="156"/>
      <c r="H177" s="156"/>
      <c r="I177" s="105"/>
      <c r="J177" s="91"/>
      <c r="K177" s="156"/>
      <c r="L177" s="156"/>
      <c r="M177" s="105"/>
      <c r="N177" s="91"/>
      <c r="O177" s="156"/>
      <c r="P177" s="156"/>
      <c r="Q177" s="105"/>
      <c r="R177" s="91"/>
      <c r="S177" s="156"/>
      <c r="T177" s="156"/>
      <c r="U177" s="105"/>
      <c r="V177" s="157"/>
      <c r="W177" s="105"/>
      <c r="X177" s="105"/>
      <c r="Y177" s="156"/>
      <c r="Z177" s="105"/>
      <c r="AA177" s="105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77" customFormat="1" x14ac:dyDescent="0.25">
      <c r="A179" s="74" t="s">
        <v>5</v>
      </c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5"/>
      <c r="W179" s="74"/>
      <c r="X179" s="74"/>
      <c r="Y179" s="7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</row>
    <row r="180" spans="1:77" s="61" customFormat="1" x14ac:dyDescent="0.25">
      <c r="A180" s="52"/>
      <c r="B180" s="61" t="s">
        <v>57</v>
      </c>
      <c r="C180" s="124">
        <v>0</v>
      </c>
      <c r="D180" s="56">
        <v>0</v>
      </c>
      <c r="E180" s="56">
        <f t="shared" ref="E180:E185" si="159">SUM(C180:D180)</f>
        <v>0</v>
      </c>
      <c r="F180" s="58"/>
      <c r="G180" s="55">
        <f t="shared" ref="G180:H185" si="160">C180*1.05</f>
        <v>0</v>
      </c>
      <c r="H180" s="57">
        <f t="shared" si="160"/>
        <v>0</v>
      </c>
      <c r="I180" s="57">
        <f t="shared" ref="I180:I185" si="161">SUM(G180:H180)</f>
        <v>0</v>
      </c>
      <c r="J180" s="58"/>
      <c r="K180" s="55">
        <f t="shared" ref="K180:L185" si="162">G180*1.05</f>
        <v>0</v>
      </c>
      <c r="L180" s="57">
        <f t="shared" si="162"/>
        <v>0</v>
      </c>
      <c r="M180" s="57">
        <f t="shared" ref="M180:M185" si="163">SUM(K180:L180)</f>
        <v>0</v>
      </c>
      <c r="N180" s="58"/>
      <c r="O180" s="55">
        <v>0</v>
      </c>
      <c r="P180" s="57">
        <f t="shared" ref="P180:P185" si="164">L180*1.05</f>
        <v>0</v>
      </c>
      <c r="Q180" s="57">
        <f t="shared" ref="Q180:Q185" si="165">SUM(O180:P180)</f>
        <v>0</v>
      </c>
      <c r="R180" s="58"/>
      <c r="S180" s="55">
        <f>O180*1.05*0</f>
        <v>0</v>
      </c>
      <c r="T180" s="57">
        <f t="shared" ref="T180:T185" si="166">P180*1.05</f>
        <v>0</v>
      </c>
      <c r="U180" s="57">
        <f t="shared" ref="U180:U185" si="167">SUM(S180:T180)</f>
        <v>0</v>
      </c>
      <c r="V180" s="59"/>
      <c r="W180" s="124">
        <f t="shared" ref="W180:Y186" si="168">C180+G180+K180+O180+S180</f>
        <v>0</v>
      </c>
      <c r="X180" s="57">
        <f t="shared" si="168"/>
        <v>0</v>
      </c>
      <c r="Y180" s="84">
        <f t="shared" si="168"/>
        <v>0</v>
      </c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</row>
    <row r="181" spans="1:77" s="61" customFormat="1" x14ac:dyDescent="0.25">
      <c r="A181" s="52"/>
      <c r="B181" s="52"/>
      <c r="C181" s="124">
        <v>0</v>
      </c>
      <c r="D181" s="56">
        <v>0</v>
      </c>
      <c r="E181" s="56">
        <f t="shared" si="159"/>
        <v>0</v>
      </c>
      <c r="F181" s="58"/>
      <c r="G181" s="55">
        <f t="shared" si="160"/>
        <v>0</v>
      </c>
      <c r="H181" s="57">
        <f t="shared" si="160"/>
        <v>0</v>
      </c>
      <c r="I181" s="57">
        <f t="shared" si="161"/>
        <v>0</v>
      </c>
      <c r="J181" s="58"/>
      <c r="K181" s="55">
        <f t="shared" si="162"/>
        <v>0</v>
      </c>
      <c r="L181" s="57">
        <f t="shared" si="162"/>
        <v>0</v>
      </c>
      <c r="M181" s="57">
        <f t="shared" si="163"/>
        <v>0</v>
      </c>
      <c r="N181" s="58"/>
      <c r="O181" s="55">
        <f>K181*1.05</f>
        <v>0</v>
      </c>
      <c r="P181" s="57">
        <f t="shared" si="164"/>
        <v>0</v>
      </c>
      <c r="Q181" s="57">
        <f t="shared" si="165"/>
        <v>0</v>
      </c>
      <c r="R181" s="58"/>
      <c r="S181" s="55">
        <f>O181*1.05</f>
        <v>0</v>
      </c>
      <c r="T181" s="57">
        <f t="shared" si="166"/>
        <v>0</v>
      </c>
      <c r="U181" s="57">
        <f t="shared" si="167"/>
        <v>0</v>
      </c>
      <c r="V181" s="59"/>
      <c r="W181" s="124">
        <f t="shared" si="168"/>
        <v>0</v>
      </c>
      <c r="X181" s="57">
        <f t="shared" si="168"/>
        <v>0</v>
      </c>
      <c r="Y181" s="84">
        <f t="shared" si="168"/>
        <v>0</v>
      </c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</row>
    <row r="182" spans="1:77" s="61" customFormat="1" x14ac:dyDescent="0.25">
      <c r="A182" s="52"/>
      <c r="B182" s="52"/>
      <c r="C182" s="124">
        <v>0</v>
      </c>
      <c r="D182" s="56">
        <v>0</v>
      </c>
      <c r="E182" s="56">
        <f t="shared" si="159"/>
        <v>0</v>
      </c>
      <c r="F182" s="58"/>
      <c r="G182" s="55">
        <f t="shared" si="160"/>
        <v>0</v>
      </c>
      <c r="H182" s="57">
        <f t="shared" si="160"/>
        <v>0</v>
      </c>
      <c r="I182" s="57">
        <f t="shared" si="161"/>
        <v>0</v>
      </c>
      <c r="J182" s="58"/>
      <c r="K182" s="55">
        <f t="shared" si="162"/>
        <v>0</v>
      </c>
      <c r="L182" s="57">
        <f t="shared" si="162"/>
        <v>0</v>
      </c>
      <c r="M182" s="57">
        <f t="shared" si="163"/>
        <v>0</v>
      </c>
      <c r="N182" s="58"/>
      <c r="O182" s="55">
        <f>K182*1.05</f>
        <v>0</v>
      </c>
      <c r="P182" s="57">
        <f t="shared" si="164"/>
        <v>0</v>
      </c>
      <c r="Q182" s="57">
        <f t="shared" si="165"/>
        <v>0</v>
      </c>
      <c r="R182" s="58"/>
      <c r="S182" s="55">
        <f>O182*1.05</f>
        <v>0</v>
      </c>
      <c r="T182" s="57">
        <f t="shared" si="166"/>
        <v>0</v>
      </c>
      <c r="U182" s="57">
        <f t="shared" si="167"/>
        <v>0</v>
      </c>
      <c r="V182" s="59"/>
      <c r="W182" s="124">
        <f t="shared" si="168"/>
        <v>0</v>
      </c>
      <c r="X182" s="57">
        <f t="shared" si="168"/>
        <v>0</v>
      </c>
      <c r="Y182" s="84">
        <f t="shared" si="168"/>
        <v>0</v>
      </c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</row>
    <row r="183" spans="1:77" s="61" customFormat="1" x14ac:dyDescent="0.25">
      <c r="A183" s="52"/>
      <c r="B183" s="52"/>
      <c r="C183" s="124">
        <v>0</v>
      </c>
      <c r="D183" s="56">
        <v>0</v>
      </c>
      <c r="E183" s="56">
        <f t="shared" si="159"/>
        <v>0</v>
      </c>
      <c r="F183" s="58"/>
      <c r="G183" s="55">
        <f t="shared" ref="G183" si="169">C183*1.05</f>
        <v>0</v>
      </c>
      <c r="H183" s="57">
        <f t="shared" ref="H183" si="170">D183*1.05</f>
        <v>0</v>
      </c>
      <c r="I183" s="57">
        <f t="shared" si="161"/>
        <v>0</v>
      </c>
      <c r="J183" s="58"/>
      <c r="K183" s="55">
        <f t="shared" ref="K183" si="171">G183*1.05</f>
        <v>0</v>
      </c>
      <c r="L183" s="57">
        <f t="shared" ref="L183" si="172">H183*1.05</f>
        <v>0</v>
      </c>
      <c r="M183" s="57">
        <f t="shared" si="163"/>
        <v>0</v>
      </c>
      <c r="N183" s="58"/>
      <c r="O183" s="55">
        <f>K183*1.05</f>
        <v>0</v>
      </c>
      <c r="P183" s="57">
        <f t="shared" si="164"/>
        <v>0</v>
      </c>
      <c r="Q183" s="57">
        <f t="shared" si="165"/>
        <v>0</v>
      </c>
      <c r="R183" s="58"/>
      <c r="S183" s="55">
        <f>O183*1.05</f>
        <v>0</v>
      </c>
      <c r="T183" s="57">
        <f t="shared" si="166"/>
        <v>0</v>
      </c>
      <c r="U183" s="57">
        <f t="shared" si="167"/>
        <v>0</v>
      </c>
      <c r="V183" s="59"/>
      <c r="W183" s="124">
        <f t="shared" ref="W183" si="173">C183+G183+K183+O183+S183</f>
        <v>0</v>
      </c>
      <c r="X183" s="57">
        <f t="shared" ref="X183" si="174">D183+H183+L183+P183+T183</f>
        <v>0</v>
      </c>
      <c r="Y183" s="84">
        <f t="shared" ref="Y183" si="175">E183+I183+M183+Q183+U183</f>
        <v>0</v>
      </c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</row>
    <row r="184" spans="1:77" s="61" customFormat="1" x14ac:dyDescent="0.25">
      <c r="A184" s="52"/>
      <c r="B184" s="52"/>
      <c r="C184" s="124">
        <v>0</v>
      </c>
      <c r="D184" s="56">
        <v>0</v>
      </c>
      <c r="E184" s="56">
        <f t="shared" si="159"/>
        <v>0</v>
      </c>
      <c r="F184" s="58"/>
      <c r="G184" s="55">
        <f t="shared" si="160"/>
        <v>0</v>
      </c>
      <c r="H184" s="57">
        <f t="shared" si="160"/>
        <v>0</v>
      </c>
      <c r="I184" s="57">
        <f t="shared" si="161"/>
        <v>0</v>
      </c>
      <c r="J184" s="58"/>
      <c r="K184" s="55">
        <f t="shared" si="162"/>
        <v>0</v>
      </c>
      <c r="L184" s="57">
        <f t="shared" si="162"/>
        <v>0</v>
      </c>
      <c r="M184" s="57">
        <f t="shared" si="163"/>
        <v>0</v>
      </c>
      <c r="N184" s="58"/>
      <c r="O184" s="55">
        <f>K184*1.05</f>
        <v>0</v>
      </c>
      <c r="P184" s="57">
        <f t="shared" si="164"/>
        <v>0</v>
      </c>
      <c r="Q184" s="57">
        <f t="shared" si="165"/>
        <v>0</v>
      </c>
      <c r="R184" s="58"/>
      <c r="S184" s="55">
        <f>O184*1.05</f>
        <v>0</v>
      </c>
      <c r="T184" s="57">
        <f t="shared" si="166"/>
        <v>0</v>
      </c>
      <c r="U184" s="57">
        <f t="shared" si="167"/>
        <v>0</v>
      </c>
      <c r="V184" s="59"/>
      <c r="W184" s="124">
        <f t="shared" si="168"/>
        <v>0</v>
      </c>
      <c r="X184" s="57">
        <f t="shared" si="168"/>
        <v>0</v>
      </c>
      <c r="Y184" s="84">
        <f t="shared" si="168"/>
        <v>0</v>
      </c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</row>
    <row r="185" spans="1:77" s="61" customFormat="1" x14ac:dyDescent="0.25">
      <c r="A185" s="52"/>
      <c r="B185" s="52"/>
      <c r="C185" s="124">
        <v>0</v>
      </c>
      <c r="D185" s="56">
        <v>0</v>
      </c>
      <c r="E185" s="56">
        <f t="shared" si="159"/>
        <v>0</v>
      </c>
      <c r="F185" s="58"/>
      <c r="G185" s="55">
        <f t="shared" si="160"/>
        <v>0</v>
      </c>
      <c r="H185" s="57">
        <f t="shared" si="160"/>
        <v>0</v>
      </c>
      <c r="I185" s="57">
        <f t="shared" si="161"/>
        <v>0</v>
      </c>
      <c r="J185" s="58"/>
      <c r="K185" s="55">
        <f t="shared" si="162"/>
        <v>0</v>
      </c>
      <c r="L185" s="57">
        <f t="shared" si="162"/>
        <v>0</v>
      </c>
      <c r="M185" s="57">
        <f t="shared" si="163"/>
        <v>0</v>
      </c>
      <c r="N185" s="58"/>
      <c r="O185" s="55">
        <f>K185*1.05</f>
        <v>0</v>
      </c>
      <c r="P185" s="57">
        <f t="shared" si="164"/>
        <v>0</v>
      </c>
      <c r="Q185" s="57">
        <f t="shared" si="165"/>
        <v>0</v>
      </c>
      <c r="R185" s="58"/>
      <c r="S185" s="55">
        <f>O185*1.05</f>
        <v>0</v>
      </c>
      <c r="T185" s="57">
        <f t="shared" si="166"/>
        <v>0</v>
      </c>
      <c r="U185" s="57">
        <f t="shared" si="167"/>
        <v>0</v>
      </c>
      <c r="V185" s="59"/>
      <c r="W185" s="124">
        <f t="shared" si="168"/>
        <v>0</v>
      </c>
      <c r="X185" s="57">
        <f t="shared" si="168"/>
        <v>0</v>
      </c>
      <c r="Y185" s="84">
        <f t="shared" si="168"/>
        <v>0</v>
      </c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</row>
    <row r="186" spans="1:77" s="83" customFormat="1" x14ac:dyDescent="0.25">
      <c r="A186" s="78"/>
      <c r="B186" s="78" t="s">
        <v>9</v>
      </c>
      <c r="C186" s="228">
        <f>SUM(C180:C185)</f>
        <v>0</v>
      </c>
      <c r="D186" s="125">
        <f>SUM(D180:D185)</f>
        <v>0</v>
      </c>
      <c r="E186" s="125">
        <f>SUM(E180:E185)</f>
        <v>0</v>
      </c>
      <c r="F186" s="81"/>
      <c r="G186" s="79">
        <f>SUM(G180:G185)</f>
        <v>0</v>
      </c>
      <c r="H186" s="80">
        <f>SUM(H180:H185)</f>
        <v>0</v>
      </c>
      <c r="I186" s="80">
        <f>SUM(I180:I185)</f>
        <v>0</v>
      </c>
      <c r="J186" s="81"/>
      <c r="K186" s="79">
        <f>SUM(K180:K185)</f>
        <v>0</v>
      </c>
      <c r="L186" s="80">
        <f>SUM(L180:L185)</f>
        <v>0</v>
      </c>
      <c r="M186" s="80">
        <f>SUM(M180:M185)</f>
        <v>0</v>
      </c>
      <c r="N186" s="81"/>
      <c r="O186" s="79">
        <f>SUM(O180:O185)</f>
        <v>0</v>
      </c>
      <c r="P186" s="80">
        <f>SUM(P180:P185)</f>
        <v>0</v>
      </c>
      <c r="Q186" s="80">
        <f>SUM(Q180:Q185)</f>
        <v>0</v>
      </c>
      <c r="R186" s="81"/>
      <c r="S186" s="79">
        <f>SUM(S180:S185)</f>
        <v>0</v>
      </c>
      <c r="T186" s="80">
        <f>SUM(T180:T185)</f>
        <v>0</v>
      </c>
      <c r="U186" s="80">
        <f>SUM(U180:U185)</f>
        <v>0</v>
      </c>
      <c r="V186" s="82"/>
      <c r="W186" s="228">
        <f t="shared" si="168"/>
        <v>0</v>
      </c>
      <c r="X186" s="80">
        <f t="shared" si="168"/>
        <v>0</v>
      </c>
      <c r="Y186" s="80">
        <f t="shared" si="168"/>
        <v>0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A188" s="52"/>
      <c r="B188" s="52"/>
      <c r="C188" s="124">
        <v>0</v>
      </c>
      <c r="D188" s="56">
        <v>0</v>
      </c>
      <c r="E188" s="56">
        <f t="shared" ref="E188:E194" si="176">SUM(C188:D188)</f>
        <v>0</v>
      </c>
      <c r="F188" s="58"/>
      <c r="G188" s="55">
        <f t="shared" ref="G188:G194" si="177">C188*1.05</f>
        <v>0</v>
      </c>
      <c r="H188" s="57">
        <v>0</v>
      </c>
      <c r="I188" s="57">
        <f t="shared" ref="I188:I194" si="178">SUM(G188:H188)</f>
        <v>0</v>
      </c>
      <c r="J188" s="58"/>
      <c r="K188" s="55">
        <f t="shared" ref="K188:K194" si="179">G188*1.05</f>
        <v>0</v>
      </c>
      <c r="L188" s="57">
        <v>0</v>
      </c>
      <c r="M188" s="57">
        <f t="shared" ref="M188:M194" si="180">SUM(K188:L188)</f>
        <v>0</v>
      </c>
      <c r="N188" s="58"/>
      <c r="O188" s="55">
        <f t="shared" ref="O188:O194" si="181">K188*1.05</f>
        <v>0</v>
      </c>
      <c r="P188" s="57">
        <v>0</v>
      </c>
      <c r="Q188" s="57">
        <f t="shared" ref="Q188:Q194" si="182">SUM(O188:P188)</f>
        <v>0</v>
      </c>
      <c r="R188" s="58"/>
      <c r="S188" s="55">
        <f t="shared" ref="S188:T194" si="183">O188*1.05</f>
        <v>0</v>
      </c>
      <c r="T188" s="57">
        <f t="shared" si="183"/>
        <v>0</v>
      </c>
      <c r="U188" s="57">
        <f t="shared" ref="U188:U194" si="184">SUM(S188:T188)</f>
        <v>0</v>
      </c>
      <c r="V188" s="59"/>
      <c r="W188" s="124">
        <f t="shared" ref="W188:Y195" si="185">C188+G188+K188+O188+S188</f>
        <v>0</v>
      </c>
      <c r="X188" s="57">
        <f t="shared" si="185"/>
        <v>0</v>
      </c>
      <c r="Y188" s="84">
        <f t="shared" si="185"/>
        <v>0</v>
      </c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</row>
    <row r="189" spans="1:77" s="61" customFormat="1" x14ac:dyDescent="0.25">
      <c r="A189" s="53"/>
      <c r="B189" s="52" t="s">
        <v>229</v>
      </c>
      <c r="C189" s="124">
        <f>(45910.8*1.03)*0.5*0</f>
        <v>0</v>
      </c>
      <c r="D189" s="56">
        <v>0</v>
      </c>
      <c r="E189" s="56">
        <f t="shared" ref="E189" si="186">SUM(C189:D189)</f>
        <v>0</v>
      </c>
      <c r="F189" s="58"/>
      <c r="G189" s="124">
        <f>((45910.8*1.03)*0.5)+2</f>
        <v>23646.062000000002</v>
      </c>
      <c r="H189" s="57">
        <f>D189*1.05</f>
        <v>0</v>
      </c>
      <c r="I189" s="57">
        <f t="shared" si="178"/>
        <v>23646.062000000002</v>
      </c>
      <c r="J189" s="58"/>
      <c r="K189" s="55">
        <f>G189*1.03*0</f>
        <v>0</v>
      </c>
      <c r="L189" s="57">
        <f>H189*1.05</f>
        <v>0</v>
      </c>
      <c r="M189" s="57">
        <f t="shared" si="180"/>
        <v>0</v>
      </c>
      <c r="N189" s="58"/>
      <c r="O189" s="55">
        <f>K189*1.03</f>
        <v>0</v>
      </c>
      <c r="P189" s="57">
        <f>L189*1.05</f>
        <v>0</v>
      </c>
      <c r="Q189" s="57">
        <f t="shared" si="182"/>
        <v>0</v>
      </c>
      <c r="R189" s="58"/>
      <c r="S189" s="55">
        <f>O189*1.03</f>
        <v>0</v>
      </c>
      <c r="T189" s="57">
        <f>P189*1.05</f>
        <v>0</v>
      </c>
      <c r="U189" s="57">
        <f t="shared" si="184"/>
        <v>0</v>
      </c>
      <c r="V189" s="59"/>
      <c r="W189" s="124">
        <f t="shared" si="185"/>
        <v>23646.062000000002</v>
      </c>
      <c r="X189" s="57">
        <f t="shared" si="185"/>
        <v>0</v>
      </c>
      <c r="Y189" s="60">
        <f t="shared" si="185"/>
        <v>23646.062000000002</v>
      </c>
    </row>
    <row r="190" spans="1:77" s="61" customFormat="1" x14ac:dyDescent="0.25">
      <c r="A190" s="52"/>
      <c r="B190" s="52"/>
      <c r="C190" s="124">
        <v>0</v>
      </c>
      <c r="D190" s="56">
        <v>0</v>
      </c>
      <c r="E190" s="56">
        <f t="shared" si="176"/>
        <v>0</v>
      </c>
      <c r="F190" s="58"/>
      <c r="G190" s="55">
        <f t="shared" si="177"/>
        <v>0</v>
      </c>
      <c r="H190" s="57">
        <v>0</v>
      </c>
      <c r="I190" s="57">
        <f t="shared" si="178"/>
        <v>0</v>
      </c>
      <c r="J190" s="58"/>
      <c r="K190" s="55">
        <f t="shared" si="179"/>
        <v>0</v>
      </c>
      <c r="L190" s="57">
        <v>0</v>
      </c>
      <c r="M190" s="57">
        <f t="shared" si="180"/>
        <v>0</v>
      </c>
      <c r="N190" s="58"/>
      <c r="O190" s="55">
        <f t="shared" si="181"/>
        <v>0</v>
      </c>
      <c r="P190" s="57">
        <v>0</v>
      </c>
      <c r="Q190" s="57">
        <f t="shared" si="182"/>
        <v>0</v>
      </c>
      <c r="R190" s="58"/>
      <c r="S190" s="55">
        <f t="shared" si="183"/>
        <v>0</v>
      </c>
      <c r="T190" s="57">
        <f t="shared" si="183"/>
        <v>0</v>
      </c>
      <c r="U190" s="57">
        <f t="shared" si="184"/>
        <v>0</v>
      </c>
      <c r="V190" s="59"/>
      <c r="W190" s="124">
        <f t="shared" si="185"/>
        <v>0</v>
      </c>
      <c r="X190" s="57">
        <f t="shared" si="185"/>
        <v>0</v>
      </c>
      <c r="Y190" s="84">
        <f t="shared" si="185"/>
        <v>0</v>
      </c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s="61" customFormat="1" x14ac:dyDescent="0.25">
      <c r="A191" s="87"/>
      <c r="B191" s="52"/>
      <c r="C191" s="124">
        <v>0</v>
      </c>
      <c r="D191" s="56">
        <v>0</v>
      </c>
      <c r="E191" s="56">
        <f t="shared" si="176"/>
        <v>0</v>
      </c>
      <c r="F191" s="58"/>
      <c r="G191" s="55">
        <f t="shared" si="177"/>
        <v>0</v>
      </c>
      <c r="H191" s="57">
        <v>0</v>
      </c>
      <c r="I191" s="57">
        <f t="shared" si="178"/>
        <v>0</v>
      </c>
      <c r="J191" s="58"/>
      <c r="K191" s="55">
        <f t="shared" si="179"/>
        <v>0</v>
      </c>
      <c r="L191" s="57">
        <v>0</v>
      </c>
      <c r="M191" s="57">
        <f t="shared" si="180"/>
        <v>0</v>
      </c>
      <c r="N191" s="58"/>
      <c r="O191" s="55">
        <f t="shared" si="181"/>
        <v>0</v>
      </c>
      <c r="P191" s="57">
        <v>0</v>
      </c>
      <c r="Q191" s="57">
        <f t="shared" si="182"/>
        <v>0</v>
      </c>
      <c r="R191" s="58"/>
      <c r="S191" s="55">
        <f t="shared" si="183"/>
        <v>0</v>
      </c>
      <c r="T191" s="57">
        <f t="shared" si="183"/>
        <v>0</v>
      </c>
      <c r="U191" s="57">
        <f t="shared" si="184"/>
        <v>0</v>
      </c>
      <c r="V191" s="59"/>
      <c r="W191" s="124">
        <f t="shared" si="185"/>
        <v>0</v>
      </c>
      <c r="X191" s="57">
        <f t="shared" si="185"/>
        <v>0</v>
      </c>
      <c r="Y191" s="84">
        <f t="shared" si="185"/>
        <v>0</v>
      </c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</row>
    <row r="192" spans="1:77" s="61" customFormat="1" x14ac:dyDescent="0.25">
      <c r="A192" s="52"/>
      <c r="B192" s="52"/>
      <c r="C192" s="124">
        <v>0</v>
      </c>
      <c r="D192" s="56">
        <v>0</v>
      </c>
      <c r="E192" s="56">
        <f t="shared" si="176"/>
        <v>0</v>
      </c>
      <c r="F192" s="58"/>
      <c r="G192" s="55">
        <f t="shared" si="177"/>
        <v>0</v>
      </c>
      <c r="H192" s="57">
        <v>0</v>
      </c>
      <c r="I192" s="57">
        <f t="shared" si="178"/>
        <v>0</v>
      </c>
      <c r="J192" s="58"/>
      <c r="K192" s="55">
        <f t="shared" si="179"/>
        <v>0</v>
      </c>
      <c r="L192" s="57">
        <v>0</v>
      </c>
      <c r="M192" s="57">
        <f t="shared" si="180"/>
        <v>0</v>
      </c>
      <c r="N192" s="58"/>
      <c r="O192" s="55">
        <f t="shared" si="181"/>
        <v>0</v>
      </c>
      <c r="P192" s="57">
        <v>0</v>
      </c>
      <c r="Q192" s="57">
        <f t="shared" si="182"/>
        <v>0</v>
      </c>
      <c r="R192" s="58"/>
      <c r="S192" s="55">
        <f t="shared" si="183"/>
        <v>0</v>
      </c>
      <c r="T192" s="57">
        <f t="shared" si="183"/>
        <v>0</v>
      </c>
      <c r="U192" s="57">
        <f t="shared" si="184"/>
        <v>0</v>
      </c>
      <c r="V192" s="59"/>
      <c r="W192" s="124">
        <f t="shared" si="185"/>
        <v>0</v>
      </c>
      <c r="X192" s="57">
        <f t="shared" si="185"/>
        <v>0</v>
      </c>
      <c r="Y192" s="84">
        <f t="shared" si="185"/>
        <v>0</v>
      </c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si="176"/>
        <v>0</v>
      </c>
      <c r="F193" s="58"/>
      <c r="G193" s="55">
        <f t="shared" si="177"/>
        <v>0</v>
      </c>
      <c r="H193" s="57">
        <v>0</v>
      </c>
      <c r="I193" s="57">
        <f t="shared" si="178"/>
        <v>0</v>
      </c>
      <c r="J193" s="58"/>
      <c r="K193" s="55">
        <f t="shared" si="179"/>
        <v>0</v>
      </c>
      <c r="L193" s="57">
        <v>0</v>
      </c>
      <c r="M193" s="57">
        <f t="shared" si="180"/>
        <v>0</v>
      </c>
      <c r="N193" s="58"/>
      <c r="O193" s="55">
        <f t="shared" si="181"/>
        <v>0</v>
      </c>
      <c r="P193" s="57">
        <v>0</v>
      </c>
      <c r="Q193" s="57">
        <f t="shared" si="182"/>
        <v>0</v>
      </c>
      <c r="R193" s="58"/>
      <c r="S193" s="55">
        <f t="shared" si="183"/>
        <v>0</v>
      </c>
      <c r="T193" s="57">
        <f t="shared" si="183"/>
        <v>0</v>
      </c>
      <c r="U193" s="57">
        <f t="shared" si="184"/>
        <v>0</v>
      </c>
      <c r="V193" s="59"/>
      <c r="W193" s="124">
        <f t="shared" si="185"/>
        <v>0</v>
      </c>
      <c r="X193" s="57">
        <f t="shared" si="185"/>
        <v>0</v>
      </c>
      <c r="Y193" s="84">
        <f t="shared" si="185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176"/>
        <v>0</v>
      </c>
      <c r="F194" s="74"/>
      <c r="G194" s="55">
        <f t="shared" si="177"/>
        <v>0</v>
      </c>
      <c r="H194" s="57">
        <v>0</v>
      </c>
      <c r="I194" s="57">
        <f t="shared" si="178"/>
        <v>0</v>
      </c>
      <c r="J194" s="74"/>
      <c r="K194" s="55">
        <f t="shared" si="179"/>
        <v>0</v>
      </c>
      <c r="L194" s="57">
        <v>0</v>
      </c>
      <c r="M194" s="57">
        <f t="shared" si="180"/>
        <v>0</v>
      </c>
      <c r="N194" s="74"/>
      <c r="O194" s="55">
        <f t="shared" si="181"/>
        <v>0</v>
      </c>
      <c r="P194" s="57">
        <v>0</v>
      </c>
      <c r="Q194" s="57">
        <f t="shared" si="182"/>
        <v>0</v>
      </c>
      <c r="R194" s="74"/>
      <c r="S194" s="55">
        <f t="shared" si="183"/>
        <v>0</v>
      </c>
      <c r="T194" s="57">
        <f t="shared" si="183"/>
        <v>0</v>
      </c>
      <c r="U194" s="57">
        <f t="shared" si="184"/>
        <v>0</v>
      </c>
      <c r="V194" s="59"/>
      <c r="W194" s="124">
        <f t="shared" si="185"/>
        <v>0</v>
      </c>
      <c r="X194" s="57">
        <f t="shared" si="185"/>
        <v>0</v>
      </c>
      <c r="Y194" s="84">
        <f t="shared" si="185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0</v>
      </c>
      <c r="D195" s="125">
        <f>SUM(D188:D194)</f>
        <v>0</v>
      </c>
      <c r="E195" s="125">
        <f>SUM(E188:E194)</f>
        <v>0</v>
      </c>
      <c r="F195" s="81"/>
      <c r="G195" s="79">
        <f>SUM(G188:G194)</f>
        <v>23646.062000000002</v>
      </c>
      <c r="H195" s="80">
        <f>SUM(H188:H194)</f>
        <v>0</v>
      </c>
      <c r="I195" s="80">
        <f>SUM(I188:I194)</f>
        <v>23646.062000000002</v>
      </c>
      <c r="J195" s="81"/>
      <c r="K195" s="79">
        <f>SUM(K188:K194)</f>
        <v>0</v>
      </c>
      <c r="L195" s="80">
        <f>SUM(L188:L194)</f>
        <v>0</v>
      </c>
      <c r="M195" s="80">
        <f>SUM(M188:M194)</f>
        <v>0</v>
      </c>
      <c r="N195" s="81"/>
      <c r="O195" s="79">
        <f>SUM(O188:O194)</f>
        <v>0</v>
      </c>
      <c r="P195" s="80">
        <f>SUM(P188:P194)</f>
        <v>0</v>
      </c>
      <c r="Q195" s="80">
        <f>SUM(Q188:Q194)</f>
        <v>0</v>
      </c>
      <c r="R195" s="81"/>
      <c r="S195" s="79">
        <f>SUM(S188:S194)</f>
        <v>0</v>
      </c>
      <c r="T195" s="80">
        <f>SUM(T188:T194)</f>
        <v>0</v>
      </c>
      <c r="U195" s="80">
        <f>SUM(U188:U194)</f>
        <v>0</v>
      </c>
      <c r="V195" s="82"/>
      <c r="W195" s="228">
        <f t="shared" si="185"/>
        <v>23646.062000000002</v>
      </c>
      <c r="X195" s="80">
        <f t="shared" si="185"/>
        <v>0</v>
      </c>
      <c r="Y195" s="80">
        <f t="shared" si="185"/>
        <v>23646.062000000002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>C195+C186</f>
        <v>0</v>
      </c>
      <c r="D196" s="107">
        <f t="shared" ref="D196:X196" si="187">D195+D186</f>
        <v>0</v>
      </c>
      <c r="E196" s="107">
        <f t="shared" si="187"/>
        <v>0</v>
      </c>
      <c r="F196" s="107">
        <f t="shared" si="187"/>
        <v>0</v>
      </c>
      <c r="G196" s="107">
        <f t="shared" si="187"/>
        <v>23646.062000000002</v>
      </c>
      <c r="H196" s="107">
        <f t="shared" si="187"/>
        <v>0</v>
      </c>
      <c r="I196" s="107">
        <f t="shared" si="187"/>
        <v>23646.062000000002</v>
      </c>
      <c r="J196" s="107">
        <f t="shared" si="187"/>
        <v>0</v>
      </c>
      <c r="K196" s="107">
        <f t="shared" si="187"/>
        <v>0</v>
      </c>
      <c r="L196" s="107">
        <f t="shared" si="187"/>
        <v>0</v>
      </c>
      <c r="M196" s="107">
        <f t="shared" si="187"/>
        <v>0</v>
      </c>
      <c r="N196" s="107">
        <f t="shared" si="187"/>
        <v>0</v>
      </c>
      <c r="O196" s="107">
        <f t="shared" si="187"/>
        <v>0</v>
      </c>
      <c r="P196" s="107">
        <f t="shared" si="187"/>
        <v>0</v>
      </c>
      <c r="Q196" s="107">
        <f t="shared" si="187"/>
        <v>0</v>
      </c>
      <c r="R196" s="107">
        <f t="shared" si="187"/>
        <v>0</v>
      </c>
      <c r="S196" s="107">
        <f t="shared" si="187"/>
        <v>0</v>
      </c>
      <c r="T196" s="107">
        <f t="shared" si="187"/>
        <v>0</v>
      </c>
      <c r="U196" s="107">
        <f t="shared" si="187"/>
        <v>0</v>
      </c>
      <c r="V196" s="107">
        <f t="shared" si="187"/>
        <v>0</v>
      </c>
      <c r="W196" s="107">
        <f t="shared" si="187"/>
        <v>23646.062000000002</v>
      </c>
      <c r="X196" s="107">
        <f t="shared" si="187"/>
        <v>0</v>
      </c>
      <c r="Y196" s="108">
        <f>E196+I196+M196+Q196+U196</f>
        <v>23646.062000000002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77" customFormat="1" x14ac:dyDescent="0.25">
      <c r="A197" s="74" t="s">
        <v>6</v>
      </c>
      <c r="B197" s="74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129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s="61" customFormat="1" x14ac:dyDescent="0.25">
      <c r="A198" s="50">
        <v>3.6999999999999998E-2</v>
      </c>
      <c r="B198" s="52" t="s">
        <v>107</v>
      </c>
      <c r="C198" s="124">
        <f>C180*0.35</f>
        <v>0</v>
      </c>
      <c r="D198" s="56">
        <v>0</v>
      </c>
      <c r="E198" s="56">
        <f t="shared" ref="E198:E203" si="188">SUM(C198:D198)</f>
        <v>0</v>
      </c>
      <c r="F198" s="58"/>
      <c r="G198" s="55">
        <f>C198*1.05</f>
        <v>0</v>
      </c>
      <c r="H198" s="57">
        <v>0</v>
      </c>
      <c r="I198" s="57">
        <f t="shared" ref="I198:I203" si="189">SUM(G198:H198)</f>
        <v>0</v>
      </c>
      <c r="J198" s="58"/>
      <c r="K198" s="55">
        <f>G198*1.05</f>
        <v>0</v>
      </c>
      <c r="L198" s="57">
        <v>0</v>
      </c>
      <c r="M198" s="57">
        <f t="shared" ref="M198:M203" si="190">SUM(K198:L198)</f>
        <v>0</v>
      </c>
      <c r="N198" s="58"/>
      <c r="O198" s="55">
        <f>K198*1.05</f>
        <v>0</v>
      </c>
      <c r="P198" s="57">
        <v>0</v>
      </c>
      <c r="Q198" s="57">
        <f t="shared" ref="Q198:Q203" si="191">SUM(O198:P198)</f>
        <v>0</v>
      </c>
      <c r="R198" s="58"/>
      <c r="S198" s="55">
        <f>O198*1.05</f>
        <v>0</v>
      </c>
      <c r="T198" s="57">
        <v>0</v>
      </c>
      <c r="U198" s="57">
        <f t="shared" ref="U198:U203" si="192">SUM(S198:T198)</f>
        <v>0</v>
      </c>
      <c r="V198" s="59"/>
      <c r="W198" s="124">
        <f t="shared" ref="W198:Y204" si="193">C198+G198+K198+O198+S198</f>
        <v>0</v>
      </c>
      <c r="X198" s="57">
        <f t="shared" si="193"/>
        <v>0</v>
      </c>
      <c r="Y198" s="84">
        <f t="shared" si="193"/>
        <v>0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C189*A199*0</f>
        <v>0</v>
      </c>
      <c r="D199" s="56">
        <v>0</v>
      </c>
      <c r="E199" s="56">
        <f t="shared" si="188"/>
        <v>0</v>
      </c>
      <c r="F199" s="58"/>
      <c r="G199" s="55">
        <f>G189*A199*0</f>
        <v>0</v>
      </c>
      <c r="H199" s="57">
        <f>D199*1.05</f>
        <v>0</v>
      </c>
      <c r="I199" s="57">
        <f t="shared" si="189"/>
        <v>0</v>
      </c>
      <c r="J199" s="58"/>
      <c r="K199" s="55">
        <f>G199*1.05</f>
        <v>0</v>
      </c>
      <c r="L199" s="57">
        <f>H199*1.05</f>
        <v>0</v>
      </c>
      <c r="M199" s="57">
        <f t="shared" si="190"/>
        <v>0</v>
      </c>
      <c r="N199" s="58"/>
      <c r="O199" s="55">
        <f>K199*1.05</f>
        <v>0</v>
      </c>
      <c r="P199" s="57">
        <f>L199*1.05</f>
        <v>0</v>
      </c>
      <c r="Q199" s="57">
        <f t="shared" si="191"/>
        <v>0</v>
      </c>
      <c r="R199" s="58"/>
      <c r="S199" s="55">
        <f>O199*1.05</f>
        <v>0</v>
      </c>
      <c r="T199" s="57">
        <f>P199*1.05</f>
        <v>0</v>
      </c>
      <c r="U199" s="57">
        <f t="shared" si="192"/>
        <v>0</v>
      </c>
      <c r="V199" s="59"/>
      <c r="W199" s="124">
        <f t="shared" si="193"/>
        <v>0</v>
      </c>
      <c r="X199" s="57">
        <f t="shared" si="193"/>
        <v>0</v>
      </c>
      <c r="Y199" s="84">
        <f t="shared" si="193"/>
        <v>0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61" customFormat="1" x14ac:dyDescent="0.25">
      <c r="A200" s="3">
        <v>0.36099999999999999</v>
      </c>
      <c r="B200" s="52" t="s">
        <v>52</v>
      </c>
      <c r="C200" s="124">
        <v>0</v>
      </c>
      <c r="D200" s="56">
        <v>0</v>
      </c>
      <c r="E200" s="56">
        <f t="shared" si="188"/>
        <v>0</v>
      </c>
      <c r="F200" s="58"/>
      <c r="G200" s="55">
        <f>C200*1.05</f>
        <v>0</v>
      </c>
      <c r="H200" s="57">
        <f>D200*1.05</f>
        <v>0</v>
      </c>
      <c r="I200" s="57">
        <f t="shared" si="189"/>
        <v>0</v>
      </c>
      <c r="J200" s="58"/>
      <c r="K200" s="55">
        <f>G200*1.05</f>
        <v>0</v>
      </c>
      <c r="L200" s="57">
        <f>H200*1.05</f>
        <v>0</v>
      </c>
      <c r="M200" s="57">
        <f t="shared" si="190"/>
        <v>0</v>
      </c>
      <c r="N200" s="58"/>
      <c r="O200" s="168">
        <f>O186*A200</f>
        <v>0</v>
      </c>
      <c r="P200" s="57">
        <f>L200*1.05</f>
        <v>0</v>
      </c>
      <c r="Q200" s="57">
        <f t="shared" si="191"/>
        <v>0</v>
      </c>
      <c r="R200" s="58"/>
      <c r="S200" s="55">
        <f>O200*1.05*0</f>
        <v>0</v>
      </c>
      <c r="T200" s="57">
        <f>P200*1.05</f>
        <v>0</v>
      </c>
      <c r="U200" s="57">
        <f t="shared" si="192"/>
        <v>0</v>
      </c>
      <c r="V200" s="59"/>
      <c r="W200" s="124">
        <f t="shared" si="193"/>
        <v>0</v>
      </c>
      <c r="X200" s="57">
        <f t="shared" si="193"/>
        <v>0</v>
      </c>
      <c r="Y200" s="84">
        <f t="shared" si="193"/>
        <v>0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61" customFormat="1" x14ac:dyDescent="0.25">
      <c r="A201" s="50">
        <v>0.34899999999999998</v>
      </c>
      <c r="B201" s="52" t="s">
        <v>109</v>
      </c>
      <c r="C201" s="124">
        <f>C189*A201*1.03</f>
        <v>0</v>
      </c>
      <c r="D201" s="56">
        <v>0</v>
      </c>
      <c r="E201" s="56">
        <f t="shared" si="188"/>
        <v>0</v>
      </c>
      <c r="F201" s="58"/>
      <c r="G201" s="124">
        <f>G189*A201*1.03</f>
        <v>8500.0499071400009</v>
      </c>
      <c r="H201" s="57">
        <f>D201*1.1</f>
        <v>0</v>
      </c>
      <c r="I201" s="57">
        <f t="shared" si="189"/>
        <v>8500.0499071400009</v>
      </c>
      <c r="J201" s="58"/>
      <c r="K201" s="55">
        <f>G201*1.1*0</f>
        <v>0</v>
      </c>
      <c r="L201" s="57">
        <f>H201*1.1</f>
        <v>0</v>
      </c>
      <c r="M201" s="57">
        <f t="shared" si="190"/>
        <v>0</v>
      </c>
      <c r="N201" s="58"/>
      <c r="O201" s="55">
        <f>K201*1.1</f>
        <v>0</v>
      </c>
      <c r="P201" s="57">
        <f>L201*1.1</f>
        <v>0</v>
      </c>
      <c r="Q201" s="57">
        <f t="shared" si="191"/>
        <v>0</v>
      </c>
      <c r="R201" s="58"/>
      <c r="S201" s="55">
        <f>O201*1.1</f>
        <v>0</v>
      </c>
      <c r="T201" s="57">
        <f>P201*1.1</f>
        <v>0</v>
      </c>
      <c r="U201" s="57">
        <f t="shared" si="192"/>
        <v>0</v>
      </c>
      <c r="V201" s="59"/>
      <c r="W201" s="124">
        <f t="shared" si="193"/>
        <v>8500.0499071400009</v>
      </c>
      <c r="X201" s="57">
        <f t="shared" si="193"/>
        <v>0</v>
      </c>
      <c r="Y201" s="84">
        <f t="shared" si="193"/>
        <v>8500.0499071400009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f>C190*0.089</f>
        <v>0</v>
      </c>
      <c r="D202" s="56">
        <v>0</v>
      </c>
      <c r="E202" s="56">
        <f t="shared" si="188"/>
        <v>0</v>
      </c>
      <c r="F202" s="58"/>
      <c r="G202" s="55">
        <f>C202*1.05</f>
        <v>0</v>
      </c>
      <c r="H202" s="57">
        <v>0</v>
      </c>
      <c r="I202" s="57">
        <f t="shared" si="189"/>
        <v>0</v>
      </c>
      <c r="J202" s="58"/>
      <c r="K202" s="55">
        <f>G202*1.05</f>
        <v>0</v>
      </c>
      <c r="L202" s="57">
        <v>0</v>
      </c>
      <c r="M202" s="57">
        <f t="shared" si="190"/>
        <v>0</v>
      </c>
      <c r="N202" s="58"/>
      <c r="O202" s="55">
        <f>K202*1.05</f>
        <v>0</v>
      </c>
      <c r="P202" s="57">
        <v>0</v>
      </c>
      <c r="Q202" s="57">
        <f t="shared" si="191"/>
        <v>0</v>
      </c>
      <c r="R202" s="58"/>
      <c r="S202" s="55">
        <f>O202*1.05</f>
        <v>0</v>
      </c>
      <c r="T202" s="57">
        <v>0</v>
      </c>
      <c r="U202" s="57">
        <f t="shared" si="192"/>
        <v>0</v>
      </c>
      <c r="V202" s="59"/>
      <c r="W202" s="124">
        <f t="shared" si="193"/>
        <v>0</v>
      </c>
      <c r="X202" s="57">
        <f t="shared" si="193"/>
        <v>0</v>
      </c>
      <c r="Y202" s="84">
        <f t="shared" si="193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f>C191*0.089</f>
        <v>0</v>
      </c>
      <c r="D203" s="56">
        <v>0</v>
      </c>
      <c r="E203" s="56">
        <f t="shared" si="188"/>
        <v>0</v>
      </c>
      <c r="F203" s="58"/>
      <c r="G203" s="55">
        <f>C203*1.05</f>
        <v>0</v>
      </c>
      <c r="H203" s="57">
        <v>0</v>
      </c>
      <c r="I203" s="57">
        <f t="shared" si="189"/>
        <v>0</v>
      </c>
      <c r="J203" s="58"/>
      <c r="K203" s="55">
        <f>G203*1.05</f>
        <v>0</v>
      </c>
      <c r="L203" s="57">
        <v>0</v>
      </c>
      <c r="M203" s="57">
        <f t="shared" si="190"/>
        <v>0</v>
      </c>
      <c r="N203" s="58"/>
      <c r="O203" s="55">
        <f>K203*1.05</f>
        <v>0</v>
      </c>
      <c r="P203" s="57">
        <v>0</v>
      </c>
      <c r="Q203" s="57">
        <f t="shared" si="191"/>
        <v>0</v>
      </c>
      <c r="R203" s="58"/>
      <c r="S203" s="55">
        <f>O203*1.05</f>
        <v>0</v>
      </c>
      <c r="T203" s="57">
        <v>0</v>
      </c>
      <c r="U203" s="57">
        <f t="shared" si="192"/>
        <v>0</v>
      </c>
      <c r="V203" s="59"/>
      <c r="W203" s="124">
        <f t="shared" si="193"/>
        <v>0</v>
      </c>
      <c r="X203" s="57">
        <f t="shared" si="193"/>
        <v>0</v>
      </c>
      <c r="Y203" s="84">
        <f t="shared" si="193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0</v>
      </c>
      <c r="D204" s="125">
        <f>SUM(D198:D203)</f>
        <v>0</v>
      </c>
      <c r="E204" s="125">
        <f>SUM(E198:E203)</f>
        <v>0</v>
      </c>
      <c r="F204" s="81"/>
      <c r="G204" s="79">
        <f>SUM(G198:G203)</f>
        <v>8500.0499071400009</v>
      </c>
      <c r="H204" s="80">
        <f>SUM(H198:H203)</f>
        <v>0</v>
      </c>
      <c r="I204" s="80">
        <f>SUM(I198:I203)</f>
        <v>8500.0499071400009</v>
      </c>
      <c r="J204" s="81"/>
      <c r="K204" s="79">
        <f>SUM(K198:K203)</f>
        <v>0</v>
      </c>
      <c r="L204" s="80">
        <f>SUM(L198:L203)</f>
        <v>0</v>
      </c>
      <c r="M204" s="80">
        <f>SUM(M198:M203)</f>
        <v>0</v>
      </c>
      <c r="N204" s="81"/>
      <c r="O204" s="79">
        <f>SUM(O198:O203)</f>
        <v>0</v>
      </c>
      <c r="P204" s="80">
        <f>SUM(P198:P203)</f>
        <v>0</v>
      </c>
      <c r="Q204" s="80">
        <f>SUM(Q198:Q203)</f>
        <v>0</v>
      </c>
      <c r="R204" s="81"/>
      <c r="S204" s="79">
        <f>SUM(S198:S203)</f>
        <v>0</v>
      </c>
      <c r="T204" s="80">
        <f>SUM(T198:T203)</f>
        <v>0</v>
      </c>
      <c r="U204" s="80">
        <f>SUM(U198:U203)</f>
        <v>0</v>
      </c>
      <c r="V204" s="82"/>
      <c r="W204" s="228">
        <f t="shared" si="193"/>
        <v>8500.0499071400009</v>
      </c>
      <c r="X204" s="80">
        <f t="shared" si="193"/>
        <v>0</v>
      </c>
      <c r="Y204" s="80">
        <f t="shared" si="193"/>
        <v>8500.0499071400009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194">C204+C196</f>
        <v>0</v>
      </c>
      <c r="D205" s="107">
        <f t="shared" si="194"/>
        <v>0</v>
      </c>
      <c r="E205" s="107">
        <f t="shared" si="194"/>
        <v>0</v>
      </c>
      <c r="F205" s="107">
        <f t="shared" si="194"/>
        <v>0</v>
      </c>
      <c r="G205" s="107">
        <f t="shared" si="194"/>
        <v>32146.111907140003</v>
      </c>
      <c r="H205" s="107">
        <f t="shared" si="194"/>
        <v>0</v>
      </c>
      <c r="I205" s="107">
        <f t="shared" si="194"/>
        <v>32146.111907140003</v>
      </c>
      <c r="J205" s="107">
        <f t="shared" si="194"/>
        <v>0</v>
      </c>
      <c r="K205" s="107">
        <f t="shared" si="194"/>
        <v>0</v>
      </c>
      <c r="L205" s="107">
        <f t="shared" si="194"/>
        <v>0</v>
      </c>
      <c r="M205" s="107">
        <f t="shared" si="194"/>
        <v>0</v>
      </c>
      <c r="N205" s="107">
        <f t="shared" si="194"/>
        <v>0</v>
      </c>
      <c r="O205" s="107">
        <f t="shared" si="194"/>
        <v>0</v>
      </c>
      <c r="P205" s="107">
        <f t="shared" si="194"/>
        <v>0</v>
      </c>
      <c r="Q205" s="107">
        <f t="shared" si="194"/>
        <v>0</v>
      </c>
      <c r="R205" s="107">
        <f t="shared" si="194"/>
        <v>0</v>
      </c>
      <c r="S205" s="107">
        <f t="shared" si="194"/>
        <v>0</v>
      </c>
      <c r="T205" s="107">
        <f t="shared" si="194"/>
        <v>0</v>
      </c>
      <c r="U205" s="107">
        <f t="shared" si="194"/>
        <v>0</v>
      </c>
      <c r="V205" s="107">
        <f t="shared" si="194"/>
        <v>0</v>
      </c>
      <c r="W205" s="107">
        <f t="shared" si="194"/>
        <v>32146.111907140003</v>
      </c>
      <c r="X205" s="107">
        <f t="shared" si="194"/>
        <v>0</v>
      </c>
      <c r="Y205" s="107">
        <f t="shared" si="194"/>
        <v>32146.111907140003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52"/>
      <c r="C207" s="124">
        <v>0</v>
      </c>
      <c r="D207" s="56">
        <v>0</v>
      </c>
      <c r="E207" s="56">
        <f t="shared" ref="E207:E216" si="195">SUM(C207:D207)</f>
        <v>0</v>
      </c>
      <c r="F207" s="58"/>
      <c r="G207" s="55">
        <v>0</v>
      </c>
      <c r="H207" s="57">
        <v>0</v>
      </c>
      <c r="I207" s="57">
        <f t="shared" ref="I207:I216" si="196">SUM(G207:H207)</f>
        <v>0</v>
      </c>
      <c r="J207" s="58"/>
      <c r="K207" s="55">
        <v>0</v>
      </c>
      <c r="L207" s="57">
        <v>0</v>
      </c>
      <c r="M207" s="57">
        <f t="shared" ref="M207:M216" si="197">SUM(K207:L207)</f>
        <v>0</v>
      </c>
      <c r="N207" s="58"/>
      <c r="O207" s="55">
        <v>0</v>
      </c>
      <c r="P207" s="57">
        <v>0</v>
      </c>
      <c r="Q207" s="57">
        <f t="shared" ref="Q207:Q216" si="198">SUM(O207:P207)</f>
        <v>0</v>
      </c>
      <c r="R207" s="58"/>
      <c r="S207" s="55">
        <v>0</v>
      </c>
      <c r="T207" s="57">
        <v>0</v>
      </c>
      <c r="U207" s="57">
        <f t="shared" ref="U207:U216" si="199">SUM(S207:T207)</f>
        <v>0</v>
      </c>
      <c r="V207" s="59"/>
      <c r="W207" s="124">
        <f t="shared" ref="W207:W217" si="200">C207+G207+K207+O207+S207</f>
        <v>0</v>
      </c>
      <c r="X207" s="57">
        <f t="shared" ref="X207:X217" si="201">D207+H207+L207+P207+T207</f>
        <v>0</v>
      </c>
      <c r="Y207" s="84">
        <f t="shared" ref="Y207:Y217" si="202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A208" s="52"/>
      <c r="B208" s="52"/>
      <c r="C208" s="124">
        <v>0</v>
      </c>
      <c r="D208" s="56">
        <v>0</v>
      </c>
      <c r="E208" s="56">
        <f t="shared" si="195"/>
        <v>0</v>
      </c>
      <c r="F208" s="58"/>
      <c r="G208" s="55">
        <v>0</v>
      </c>
      <c r="H208" s="57">
        <v>0</v>
      </c>
      <c r="I208" s="57">
        <f t="shared" si="196"/>
        <v>0</v>
      </c>
      <c r="J208" s="58"/>
      <c r="K208" s="55">
        <v>0</v>
      </c>
      <c r="L208" s="57">
        <v>0</v>
      </c>
      <c r="M208" s="57">
        <f t="shared" si="197"/>
        <v>0</v>
      </c>
      <c r="N208" s="58"/>
      <c r="O208" s="55">
        <v>0</v>
      </c>
      <c r="P208" s="57">
        <v>0</v>
      </c>
      <c r="Q208" s="57">
        <f t="shared" si="198"/>
        <v>0</v>
      </c>
      <c r="R208" s="58"/>
      <c r="S208" s="55">
        <v>0</v>
      </c>
      <c r="T208" s="57">
        <v>0</v>
      </c>
      <c r="U208" s="57">
        <f t="shared" si="199"/>
        <v>0</v>
      </c>
      <c r="V208" s="59"/>
      <c r="W208" s="124">
        <f t="shared" si="200"/>
        <v>0</v>
      </c>
      <c r="X208" s="57">
        <f t="shared" si="201"/>
        <v>0</v>
      </c>
      <c r="Y208" s="84">
        <f t="shared" si="202"/>
        <v>0</v>
      </c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s="61" customFormat="1" x14ac:dyDescent="0.25">
      <c r="A209" s="52"/>
      <c r="B209" s="52"/>
      <c r="C209" s="124">
        <v>0</v>
      </c>
      <c r="D209" s="56">
        <v>0</v>
      </c>
      <c r="E209" s="56">
        <f t="shared" si="195"/>
        <v>0</v>
      </c>
      <c r="F209" s="58"/>
      <c r="G209" s="55">
        <v>0</v>
      </c>
      <c r="H209" s="57">
        <v>0</v>
      </c>
      <c r="I209" s="57">
        <f t="shared" si="196"/>
        <v>0</v>
      </c>
      <c r="J209" s="58"/>
      <c r="K209" s="55">
        <v>0</v>
      </c>
      <c r="L209" s="57">
        <v>0</v>
      </c>
      <c r="M209" s="57">
        <f t="shared" si="197"/>
        <v>0</v>
      </c>
      <c r="N209" s="58"/>
      <c r="O209" s="55">
        <v>0</v>
      </c>
      <c r="P209" s="57">
        <v>0</v>
      </c>
      <c r="Q209" s="57">
        <f t="shared" si="198"/>
        <v>0</v>
      </c>
      <c r="R209" s="58"/>
      <c r="S209" s="55">
        <v>0</v>
      </c>
      <c r="T209" s="57">
        <v>0</v>
      </c>
      <c r="U209" s="57">
        <f t="shared" si="199"/>
        <v>0</v>
      </c>
      <c r="V209" s="59"/>
      <c r="W209" s="124">
        <f t="shared" si="200"/>
        <v>0</v>
      </c>
      <c r="X209" s="57">
        <f t="shared" si="201"/>
        <v>0</v>
      </c>
      <c r="Y209" s="84">
        <f t="shared" si="202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52"/>
      <c r="B210" s="52"/>
      <c r="C210" s="124">
        <v>0</v>
      </c>
      <c r="D210" s="56">
        <v>0</v>
      </c>
      <c r="E210" s="56">
        <f t="shared" si="195"/>
        <v>0</v>
      </c>
      <c r="F210" s="58"/>
      <c r="G210" s="55">
        <v>0</v>
      </c>
      <c r="H210" s="57">
        <v>0</v>
      </c>
      <c r="I210" s="57">
        <f t="shared" si="196"/>
        <v>0</v>
      </c>
      <c r="J210" s="58"/>
      <c r="K210" s="55">
        <v>0</v>
      </c>
      <c r="L210" s="57">
        <v>0</v>
      </c>
      <c r="M210" s="57">
        <f t="shared" si="197"/>
        <v>0</v>
      </c>
      <c r="N210" s="58"/>
      <c r="O210" s="55">
        <v>0</v>
      </c>
      <c r="P210" s="57">
        <v>0</v>
      </c>
      <c r="Q210" s="57">
        <f t="shared" si="198"/>
        <v>0</v>
      </c>
      <c r="R210" s="58"/>
      <c r="S210" s="55">
        <v>0</v>
      </c>
      <c r="T210" s="57">
        <v>0</v>
      </c>
      <c r="U210" s="57">
        <f t="shared" si="199"/>
        <v>0</v>
      </c>
      <c r="V210" s="59"/>
      <c r="W210" s="124">
        <f t="shared" si="200"/>
        <v>0</v>
      </c>
      <c r="X210" s="57">
        <f t="shared" si="201"/>
        <v>0</v>
      </c>
      <c r="Y210" s="84">
        <f t="shared" si="202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52"/>
      <c r="B211" s="52"/>
      <c r="C211" s="124">
        <v>0</v>
      </c>
      <c r="D211" s="56">
        <v>0</v>
      </c>
      <c r="E211" s="56">
        <f t="shared" si="195"/>
        <v>0</v>
      </c>
      <c r="F211" s="58"/>
      <c r="G211" s="55">
        <v>0</v>
      </c>
      <c r="H211" s="57">
        <v>0</v>
      </c>
      <c r="I211" s="57">
        <f t="shared" si="196"/>
        <v>0</v>
      </c>
      <c r="J211" s="58"/>
      <c r="K211" s="55">
        <v>0</v>
      </c>
      <c r="L211" s="57">
        <v>0</v>
      </c>
      <c r="M211" s="57">
        <f t="shared" si="197"/>
        <v>0</v>
      </c>
      <c r="N211" s="58"/>
      <c r="O211" s="55">
        <v>0</v>
      </c>
      <c r="P211" s="57">
        <v>0</v>
      </c>
      <c r="Q211" s="57">
        <f t="shared" si="198"/>
        <v>0</v>
      </c>
      <c r="R211" s="58"/>
      <c r="S211" s="55">
        <v>0</v>
      </c>
      <c r="T211" s="57">
        <v>0</v>
      </c>
      <c r="U211" s="57">
        <f t="shared" si="199"/>
        <v>0</v>
      </c>
      <c r="V211" s="59"/>
      <c r="W211" s="124">
        <f t="shared" si="200"/>
        <v>0</v>
      </c>
      <c r="X211" s="57">
        <f t="shared" si="201"/>
        <v>0</v>
      </c>
      <c r="Y211" s="84">
        <f t="shared" si="202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52"/>
      <c r="B212" s="52"/>
      <c r="C212" s="124">
        <v>0</v>
      </c>
      <c r="D212" s="56">
        <v>0</v>
      </c>
      <c r="E212" s="56">
        <f t="shared" si="195"/>
        <v>0</v>
      </c>
      <c r="F212" s="58"/>
      <c r="G212" s="55">
        <v>0</v>
      </c>
      <c r="H212" s="57">
        <v>0</v>
      </c>
      <c r="I212" s="57">
        <f t="shared" si="196"/>
        <v>0</v>
      </c>
      <c r="J212" s="58"/>
      <c r="K212" s="55">
        <v>0</v>
      </c>
      <c r="L212" s="57">
        <v>0</v>
      </c>
      <c r="M212" s="57">
        <f t="shared" si="197"/>
        <v>0</v>
      </c>
      <c r="N212" s="58"/>
      <c r="O212" s="55">
        <v>0</v>
      </c>
      <c r="P212" s="57">
        <v>0</v>
      </c>
      <c r="Q212" s="57">
        <f t="shared" si="198"/>
        <v>0</v>
      </c>
      <c r="R212" s="58"/>
      <c r="S212" s="55">
        <v>0</v>
      </c>
      <c r="T212" s="57">
        <v>0</v>
      </c>
      <c r="U212" s="57">
        <f t="shared" si="199"/>
        <v>0</v>
      </c>
      <c r="V212" s="59"/>
      <c r="W212" s="124">
        <f t="shared" si="200"/>
        <v>0</v>
      </c>
      <c r="X212" s="57">
        <f t="shared" si="201"/>
        <v>0</v>
      </c>
      <c r="Y212" s="84">
        <f t="shared" si="202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195"/>
        <v>0</v>
      </c>
      <c r="F213" s="58"/>
      <c r="G213" s="55">
        <v>0</v>
      </c>
      <c r="H213" s="57">
        <v>0</v>
      </c>
      <c r="I213" s="57">
        <f t="shared" si="196"/>
        <v>0</v>
      </c>
      <c r="J213" s="58"/>
      <c r="K213" s="55">
        <v>0</v>
      </c>
      <c r="L213" s="57">
        <v>0</v>
      </c>
      <c r="M213" s="57">
        <f t="shared" si="197"/>
        <v>0</v>
      </c>
      <c r="N213" s="58"/>
      <c r="O213" s="55">
        <v>0</v>
      </c>
      <c r="P213" s="57">
        <v>0</v>
      </c>
      <c r="Q213" s="57">
        <f t="shared" si="198"/>
        <v>0</v>
      </c>
      <c r="R213" s="58"/>
      <c r="S213" s="55">
        <v>0</v>
      </c>
      <c r="T213" s="57">
        <v>0</v>
      </c>
      <c r="U213" s="57">
        <f t="shared" si="199"/>
        <v>0</v>
      </c>
      <c r="V213" s="59"/>
      <c r="W213" s="124">
        <f t="shared" si="200"/>
        <v>0</v>
      </c>
      <c r="X213" s="57">
        <f t="shared" si="201"/>
        <v>0</v>
      </c>
      <c r="Y213" s="84">
        <f t="shared" si="202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195"/>
        <v>0</v>
      </c>
      <c r="F214" s="58"/>
      <c r="G214" s="55">
        <v>0</v>
      </c>
      <c r="H214" s="57">
        <v>0</v>
      </c>
      <c r="I214" s="57">
        <f t="shared" si="196"/>
        <v>0</v>
      </c>
      <c r="J214" s="58"/>
      <c r="K214" s="55">
        <v>0</v>
      </c>
      <c r="L214" s="57">
        <v>0</v>
      </c>
      <c r="M214" s="57">
        <f t="shared" si="197"/>
        <v>0</v>
      </c>
      <c r="N214" s="58"/>
      <c r="O214" s="55">
        <v>0</v>
      </c>
      <c r="P214" s="57">
        <v>0</v>
      </c>
      <c r="Q214" s="57">
        <f t="shared" si="198"/>
        <v>0</v>
      </c>
      <c r="R214" s="58"/>
      <c r="S214" s="55">
        <v>0</v>
      </c>
      <c r="T214" s="57">
        <v>0</v>
      </c>
      <c r="U214" s="57">
        <f t="shared" si="199"/>
        <v>0</v>
      </c>
      <c r="V214" s="59"/>
      <c r="W214" s="124">
        <f t="shared" si="200"/>
        <v>0</v>
      </c>
      <c r="X214" s="57">
        <f t="shared" si="201"/>
        <v>0</v>
      </c>
      <c r="Y214" s="84">
        <f t="shared" si="202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195"/>
        <v>0</v>
      </c>
      <c r="F215" s="58"/>
      <c r="G215" s="55">
        <v>0</v>
      </c>
      <c r="H215" s="57">
        <v>0</v>
      </c>
      <c r="I215" s="57">
        <f t="shared" si="196"/>
        <v>0</v>
      </c>
      <c r="J215" s="58"/>
      <c r="K215" s="55">
        <v>0</v>
      </c>
      <c r="L215" s="57">
        <v>0</v>
      </c>
      <c r="M215" s="57">
        <f t="shared" si="197"/>
        <v>0</v>
      </c>
      <c r="N215" s="58"/>
      <c r="O215" s="55">
        <v>0</v>
      </c>
      <c r="P215" s="57">
        <v>0</v>
      </c>
      <c r="Q215" s="57">
        <f t="shared" si="198"/>
        <v>0</v>
      </c>
      <c r="R215" s="58"/>
      <c r="S215" s="55">
        <v>0</v>
      </c>
      <c r="T215" s="57">
        <v>0</v>
      </c>
      <c r="U215" s="57">
        <f t="shared" si="199"/>
        <v>0</v>
      </c>
      <c r="V215" s="59"/>
      <c r="W215" s="124">
        <f t="shared" si="200"/>
        <v>0</v>
      </c>
      <c r="X215" s="57">
        <f t="shared" si="201"/>
        <v>0</v>
      </c>
      <c r="Y215" s="84">
        <f t="shared" si="202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195"/>
        <v>0</v>
      </c>
      <c r="F216" s="58"/>
      <c r="G216" s="55">
        <v>0</v>
      </c>
      <c r="H216" s="57">
        <v>0</v>
      </c>
      <c r="I216" s="57">
        <f t="shared" si="196"/>
        <v>0</v>
      </c>
      <c r="J216" s="58"/>
      <c r="K216" s="55">
        <v>0</v>
      </c>
      <c r="L216" s="57">
        <v>0</v>
      </c>
      <c r="M216" s="57">
        <f t="shared" si="197"/>
        <v>0</v>
      </c>
      <c r="N216" s="58"/>
      <c r="O216" s="55">
        <v>0</v>
      </c>
      <c r="P216" s="57">
        <v>0</v>
      </c>
      <c r="Q216" s="57">
        <f t="shared" si="198"/>
        <v>0</v>
      </c>
      <c r="R216" s="58"/>
      <c r="S216" s="55">
        <v>0</v>
      </c>
      <c r="T216" s="57">
        <v>0</v>
      </c>
      <c r="U216" s="57">
        <f t="shared" si="199"/>
        <v>0</v>
      </c>
      <c r="V216" s="59"/>
      <c r="W216" s="124">
        <f t="shared" si="200"/>
        <v>0</v>
      </c>
      <c r="X216" s="57">
        <f t="shared" si="201"/>
        <v>0</v>
      </c>
      <c r="Y216" s="84">
        <f t="shared" si="202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0</v>
      </c>
      <c r="H217" s="125">
        <f>SUM(H207:H216)</f>
        <v>0</v>
      </c>
      <c r="I217" s="125">
        <f>SUM(I207:I216)</f>
        <v>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200"/>
        <v>0</v>
      </c>
      <c r="X217" s="80">
        <f t="shared" si="201"/>
        <v>0</v>
      </c>
      <c r="Y217" s="80">
        <f t="shared" si="202"/>
        <v>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2"/>
      <c r="B219" s="52"/>
      <c r="C219" s="124">
        <v>0</v>
      </c>
      <c r="D219" s="56">
        <v>0</v>
      </c>
      <c r="E219" s="56">
        <f t="shared" ref="E219:E224" si="203">SUM(C219:D219)</f>
        <v>0</v>
      </c>
      <c r="F219" s="58"/>
      <c r="G219" s="55">
        <v>0</v>
      </c>
      <c r="H219" s="57">
        <v>0</v>
      </c>
      <c r="I219" s="57">
        <f t="shared" ref="I219:I224" si="204">SUM(G219:H219)</f>
        <v>0</v>
      </c>
      <c r="J219" s="58"/>
      <c r="K219" s="55">
        <v>0</v>
      </c>
      <c r="L219" s="57">
        <v>0</v>
      </c>
      <c r="M219" s="57">
        <f t="shared" ref="M219:M224" si="205">SUM(K219:L219)</f>
        <v>0</v>
      </c>
      <c r="N219" s="58"/>
      <c r="O219" s="55">
        <v>0</v>
      </c>
      <c r="P219" s="57">
        <v>0</v>
      </c>
      <c r="Q219" s="57">
        <f t="shared" ref="Q219:Q224" si="206">SUM(O219:P219)</f>
        <v>0</v>
      </c>
      <c r="R219" s="58"/>
      <c r="S219" s="55">
        <v>0</v>
      </c>
      <c r="T219" s="57">
        <v>0</v>
      </c>
      <c r="U219" s="57">
        <f t="shared" ref="U219:U224" si="207">SUM(S219:T219)</f>
        <v>0</v>
      </c>
      <c r="V219" s="59"/>
      <c r="W219" s="124">
        <f t="shared" ref="W219:Y225" si="208">C219+G219+K219+O219+S219</f>
        <v>0</v>
      </c>
      <c r="X219" s="57">
        <f t="shared" si="208"/>
        <v>0</v>
      </c>
      <c r="Y219" s="84">
        <f t="shared" si="208"/>
        <v>0</v>
      </c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</row>
    <row r="220" spans="1:77" s="61" customFormat="1" x14ac:dyDescent="0.25">
      <c r="A220" s="52"/>
      <c r="B220" s="54" t="s">
        <v>206</v>
      </c>
      <c r="C220" s="55">
        <f>3000</f>
        <v>3000</v>
      </c>
      <c r="D220" s="57">
        <v>0</v>
      </c>
      <c r="E220" s="57">
        <f t="shared" ref="E220" si="209">SUM(C220:D220)</f>
        <v>3000</v>
      </c>
      <c r="F220" s="58"/>
      <c r="G220" s="55">
        <f>C220</f>
        <v>3000</v>
      </c>
      <c r="H220" s="57">
        <v>0</v>
      </c>
      <c r="I220" s="57">
        <f t="shared" si="204"/>
        <v>3000</v>
      </c>
      <c r="J220" s="58"/>
      <c r="K220" s="55">
        <f>G220</f>
        <v>3000</v>
      </c>
      <c r="L220" s="57">
        <v>0</v>
      </c>
      <c r="M220" s="57">
        <f t="shared" si="205"/>
        <v>3000</v>
      </c>
      <c r="N220" s="58"/>
      <c r="O220" s="55">
        <f>K220</f>
        <v>3000</v>
      </c>
      <c r="P220" s="57">
        <v>0</v>
      </c>
      <c r="Q220" s="57">
        <f t="shared" si="206"/>
        <v>3000</v>
      </c>
      <c r="R220" s="58"/>
      <c r="S220" s="55">
        <f>O220</f>
        <v>3000</v>
      </c>
      <c r="T220" s="57">
        <v>0</v>
      </c>
      <c r="U220" s="57">
        <f t="shared" si="207"/>
        <v>3000</v>
      </c>
      <c r="V220" s="59"/>
      <c r="W220" s="124">
        <f t="shared" si="208"/>
        <v>15000</v>
      </c>
      <c r="X220" s="196">
        <f t="shared" si="208"/>
        <v>0</v>
      </c>
      <c r="Y220" s="194">
        <f t="shared" si="208"/>
        <v>15000</v>
      </c>
    </row>
    <row r="221" spans="1:77" s="61" customFormat="1" x14ac:dyDescent="0.25">
      <c r="A221" s="52"/>
      <c r="B221" s="52"/>
      <c r="C221" s="124">
        <v>0</v>
      </c>
      <c r="D221" s="56">
        <v>0</v>
      </c>
      <c r="E221" s="56">
        <f t="shared" si="203"/>
        <v>0</v>
      </c>
      <c r="F221" s="58"/>
      <c r="G221" s="55">
        <v>0</v>
      </c>
      <c r="H221" s="57">
        <v>0</v>
      </c>
      <c r="I221" s="57">
        <f t="shared" si="204"/>
        <v>0</v>
      </c>
      <c r="J221" s="58"/>
      <c r="K221" s="55">
        <v>0</v>
      </c>
      <c r="L221" s="57">
        <v>0</v>
      </c>
      <c r="M221" s="57">
        <f t="shared" si="205"/>
        <v>0</v>
      </c>
      <c r="N221" s="58"/>
      <c r="O221" s="55">
        <v>0</v>
      </c>
      <c r="P221" s="57">
        <v>0</v>
      </c>
      <c r="Q221" s="57">
        <f t="shared" si="206"/>
        <v>0</v>
      </c>
      <c r="R221" s="58"/>
      <c r="S221" s="55">
        <v>0</v>
      </c>
      <c r="T221" s="57">
        <v>0</v>
      </c>
      <c r="U221" s="57">
        <f t="shared" si="207"/>
        <v>0</v>
      </c>
      <c r="V221" s="59"/>
      <c r="W221" s="124">
        <f t="shared" si="208"/>
        <v>0</v>
      </c>
      <c r="X221" s="57">
        <f t="shared" si="208"/>
        <v>0</v>
      </c>
      <c r="Y221" s="84">
        <f t="shared" si="208"/>
        <v>0</v>
      </c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</row>
    <row r="222" spans="1:77" s="61" customFormat="1" x14ac:dyDescent="0.25">
      <c r="A222" s="52"/>
      <c r="B222" s="52"/>
      <c r="C222" s="124">
        <v>0</v>
      </c>
      <c r="D222" s="56">
        <v>0</v>
      </c>
      <c r="E222" s="56">
        <f t="shared" si="203"/>
        <v>0</v>
      </c>
      <c r="F222" s="58"/>
      <c r="G222" s="55">
        <v>0</v>
      </c>
      <c r="H222" s="57">
        <v>0</v>
      </c>
      <c r="I222" s="57">
        <f t="shared" si="204"/>
        <v>0</v>
      </c>
      <c r="J222" s="58"/>
      <c r="K222" s="55">
        <v>0</v>
      </c>
      <c r="L222" s="57">
        <v>0</v>
      </c>
      <c r="M222" s="57">
        <f t="shared" si="205"/>
        <v>0</v>
      </c>
      <c r="N222" s="58"/>
      <c r="O222" s="55">
        <v>0</v>
      </c>
      <c r="P222" s="57">
        <v>0</v>
      </c>
      <c r="Q222" s="57">
        <f t="shared" si="206"/>
        <v>0</v>
      </c>
      <c r="R222" s="58"/>
      <c r="S222" s="55">
        <v>0</v>
      </c>
      <c r="T222" s="57">
        <v>0</v>
      </c>
      <c r="U222" s="57">
        <f t="shared" si="207"/>
        <v>0</v>
      </c>
      <c r="V222" s="59"/>
      <c r="W222" s="124">
        <f t="shared" si="208"/>
        <v>0</v>
      </c>
      <c r="X222" s="57">
        <f t="shared" si="208"/>
        <v>0</v>
      </c>
      <c r="Y222" s="84">
        <f t="shared" si="208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203"/>
        <v>0</v>
      </c>
      <c r="F223" s="58"/>
      <c r="G223" s="55">
        <v>0</v>
      </c>
      <c r="H223" s="57">
        <v>0</v>
      </c>
      <c r="I223" s="57">
        <f t="shared" si="204"/>
        <v>0</v>
      </c>
      <c r="J223" s="58"/>
      <c r="K223" s="55">
        <v>0</v>
      </c>
      <c r="L223" s="57">
        <v>0</v>
      </c>
      <c r="M223" s="57">
        <f t="shared" si="205"/>
        <v>0</v>
      </c>
      <c r="N223" s="58"/>
      <c r="O223" s="55">
        <v>0</v>
      </c>
      <c r="P223" s="57">
        <v>0</v>
      </c>
      <c r="Q223" s="57">
        <f t="shared" si="206"/>
        <v>0</v>
      </c>
      <c r="R223" s="58"/>
      <c r="S223" s="55">
        <v>0</v>
      </c>
      <c r="T223" s="57">
        <v>0</v>
      </c>
      <c r="U223" s="57">
        <f t="shared" si="207"/>
        <v>0</v>
      </c>
      <c r="V223" s="59"/>
      <c r="W223" s="124">
        <f t="shared" si="208"/>
        <v>0</v>
      </c>
      <c r="X223" s="57">
        <f t="shared" si="208"/>
        <v>0</v>
      </c>
      <c r="Y223" s="84">
        <f t="shared" si="208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203"/>
        <v>0</v>
      </c>
      <c r="F224" s="58"/>
      <c r="G224" s="55">
        <v>0</v>
      </c>
      <c r="H224" s="57">
        <v>0</v>
      </c>
      <c r="I224" s="57">
        <f t="shared" si="204"/>
        <v>0</v>
      </c>
      <c r="J224" s="58"/>
      <c r="K224" s="55">
        <v>0</v>
      </c>
      <c r="L224" s="57">
        <v>0</v>
      </c>
      <c r="M224" s="57">
        <f t="shared" si="205"/>
        <v>0</v>
      </c>
      <c r="N224" s="58"/>
      <c r="O224" s="55">
        <v>0</v>
      </c>
      <c r="P224" s="57">
        <v>0</v>
      </c>
      <c r="Q224" s="57">
        <f t="shared" si="206"/>
        <v>0</v>
      </c>
      <c r="R224" s="58"/>
      <c r="S224" s="55">
        <v>0</v>
      </c>
      <c r="T224" s="57">
        <v>0</v>
      </c>
      <c r="U224" s="57">
        <f t="shared" si="207"/>
        <v>0</v>
      </c>
      <c r="V224" s="59"/>
      <c r="W224" s="124">
        <f t="shared" si="208"/>
        <v>0</v>
      </c>
      <c r="X224" s="57">
        <f t="shared" si="208"/>
        <v>0</v>
      </c>
      <c r="Y224" s="84">
        <f t="shared" si="208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3000</v>
      </c>
      <c r="D225" s="125">
        <f>SUM(D219:D224)</f>
        <v>0</v>
      </c>
      <c r="E225" s="125">
        <f>SUM(E219:E224)</f>
        <v>3000</v>
      </c>
      <c r="F225" s="81"/>
      <c r="G225" s="79">
        <f>SUM(G219:G224)</f>
        <v>3000</v>
      </c>
      <c r="H225" s="80">
        <f>SUM(H219:H224)</f>
        <v>0</v>
      </c>
      <c r="I225" s="80">
        <f>SUM(I219:I224)</f>
        <v>3000</v>
      </c>
      <c r="J225" s="81"/>
      <c r="K225" s="79">
        <f>SUM(K219:K224)</f>
        <v>3000</v>
      </c>
      <c r="L225" s="80">
        <f>SUM(L219:L224)</f>
        <v>0</v>
      </c>
      <c r="M225" s="80">
        <f>SUM(M219:M224)</f>
        <v>3000</v>
      </c>
      <c r="N225" s="81"/>
      <c r="O225" s="79">
        <f>SUM(O219:O224)</f>
        <v>3000</v>
      </c>
      <c r="P225" s="80">
        <f>SUM(P219:P224)</f>
        <v>0</v>
      </c>
      <c r="Q225" s="80">
        <f>SUM(Q219:Q224)</f>
        <v>3000</v>
      </c>
      <c r="R225" s="81"/>
      <c r="S225" s="79">
        <f>SUM(S219:S224)</f>
        <v>3000</v>
      </c>
      <c r="T225" s="80">
        <f>SUM(T219:T224)</f>
        <v>0</v>
      </c>
      <c r="U225" s="80">
        <f>SUM(U219:U224)</f>
        <v>3000</v>
      </c>
      <c r="V225" s="82"/>
      <c r="W225" s="228">
        <f t="shared" si="208"/>
        <v>15000</v>
      </c>
      <c r="X225" s="80">
        <f t="shared" si="208"/>
        <v>0</v>
      </c>
      <c r="Y225" s="80">
        <f t="shared" si="208"/>
        <v>15000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/>
      <c r="B227" s="54"/>
      <c r="C227" s="124">
        <v>0</v>
      </c>
      <c r="D227" s="56">
        <v>0</v>
      </c>
      <c r="E227" s="56">
        <f>SUM(C227:D227)</f>
        <v>0</v>
      </c>
      <c r="F227" s="58"/>
      <c r="G227" s="55">
        <v>0</v>
      </c>
      <c r="H227" s="56">
        <v>0</v>
      </c>
      <c r="I227" s="56">
        <f>SUM(G227:H227)</f>
        <v>0</v>
      </c>
      <c r="J227" s="58"/>
      <c r="K227" s="55">
        <v>0</v>
      </c>
      <c r="L227" s="56">
        <v>0</v>
      </c>
      <c r="M227" s="56">
        <f>SUM(K227:L227)</f>
        <v>0</v>
      </c>
      <c r="N227" s="58"/>
      <c r="O227" s="55">
        <v>0</v>
      </c>
      <c r="P227" s="56">
        <v>0</v>
      </c>
      <c r="Q227" s="56">
        <f>SUM(O227:P227)</f>
        <v>0</v>
      </c>
      <c r="R227" s="58"/>
      <c r="S227" s="55">
        <v>0</v>
      </c>
      <c r="T227" s="56">
        <v>0</v>
      </c>
      <c r="U227" s="56">
        <f>SUM(S227:T227)</f>
        <v>0</v>
      </c>
      <c r="V227" s="59"/>
      <c r="W227" s="124">
        <f t="shared" ref="W227:Y231" si="210">C227+G227+K227+O227+S227</f>
        <v>0</v>
      </c>
      <c r="X227" s="57">
        <f t="shared" si="210"/>
        <v>0</v>
      </c>
      <c r="Y227" s="84">
        <f t="shared" si="210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/>
      <c r="B228" s="54" t="s">
        <v>57</v>
      </c>
      <c r="C228" s="124">
        <v>0</v>
      </c>
      <c r="D228" s="56">
        <v>0</v>
      </c>
      <c r="E228" s="56">
        <f>SUM(C228:D228)</f>
        <v>0</v>
      </c>
      <c r="F228" s="58"/>
      <c r="G228" s="55">
        <v>0</v>
      </c>
      <c r="H228" s="56">
        <v>0</v>
      </c>
      <c r="I228" s="56">
        <f>SUM(G228:H228)</f>
        <v>0</v>
      </c>
      <c r="J228" s="58"/>
      <c r="K228" s="55">
        <f>G228*1.07</f>
        <v>0</v>
      </c>
      <c r="L228" s="56">
        <v>0</v>
      </c>
      <c r="M228" s="56">
        <f>SUM(K228:L228)</f>
        <v>0</v>
      </c>
      <c r="N228" s="58"/>
      <c r="O228" s="55">
        <f>K228*1.07</f>
        <v>0</v>
      </c>
      <c r="P228" s="56">
        <v>0</v>
      </c>
      <c r="Q228" s="56">
        <f>SUM(O228:P228)</f>
        <v>0</v>
      </c>
      <c r="R228" s="58"/>
      <c r="S228" s="55">
        <f>O228*1.07</f>
        <v>0</v>
      </c>
      <c r="T228" s="56">
        <v>0</v>
      </c>
      <c r="U228" s="56">
        <f>SUM(S228:T228)</f>
        <v>0</v>
      </c>
      <c r="V228" s="59"/>
      <c r="W228" s="124">
        <f t="shared" si="210"/>
        <v>0</v>
      </c>
      <c r="X228" s="57">
        <f t="shared" si="210"/>
        <v>0</v>
      </c>
      <c r="Y228" s="84">
        <f t="shared" si="210"/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54"/>
      <c r="C229" s="124">
        <v>0</v>
      </c>
      <c r="D229" s="56">
        <v>0</v>
      </c>
      <c r="E229" s="56">
        <f>SUM(C229:D229)</f>
        <v>0</v>
      </c>
      <c r="F229" s="58"/>
      <c r="G229" s="55">
        <v>0</v>
      </c>
      <c r="H229" s="56">
        <v>0</v>
      </c>
      <c r="I229" s="56">
        <f>SUM(G229:H229)</f>
        <v>0</v>
      </c>
      <c r="J229" s="58"/>
      <c r="K229" s="55">
        <v>0</v>
      </c>
      <c r="L229" s="56">
        <v>0</v>
      </c>
      <c r="M229" s="56">
        <f>SUM(K229:L229)</f>
        <v>0</v>
      </c>
      <c r="N229" s="58"/>
      <c r="O229" s="55">
        <v>0</v>
      </c>
      <c r="P229" s="56">
        <v>0</v>
      </c>
      <c r="Q229" s="56">
        <f>SUM(O229:P229)</f>
        <v>0</v>
      </c>
      <c r="R229" s="58"/>
      <c r="S229" s="55">
        <v>0</v>
      </c>
      <c r="T229" s="56">
        <v>0</v>
      </c>
      <c r="U229" s="56">
        <f>SUM(S229:T229)</f>
        <v>0</v>
      </c>
      <c r="V229" s="59"/>
      <c r="W229" s="124">
        <f t="shared" si="210"/>
        <v>0</v>
      </c>
      <c r="X229" s="57">
        <f t="shared" si="210"/>
        <v>0</v>
      </c>
      <c r="Y229" s="84">
        <f t="shared" si="210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61" customFormat="1" x14ac:dyDescent="0.25">
      <c r="A230" s="54"/>
      <c r="B230" s="54"/>
      <c r="C230" s="124">
        <v>0</v>
      </c>
      <c r="D230" s="56">
        <v>0</v>
      </c>
      <c r="E230" s="56">
        <f>SUM(C230:D230)</f>
        <v>0</v>
      </c>
      <c r="F230" s="58"/>
      <c r="G230" s="55">
        <v>0</v>
      </c>
      <c r="H230" s="56">
        <v>0</v>
      </c>
      <c r="I230" s="56">
        <f>SUM(G230:H230)</f>
        <v>0</v>
      </c>
      <c r="J230" s="58"/>
      <c r="K230" s="55">
        <v>0</v>
      </c>
      <c r="L230" s="56">
        <v>0</v>
      </c>
      <c r="M230" s="56">
        <f>SUM(K230:L230)</f>
        <v>0</v>
      </c>
      <c r="N230" s="58"/>
      <c r="O230" s="55">
        <v>0</v>
      </c>
      <c r="P230" s="56">
        <v>0</v>
      </c>
      <c r="Q230" s="56">
        <f>SUM(O230:P230)</f>
        <v>0</v>
      </c>
      <c r="R230" s="58"/>
      <c r="S230" s="55">
        <v>0</v>
      </c>
      <c r="T230" s="56">
        <v>0</v>
      </c>
      <c r="U230" s="56">
        <f>SUM(S230:T230)</f>
        <v>0</v>
      </c>
      <c r="V230" s="59"/>
      <c r="W230" s="124">
        <f t="shared" si="210"/>
        <v>0</v>
      </c>
      <c r="X230" s="57">
        <f t="shared" si="210"/>
        <v>0</v>
      </c>
      <c r="Y230" s="84">
        <f t="shared" si="210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0</v>
      </c>
      <c r="H231" s="80">
        <f>SUM(H227:H230)</f>
        <v>0</v>
      </c>
      <c r="I231" s="80">
        <f>SUM(I227:I230)</f>
        <v>0</v>
      </c>
      <c r="J231" s="81"/>
      <c r="K231" s="79">
        <f>SUM(K227:K230)</f>
        <v>0</v>
      </c>
      <c r="L231" s="80">
        <f>SUM(L227:L230)</f>
        <v>0</v>
      </c>
      <c r="M231" s="80">
        <f>SUM(M227:M230)</f>
        <v>0</v>
      </c>
      <c r="N231" s="81"/>
      <c r="O231" s="79">
        <f>SUM(O227:O230)</f>
        <v>0</v>
      </c>
      <c r="P231" s="80">
        <f>SUM(P227:P230)</f>
        <v>0</v>
      </c>
      <c r="Q231" s="80">
        <f>SUM(Q227:Q230)</f>
        <v>0</v>
      </c>
      <c r="R231" s="81"/>
      <c r="S231" s="79">
        <f>SUM(S227:S230)</f>
        <v>0</v>
      </c>
      <c r="T231" s="125">
        <f>SUM(T227:T230)</f>
        <v>0</v>
      </c>
      <c r="U231" s="125">
        <f>SUM(U227:U230)</f>
        <v>0</v>
      </c>
      <c r="V231" s="82"/>
      <c r="W231" s="228">
        <f t="shared" si="210"/>
        <v>0</v>
      </c>
      <c r="X231" s="80">
        <f t="shared" si="210"/>
        <v>0</v>
      </c>
      <c r="Y231" s="80">
        <f t="shared" si="210"/>
        <v>0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2"/>
      <c r="B233" s="52"/>
      <c r="C233" s="124">
        <v>0</v>
      </c>
      <c r="D233" s="56">
        <v>0</v>
      </c>
      <c r="E233" s="56">
        <f t="shared" ref="E233:E244" si="211">SUM(C233:D233)</f>
        <v>0</v>
      </c>
      <c r="F233" s="58"/>
      <c r="G233" s="55">
        <v>0</v>
      </c>
      <c r="H233" s="57">
        <v>0</v>
      </c>
      <c r="I233" s="57">
        <f t="shared" ref="I233:I244" si="212">SUM(G233:H233)</f>
        <v>0</v>
      </c>
      <c r="J233" s="58"/>
      <c r="K233" s="55">
        <v>0</v>
      </c>
      <c r="L233" s="57">
        <v>0</v>
      </c>
      <c r="M233" s="57">
        <f t="shared" ref="M233:M244" si="213">SUM(K233:L233)</f>
        <v>0</v>
      </c>
      <c r="N233" s="58"/>
      <c r="O233" s="55">
        <v>0</v>
      </c>
      <c r="P233" s="57">
        <v>0</v>
      </c>
      <c r="Q233" s="57">
        <f t="shared" ref="Q233:Q244" si="214">SUM(O233:P233)</f>
        <v>0</v>
      </c>
      <c r="R233" s="58"/>
      <c r="S233" s="55">
        <v>0</v>
      </c>
      <c r="T233" s="57">
        <v>0</v>
      </c>
      <c r="U233" s="57">
        <f t="shared" ref="U233:U244" si="215">SUM(S233:T233)</f>
        <v>0</v>
      </c>
      <c r="V233" s="59"/>
      <c r="W233" s="124">
        <f t="shared" ref="W233:W245" si="216">C233+G233+K233+O233+S233</f>
        <v>0</v>
      </c>
      <c r="X233" s="57">
        <f t="shared" ref="X233:X245" si="217">D233+H233+L233+P233+T233</f>
        <v>0</v>
      </c>
      <c r="Y233" s="84">
        <f t="shared" ref="Y233:Y245" si="218">E233+I233+M233+Q233+U233</f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</row>
    <row r="234" spans="1:77" s="61" customFormat="1" x14ac:dyDescent="0.25">
      <c r="A234" s="52"/>
      <c r="B234" s="52"/>
      <c r="C234" s="124">
        <v>0</v>
      </c>
      <c r="D234" s="56">
        <v>0</v>
      </c>
      <c r="E234" s="56">
        <f t="shared" si="211"/>
        <v>0</v>
      </c>
      <c r="F234" s="58"/>
      <c r="G234" s="55">
        <v>0</v>
      </c>
      <c r="H234" s="57">
        <v>0</v>
      </c>
      <c r="I234" s="57">
        <f t="shared" si="212"/>
        <v>0</v>
      </c>
      <c r="J234" s="58"/>
      <c r="K234" s="55">
        <v>0</v>
      </c>
      <c r="L234" s="57">
        <v>0</v>
      </c>
      <c r="M234" s="57">
        <f t="shared" si="213"/>
        <v>0</v>
      </c>
      <c r="N234" s="58"/>
      <c r="O234" s="55">
        <v>0</v>
      </c>
      <c r="P234" s="57">
        <v>0</v>
      </c>
      <c r="Q234" s="57">
        <f t="shared" si="214"/>
        <v>0</v>
      </c>
      <c r="R234" s="58"/>
      <c r="S234" s="55">
        <v>0</v>
      </c>
      <c r="T234" s="57">
        <v>0</v>
      </c>
      <c r="U234" s="57">
        <f t="shared" si="215"/>
        <v>0</v>
      </c>
      <c r="V234" s="59"/>
      <c r="W234" s="124">
        <f t="shared" si="216"/>
        <v>0</v>
      </c>
      <c r="X234" s="57">
        <f t="shared" si="217"/>
        <v>0</v>
      </c>
      <c r="Y234" s="84">
        <f t="shared" si="218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</row>
    <row r="235" spans="1:77" s="61" customFormat="1" x14ac:dyDescent="0.25">
      <c r="A235" s="52"/>
      <c r="B235" s="52"/>
      <c r="C235" s="124">
        <v>0</v>
      </c>
      <c r="D235" s="56">
        <v>0</v>
      </c>
      <c r="E235" s="56">
        <f t="shared" si="211"/>
        <v>0</v>
      </c>
      <c r="F235" s="58"/>
      <c r="G235" s="55">
        <v>0</v>
      </c>
      <c r="H235" s="57">
        <v>0</v>
      </c>
      <c r="I235" s="57">
        <f t="shared" si="212"/>
        <v>0</v>
      </c>
      <c r="J235" s="58"/>
      <c r="K235" s="55">
        <v>0</v>
      </c>
      <c r="L235" s="57">
        <v>0</v>
      </c>
      <c r="M235" s="57">
        <f t="shared" si="213"/>
        <v>0</v>
      </c>
      <c r="N235" s="58"/>
      <c r="O235" s="55">
        <v>0</v>
      </c>
      <c r="P235" s="57">
        <v>0</v>
      </c>
      <c r="Q235" s="57">
        <f t="shared" si="214"/>
        <v>0</v>
      </c>
      <c r="R235" s="58"/>
      <c r="S235" s="55">
        <v>0</v>
      </c>
      <c r="T235" s="57">
        <v>0</v>
      </c>
      <c r="U235" s="57">
        <f t="shared" si="215"/>
        <v>0</v>
      </c>
      <c r="V235" s="59"/>
      <c r="W235" s="124">
        <f t="shared" si="216"/>
        <v>0</v>
      </c>
      <c r="X235" s="57">
        <f t="shared" si="217"/>
        <v>0</v>
      </c>
      <c r="Y235" s="84">
        <f t="shared" si="218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</row>
    <row r="236" spans="1:77" s="61" customFormat="1" x14ac:dyDescent="0.25">
      <c r="A236" s="52"/>
      <c r="B236" s="52"/>
      <c r="C236" s="124">
        <v>0</v>
      </c>
      <c r="D236" s="56">
        <v>0</v>
      </c>
      <c r="E236" s="56">
        <f t="shared" si="211"/>
        <v>0</v>
      </c>
      <c r="F236" s="58"/>
      <c r="G236" s="55">
        <v>0</v>
      </c>
      <c r="H236" s="57">
        <v>0</v>
      </c>
      <c r="I236" s="57">
        <f t="shared" si="212"/>
        <v>0</v>
      </c>
      <c r="J236" s="58"/>
      <c r="K236" s="55">
        <v>0</v>
      </c>
      <c r="L236" s="57">
        <v>0</v>
      </c>
      <c r="M236" s="57">
        <f t="shared" si="213"/>
        <v>0</v>
      </c>
      <c r="N236" s="58"/>
      <c r="O236" s="55">
        <v>0</v>
      </c>
      <c r="P236" s="57">
        <v>0</v>
      </c>
      <c r="Q236" s="57">
        <f t="shared" si="214"/>
        <v>0</v>
      </c>
      <c r="R236" s="58"/>
      <c r="S236" s="55">
        <v>0</v>
      </c>
      <c r="T236" s="57">
        <v>0</v>
      </c>
      <c r="U236" s="57">
        <f t="shared" si="215"/>
        <v>0</v>
      </c>
      <c r="V236" s="59"/>
      <c r="W236" s="124">
        <f t="shared" si="216"/>
        <v>0</v>
      </c>
      <c r="X236" s="57">
        <f t="shared" si="217"/>
        <v>0</v>
      </c>
      <c r="Y236" s="84">
        <f t="shared" si="218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</row>
    <row r="237" spans="1:77" s="61" customFormat="1" x14ac:dyDescent="0.25">
      <c r="A237" s="52"/>
      <c r="B237" s="52"/>
      <c r="C237" s="124">
        <v>0</v>
      </c>
      <c r="D237" s="56">
        <v>0</v>
      </c>
      <c r="E237" s="56">
        <f t="shared" si="211"/>
        <v>0</v>
      </c>
      <c r="F237" s="58"/>
      <c r="G237" s="55">
        <v>0</v>
      </c>
      <c r="H237" s="57">
        <v>0</v>
      </c>
      <c r="I237" s="57">
        <f t="shared" si="212"/>
        <v>0</v>
      </c>
      <c r="J237" s="58"/>
      <c r="K237" s="55">
        <v>0</v>
      </c>
      <c r="L237" s="57">
        <v>0</v>
      </c>
      <c r="M237" s="57">
        <f t="shared" si="213"/>
        <v>0</v>
      </c>
      <c r="N237" s="58"/>
      <c r="O237" s="55">
        <v>0</v>
      </c>
      <c r="P237" s="57">
        <v>0</v>
      </c>
      <c r="Q237" s="57">
        <f t="shared" si="214"/>
        <v>0</v>
      </c>
      <c r="R237" s="58"/>
      <c r="S237" s="55">
        <v>0</v>
      </c>
      <c r="T237" s="57">
        <v>0</v>
      </c>
      <c r="U237" s="57">
        <f t="shared" si="215"/>
        <v>0</v>
      </c>
      <c r="V237" s="59"/>
      <c r="W237" s="124">
        <f t="shared" si="216"/>
        <v>0</v>
      </c>
      <c r="X237" s="57">
        <f t="shared" si="217"/>
        <v>0</v>
      </c>
      <c r="Y237" s="84">
        <f t="shared" si="218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</row>
    <row r="238" spans="1:77" s="61" customFormat="1" x14ac:dyDescent="0.25">
      <c r="A238" s="52"/>
      <c r="B238" s="52"/>
      <c r="C238" s="124">
        <v>0</v>
      </c>
      <c r="D238" s="56">
        <v>0</v>
      </c>
      <c r="E238" s="56">
        <f t="shared" si="211"/>
        <v>0</v>
      </c>
      <c r="F238" s="58"/>
      <c r="G238" s="55">
        <v>0</v>
      </c>
      <c r="H238" s="57">
        <v>0</v>
      </c>
      <c r="I238" s="57">
        <f t="shared" si="212"/>
        <v>0</v>
      </c>
      <c r="J238" s="58"/>
      <c r="K238" s="55">
        <v>0</v>
      </c>
      <c r="L238" s="57">
        <v>0</v>
      </c>
      <c r="M238" s="57">
        <f t="shared" si="213"/>
        <v>0</v>
      </c>
      <c r="N238" s="58"/>
      <c r="O238" s="55">
        <v>0</v>
      </c>
      <c r="P238" s="57">
        <v>0</v>
      </c>
      <c r="Q238" s="57">
        <f t="shared" si="214"/>
        <v>0</v>
      </c>
      <c r="R238" s="58"/>
      <c r="S238" s="55">
        <v>0</v>
      </c>
      <c r="T238" s="57">
        <v>0</v>
      </c>
      <c r="U238" s="57">
        <f t="shared" si="215"/>
        <v>0</v>
      </c>
      <c r="V238" s="59"/>
      <c r="W238" s="124">
        <f t="shared" si="216"/>
        <v>0</v>
      </c>
      <c r="X238" s="57">
        <f t="shared" si="217"/>
        <v>0</v>
      </c>
      <c r="Y238" s="84">
        <f t="shared" si="218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</row>
    <row r="239" spans="1:77" s="61" customFormat="1" x14ac:dyDescent="0.25">
      <c r="A239" s="52"/>
      <c r="B239" s="52"/>
      <c r="C239" s="124">
        <v>0</v>
      </c>
      <c r="D239" s="56">
        <v>0</v>
      </c>
      <c r="E239" s="56">
        <f t="shared" si="211"/>
        <v>0</v>
      </c>
      <c r="F239" s="58"/>
      <c r="G239" s="55">
        <v>0</v>
      </c>
      <c r="H239" s="57">
        <v>0</v>
      </c>
      <c r="I239" s="57">
        <f t="shared" si="212"/>
        <v>0</v>
      </c>
      <c r="J239" s="58"/>
      <c r="K239" s="55">
        <v>0</v>
      </c>
      <c r="L239" s="57">
        <v>0</v>
      </c>
      <c r="M239" s="57">
        <f t="shared" si="213"/>
        <v>0</v>
      </c>
      <c r="N239" s="58"/>
      <c r="O239" s="55">
        <v>0</v>
      </c>
      <c r="P239" s="57">
        <v>0</v>
      </c>
      <c r="Q239" s="57">
        <f t="shared" si="214"/>
        <v>0</v>
      </c>
      <c r="R239" s="58"/>
      <c r="S239" s="55">
        <v>0</v>
      </c>
      <c r="T239" s="57">
        <v>0</v>
      </c>
      <c r="U239" s="57">
        <f t="shared" si="215"/>
        <v>0</v>
      </c>
      <c r="V239" s="59"/>
      <c r="W239" s="124">
        <f t="shared" si="216"/>
        <v>0</v>
      </c>
      <c r="X239" s="57">
        <f t="shared" si="217"/>
        <v>0</v>
      </c>
      <c r="Y239" s="84">
        <f t="shared" si="218"/>
        <v>0</v>
      </c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</row>
    <row r="240" spans="1:77" s="61" customFormat="1" x14ac:dyDescent="0.25">
      <c r="A240" s="52"/>
      <c r="B240" s="52"/>
      <c r="C240" s="124">
        <v>0</v>
      </c>
      <c r="D240" s="56">
        <v>0</v>
      </c>
      <c r="E240" s="56">
        <f t="shared" si="211"/>
        <v>0</v>
      </c>
      <c r="F240" s="58"/>
      <c r="G240" s="55">
        <v>0</v>
      </c>
      <c r="H240" s="57">
        <v>0</v>
      </c>
      <c r="I240" s="57">
        <f t="shared" si="212"/>
        <v>0</v>
      </c>
      <c r="J240" s="58"/>
      <c r="K240" s="55">
        <v>0</v>
      </c>
      <c r="L240" s="57">
        <v>0</v>
      </c>
      <c r="M240" s="57">
        <f t="shared" si="213"/>
        <v>0</v>
      </c>
      <c r="N240" s="58"/>
      <c r="O240" s="55">
        <v>0</v>
      </c>
      <c r="P240" s="57">
        <v>0</v>
      </c>
      <c r="Q240" s="57">
        <f t="shared" si="214"/>
        <v>0</v>
      </c>
      <c r="R240" s="58"/>
      <c r="S240" s="55">
        <v>0</v>
      </c>
      <c r="T240" s="57">
        <v>0</v>
      </c>
      <c r="U240" s="57">
        <f t="shared" si="215"/>
        <v>0</v>
      </c>
      <c r="V240" s="59"/>
      <c r="W240" s="124">
        <f t="shared" si="216"/>
        <v>0</v>
      </c>
      <c r="X240" s="57">
        <f t="shared" si="217"/>
        <v>0</v>
      </c>
      <c r="Y240" s="84">
        <f t="shared" si="218"/>
        <v>0</v>
      </c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211"/>
        <v>0</v>
      </c>
      <c r="F241" s="58"/>
      <c r="G241" s="55">
        <v>0</v>
      </c>
      <c r="H241" s="57">
        <v>0</v>
      </c>
      <c r="I241" s="57">
        <f t="shared" si="212"/>
        <v>0</v>
      </c>
      <c r="J241" s="58"/>
      <c r="K241" s="55">
        <v>0</v>
      </c>
      <c r="L241" s="57">
        <v>0</v>
      </c>
      <c r="M241" s="57">
        <f t="shared" si="213"/>
        <v>0</v>
      </c>
      <c r="N241" s="58"/>
      <c r="O241" s="55">
        <v>0</v>
      </c>
      <c r="P241" s="57">
        <v>0</v>
      </c>
      <c r="Q241" s="57">
        <f t="shared" si="214"/>
        <v>0</v>
      </c>
      <c r="R241" s="58"/>
      <c r="S241" s="55">
        <v>0</v>
      </c>
      <c r="T241" s="57">
        <v>0</v>
      </c>
      <c r="U241" s="57">
        <f t="shared" si="215"/>
        <v>0</v>
      </c>
      <c r="V241" s="59"/>
      <c r="W241" s="124">
        <f t="shared" si="216"/>
        <v>0</v>
      </c>
      <c r="X241" s="57">
        <f t="shared" si="217"/>
        <v>0</v>
      </c>
      <c r="Y241" s="84">
        <f t="shared" si="218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211"/>
        <v>0</v>
      </c>
      <c r="F242" s="58"/>
      <c r="G242" s="55">
        <v>0</v>
      </c>
      <c r="H242" s="57">
        <v>0</v>
      </c>
      <c r="I242" s="57">
        <f t="shared" si="212"/>
        <v>0</v>
      </c>
      <c r="J242" s="58"/>
      <c r="K242" s="55">
        <v>0</v>
      </c>
      <c r="L242" s="57">
        <v>0</v>
      </c>
      <c r="M242" s="57">
        <f t="shared" si="213"/>
        <v>0</v>
      </c>
      <c r="N242" s="58"/>
      <c r="O242" s="55">
        <v>0</v>
      </c>
      <c r="P242" s="57">
        <v>0</v>
      </c>
      <c r="Q242" s="57">
        <f t="shared" si="214"/>
        <v>0</v>
      </c>
      <c r="R242" s="58"/>
      <c r="S242" s="55">
        <v>0</v>
      </c>
      <c r="T242" s="57">
        <v>0</v>
      </c>
      <c r="U242" s="57">
        <f t="shared" si="215"/>
        <v>0</v>
      </c>
      <c r="V242" s="59"/>
      <c r="W242" s="124">
        <f t="shared" si="216"/>
        <v>0</v>
      </c>
      <c r="X242" s="57">
        <f t="shared" si="217"/>
        <v>0</v>
      </c>
      <c r="Y242" s="84">
        <f t="shared" si="218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211"/>
        <v>0</v>
      </c>
      <c r="F243" s="58"/>
      <c r="G243" s="55">
        <v>0</v>
      </c>
      <c r="H243" s="57">
        <v>0</v>
      </c>
      <c r="I243" s="57">
        <f t="shared" si="212"/>
        <v>0</v>
      </c>
      <c r="J243" s="58"/>
      <c r="K243" s="55">
        <v>0</v>
      </c>
      <c r="L243" s="57">
        <v>0</v>
      </c>
      <c r="M243" s="57">
        <f t="shared" si="213"/>
        <v>0</v>
      </c>
      <c r="N243" s="58"/>
      <c r="O243" s="55">
        <v>0</v>
      </c>
      <c r="P243" s="57">
        <v>0</v>
      </c>
      <c r="Q243" s="57">
        <f t="shared" si="214"/>
        <v>0</v>
      </c>
      <c r="R243" s="58"/>
      <c r="S243" s="55">
        <v>0</v>
      </c>
      <c r="T243" s="57">
        <v>0</v>
      </c>
      <c r="U243" s="57">
        <f t="shared" si="215"/>
        <v>0</v>
      </c>
      <c r="V243" s="59"/>
      <c r="W243" s="124">
        <f t="shared" si="216"/>
        <v>0</v>
      </c>
      <c r="X243" s="57">
        <f t="shared" si="217"/>
        <v>0</v>
      </c>
      <c r="Y243" s="84">
        <f t="shared" si="218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211"/>
        <v>0</v>
      </c>
      <c r="F244" s="58"/>
      <c r="G244" s="55">
        <v>0</v>
      </c>
      <c r="H244" s="57">
        <v>0</v>
      </c>
      <c r="I244" s="57">
        <f t="shared" si="212"/>
        <v>0</v>
      </c>
      <c r="J244" s="58"/>
      <c r="K244" s="55">
        <v>0</v>
      </c>
      <c r="L244" s="57">
        <v>0</v>
      </c>
      <c r="M244" s="57">
        <f t="shared" si="213"/>
        <v>0</v>
      </c>
      <c r="N244" s="58"/>
      <c r="O244" s="55">
        <v>0</v>
      </c>
      <c r="P244" s="57">
        <v>0</v>
      </c>
      <c r="Q244" s="57">
        <f t="shared" si="214"/>
        <v>0</v>
      </c>
      <c r="R244" s="58"/>
      <c r="S244" s="55">
        <v>0</v>
      </c>
      <c r="T244" s="57">
        <v>0</v>
      </c>
      <c r="U244" s="57">
        <f t="shared" si="215"/>
        <v>0</v>
      </c>
      <c r="V244" s="59"/>
      <c r="W244" s="124">
        <f t="shared" si="216"/>
        <v>0</v>
      </c>
      <c r="X244" s="57">
        <f t="shared" si="217"/>
        <v>0</v>
      </c>
      <c r="Y244" s="84">
        <f t="shared" si="218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0</v>
      </c>
      <c r="D245" s="153">
        <f>SUM(D233:D244)</f>
        <v>0</v>
      </c>
      <c r="E245" s="153">
        <f>SUM(E233:E244)</f>
        <v>0</v>
      </c>
      <c r="F245" s="154"/>
      <c r="G245" s="152">
        <f>SUM(G233:G244)</f>
        <v>0</v>
      </c>
      <c r="H245" s="155">
        <f>SUM(H233:H244)</f>
        <v>0</v>
      </c>
      <c r="I245" s="155">
        <f>SUM(I233:I244)</f>
        <v>0</v>
      </c>
      <c r="J245" s="154"/>
      <c r="K245" s="152">
        <f>SUM(K233:K244)</f>
        <v>0</v>
      </c>
      <c r="L245" s="155">
        <f>SUM(L233:L244)</f>
        <v>0</v>
      </c>
      <c r="M245" s="155">
        <f>SUM(M233:M244)</f>
        <v>0</v>
      </c>
      <c r="N245" s="154"/>
      <c r="O245" s="152">
        <f>SUM(O233:O244)</f>
        <v>0</v>
      </c>
      <c r="P245" s="155">
        <f>SUM(P233:P244)</f>
        <v>0</v>
      </c>
      <c r="Q245" s="155">
        <f>SUM(Q233:Q244)</f>
        <v>0</v>
      </c>
      <c r="R245" s="154"/>
      <c r="S245" s="152">
        <f>SUM(S233:S244)</f>
        <v>0</v>
      </c>
      <c r="T245" s="155">
        <f>SUM(T233:T244)</f>
        <v>0</v>
      </c>
      <c r="U245" s="155">
        <f>SUM(U233:U244)</f>
        <v>0</v>
      </c>
      <c r="V245" s="82"/>
      <c r="W245" s="228">
        <f t="shared" si="216"/>
        <v>0</v>
      </c>
      <c r="X245" s="80">
        <f t="shared" si="217"/>
        <v>0</v>
      </c>
      <c r="Y245" s="80">
        <f t="shared" si="218"/>
        <v>0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>SUM(C205+C217+C225+C231+C245)</f>
        <v>3000</v>
      </c>
      <c r="D246" s="111">
        <f t="shared" ref="D246:Y246" si="219">SUM(D205+D217+D225+D231+D245)</f>
        <v>0</v>
      </c>
      <c r="E246" s="111">
        <f t="shared" si="219"/>
        <v>3000</v>
      </c>
      <c r="F246" s="111">
        <f t="shared" si="219"/>
        <v>0</v>
      </c>
      <c r="G246" s="111">
        <f t="shared" si="219"/>
        <v>35146.111907140003</v>
      </c>
      <c r="H246" s="111">
        <f t="shared" si="219"/>
        <v>0</v>
      </c>
      <c r="I246" s="111">
        <f t="shared" si="219"/>
        <v>35146.111907140003</v>
      </c>
      <c r="J246" s="111">
        <f t="shared" si="219"/>
        <v>0</v>
      </c>
      <c r="K246" s="111">
        <f t="shared" si="219"/>
        <v>3000</v>
      </c>
      <c r="L246" s="111">
        <f t="shared" si="219"/>
        <v>0</v>
      </c>
      <c r="M246" s="111">
        <f t="shared" si="219"/>
        <v>3000</v>
      </c>
      <c r="N246" s="111">
        <f t="shared" si="219"/>
        <v>0</v>
      </c>
      <c r="O246" s="111">
        <f t="shared" si="219"/>
        <v>3000</v>
      </c>
      <c r="P246" s="111">
        <f t="shared" si="219"/>
        <v>0</v>
      </c>
      <c r="Q246" s="111">
        <f t="shared" si="219"/>
        <v>3000</v>
      </c>
      <c r="R246" s="111">
        <f t="shared" si="219"/>
        <v>0</v>
      </c>
      <c r="S246" s="111">
        <f t="shared" si="219"/>
        <v>3000</v>
      </c>
      <c r="T246" s="111">
        <f t="shared" si="219"/>
        <v>0</v>
      </c>
      <c r="U246" s="111">
        <f t="shared" si="219"/>
        <v>3000</v>
      </c>
      <c r="V246" s="111">
        <f t="shared" si="219"/>
        <v>0</v>
      </c>
      <c r="W246" s="111">
        <f t="shared" si="219"/>
        <v>47146.111907140003</v>
      </c>
      <c r="X246" s="111">
        <f t="shared" si="219"/>
        <v>0</v>
      </c>
      <c r="Y246" s="111">
        <f t="shared" si="219"/>
        <v>47146.111907140003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(C205+C225+C245)*0.42</f>
        <v>1260</v>
      </c>
      <c r="D247" s="111">
        <v>0</v>
      </c>
      <c r="E247" s="111">
        <f>C247</f>
        <v>1260</v>
      </c>
      <c r="F247" s="111">
        <f>F196*0.47</f>
        <v>0</v>
      </c>
      <c r="G247" s="111">
        <f>(G205+G225+G245)*0.42</f>
        <v>14761.3670009988</v>
      </c>
      <c r="H247" s="111">
        <v>0</v>
      </c>
      <c r="I247" s="111">
        <f>G247</f>
        <v>14761.3670009988</v>
      </c>
      <c r="J247" s="111">
        <f>J196*0.47</f>
        <v>0</v>
      </c>
      <c r="K247" s="111">
        <f>(K205+K225+K245)*0.42</f>
        <v>1260</v>
      </c>
      <c r="L247" s="111">
        <v>0</v>
      </c>
      <c r="M247" s="111">
        <f>K247</f>
        <v>1260</v>
      </c>
      <c r="N247" s="111">
        <f>N196*0.47</f>
        <v>0</v>
      </c>
      <c r="O247" s="111">
        <f>(O205+O225+O245)*0.42</f>
        <v>1260</v>
      </c>
      <c r="P247" s="111">
        <v>0</v>
      </c>
      <c r="Q247" s="111">
        <f>O247</f>
        <v>1260</v>
      </c>
      <c r="R247" s="111">
        <f>R196*0.47</f>
        <v>0</v>
      </c>
      <c r="S247" s="111">
        <f>(S205+S225+S245)*0.42</f>
        <v>1260</v>
      </c>
      <c r="T247" s="111">
        <v>0</v>
      </c>
      <c r="U247" s="111">
        <f>S247</f>
        <v>1260</v>
      </c>
      <c r="V247" s="111">
        <f>V196*0.47</f>
        <v>0</v>
      </c>
      <c r="W247" s="111">
        <f>(W205+W225+W245)*0.42</f>
        <v>19801.367000998802</v>
      </c>
      <c r="X247" s="111">
        <v>0</v>
      </c>
      <c r="Y247" s="111">
        <f>W247</f>
        <v>19801.367000998802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4260</v>
      </c>
      <c r="D248" s="111">
        <f t="shared" ref="D248:Y248" si="220">SUM(D246:D247)</f>
        <v>0</v>
      </c>
      <c r="E248" s="111">
        <f t="shared" si="220"/>
        <v>4260</v>
      </c>
      <c r="F248" s="111">
        <f t="shared" si="220"/>
        <v>0</v>
      </c>
      <c r="G248" s="111">
        <f t="shared" si="220"/>
        <v>49907.478908138801</v>
      </c>
      <c r="H248" s="111">
        <f t="shared" si="220"/>
        <v>0</v>
      </c>
      <c r="I248" s="111">
        <f t="shared" si="220"/>
        <v>49907.478908138801</v>
      </c>
      <c r="J248" s="111">
        <f t="shared" si="220"/>
        <v>0</v>
      </c>
      <c r="K248" s="111">
        <f t="shared" si="220"/>
        <v>4260</v>
      </c>
      <c r="L248" s="111">
        <f t="shared" si="220"/>
        <v>0</v>
      </c>
      <c r="M248" s="111">
        <f t="shared" si="220"/>
        <v>4260</v>
      </c>
      <c r="N248" s="111">
        <f t="shared" si="220"/>
        <v>0</v>
      </c>
      <c r="O248" s="111">
        <f t="shared" si="220"/>
        <v>4260</v>
      </c>
      <c r="P248" s="111">
        <f t="shared" si="220"/>
        <v>0</v>
      </c>
      <c r="Q248" s="111">
        <f t="shared" si="220"/>
        <v>4260</v>
      </c>
      <c r="R248" s="111">
        <f t="shared" si="220"/>
        <v>0</v>
      </c>
      <c r="S248" s="111">
        <f t="shared" si="220"/>
        <v>4260</v>
      </c>
      <c r="T248" s="111">
        <f t="shared" si="220"/>
        <v>0</v>
      </c>
      <c r="U248" s="111">
        <f t="shared" si="220"/>
        <v>4260</v>
      </c>
      <c r="V248" s="111">
        <f t="shared" si="220"/>
        <v>0</v>
      </c>
      <c r="W248" s="111">
        <f t="shared" si="220"/>
        <v>66947.478908138801</v>
      </c>
      <c r="X248" s="111">
        <f t="shared" si="220"/>
        <v>0</v>
      </c>
      <c r="Y248" s="111">
        <f t="shared" si="220"/>
        <v>66947.478908138801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3" customFormat="1" x14ac:dyDescent="0.25">
      <c r="C249" s="14"/>
      <c r="D249" s="14"/>
      <c r="E249" s="14"/>
      <c r="F249" s="14"/>
      <c r="G249" s="14"/>
      <c r="H249" s="14"/>
      <c r="I249" s="14"/>
      <c r="J249" s="14"/>
      <c r="K249" s="14"/>
      <c r="M249" s="14"/>
      <c r="N249" s="14"/>
      <c r="O249" s="14"/>
      <c r="Q249" s="14"/>
      <c r="R249" s="14"/>
      <c r="S249" s="14"/>
      <c r="U249" s="14"/>
      <c r="V249" s="16"/>
      <c r="W249" s="14"/>
      <c r="X249" s="14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61" customFormat="1" x14ac:dyDescent="0.25">
      <c r="A252" s="53" t="s">
        <v>57</v>
      </c>
      <c r="B252" s="61" t="s">
        <v>57</v>
      </c>
      <c r="C252" s="55">
        <f>(31.5*2080*0.1)*1.03*0</f>
        <v>0</v>
      </c>
      <c r="D252" s="57">
        <v>0</v>
      </c>
      <c r="E252" s="57">
        <f t="shared" ref="E252:E255" si="221">SUM(C252:D252)</f>
        <v>0</v>
      </c>
      <c r="F252" s="58"/>
      <c r="G252" s="55">
        <f>C252*1.03</f>
        <v>0</v>
      </c>
      <c r="H252" s="57">
        <f>D252*1.03</f>
        <v>0</v>
      </c>
      <c r="I252" s="57">
        <f t="shared" ref="I252:I255" si="222">SUM(G252:H252)</f>
        <v>0</v>
      </c>
      <c r="J252" s="58"/>
      <c r="K252" s="55">
        <f>G252*1.03</f>
        <v>0</v>
      </c>
      <c r="L252" s="57">
        <f>H252*1.03</f>
        <v>0</v>
      </c>
      <c r="M252" s="57">
        <f t="shared" ref="M252:M255" si="223">SUM(K252:L252)</f>
        <v>0</v>
      </c>
      <c r="N252" s="58"/>
      <c r="O252" s="55">
        <f>K252*1.03</f>
        <v>0</v>
      </c>
      <c r="P252" s="57">
        <f>L252*1.03</f>
        <v>0</v>
      </c>
      <c r="Q252" s="57">
        <f t="shared" ref="Q252:Q255" si="224">SUM(O252:P252)</f>
        <v>0</v>
      </c>
      <c r="R252" s="58"/>
      <c r="S252" s="55">
        <f>O252*1.03</f>
        <v>0</v>
      </c>
      <c r="T252" s="57">
        <f>P252*1.03</f>
        <v>0</v>
      </c>
      <c r="U252" s="57">
        <f t="shared" ref="U252:U255" si="225">SUM(S252:T252)</f>
        <v>0</v>
      </c>
      <c r="V252" s="59"/>
      <c r="W252" s="124">
        <f>C252+G252+K252+O252+S252</f>
        <v>0</v>
      </c>
      <c r="X252" s="57">
        <f t="shared" ref="X252:Y256" si="226">D252+H252+L252+P252+T252</f>
        <v>0</v>
      </c>
      <c r="Y252" s="60">
        <f t="shared" si="226"/>
        <v>0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si="221"/>
        <v>0</v>
      </c>
      <c r="F253" s="175"/>
      <c r="G253" s="172">
        <f t="shared" ref="G253:H255" si="227">C253*1.03</f>
        <v>0</v>
      </c>
      <c r="H253" s="173">
        <f t="shared" si="227"/>
        <v>0</v>
      </c>
      <c r="I253" s="173">
        <f t="shared" si="222"/>
        <v>0</v>
      </c>
      <c r="J253" s="175"/>
      <c r="K253" s="172">
        <f t="shared" ref="K253:L255" si="228">G253*1.03</f>
        <v>0</v>
      </c>
      <c r="L253" s="173">
        <f t="shared" si="228"/>
        <v>0</v>
      </c>
      <c r="M253" s="173">
        <f t="shared" si="223"/>
        <v>0</v>
      </c>
      <c r="N253" s="175"/>
      <c r="O253" s="172">
        <f t="shared" ref="O253:P255" si="229">K253*1.03</f>
        <v>0</v>
      </c>
      <c r="P253" s="173">
        <f t="shared" si="229"/>
        <v>0</v>
      </c>
      <c r="Q253" s="173">
        <f t="shared" si="224"/>
        <v>0</v>
      </c>
      <c r="R253" s="175"/>
      <c r="S253" s="172">
        <f t="shared" ref="S253:T255" si="230">O253*1.03</f>
        <v>0</v>
      </c>
      <c r="T253" s="173">
        <f t="shared" si="230"/>
        <v>0</v>
      </c>
      <c r="U253" s="173">
        <f t="shared" si="225"/>
        <v>0</v>
      </c>
      <c r="V253" s="176"/>
      <c r="W253" s="227">
        <f t="shared" ref="W253:W256" si="231">C253+G253+K253+O253+S253</f>
        <v>0</v>
      </c>
      <c r="X253" s="173">
        <f t="shared" si="226"/>
        <v>0</v>
      </c>
      <c r="Y253" s="177">
        <f t="shared" si="226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221"/>
        <v>0</v>
      </c>
      <c r="F254" s="175"/>
      <c r="G254" s="172">
        <f t="shared" si="227"/>
        <v>0</v>
      </c>
      <c r="H254" s="173">
        <f t="shared" si="227"/>
        <v>0</v>
      </c>
      <c r="I254" s="173">
        <f t="shared" si="222"/>
        <v>0</v>
      </c>
      <c r="J254" s="175"/>
      <c r="K254" s="172">
        <f t="shared" si="228"/>
        <v>0</v>
      </c>
      <c r="L254" s="173">
        <f t="shared" si="228"/>
        <v>0</v>
      </c>
      <c r="M254" s="173">
        <f t="shared" si="223"/>
        <v>0</v>
      </c>
      <c r="N254" s="175"/>
      <c r="O254" s="172">
        <f t="shared" si="229"/>
        <v>0</v>
      </c>
      <c r="P254" s="173">
        <f t="shared" si="229"/>
        <v>0</v>
      </c>
      <c r="Q254" s="173">
        <f t="shared" si="224"/>
        <v>0</v>
      </c>
      <c r="R254" s="175"/>
      <c r="S254" s="172">
        <f t="shared" si="230"/>
        <v>0</v>
      </c>
      <c r="T254" s="173">
        <f t="shared" si="230"/>
        <v>0</v>
      </c>
      <c r="U254" s="173">
        <f t="shared" si="225"/>
        <v>0</v>
      </c>
      <c r="V254" s="176"/>
      <c r="W254" s="227">
        <f t="shared" si="231"/>
        <v>0</v>
      </c>
      <c r="X254" s="173">
        <f t="shared" si="226"/>
        <v>0</v>
      </c>
      <c r="Y254" s="177">
        <f t="shared" si="226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221"/>
        <v>0</v>
      </c>
      <c r="F255" s="175"/>
      <c r="G255" s="172">
        <f t="shared" si="227"/>
        <v>0</v>
      </c>
      <c r="H255" s="173">
        <f t="shared" si="227"/>
        <v>0</v>
      </c>
      <c r="I255" s="173">
        <f t="shared" si="222"/>
        <v>0</v>
      </c>
      <c r="J255" s="175"/>
      <c r="K255" s="172">
        <f t="shared" si="228"/>
        <v>0</v>
      </c>
      <c r="L255" s="173">
        <f t="shared" si="228"/>
        <v>0</v>
      </c>
      <c r="M255" s="173">
        <f t="shared" si="223"/>
        <v>0</v>
      </c>
      <c r="N255" s="175"/>
      <c r="O255" s="172">
        <f t="shared" si="229"/>
        <v>0</v>
      </c>
      <c r="P255" s="173">
        <f t="shared" si="229"/>
        <v>0</v>
      </c>
      <c r="Q255" s="173">
        <f t="shared" si="224"/>
        <v>0</v>
      </c>
      <c r="R255" s="175"/>
      <c r="S255" s="172">
        <f t="shared" si="230"/>
        <v>0</v>
      </c>
      <c r="T255" s="173">
        <f t="shared" si="230"/>
        <v>0</v>
      </c>
      <c r="U255" s="173">
        <f t="shared" si="225"/>
        <v>0</v>
      </c>
      <c r="V255" s="176"/>
      <c r="W255" s="227">
        <f t="shared" si="231"/>
        <v>0</v>
      </c>
      <c r="X255" s="173">
        <f t="shared" si="226"/>
        <v>0</v>
      </c>
      <c r="Y255" s="177">
        <f t="shared" si="226"/>
        <v>0</v>
      </c>
    </row>
    <row r="256" spans="1:77" s="83" customFormat="1" x14ac:dyDescent="0.25">
      <c r="A256" s="78"/>
      <c r="B256" s="78" t="s">
        <v>9</v>
      </c>
      <c r="C256" s="228">
        <f>SUM(C252:C255)</f>
        <v>0</v>
      </c>
      <c r="D256" s="125">
        <f>SUM(D252:D255)</f>
        <v>0</v>
      </c>
      <c r="E256" s="125">
        <f>SUM(E252:E255)</f>
        <v>0</v>
      </c>
      <c r="F256" s="81"/>
      <c r="G256" s="79">
        <f>SUM(G252:G255)</f>
        <v>0</v>
      </c>
      <c r="H256" s="80">
        <f>SUM(H252:H255)</f>
        <v>0</v>
      </c>
      <c r="I256" s="80">
        <f>SUM(I252:I255)</f>
        <v>0</v>
      </c>
      <c r="J256" s="81"/>
      <c r="K256" s="79">
        <f>SUM(K252:K255)</f>
        <v>0</v>
      </c>
      <c r="L256" s="80">
        <f>SUM(L252:L255)</f>
        <v>0</v>
      </c>
      <c r="M256" s="80">
        <f>SUM(M252:M255)</f>
        <v>0</v>
      </c>
      <c r="N256" s="81"/>
      <c r="O256" s="79">
        <f>SUM(O252:O255)</f>
        <v>0</v>
      </c>
      <c r="P256" s="80">
        <f>SUM(P252:P255)</f>
        <v>0</v>
      </c>
      <c r="Q256" s="80">
        <f>SUM(Q252:Q255)</f>
        <v>0</v>
      </c>
      <c r="R256" s="81"/>
      <c r="S256" s="79">
        <f>SUM(S252:S255)</f>
        <v>0</v>
      </c>
      <c r="T256" s="80">
        <f>SUM(T252:T255)</f>
        <v>0</v>
      </c>
      <c r="U256" s="80">
        <f>SUM(U252:U255)</f>
        <v>0</v>
      </c>
      <c r="V256" s="82"/>
      <c r="W256" s="228">
        <f t="shared" si="231"/>
        <v>0</v>
      </c>
      <c r="X256" s="80">
        <f t="shared" si="226"/>
        <v>0</v>
      </c>
      <c r="Y256" s="80">
        <f t="shared" si="226"/>
        <v>0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:L261" si="232">G258*1.03</f>
        <v>0</v>
      </c>
      <c r="L258" s="57">
        <f t="shared" si="232"/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Y262" si="233">C258+G258+K258+O258+S258</f>
        <v>0</v>
      </c>
      <c r="X258" s="57">
        <f t="shared" si="233"/>
        <v>0</v>
      </c>
      <c r="Y258" s="57">
        <f t="shared" ref="Y258:Y261" si="234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24">
        <v>0</v>
      </c>
      <c r="D259" s="56">
        <v>0</v>
      </c>
      <c r="E259" s="56">
        <f t="shared" ref="E259:E261" si="235">SUM(C259:D259)</f>
        <v>0</v>
      </c>
      <c r="F259" s="58"/>
      <c r="G259" s="55">
        <f t="shared" ref="G259:H261" si="236">C259*1.03</f>
        <v>0</v>
      </c>
      <c r="H259" s="57">
        <f t="shared" si="236"/>
        <v>0</v>
      </c>
      <c r="I259" s="57">
        <f t="shared" ref="I259:I261" si="237">SUM(G259:H259)</f>
        <v>0</v>
      </c>
      <c r="J259" s="58"/>
      <c r="K259" s="55">
        <f t="shared" si="232"/>
        <v>0</v>
      </c>
      <c r="L259" s="57">
        <f t="shared" si="232"/>
        <v>0</v>
      </c>
      <c r="M259" s="57">
        <f t="shared" ref="M259:M261" si="238">SUM(K259:L259)</f>
        <v>0</v>
      </c>
      <c r="N259" s="58"/>
      <c r="O259" s="55">
        <f t="shared" ref="O259:P261" si="239">K259*1.03</f>
        <v>0</v>
      </c>
      <c r="P259" s="57">
        <f t="shared" si="239"/>
        <v>0</v>
      </c>
      <c r="Q259" s="57">
        <f t="shared" ref="Q259:Q261" si="240">SUM(O259:P259)</f>
        <v>0</v>
      </c>
      <c r="R259" s="58"/>
      <c r="S259" s="55">
        <f t="shared" ref="S259:T261" si="241">O259*1.03</f>
        <v>0</v>
      </c>
      <c r="T259" s="57">
        <f t="shared" si="241"/>
        <v>0</v>
      </c>
      <c r="U259" s="57">
        <f t="shared" ref="U259:U261" si="242">SUM(S259:T259)</f>
        <v>0</v>
      </c>
      <c r="V259" s="59"/>
      <c r="W259" s="124">
        <f t="shared" si="233"/>
        <v>0</v>
      </c>
      <c r="X259" s="57">
        <f t="shared" si="233"/>
        <v>0</v>
      </c>
      <c r="Y259" s="57">
        <f t="shared" si="234"/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si="235"/>
        <v>0</v>
      </c>
      <c r="F260" s="58"/>
      <c r="G260" s="55">
        <f t="shared" si="236"/>
        <v>0</v>
      </c>
      <c r="H260" s="57">
        <f t="shared" si="236"/>
        <v>0</v>
      </c>
      <c r="I260" s="57">
        <f t="shared" si="237"/>
        <v>0</v>
      </c>
      <c r="J260" s="58"/>
      <c r="K260" s="55">
        <f t="shared" si="232"/>
        <v>0</v>
      </c>
      <c r="L260" s="57">
        <f t="shared" si="232"/>
        <v>0</v>
      </c>
      <c r="M260" s="57">
        <f t="shared" si="238"/>
        <v>0</v>
      </c>
      <c r="N260" s="58"/>
      <c r="O260" s="55">
        <f t="shared" si="239"/>
        <v>0</v>
      </c>
      <c r="P260" s="57">
        <f t="shared" si="239"/>
        <v>0</v>
      </c>
      <c r="Q260" s="57">
        <f t="shared" si="240"/>
        <v>0</v>
      </c>
      <c r="R260" s="58"/>
      <c r="S260" s="55">
        <f t="shared" si="241"/>
        <v>0</v>
      </c>
      <c r="T260" s="57">
        <f t="shared" si="241"/>
        <v>0</v>
      </c>
      <c r="U260" s="57">
        <f t="shared" si="242"/>
        <v>0</v>
      </c>
      <c r="V260" s="59"/>
      <c r="W260" s="124">
        <f t="shared" si="233"/>
        <v>0</v>
      </c>
      <c r="X260" s="57">
        <f t="shared" si="233"/>
        <v>0</v>
      </c>
      <c r="Y260" s="57">
        <f t="shared" si="234"/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235"/>
        <v>0</v>
      </c>
      <c r="F261" s="58"/>
      <c r="G261" s="55">
        <f t="shared" si="236"/>
        <v>0</v>
      </c>
      <c r="H261" s="57">
        <f t="shared" si="236"/>
        <v>0</v>
      </c>
      <c r="I261" s="57">
        <f t="shared" si="237"/>
        <v>0</v>
      </c>
      <c r="J261" s="58"/>
      <c r="K261" s="55">
        <f t="shared" si="232"/>
        <v>0</v>
      </c>
      <c r="L261" s="57">
        <f t="shared" si="232"/>
        <v>0</v>
      </c>
      <c r="M261" s="57">
        <f t="shared" si="238"/>
        <v>0</v>
      </c>
      <c r="N261" s="58"/>
      <c r="O261" s="55">
        <f t="shared" si="239"/>
        <v>0</v>
      </c>
      <c r="P261" s="57">
        <f t="shared" si="239"/>
        <v>0</v>
      </c>
      <c r="Q261" s="57">
        <f t="shared" si="240"/>
        <v>0</v>
      </c>
      <c r="R261" s="58"/>
      <c r="S261" s="55">
        <f t="shared" si="241"/>
        <v>0</v>
      </c>
      <c r="T261" s="57">
        <f t="shared" si="241"/>
        <v>0</v>
      </c>
      <c r="U261" s="57">
        <f t="shared" si="242"/>
        <v>0</v>
      </c>
      <c r="V261" s="59"/>
      <c r="W261" s="124">
        <f t="shared" si="233"/>
        <v>0</v>
      </c>
      <c r="X261" s="57">
        <f t="shared" si="233"/>
        <v>0</v>
      </c>
      <c r="Y261" s="57">
        <f t="shared" si="234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233"/>
        <v>0</v>
      </c>
      <c r="X262" s="80">
        <f t="shared" si="233"/>
        <v>0</v>
      </c>
      <c r="Y262" s="80">
        <f t="shared" si="233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243">C262+C256</f>
        <v>0</v>
      </c>
      <c r="D263" s="242">
        <f t="shared" si="243"/>
        <v>0</v>
      </c>
      <c r="E263" s="242">
        <f t="shared" si="243"/>
        <v>0</v>
      </c>
      <c r="F263" s="242">
        <f t="shared" si="243"/>
        <v>0</v>
      </c>
      <c r="G263" s="242">
        <f t="shared" si="243"/>
        <v>0</v>
      </c>
      <c r="H263" s="242">
        <f t="shared" si="243"/>
        <v>0</v>
      </c>
      <c r="I263" s="242">
        <f t="shared" si="243"/>
        <v>0</v>
      </c>
      <c r="J263" s="242">
        <f t="shared" si="243"/>
        <v>0</v>
      </c>
      <c r="K263" s="242">
        <f t="shared" si="243"/>
        <v>0</v>
      </c>
      <c r="L263" s="242">
        <f t="shared" si="243"/>
        <v>0</v>
      </c>
      <c r="M263" s="242">
        <f t="shared" si="243"/>
        <v>0</v>
      </c>
      <c r="N263" s="242">
        <f t="shared" si="243"/>
        <v>0</v>
      </c>
      <c r="O263" s="242">
        <f t="shared" si="243"/>
        <v>0</v>
      </c>
      <c r="P263" s="242">
        <f t="shared" si="243"/>
        <v>0</v>
      </c>
      <c r="Q263" s="242">
        <f t="shared" si="243"/>
        <v>0</v>
      </c>
      <c r="R263" s="242">
        <f t="shared" si="243"/>
        <v>0</v>
      </c>
      <c r="S263" s="242">
        <f t="shared" si="243"/>
        <v>0</v>
      </c>
      <c r="T263" s="242">
        <f t="shared" si="243"/>
        <v>0</v>
      </c>
      <c r="U263" s="242">
        <f t="shared" si="243"/>
        <v>0</v>
      </c>
      <c r="V263" s="242">
        <f t="shared" si="243"/>
        <v>0</v>
      </c>
      <c r="W263" s="242">
        <f t="shared" si="243"/>
        <v>0</v>
      </c>
      <c r="X263" s="242">
        <f t="shared" si="243"/>
        <v>0</v>
      </c>
      <c r="Y263" s="243">
        <f>E263+I263+M263+Q263+U263</f>
        <v>0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56">
        <f t="shared" ref="E265:E267" si="244">SUM(C265:D265)</f>
        <v>0</v>
      </c>
      <c r="F265" s="58"/>
      <c r="G265" s="124">
        <f>G258*A265*1.03*1.03</f>
        <v>0</v>
      </c>
      <c r="H265" s="56">
        <f>H258*A265*1.03</f>
        <v>0</v>
      </c>
      <c r="I265" s="57">
        <f t="shared" ref="I265:I267" si="245">SUM(G265:H265)</f>
        <v>0</v>
      </c>
      <c r="J265" s="58"/>
      <c r="K265" s="124">
        <f>K258*A265*1.03*1.03*1.03</f>
        <v>0</v>
      </c>
      <c r="L265" s="56">
        <f>L258*A265*1.03*1.03</f>
        <v>0</v>
      </c>
      <c r="M265" s="57">
        <f t="shared" ref="M265:M267" si="246">SUM(K265:L265)</f>
        <v>0</v>
      </c>
      <c r="N265" s="58"/>
      <c r="O265" s="124">
        <f>O258*A265*1.03*1.03*1.03*1.03</f>
        <v>0</v>
      </c>
      <c r="P265" s="56">
        <f>P258*A265*1.03*1.03*1.03</f>
        <v>0</v>
      </c>
      <c r="Q265" s="57">
        <f t="shared" ref="Q265:Q267" si="247">SUM(O265:P265)</f>
        <v>0</v>
      </c>
      <c r="R265" s="58"/>
      <c r="S265" s="124">
        <f>S258*A265*1.03*1.03*1.03*1.03*1.03</f>
        <v>0</v>
      </c>
      <c r="T265" s="56">
        <f>T258*A265*1.03*1.03*1.03*1.03</f>
        <v>0</v>
      </c>
      <c r="U265" s="57">
        <f t="shared" ref="U265:U267" si="248">SUM(S265:T265)</f>
        <v>0</v>
      </c>
      <c r="V265" s="59"/>
      <c r="W265" s="124">
        <f t="shared" ref="W265:Y268" si="249">C265+G265+K265+O265+S265</f>
        <v>0</v>
      </c>
      <c r="X265" s="57">
        <f t="shared" si="249"/>
        <v>0</v>
      </c>
      <c r="Y265" s="84">
        <f t="shared" si="249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0</v>
      </c>
      <c r="D266" s="56">
        <f>D256*A266*1.03</f>
        <v>0</v>
      </c>
      <c r="E266" s="56">
        <f t="shared" si="244"/>
        <v>0</v>
      </c>
      <c r="F266" s="58"/>
      <c r="G266" s="124">
        <f>G256*A266*1.03*1.03</f>
        <v>0</v>
      </c>
      <c r="H266" s="56">
        <f>H256*A266*1.03*1.03</f>
        <v>0</v>
      </c>
      <c r="I266" s="57">
        <f t="shared" si="245"/>
        <v>0</v>
      </c>
      <c r="J266" s="58"/>
      <c r="K266" s="55">
        <f>K256*A266*1.03*1.03*1.03</f>
        <v>0</v>
      </c>
      <c r="L266" s="56">
        <f>L260*A266*1.03*1.03</f>
        <v>0</v>
      </c>
      <c r="M266" s="57">
        <f t="shared" si="246"/>
        <v>0</v>
      </c>
      <c r="N266" s="58"/>
      <c r="O266" s="55">
        <f>O256*A266*1.03*1.03*1.03*1.03</f>
        <v>0</v>
      </c>
      <c r="P266" s="56">
        <f>P260*A266*1.03*1.03*1.03</f>
        <v>0</v>
      </c>
      <c r="Q266" s="57">
        <f t="shared" si="247"/>
        <v>0</v>
      </c>
      <c r="R266" s="58"/>
      <c r="S266" s="55">
        <f>S256*A266*1.03*1.03*1.03*1.03*1.03</f>
        <v>0</v>
      </c>
      <c r="T266" s="56">
        <f>T260*A266*1.03*1.03*1.03*1.03</f>
        <v>0</v>
      </c>
      <c r="U266" s="57">
        <f t="shared" si="248"/>
        <v>0</v>
      </c>
      <c r="V266" s="59"/>
      <c r="W266" s="124">
        <f t="shared" si="249"/>
        <v>0</v>
      </c>
      <c r="X266" s="57">
        <f t="shared" si="249"/>
        <v>0</v>
      </c>
      <c r="Y266" s="84">
        <f t="shared" si="249"/>
        <v>0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56">
        <f t="shared" si="244"/>
        <v>0</v>
      </c>
      <c r="F267" s="58"/>
      <c r="G267" s="55">
        <f>C267*1.05</f>
        <v>0</v>
      </c>
      <c r="H267" s="57">
        <f>D267*1.05</f>
        <v>0</v>
      </c>
      <c r="I267" s="57">
        <f t="shared" si="245"/>
        <v>0</v>
      </c>
      <c r="J267" s="58"/>
      <c r="K267" s="55">
        <f>K256*A266*1.03*1.03*1.03*0</f>
        <v>0</v>
      </c>
      <c r="L267" s="56">
        <f>L256*A266*1.03*1.03*1.03</f>
        <v>0</v>
      </c>
      <c r="M267" s="57">
        <f t="shared" si="246"/>
        <v>0</v>
      </c>
      <c r="N267" s="58"/>
      <c r="O267" s="55">
        <f>O256*A266*1.03*1.03*1.03*1.03*0</f>
        <v>0</v>
      </c>
      <c r="P267" s="56">
        <f>P256*A266*1.03*1.03*1.03*1.03</f>
        <v>0</v>
      </c>
      <c r="Q267" s="57">
        <f t="shared" si="247"/>
        <v>0</v>
      </c>
      <c r="R267" s="58"/>
      <c r="S267" s="55">
        <f>S256*A266*1.03*1.03*1.03*1.03*1.03*0</f>
        <v>0</v>
      </c>
      <c r="T267" s="56">
        <f>T256*A266*1.03*1.03*1.03*1.03*1.03</f>
        <v>0</v>
      </c>
      <c r="U267" s="57">
        <f t="shared" si="248"/>
        <v>0</v>
      </c>
      <c r="V267" s="59"/>
      <c r="W267" s="124">
        <f t="shared" si="249"/>
        <v>0</v>
      </c>
      <c r="X267" s="57">
        <f t="shared" si="249"/>
        <v>0</v>
      </c>
      <c r="Y267" s="84">
        <f t="shared" si="249"/>
        <v>0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0</v>
      </c>
      <c r="D268" s="125">
        <f>SUM(D265:D267)</f>
        <v>0</v>
      </c>
      <c r="E268" s="125">
        <f>SUM(E265:E267)</f>
        <v>0</v>
      </c>
      <c r="F268" s="81"/>
      <c r="G268" s="79">
        <f>SUM(G265:G267)</f>
        <v>0</v>
      </c>
      <c r="H268" s="80">
        <f>SUM(H265:H267)</f>
        <v>0</v>
      </c>
      <c r="I268" s="80">
        <f>SUM(I265:I267)</f>
        <v>0</v>
      </c>
      <c r="J268" s="81"/>
      <c r="K268" s="79">
        <f>SUM(K265:K267)</f>
        <v>0</v>
      </c>
      <c r="L268" s="80">
        <f>SUM(L265:L267)</f>
        <v>0</v>
      </c>
      <c r="M268" s="80">
        <f>SUM(M265:M267)</f>
        <v>0</v>
      </c>
      <c r="N268" s="81"/>
      <c r="O268" s="79">
        <f>SUM(O265:O267)</f>
        <v>0</v>
      </c>
      <c r="P268" s="80">
        <f>SUM(P265:P267)</f>
        <v>0</v>
      </c>
      <c r="Q268" s="80">
        <f>SUM(Q265:Q267)</f>
        <v>0</v>
      </c>
      <c r="R268" s="81"/>
      <c r="S268" s="79">
        <f>SUM(S265:S267)</f>
        <v>0</v>
      </c>
      <c r="T268" s="80">
        <f>SUM(T265:T267)</f>
        <v>0</v>
      </c>
      <c r="U268" s="80">
        <f>SUM(U265:U267)</f>
        <v>0</v>
      </c>
      <c r="V268" s="82"/>
      <c r="W268" s="228">
        <f t="shared" si="249"/>
        <v>0</v>
      </c>
      <c r="X268" s="80">
        <f t="shared" si="249"/>
        <v>0</v>
      </c>
      <c r="Y268" s="80">
        <f t="shared" si="249"/>
        <v>0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250">C268+C263</f>
        <v>0</v>
      </c>
      <c r="D269" s="242">
        <f t="shared" si="250"/>
        <v>0</v>
      </c>
      <c r="E269" s="242">
        <f t="shared" si="250"/>
        <v>0</v>
      </c>
      <c r="F269" s="242">
        <f t="shared" si="250"/>
        <v>0</v>
      </c>
      <c r="G269" s="242">
        <f t="shared" si="250"/>
        <v>0</v>
      </c>
      <c r="H269" s="242">
        <f t="shared" si="250"/>
        <v>0</v>
      </c>
      <c r="I269" s="242">
        <f t="shared" si="250"/>
        <v>0</v>
      </c>
      <c r="J269" s="242">
        <f t="shared" si="250"/>
        <v>0</v>
      </c>
      <c r="K269" s="242">
        <f t="shared" si="250"/>
        <v>0</v>
      </c>
      <c r="L269" s="242">
        <f t="shared" si="250"/>
        <v>0</v>
      </c>
      <c r="M269" s="242">
        <f t="shared" si="250"/>
        <v>0</v>
      </c>
      <c r="N269" s="242">
        <f t="shared" si="250"/>
        <v>0</v>
      </c>
      <c r="O269" s="242">
        <f t="shared" si="250"/>
        <v>0</v>
      </c>
      <c r="P269" s="242">
        <f t="shared" si="250"/>
        <v>0</v>
      </c>
      <c r="Q269" s="242">
        <f t="shared" si="250"/>
        <v>0</v>
      </c>
      <c r="R269" s="242">
        <f t="shared" si="250"/>
        <v>0</v>
      </c>
      <c r="S269" s="242">
        <f t="shared" si="250"/>
        <v>0</v>
      </c>
      <c r="T269" s="242">
        <f t="shared" si="250"/>
        <v>0</v>
      </c>
      <c r="U269" s="242">
        <f t="shared" si="250"/>
        <v>0</v>
      </c>
      <c r="V269" s="242">
        <f t="shared" si="250"/>
        <v>0</v>
      </c>
      <c r="W269" s="242">
        <f t="shared" si="250"/>
        <v>0</v>
      </c>
      <c r="X269" s="242">
        <f t="shared" si="250"/>
        <v>0</v>
      </c>
      <c r="Y269" s="242">
        <f t="shared" si="250"/>
        <v>0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251">SUM(C271:D271)</f>
        <v>0</v>
      </c>
      <c r="F271" s="58"/>
      <c r="G271" s="55">
        <v>0</v>
      </c>
      <c r="H271" s="57">
        <v>0</v>
      </c>
      <c r="I271" s="57">
        <f t="shared" ref="I271:I273" si="252">SUM(G271:H271)</f>
        <v>0</v>
      </c>
      <c r="J271" s="58"/>
      <c r="K271" s="55">
        <v>0</v>
      </c>
      <c r="L271" s="57">
        <v>0</v>
      </c>
      <c r="M271" s="57">
        <f t="shared" ref="M271:M273" si="253">SUM(K271:L271)</f>
        <v>0</v>
      </c>
      <c r="N271" s="58"/>
      <c r="O271" s="55">
        <v>0</v>
      </c>
      <c r="P271" s="57">
        <v>0</v>
      </c>
      <c r="Q271" s="57">
        <f t="shared" ref="Q271:Q273" si="254">SUM(O271:P271)</f>
        <v>0</v>
      </c>
      <c r="R271" s="58"/>
      <c r="S271" s="55">
        <v>0</v>
      </c>
      <c r="T271" s="57">
        <v>0</v>
      </c>
      <c r="U271" s="57">
        <f t="shared" ref="U271:U273" si="255">SUM(S271:T271)</f>
        <v>0</v>
      </c>
      <c r="V271" s="59"/>
      <c r="W271" s="124">
        <f t="shared" ref="W271:Y274" si="256">C271+G271+K271+O271+S271</f>
        <v>0</v>
      </c>
      <c r="X271" s="57">
        <f t="shared" si="256"/>
        <v>0</v>
      </c>
      <c r="Y271" s="84">
        <f t="shared" si="256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251"/>
        <v>0</v>
      </c>
      <c r="F272" s="58"/>
      <c r="G272" s="55">
        <v>0</v>
      </c>
      <c r="H272" s="57">
        <v>0</v>
      </c>
      <c r="I272" s="57">
        <f t="shared" si="252"/>
        <v>0</v>
      </c>
      <c r="J272" s="58"/>
      <c r="K272" s="55">
        <v>0</v>
      </c>
      <c r="L272" s="57">
        <v>0</v>
      </c>
      <c r="M272" s="57">
        <f t="shared" si="253"/>
        <v>0</v>
      </c>
      <c r="N272" s="58"/>
      <c r="O272" s="55">
        <f>K272</f>
        <v>0</v>
      </c>
      <c r="P272" s="57">
        <v>0</v>
      </c>
      <c r="Q272" s="57">
        <f t="shared" si="254"/>
        <v>0</v>
      </c>
      <c r="R272" s="58"/>
      <c r="S272" s="55">
        <f>O272</f>
        <v>0</v>
      </c>
      <c r="T272" s="57">
        <v>0</v>
      </c>
      <c r="U272" s="57">
        <f t="shared" si="255"/>
        <v>0</v>
      </c>
      <c r="V272" s="59"/>
      <c r="W272" s="124">
        <f t="shared" si="256"/>
        <v>0</v>
      </c>
      <c r="X272" s="57">
        <f t="shared" si="256"/>
        <v>0</v>
      </c>
      <c r="Y272" s="84">
        <f t="shared" si="256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251"/>
        <v>0</v>
      </c>
      <c r="F273" s="58"/>
      <c r="G273" s="55">
        <v>0</v>
      </c>
      <c r="H273" s="57">
        <v>0</v>
      </c>
      <c r="I273" s="57">
        <f t="shared" si="252"/>
        <v>0</v>
      </c>
      <c r="J273" s="58"/>
      <c r="K273" s="55">
        <f>G273</f>
        <v>0</v>
      </c>
      <c r="L273" s="57">
        <v>0</v>
      </c>
      <c r="M273" s="57">
        <f t="shared" si="253"/>
        <v>0</v>
      </c>
      <c r="N273" s="58"/>
      <c r="O273" s="55">
        <v>0</v>
      </c>
      <c r="P273" s="57">
        <v>0</v>
      </c>
      <c r="Q273" s="57">
        <f t="shared" si="254"/>
        <v>0</v>
      </c>
      <c r="R273" s="58"/>
      <c r="S273" s="55">
        <f>O273</f>
        <v>0</v>
      </c>
      <c r="T273" s="57">
        <v>0</v>
      </c>
      <c r="U273" s="57">
        <f t="shared" si="255"/>
        <v>0</v>
      </c>
      <c r="V273" s="59"/>
      <c r="W273" s="124">
        <f t="shared" si="256"/>
        <v>0</v>
      </c>
      <c r="X273" s="57">
        <f t="shared" si="256"/>
        <v>0</v>
      </c>
      <c r="Y273" s="84">
        <f t="shared" si="256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256"/>
        <v>0</v>
      </c>
      <c r="X274" s="80">
        <f t="shared" si="256"/>
        <v>0</v>
      </c>
      <c r="Y274" s="80">
        <f t="shared" si="256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2"/>
      <c r="B276" s="54" t="s">
        <v>206</v>
      </c>
      <c r="C276" s="55">
        <f>1000</f>
        <v>1000</v>
      </c>
      <c r="D276" s="57">
        <v>0</v>
      </c>
      <c r="E276" s="57">
        <f t="shared" ref="E276" si="257">SUM(C276:D276)</f>
        <v>1000</v>
      </c>
      <c r="F276" s="58"/>
      <c r="G276" s="55">
        <f>C276</f>
        <v>1000</v>
      </c>
      <c r="H276" s="57">
        <v>0</v>
      </c>
      <c r="I276" s="57">
        <f t="shared" ref="I276" si="258">SUM(G276:H276)</f>
        <v>1000</v>
      </c>
      <c r="J276" s="58"/>
      <c r="K276" s="55">
        <f>G276</f>
        <v>1000</v>
      </c>
      <c r="L276" s="57">
        <v>0</v>
      </c>
      <c r="M276" s="57">
        <f t="shared" ref="M276" si="259">SUM(K276:L276)</f>
        <v>1000</v>
      </c>
      <c r="N276" s="58"/>
      <c r="O276" s="55">
        <f>K276</f>
        <v>1000</v>
      </c>
      <c r="P276" s="57">
        <v>0</v>
      </c>
      <c r="Q276" s="57">
        <f t="shared" ref="Q276" si="260">SUM(O276:P276)</f>
        <v>1000</v>
      </c>
      <c r="R276" s="58"/>
      <c r="S276" s="55">
        <f>O276</f>
        <v>1000</v>
      </c>
      <c r="T276" s="57">
        <v>0</v>
      </c>
      <c r="U276" s="57">
        <f t="shared" ref="U276" si="261">SUM(S276:T276)</f>
        <v>1000</v>
      </c>
      <c r="V276" s="59"/>
      <c r="W276" s="124">
        <f t="shared" ref="W276" si="262">C276+G276+K276+O276+S276</f>
        <v>5000</v>
      </c>
      <c r="X276" s="196">
        <f t="shared" ref="X276" si="263">D276+H276+L276+P276+T276</f>
        <v>0</v>
      </c>
      <c r="Y276" s="194">
        <f t="shared" ref="Y276" si="264">E276+I276+M276+Q276+U276</f>
        <v>5000</v>
      </c>
    </row>
    <row r="277" spans="1:77" s="61" customFormat="1" x14ac:dyDescent="0.25">
      <c r="A277" s="52"/>
      <c r="B277" s="54" t="s">
        <v>204</v>
      </c>
      <c r="C277" s="124">
        <v>1000</v>
      </c>
      <c r="D277" s="56">
        <v>0</v>
      </c>
      <c r="E277" s="56">
        <f t="shared" ref="E277" si="265">SUM(C277:D277)</f>
        <v>1000</v>
      </c>
      <c r="F277" s="58"/>
      <c r="G277" s="55">
        <f>C277</f>
        <v>1000</v>
      </c>
      <c r="H277" s="57">
        <v>0</v>
      </c>
      <c r="I277" s="57">
        <f t="shared" ref="I277" si="266">SUM(G277:H277)</f>
        <v>1000</v>
      </c>
      <c r="J277" s="58"/>
      <c r="K277" s="55">
        <f>G277</f>
        <v>1000</v>
      </c>
      <c r="L277" s="57">
        <v>0</v>
      </c>
      <c r="M277" s="57">
        <f t="shared" ref="M277" si="267">SUM(K277:L277)</f>
        <v>1000</v>
      </c>
      <c r="N277" s="58"/>
      <c r="O277" s="55">
        <f>K277</f>
        <v>1000</v>
      </c>
      <c r="P277" s="57">
        <v>0</v>
      </c>
      <c r="Q277" s="57">
        <f t="shared" ref="Q277" si="268">SUM(O277:P277)</f>
        <v>1000</v>
      </c>
      <c r="R277" s="58"/>
      <c r="S277" s="55">
        <f>O277</f>
        <v>1000</v>
      </c>
      <c r="T277" s="57">
        <v>0</v>
      </c>
      <c r="U277" s="57">
        <f t="shared" ref="U277" si="269">SUM(S277:T277)</f>
        <v>1000</v>
      </c>
      <c r="V277" s="59"/>
      <c r="W277" s="124">
        <f t="shared" ref="W277" si="270">C277+G277+K277+O277+S277</f>
        <v>5000</v>
      </c>
      <c r="X277" s="57">
        <f t="shared" ref="X277" si="271">D277+H277+L277+P277+T277</f>
        <v>0</v>
      </c>
      <c r="Y277" s="84">
        <f t="shared" ref="Y277" si="272">E277+I277+M277+Q277+U277</f>
        <v>5000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ref="E278" si="273">SUM(C278:D278)</f>
        <v>0</v>
      </c>
      <c r="F278" s="58"/>
      <c r="G278" s="55">
        <v>0</v>
      </c>
      <c r="H278" s="57">
        <v>0</v>
      </c>
      <c r="I278" s="57">
        <f t="shared" ref="I278" si="274">SUM(G278:H278)</f>
        <v>0</v>
      </c>
      <c r="J278" s="58"/>
      <c r="K278" s="55">
        <v>0</v>
      </c>
      <c r="L278" s="57">
        <v>0</v>
      </c>
      <c r="M278" s="57">
        <f t="shared" ref="M278" si="275">SUM(K278:L278)</f>
        <v>0</v>
      </c>
      <c r="N278" s="58"/>
      <c r="O278" s="55">
        <v>0</v>
      </c>
      <c r="P278" s="57">
        <v>0</v>
      </c>
      <c r="Q278" s="57">
        <f t="shared" ref="Q278" si="276">SUM(O278:P278)</f>
        <v>0</v>
      </c>
      <c r="R278" s="58"/>
      <c r="S278" s="55">
        <v>0</v>
      </c>
      <c r="T278" s="57">
        <v>0</v>
      </c>
      <c r="U278" s="57">
        <f t="shared" ref="U278" si="277">SUM(S278:T278)</f>
        <v>0</v>
      </c>
      <c r="V278" s="59"/>
      <c r="W278" s="124">
        <f t="shared" ref="W278:Y279" si="278">C278+G278+K278+O278+S278</f>
        <v>0</v>
      </c>
      <c r="X278" s="57">
        <f t="shared" si="278"/>
        <v>0</v>
      </c>
      <c r="Y278" s="84">
        <f t="shared" si="278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2000</v>
      </c>
      <c r="D279" s="125">
        <f>SUM(D276:D278)</f>
        <v>0</v>
      </c>
      <c r="E279" s="125">
        <f>SUM(E276:E278)</f>
        <v>2000</v>
      </c>
      <c r="F279" s="81"/>
      <c r="G279" s="79">
        <f>SUM(G276:G278)</f>
        <v>2000</v>
      </c>
      <c r="H279" s="80">
        <f>SUM(H276:H278)</f>
        <v>0</v>
      </c>
      <c r="I279" s="80">
        <f>SUM(I276:I278)</f>
        <v>2000</v>
      </c>
      <c r="J279" s="81"/>
      <c r="K279" s="79">
        <f>SUM(K276:K278)</f>
        <v>2000</v>
      </c>
      <c r="L279" s="80">
        <f>SUM(L276:L278)</f>
        <v>0</v>
      </c>
      <c r="M279" s="80">
        <f>SUM(M276:M278)</f>
        <v>2000</v>
      </c>
      <c r="N279" s="81"/>
      <c r="O279" s="79">
        <f>SUM(O276:O278)</f>
        <v>2000</v>
      </c>
      <c r="P279" s="80">
        <f>SUM(P276:P278)</f>
        <v>0</v>
      </c>
      <c r="Q279" s="80">
        <f>SUM(Q276:Q278)</f>
        <v>2000</v>
      </c>
      <c r="R279" s="81"/>
      <c r="S279" s="79">
        <f>SUM(S276:S278)</f>
        <v>2000</v>
      </c>
      <c r="T279" s="80">
        <f>SUM(T276:T278)</f>
        <v>0</v>
      </c>
      <c r="U279" s="80">
        <f>SUM(U276:U278)</f>
        <v>2000</v>
      </c>
      <c r="V279" s="82"/>
      <c r="W279" s="228">
        <f t="shared" si="278"/>
        <v>10000</v>
      </c>
      <c r="X279" s="80">
        <f t="shared" si="278"/>
        <v>0</v>
      </c>
      <c r="Y279" s="80">
        <f t="shared" si="278"/>
        <v>10000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Y283" si="279">C281+G281+K281+O281+S281</f>
        <v>0</v>
      </c>
      <c r="X281" s="57">
        <f t="shared" si="279"/>
        <v>0</v>
      </c>
      <c r="Y281" s="84">
        <f t="shared" si="279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279"/>
        <v>0</v>
      </c>
      <c r="X282" s="56">
        <f t="shared" si="279"/>
        <v>0</v>
      </c>
      <c r="Y282" s="85">
        <f t="shared" si="279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279"/>
        <v>0</v>
      </c>
      <c r="X283" s="80">
        <f t="shared" si="279"/>
        <v>0</v>
      </c>
      <c r="Y283" s="80">
        <f t="shared" si="279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61" customFormat="1" x14ac:dyDescent="0.25">
      <c r="B285" s="61" t="s">
        <v>190</v>
      </c>
      <c r="C285" s="55">
        <f>1000*0</f>
        <v>0</v>
      </c>
      <c r="D285" s="56">
        <v>0</v>
      </c>
      <c r="E285" s="57">
        <f t="shared" ref="E285" si="280">SUM(C285:D285)</f>
        <v>0</v>
      </c>
      <c r="F285" s="58"/>
      <c r="G285" s="55">
        <f>C285</f>
        <v>0</v>
      </c>
      <c r="H285" s="56">
        <v>0</v>
      </c>
      <c r="I285" s="57">
        <f t="shared" ref="I285" si="281">SUM(G285:H285)</f>
        <v>0</v>
      </c>
      <c r="J285" s="58"/>
      <c r="K285" s="55">
        <f>G285</f>
        <v>0</v>
      </c>
      <c r="L285" s="56">
        <v>0</v>
      </c>
      <c r="M285" s="57">
        <f t="shared" ref="M285" si="282">SUM(K285:L285)</f>
        <v>0</v>
      </c>
      <c r="N285" s="58"/>
      <c r="O285" s="55">
        <f>K285</f>
        <v>0</v>
      </c>
      <c r="P285" s="56">
        <v>0</v>
      </c>
      <c r="Q285" s="56">
        <f t="shared" ref="Q285" si="283">SUM(O285:P285)</f>
        <v>0</v>
      </c>
      <c r="R285" s="58"/>
      <c r="S285" s="55">
        <f>O285</f>
        <v>0</v>
      </c>
      <c r="T285" s="56">
        <v>0</v>
      </c>
      <c r="U285" s="57">
        <f t="shared" ref="U285" si="284">SUM(S285:T285)</f>
        <v>0</v>
      </c>
      <c r="V285" s="59"/>
      <c r="W285" s="124">
        <f t="shared" ref="W285:Y289" si="285">C285+G285+K285+O285+S285</f>
        <v>0</v>
      </c>
      <c r="X285" s="57">
        <f t="shared" si="285"/>
        <v>0</v>
      </c>
      <c r="Y285" s="202">
        <f t="shared" si="285"/>
        <v>0</v>
      </c>
    </row>
    <row r="286" spans="1:77" s="61" customFormat="1" x14ac:dyDescent="0.25">
      <c r="A286" s="203"/>
      <c r="B286" s="54" t="s">
        <v>57</v>
      </c>
      <c r="C286" s="124">
        <v>0</v>
      </c>
      <c r="D286" s="56">
        <v>0</v>
      </c>
      <c r="E286" s="56">
        <f t="shared" ref="E286:E288" si="286">SUM(C286:D286)</f>
        <v>0</v>
      </c>
      <c r="F286" s="58"/>
      <c r="G286" s="55">
        <v>0</v>
      </c>
      <c r="H286" s="57">
        <v>0</v>
      </c>
      <c r="I286" s="57">
        <f t="shared" ref="I286:I288" si="287">SUM(G286:H286)</f>
        <v>0</v>
      </c>
      <c r="J286" s="58"/>
      <c r="K286" s="55">
        <v>0</v>
      </c>
      <c r="L286" s="56">
        <v>0</v>
      </c>
      <c r="M286" s="57">
        <f t="shared" ref="M286:M288" si="288">SUM(K286:L286)</f>
        <v>0</v>
      </c>
      <c r="N286" s="58"/>
      <c r="O286" s="55">
        <v>0</v>
      </c>
      <c r="P286" s="57">
        <v>0</v>
      </c>
      <c r="Q286" s="57">
        <f t="shared" ref="Q286:Q288" si="289">SUM(O286:P286)</f>
        <v>0</v>
      </c>
      <c r="R286" s="58"/>
      <c r="S286" s="55">
        <v>0</v>
      </c>
      <c r="T286" s="56">
        <v>0</v>
      </c>
      <c r="U286" s="57">
        <f t="shared" ref="U286:U288" si="290">SUM(S286:T286)</f>
        <v>0</v>
      </c>
      <c r="V286" s="59"/>
      <c r="W286" s="124">
        <f t="shared" si="285"/>
        <v>0</v>
      </c>
      <c r="X286" s="57">
        <f t="shared" si="285"/>
        <v>0</v>
      </c>
      <c r="Y286" s="84">
        <f t="shared" si="285"/>
        <v>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si="286"/>
        <v>0</v>
      </c>
      <c r="F287" s="58"/>
      <c r="G287" s="55">
        <v>0</v>
      </c>
      <c r="H287" s="57"/>
      <c r="I287" s="57">
        <f t="shared" si="287"/>
        <v>0</v>
      </c>
      <c r="J287" s="58"/>
      <c r="K287" s="55">
        <v>0</v>
      </c>
      <c r="L287" s="56">
        <v>0</v>
      </c>
      <c r="M287" s="57">
        <f t="shared" si="288"/>
        <v>0</v>
      </c>
      <c r="N287" s="58"/>
      <c r="O287" s="55">
        <v>0</v>
      </c>
      <c r="P287" s="56">
        <v>0</v>
      </c>
      <c r="Q287" s="56">
        <f t="shared" si="289"/>
        <v>0</v>
      </c>
      <c r="R287" s="58"/>
      <c r="S287" s="55">
        <v>0</v>
      </c>
      <c r="T287" s="56">
        <v>0</v>
      </c>
      <c r="U287" s="57">
        <f t="shared" si="290"/>
        <v>0</v>
      </c>
      <c r="V287" s="59"/>
      <c r="W287" s="124">
        <f t="shared" si="285"/>
        <v>0</v>
      </c>
      <c r="X287" s="57">
        <f t="shared" si="285"/>
        <v>0</v>
      </c>
      <c r="Y287" s="84">
        <f t="shared" si="285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286"/>
        <v>0</v>
      </c>
      <c r="F288" s="58"/>
      <c r="G288" s="55">
        <v>0</v>
      </c>
      <c r="H288" s="57">
        <v>0</v>
      </c>
      <c r="I288" s="57">
        <f t="shared" si="287"/>
        <v>0</v>
      </c>
      <c r="J288" s="58"/>
      <c r="K288" s="55">
        <v>0</v>
      </c>
      <c r="L288" s="57">
        <v>0</v>
      </c>
      <c r="M288" s="57">
        <f t="shared" si="288"/>
        <v>0</v>
      </c>
      <c r="N288" s="58"/>
      <c r="O288" s="55">
        <v>0</v>
      </c>
      <c r="P288" s="57">
        <v>0</v>
      </c>
      <c r="Q288" s="57">
        <f t="shared" si="289"/>
        <v>0</v>
      </c>
      <c r="R288" s="58"/>
      <c r="S288" s="55">
        <v>0</v>
      </c>
      <c r="T288" s="57">
        <v>0</v>
      </c>
      <c r="U288" s="57">
        <f t="shared" si="290"/>
        <v>0</v>
      </c>
      <c r="V288" s="59"/>
      <c r="W288" s="124">
        <f t="shared" si="285"/>
        <v>0</v>
      </c>
      <c r="X288" s="57">
        <f t="shared" si="285"/>
        <v>0</v>
      </c>
      <c r="Y288" s="84">
        <f t="shared" si="285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0</v>
      </c>
      <c r="D289" s="153">
        <f>SUM(D285:D288)</f>
        <v>0</v>
      </c>
      <c r="E289" s="153">
        <f>SUM(E285:E288)</f>
        <v>0</v>
      </c>
      <c r="F289" s="154"/>
      <c r="G289" s="152">
        <f>SUM(G285:G288)</f>
        <v>0</v>
      </c>
      <c r="H289" s="155">
        <f>SUM(H285:H288)</f>
        <v>0</v>
      </c>
      <c r="I289" s="155">
        <f>SUM(I285:I288)</f>
        <v>0</v>
      </c>
      <c r="J289" s="154"/>
      <c r="K289" s="152">
        <f>SUM(K285:K288)</f>
        <v>0</v>
      </c>
      <c r="L289" s="155">
        <f>SUM(L285:L288)</f>
        <v>0</v>
      </c>
      <c r="M289" s="155">
        <f>SUM(M285:M288)</f>
        <v>0</v>
      </c>
      <c r="N289" s="154"/>
      <c r="O289" s="152">
        <f>SUM(O285:O288)</f>
        <v>0</v>
      </c>
      <c r="P289" s="155">
        <f>SUM(P285:P288)</f>
        <v>0</v>
      </c>
      <c r="Q289" s="155">
        <f>SUM(Q285:Q288)</f>
        <v>0</v>
      </c>
      <c r="R289" s="154"/>
      <c r="S289" s="152">
        <f>SUM(S285:S288)</f>
        <v>0</v>
      </c>
      <c r="T289" s="155">
        <f>SUM(T285:T288)</f>
        <v>0</v>
      </c>
      <c r="U289" s="155">
        <f>SUM(U285:U288)</f>
        <v>0</v>
      </c>
      <c r="V289" s="82"/>
      <c r="W289" s="228">
        <f t="shared" si="285"/>
        <v>0</v>
      </c>
      <c r="X289" s="80">
        <f t="shared" si="285"/>
        <v>0</v>
      </c>
      <c r="Y289" s="80">
        <f t="shared" si="285"/>
        <v>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291">SUM(C269+C274+C279+C283+C289)</f>
        <v>2000</v>
      </c>
      <c r="D290" s="246">
        <f t="shared" si="291"/>
        <v>0</v>
      </c>
      <c r="E290" s="246">
        <f t="shared" si="291"/>
        <v>2000</v>
      </c>
      <c r="F290" s="246">
        <f t="shared" si="291"/>
        <v>0</v>
      </c>
      <c r="G290" s="246">
        <f t="shared" si="291"/>
        <v>2000</v>
      </c>
      <c r="H290" s="246">
        <f t="shared" si="291"/>
        <v>0</v>
      </c>
      <c r="I290" s="246">
        <f t="shared" si="291"/>
        <v>2000</v>
      </c>
      <c r="J290" s="246">
        <f t="shared" si="291"/>
        <v>0</v>
      </c>
      <c r="K290" s="246">
        <f t="shared" si="291"/>
        <v>2000</v>
      </c>
      <c r="L290" s="246">
        <f t="shared" si="291"/>
        <v>0</v>
      </c>
      <c r="M290" s="246">
        <f t="shared" si="291"/>
        <v>2000</v>
      </c>
      <c r="N290" s="246">
        <f t="shared" si="291"/>
        <v>0</v>
      </c>
      <c r="O290" s="246">
        <f t="shared" si="291"/>
        <v>2000</v>
      </c>
      <c r="P290" s="246">
        <f t="shared" si="291"/>
        <v>0</v>
      </c>
      <c r="Q290" s="246">
        <f t="shared" si="291"/>
        <v>2000</v>
      </c>
      <c r="R290" s="246">
        <f t="shared" si="291"/>
        <v>0</v>
      </c>
      <c r="S290" s="246">
        <f t="shared" si="291"/>
        <v>2000</v>
      </c>
      <c r="T290" s="246">
        <f t="shared" si="291"/>
        <v>0</v>
      </c>
      <c r="U290" s="246">
        <f t="shared" si="291"/>
        <v>2000</v>
      </c>
      <c r="V290" s="246">
        <f t="shared" si="291"/>
        <v>0</v>
      </c>
      <c r="W290" s="246">
        <f t="shared" si="291"/>
        <v>10000</v>
      </c>
      <c r="X290" s="246">
        <f t="shared" si="291"/>
        <v>0</v>
      </c>
      <c r="Y290" s="246">
        <f t="shared" si="291"/>
        <v>10000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0</v>
      </c>
      <c r="D291" s="246">
        <v>0</v>
      </c>
      <c r="E291" s="246">
        <f>C291</f>
        <v>0</v>
      </c>
      <c r="F291" s="246">
        <f>F263*0.47</f>
        <v>0</v>
      </c>
      <c r="G291" s="246">
        <f>((G263)*0.56)</f>
        <v>0</v>
      </c>
      <c r="H291" s="246">
        <v>0</v>
      </c>
      <c r="I291" s="246">
        <f>G291</f>
        <v>0</v>
      </c>
      <c r="J291" s="246">
        <f>J263*0.47</f>
        <v>0</v>
      </c>
      <c r="K291" s="246">
        <f>((K263)*0.56)</f>
        <v>0</v>
      </c>
      <c r="L291" s="246">
        <v>0</v>
      </c>
      <c r="M291" s="246">
        <f>K291</f>
        <v>0</v>
      </c>
      <c r="N291" s="246">
        <f>N263*0.47</f>
        <v>0</v>
      </c>
      <c r="O291" s="246">
        <f>((O263)*0.56)</f>
        <v>0</v>
      </c>
      <c r="P291" s="246">
        <v>0</v>
      </c>
      <c r="Q291" s="246">
        <f>O291</f>
        <v>0</v>
      </c>
      <c r="R291" s="246">
        <f>R263*0.47</f>
        <v>0</v>
      </c>
      <c r="S291" s="246">
        <f>((S263)*0.56)</f>
        <v>0</v>
      </c>
      <c r="T291" s="246">
        <v>0</v>
      </c>
      <c r="U291" s="246">
        <f>S291</f>
        <v>0</v>
      </c>
      <c r="V291" s="246">
        <f>V263*0.47</f>
        <v>0</v>
      </c>
      <c r="W291" s="246">
        <f>((W263)*0.56)</f>
        <v>0</v>
      </c>
      <c r="X291" s="246">
        <v>0</v>
      </c>
      <c r="Y291" s="246">
        <f>W291</f>
        <v>0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2000</v>
      </c>
      <c r="D292" s="246">
        <f t="shared" ref="D292:Y292" si="292">SUM(D290:D291)</f>
        <v>0</v>
      </c>
      <c r="E292" s="246">
        <f t="shared" si="292"/>
        <v>2000</v>
      </c>
      <c r="F292" s="246">
        <f t="shared" si="292"/>
        <v>0</v>
      </c>
      <c r="G292" s="246">
        <f t="shared" si="292"/>
        <v>2000</v>
      </c>
      <c r="H292" s="246">
        <f t="shared" si="292"/>
        <v>0</v>
      </c>
      <c r="I292" s="246">
        <f t="shared" si="292"/>
        <v>2000</v>
      </c>
      <c r="J292" s="246">
        <f t="shared" si="292"/>
        <v>0</v>
      </c>
      <c r="K292" s="246">
        <f t="shared" si="292"/>
        <v>2000</v>
      </c>
      <c r="L292" s="246">
        <f t="shared" si="292"/>
        <v>0</v>
      </c>
      <c r="M292" s="246">
        <f t="shared" si="292"/>
        <v>2000</v>
      </c>
      <c r="N292" s="246">
        <f t="shared" si="292"/>
        <v>0</v>
      </c>
      <c r="O292" s="246">
        <f t="shared" si="292"/>
        <v>2000</v>
      </c>
      <c r="P292" s="246">
        <f t="shared" si="292"/>
        <v>0</v>
      </c>
      <c r="Q292" s="246">
        <f t="shared" si="292"/>
        <v>2000</v>
      </c>
      <c r="R292" s="246">
        <f t="shared" si="292"/>
        <v>0</v>
      </c>
      <c r="S292" s="246">
        <f t="shared" si="292"/>
        <v>2000</v>
      </c>
      <c r="T292" s="246">
        <f t="shared" si="292"/>
        <v>0</v>
      </c>
      <c r="U292" s="246">
        <f t="shared" si="292"/>
        <v>2000</v>
      </c>
      <c r="V292" s="246">
        <f t="shared" si="292"/>
        <v>0</v>
      </c>
      <c r="W292" s="246">
        <f t="shared" si="292"/>
        <v>10000</v>
      </c>
      <c r="X292" s="246">
        <f t="shared" si="292"/>
        <v>0</v>
      </c>
      <c r="Y292" s="246">
        <f t="shared" si="292"/>
        <v>10000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61" customFormat="1" x14ac:dyDescent="0.25">
      <c r="A296" s="53" t="s">
        <v>57</v>
      </c>
      <c r="B296" s="61" t="s">
        <v>57</v>
      </c>
      <c r="C296" s="55">
        <f>((74651*1.03)/2080)*240*0</f>
        <v>0</v>
      </c>
      <c r="D296" s="57">
        <v>0</v>
      </c>
      <c r="E296" s="57">
        <f t="shared" ref="E296:E299" si="293">SUM(C296:D296)</f>
        <v>0</v>
      </c>
      <c r="F296" s="58"/>
      <c r="G296" s="55">
        <f>C296*1.03</f>
        <v>0</v>
      </c>
      <c r="H296" s="57">
        <f>D296*1.03</f>
        <v>0</v>
      </c>
      <c r="I296" s="57">
        <f t="shared" ref="I296:I299" si="294">SUM(G296:H296)</f>
        <v>0</v>
      </c>
      <c r="J296" s="58"/>
      <c r="K296" s="55">
        <f>G296*1.03</f>
        <v>0</v>
      </c>
      <c r="L296" s="57">
        <f>H296*1.03</f>
        <v>0</v>
      </c>
      <c r="M296" s="57">
        <f t="shared" ref="M296:M299" si="295">SUM(K296:L296)</f>
        <v>0</v>
      </c>
      <c r="N296" s="58"/>
      <c r="O296" s="55">
        <f>K296*1.03</f>
        <v>0</v>
      </c>
      <c r="P296" s="57">
        <f>L296*1.03</f>
        <v>0</v>
      </c>
      <c r="Q296" s="57">
        <f t="shared" ref="Q296:Q299" si="296">SUM(O296:P296)</f>
        <v>0</v>
      </c>
      <c r="R296" s="58"/>
      <c r="S296" s="55">
        <f>O296*1.03</f>
        <v>0</v>
      </c>
      <c r="T296" s="57">
        <f>P296*1.03</f>
        <v>0</v>
      </c>
      <c r="U296" s="57">
        <f t="shared" ref="U296:U299" si="297">SUM(S296:T296)</f>
        <v>0</v>
      </c>
      <c r="V296" s="59"/>
      <c r="W296" s="124">
        <f>C296+G296+K296+O296+S296</f>
        <v>0</v>
      </c>
      <c r="X296" s="57">
        <f t="shared" ref="X296:Y300" si="298">D296+H296+L296+P296+T296</f>
        <v>0</v>
      </c>
      <c r="Y296" s="60">
        <f t="shared" si="298"/>
        <v>0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si="293"/>
        <v>0</v>
      </c>
      <c r="F297" s="175"/>
      <c r="G297" s="172">
        <f t="shared" ref="G297:H299" si="299">C297*1.03</f>
        <v>0</v>
      </c>
      <c r="H297" s="173">
        <f t="shared" si="299"/>
        <v>0</v>
      </c>
      <c r="I297" s="173">
        <f t="shared" si="294"/>
        <v>0</v>
      </c>
      <c r="J297" s="175"/>
      <c r="K297" s="172">
        <f t="shared" ref="K297:L299" si="300">G297*1.03</f>
        <v>0</v>
      </c>
      <c r="L297" s="173">
        <f t="shared" si="300"/>
        <v>0</v>
      </c>
      <c r="M297" s="173">
        <f t="shared" si="295"/>
        <v>0</v>
      </c>
      <c r="N297" s="175"/>
      <c r="O297" s="172">
        <f t="shared" ref="O297:P299" si="301">K297*1.03</f>
        <v>0</v>
      </c>
      <c r="P297" s="173">
        <f t="shared" si="301"/>
        <v>0</v>
      </c>
      <c r="Q297" s="173">
        <f t="shared" si="296"/>
        <v>0</v>
      </c>
      <c r="R297" s="175"/>
      <c r="S297" s="172">
        <f t="shared" ref="S297:T299" si="302">O297*1.03</f>
        <v>0</v>
      </c>
      <c r="T297" s="173">
        <f t="shared" si="302"/>
        <v>0</v>
      </c>
      <c r="U297" s="173">
        <f t="shared" si="297"/>
        <v>0</v>
      </c>
      <c r="V297" s="176"/>
      <c r="W297" s="227">
        <f t="shared" ref="W297:W300" si="303">C297+G297+K297+O297+S297</f>
        <v>0</v>
      </c>
      <c r="X297" s="173">
        <f t="shared" si="298"/>
        <v>0</v>
      </c>
      <c r="Y297" s="177">
        <f t="shared" si="298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293"/>
        <v>0</v>
      </c>
      <c r="F298" s="175"/>
      <c r="G298" s="172">
        <f t="shared" si="299"/>
        <v>0</v>
      </c>
      <c r="H298" s="173">
        <f t="shared" si="299"/>
        <v>0</v>
      </c>
      <c r="I298" s="173">
        <f t="shared" si="294"/>
        <v>0</v>
      </c>
      <c r="J298" s="175"/>
      <c r="K298" s="172">
        <f t="shared" si="300"/>
        <v>0</v>
      </c>
      <c r="L298" s="173">
        <f t="shared" si="300"/>
        <v>0</v>
      </c>
      <c r="M298" s="173">
        <f t="shared" si="295"/>
        <v>0</v>
      </c>
      <c r="N298" s="175"/>
      <c r="O298" s="172">
        <f t="shared" si="301"/>
        <v>0</v>
      </c>
      <c r="P298" s="173">
        <f t="shared" si="301"/>
        <v>0</v>
      </c>
      <c r="Q298" s="173">
        <f t="shared" si="296"/>
        <v>0</v>
      </c>
      <c r="R298" s="175"/>
      <c r="S298" s="172">
        <f t="shared" si="302"/>
        <v>0</v>
      </c>
      <c r="T298" s="173">
        <f t="shared" si="302"/>
        <v>0</v>
      </c>
      <c r="U298" s="173">
        <f t="shared" si="297"/>
        <v>0</v>
      </c>
      <c r="V298" s="176"/>
      <c r="W298" s="227">
        <f t="shared" si="303"/>
        <v>0</v>
      </c>
      <c r="X298" s="173">
        <f t="shared" si="298"/>
        <v>0</v>
      </c>
      <c r="Y298" s="177">
        <f t="shared" si="298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293"/>
        <v>0</v>
      </c>
      <c r="F299" s="175"/>
      <c r="G299" s="172">
        <f t="shared" si="299"/>
        <v>0</v>
      </c>
      <c r="H299" s="173">
        <f t="shared" si="299"/>
        <v>0</v>
      </c>
      <c r="I299" s="173">
        <f t="shared" si="294"/>
        <v>0</v>
      </c>
      <c r="J299" s="175"/>
      <c r="K299" s="172">
        <f t="shared" si="300"/>
        <v>0</v>
      </c>
      <c r="L299" s="173">
        <f t="shared" si="300"/>
        <v>0</v>
      </c>
      <c r="M299" s="173">
        <f t="shared" si="295"/>
        <v>0</v>
      </c>
      <c r="N299" s="175"/>
      <c r="O299" s="172">
        <f t="shared" si="301"/>
        <v>0</v>
      </c>
      <c r="P299" s="173">
        <f t="shared" si="301"/>
        <v>0</v>
      </c>
      <c r="Q299" s="173">
        <f t="shared" si="296"/>
        <v>0</v>
      </c>
      <c r="R299" s="175"/>
      <c r="S299" s="172">
        <f t="shared" si="302"/>
        <v>0</v>
      </c>
      <c r="T299" s="173">
        <f t="shared" si="302"/>
        <v>0</v>
      </c>
      <c r="U299" s="173">
        <f t="shared" si="297"/>
        <v>0</v>
      </c>
      <c r="V299" s="176"/>
      <c r="W299" s="227">
        <f t="shared" si="303"/>
        <v>0</v>
      </c>
      <c r="X299" s="173">
        <f t="shared" si="298"/>
        <v>0</v>
      </c>
      <c r="Y299" s="177">
        <f t="shared" si="298"/>
        <v>0</v>
      </c>
    </row>
    <row r="300" spans="1:77" s="83" customFormat="1" x14ac:dyDescent="0.25">
      <c r="A300" s="78"/>
      <c r="B300" s="78" t="s">
        <v>9</v>
      </c>
      <c r="C300" s="228">
        <f>SUM(C296:C299)</f>
        <v>0</v>
      </c>
      <c r="D300" s="125">
        <f>SUM(D296:D299)</f>
        <v>0</v>
      </c>
      <c r="E300" s="125">
        <f>SUM(E296:E299)</f>
        <v>0</v>
      </c>
      <c r="F300" s="81"/>
      <c r="G300" s="79">
        <f>SUM(G296:G299)</f>
        <v>0</v>
      </c>
      <c r="H300" s="80">
        <f>SUM(H296:H299)</f>
        <v>0</v>
      </c>
      <c r="I300" s="80">
        <f>SUM(I296:I299)</f>
        <v>0</v>
      </c>
      <c r="J300" s="81"/>
      <c r="K300" s="79">
        <f>SUM(K296:K299)</f>
        <v>0</v>
      </c>
      <c r="L300" s="80">
        <f>SUM(L296:L299)</f>
        <v>0</v>
      </c>
      <c r="M300" s="80">
        <f>SUM(M296:M299)</f>
        <v>0</v>
      </c>
      <c r="N300" s="81"/>
      <c r="O300" s="79">
        <f>SUM(O296:O299)</f>
        <v>0</v>
      </c>
      <c r="P300" s="80">
        <f>SUM(P296:P299)</f>
        <v>0</v>
      </c>
      <c r="Q300" s="80">
        <f>SUM(Q296:Q299)</f>
        <v>0</v>
      </c>
      <c r="R300" s="81"/>
      <c r="S300" s="79">
        <f>SUM(S296:S299)</f>
        <v>0</v>
      </c>
      <c r="T300" s="80">
        <f>SUM(T296:T299)</f>
        <v>0</v>
      </c>
      <c r="U300" s="80">
        <f>SUM(U296:U299)</f>
        <v>0</v>
      </c>
      <c r="V300" s="82"/>
      <c r="W300" s="228">
        <f t="shared" si="303"/>
        <v>0</v>
      </c>
      <c r="X300" s="80">
        <f t="shared" si="298"/>
        <v>0</v>
      </c>
      <c r="Y300" s="80">
        <f t="shared" si="298"/>
        <v>0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L305" si="304">G302*1.03</f>
        <v>0</v>
      </c>
      <c r="L302" s="57">
        <f t="shared" si="304"/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Y306" si="305">C302+G302+K302+O302+S302</f>
        <v>0</v>
      </c>
      <c r="X302" s="57">
        <f t="shared" si="305"/>
        <v>0</v>
      </c>
      <c r="Y302" s="57">
        <f t="shared" ref="Y302:Y305" si="306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307">SUM(C303:D303)</f>
        <v>0</v>
      </c>
      <c r="F303" s="58"/>
      <c r="G303" s="55">
        <f t="shared" ref="G303:H305" si="308">C303*1.03</f>
        <v>0</v>
      </c>
      <c r="H303" s="57">
        <f t="shared" si="308"/>
        <v>0</v>
      </c>
      <c r="I303" s="57">
        <f t="shared" ref="I303:I305" si="309">SUM(G303:H303)</f>
        <v>0</v>
      </c>
      <c r="J303" s="58"/>
      <c r="K303" s="55">
        <f t="shared" si="304"/>
        <v>0</v>
      </c>
      <c r="L303" s="57">
        <f t="shared" si="304"/>
        <v>0</v>
      </c>
      <c r="M303" s="57">
        <f t="shared" ref="M303:M305" si="310">SUM(K303:L303)</f>
        <v>0</v>
      </c>
      <c r="N303" s="58"/>
      <c r="O303" s="55">
        <f t="shared" ref="O303:P305" si="311">K303*1.03</f>
        <v>0</v>
      </c>
      <c r="P303" s="57">
        <f t="shared" si="311"/>
        <v>0</v>
      </c>
      <c r="Q303" s="57">
        <f t="shared" ref="Q303:Q305" si="312">SUM(O303:P303)</f>
        <v>0</v>
      </c>
      <c r="R303" s="58"/>
      <c r="S303" s="55">
        <f t="shared" ref="S303:T305" si="313">O303*1.03</f>
        <v>0</v>
      </c>
      <c r="T303" s="57">
        <f t="shared" si="313"/>
        <v>0</v>
      </c>
      <c r="U303" s="57">
        <f t="shared" ref="U303:U305" si="314">SUM(S303:T303)</f>
        <v>0</v>
      </c>
      <c r="V303" s="59"/>
      <c r="W303" s="124">
        <f t="shared" si="305"/>
        <v>0</v>
      </c>
      <c r="X303" s="57">
        <f t="shared" si="305"/>
        <v>0</v>
      </c>
      <c r="Y303" s="57">
        <f t="shared" si="306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307"/>
        <v>0</v>
      </c>
      <c r="F304" s="58"/>
      <c r="G304" s="55">
        <f t="shared" si="308"/>
        <v>0</v>
      </c>
      <c r="H304" s="57">
        <f t="shared" si="308"/>
        <v>0</v>
      </c>
      <c r="I304" s="57">
        <f t="shared" si="309"/>
        <v>0</v>
      </c>
      <c r="J304" s="58"/>
      <c r="K304" s="55">
        <f t="shared" si="304"/>
        <v>0</v>
      </c>
      <c r="L304" s="57">
        <f t="shared" si="304"/>
        <v>0</v>
      </c>
      <c r="M304" s="57">
        <f t="shared" si="310"/>
        <v>0</v>
      </c>
      <c r="N304" s="58"/>
      <c r="O304" s="55">
        <f t="shared" si="311"/>
        <v>0</v>
      </c>
      <c r="P304" s="57">
        <f t="shared" si="311"/>
        <v>0</v>
      </c>
      <c r="Q304" s="57">
        <f t="shared" si="312"/>
        <v>0</v>
      </c>
      <c r="R304" s="58"/>
      <c r="S304" s="55">
        <f t="shared" si="313"/>
        <v>0</v>
      </c>
      <c r="T304" s="57">
        <f t="shared" si="313"/>
        <v>0</v>
      </c>
      <c r="U304" s="57">
        <f t="shared" si="314"/>
        <v>0</v>
      </c>
      <c r="V304" s="59"/>
      <c r="W304" s="124">
        <f t="shared" si="305"/>
        <v>0</v>
      </c>
      <c r="X304" s="57">
        <f t="shared" si="305"/>
        <v>0</v>
      </c>
      <c r="Y304" s="57">
        <f t="shared" si="306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307"/>
        <v>0</v>
      </c>
      <c r="F305" s="58"/>
      <c r="G305" s="55">
        <f t="shared" si="308"/>
        <v>0</v>
      </c>
      <c r="H305" s="57">
        <f t="shared" si="308"/>
        <v>0</v>
      </c>
      <c r="I305" s="57">
        <f t="shared" si="309"/>
        <v>0</v>
      </c>
      <c r="J305" s="58"/>
      <c r="K305" s="55">
        <f t="shared" si="304"/>
        <v>0</v>
      </c>
      <c r="L305" s="57">
        <f t="shared" si="304"/>
        <v>0</v>
      </c>
      <c r="M305" s="57">
        <f t="shared" si="310"/>
        <v>0</v>
      </c>
      <c r="N305" s="58"/>
      <c r="O305" s="55">
        <f t="shared" si="311"/>
        <v>0</v>
      </c>
      <c r="P305" s="57">
        <f t="shared" si="311"/>
        <v>0</v>
      </c>
      <c r="Q305" s="57">
        <f t="shared" si="312"/>
        <v>0</v>
      </c>
      <c r="R305" s="58"/>
      <c r="S305" s="55">
        <f t="shared" si="313"/>
        <v>0</v>
      </c>
      <c r="T305" s="57">
        <f t="shared" si="313"/>
        <v>0</v>
      </c>
      <c r="U305" s="57">
        <f t="shared" si="314"/>
        <v>0</v>
      </c>
      <c r="V305" s="59"/>
      <c r="W305" s="124">
        <f t="shared" si="305"/>
        <v>0</v>
      </c>
      <c r="X305" s="57">
        <f t="shared" si="305"/>
        <v>0</v>
      </c>
      <c r="Y305" s="57">
        <f t="shared" si="306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305"/>
        <v>0</v>
      </c>
      <c r="X306" s="80">
        <f t="shared" si="305"/>
        <v>0</v>
      </c>
      <c r="Y306" s="80">
        <f t="shared" si="305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315">C306+C300</f>
        <v>0</v>
      </c>
      <c r="D307" s="248">
        <f t="shared" si="315"/>
        <v>0</v>
      </c>
      <c r="E307" s="248">
        <f t="shared" si="315"/>
        <v>0</v>
      </c>
      <c r="F307" s="248">
        <f t="shared" si="315"/>
        <v>0</v>
      </c>
      <c r="G307" s="248">
        <f t="shared" si="315"/>
        <v>0</v>
      </c>
      <c r="H307" s="248">
        <f t="shared" si="315"/>
        <v>0</v>
      </c>
      <c r="I307" s="248">
        <f t="shared" si="315"/>
        <v>0</v>
      </c>
      <c r="J307" s="248">
        <f t="shared" si="315"/>
        <v>0</v>
      </c>
      <c r="K307" s="248">
        <f t="shared" si="315"/>
        <v>0</v>
      </c>
      <c r="L307" s="248">
        <f t="shared" si="315"/>
        <v>0</v>
      </c>
      <c r="M307" s="248">
        <f t="shared" si="315"/>
        <v>0</v>
      </c>
      <c r="N307" s="248">
        <f t="shared" si="315"/>
        <v>0</v>
      </c>
      <c r="O307" s="248">
        <f t="shared" si="315"/>
        <v>0</v>
      </c>
      <c r="P307" s="248">
        <f t="shared" si="315"/>
        <v>0</v>
      </c>
      <c r="Q307" s="248">
        <f t="shared" si="315"/>
        <v>0</v>
      </c>
      <c r="R307" s="248">
        <f t="shared" si="315"/>
        <v>0</v>
      </c>
      <c r="S307" s="248">
        <f t="shared" si="315"/>
        <v>0</v>
      </c>
      <c r="T307" s="248">
        <f t="shared" si="315"/>
        <v>0</v>
      </c>
      <c r="U307" s="248">
        <f t="shared" si="315"/>
        <v>0</v>
      </c>
      <c r="V307" s="248">
        <f t="shared" si="315"/>
        <v>0</v>
      </c>
      <c r="W307" s="248">
        <f t="shared" si="315"/>
        <v>0</v>
      </c>
      <c r="X307" s="248">
        <f t="shared" si="315"/>
        <v>0</v>
      </c>
      <c r="Y307" s="249">
        <f>E307+I307+M307+Q307+U307</f>
        <v>0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316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317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318">SUM(K309:L309)</f>
        <v>0</v>
      </c>
      <c r="N309" s="58"/>
      <c r="O309" s="124">
        <f>O302*A309*1.03*1.03*1.03*1.03</f>
        <v>0</v>
      </c>
      <c r="P309" s="56">
        <f>P302*A309*1.03*1.03*1.03</f>
        <v>0</v>
      </c>
      <c r="Q309" s="57">
        <f t="shared" ref="Q309:Q311" si="319">SUM(O309:P309)</f>
        <v>0</v>
      </c>
      <c r="R309" s="58"/>
      <c r="S309" s="124">
        <f>S302*A309*1.03*1.03*1.03*1.03*1.03</f>
        <v>0</v>
      </c>
      <c r="T309" s="56">
        <f>T302*A309*1.03*1.03*1.03*1.03</f>
        <v>0</v>
      </c>
      <c r="U309" s="57">
        <f t="shared" ref="U309:U311" si="320">SUM(S309:T309)</f>
        <v>0</v>
      </c>
      <c r="V309" s="59"/>
      <c r="W309" s="124">
        <f t="shared" ref="W309:Y312" si="321">C309+G309+K309+O309+S309</f>
        <v>0</v>
      </c>
      <c r="X309" s="57">
        <f t="shared" si="321"/>
        <v>0</v>
      </c>
      <c r="Y309" s="84">
        <f t="shared" si="321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0.32990000000000003</v>
      </c>
      <c r="B310" s="52" t="s">
        <v>109</v>
      </c>
      <c r="C310" s="124">
        <f>C300*(A310*1.03)</f>
        <v>0</v>
      </c>
      <c r="D310" s="56">
        <f>D300*A310*1.03</f>
        <v>0</v>
      </c>
      <c r="E310" s="56">
        <f t="shared" si="316"/>
        <v>0</v>
      </c>
      <c r="F310" s="58"/>
      <c r="G310" s="124">
        <f>G300*A310*1.03*1.03</f>
        <v>0</v>
      </c>
      <c r="H310" s="56">
        <f>H300*A310*1.03*1.03</f>
        <v>0</v>
      </c>
      <c r="I310" s="57">
        <f t="shared" si="317"/>
        <v>0</v>
      </c>
      <c r="J310" s="58"/>
      <c r="K310" s="55">
        <f>K300*A310*1.03*1.03*1.03</f>
        <v>0</v>
      </c>
      <c r="L310" s="56">
        <f>L304*A310*1.03*1.03</f>
        <v>0</v>
      </c>
      <c r="M310" s="57">
        <f t="shared" si="318"/>
        <v>0</v>
      </c>
      <c r="N310" s="58"/>
      <c r="O310" s="55">
        <f>O300*A310*1.03*1.03*1.03*1.03</f>
        <v>0</v>
      </c>
      <c r="P310" s="56">
        <f>P304*A310*1.03*1.03*1.03</f>
        <v>0</v>
      </c>
      <c r="Q310" s="57">
        <f t="shared" si="319"/>
        <v>0</v>
      </c>
      <c r="R310" s="58"/>
      <c r="S310" s="55">
        <f>S300*A310*1.03*1.03*1.03*1.03*1.03</f>
        <v>0</v>
      </c>
      <c r="T310" s="56">
        <f>T304*A310*1.03*1.03*1.03*1.03</f>
        <v>0</v>
      </c>
      <c r="U310" s="57">
        <f t="shared" si="320"/>
        <v>0</v>
      </c>
      <c r="V310" s="59"/>
      <c r="W310" s="124">
        <f t="shared" si="321"/>
        <v>0</v>
      </c>
      <c r="X310" s="57">
        <f t="shared" si="321"/>
        <v>0</v>
      </c>
      <c r="Y310" s="84">
        <f t="shared" si="321"/>
        <v>0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316"/>
        <v>0</v>
      </c>
      <c r="F311" s="58"/>
      <c r="G311" s="55">
        <f>C311*1.05</f>
        <v>0</v>
      </c>
      <c r="H311" s="57">
        <f>D311*1.05</f>
        <v>0</v>
      </c>
      <c r="I311" s="57">
        <f t="shared" si="317"/>
        <v>0</v>
      </c>
      <c r="J311" s="58"/>
      <c r="K311" s="55">
        <f>K300*A310*1.03*1.03*1.03*0</f>
        <v>0</v>
      </c>
      <c r="L311" s="56">
        <f>L300*A310*1.03*1.03*1.03</f>
        <v>0</v>
      </c>
      <c r="M311" s="57">
        <f t="shared" si="318"/>
        <v>0</v>
      </c>
      <c r="N311" s="58"/>
      <c r="O311" s="55">
        <f>O300*A310*1.03*1.03*1.03*1.03*0</f>
        <v>0</v>
      </c>
      <c r="P311" s="56">
        <f>P300*A310*1.03*1.03*1.03*1.03</f>
        <v>0</v>
      </c>
      <c r="Q311" s="57">
        <f t="shared" si="319"/>
        <v>0</v>
      </c>
      <c r="R311" s="58"/>
      <c r="S311" s="55">
        <f>S300*A310*1.03*1.03*1.03*1.03*1.03*0</f>
        <v>0</v>
      </c>
      <c r="T311" s="56">
        <f>T300*A310*1.03*1.03*1.03*1.03*1.03</f>
        <v>0</v>
      </c>
      <c r="U311" s="57">
        <f t="shared" si="320"/>
        <v>0</v>
      </c>
      <c r="V311" s="59"/>
      <c r="W311" s="124">
        <f t="shared" si="321"/>
        <v>0</v>
      </c>
      <c r="X311" s="57">
        <f t="shared" si="321"/>
        <v>0</v>
      </c>
      <c r="Y311" s="84">
        <f t="shared" si="321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0</v>
      </c>
      <c r="D312" s="125">
        <f>SUM(D309:D311)</f>
        <v>0</v>
      </c>
      <c r="E312" s="125">
        <f>SUM(E309:E311)</f>
        <v>0</v>
      </c>
      <c r="F312" s="81"/>
      <c r="G312" s="79">
        <f>SUM(G309:G311)</f>
        <v>0</v>
      </c>
      <c r="H312" s="80">
        <f>SUM(H309:H311)</f>
        <v>0</v>
      </c>
      <c r="I312" s="80">
        <f>SUM(I309:I311)</f>
        <v>0</v>
      </c>
      <c r="J312" s="81"/>
      <c r="K312" s="79">
        <f>SUM(K309:K311)</f>
        <v>0</v>
      </c>
      <c r="L312" s="80">
        <f>SUM(L309:L311)</f>
        <v>0</v>
      </c>
      <c r="M312" s="80">
        <f>SUM(M309:M311)</f>
        <v>0</v>
      </c>
      <c r="N312" s="81"/>
      <c r="O312" s="79">
        <f>SUM(O309:O311)</f>
        <v>0</v>
      </c>
      <c r="P312" s="80">
        <f>SUM(P309:P311)</f>
        <v>0</v>
      </c>
      <c r="Q312" s="80">
        <f>SUM(Q309:Q311)</f>
        <v>0</v>
      </c>
      <c r="R312" s="81"/>
      <c r="S312" s="79">
        <f>SUM(S309:S311)</f>
        <v>0</v>
      </c>
      <c r="T312" s="80">
        <f>SUM(T309:T311)</f>
        <v>0</v>
      </c>
      <c r="U312" s="80">
        <f>SUM(U309:U311)</f>
        <v>0</v>
      </c>
      <c r="V312" s="82"/>
      <c r="W312" s="228">
        <f t="shared" si="321"/>
        <v>0</v>
      </c>
      <c r="X312" s="80">
        <f t="shared" si="321"/>
        <v>0</v>
      </c>
      <c r="Y312" s="80">
        <f t="shared" si="321"/>
        <v>0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322">C312+C307</f>
        <v>0</v>
      </c>
      <c r="D313" s="248">
        <f t="shared" si="322"/>
        <v>0</v>
      </c>
      <c r="E313" s="248">
        <f t="shared" si="322"/>
        <v>0</v>
      </c>
      <c r="F313" s="248">
        <f t="shared" si="322"/>
        <v>0</v>
      </c>
      <c r="G313" s="248">
        <f t="shared" si="322"/>
        <v>0</v>
      </c>
      <c r="H313" s="248">
        <f t="shared" si="322"/>
        <v>0</v>
      </c>
      <c r="I313" s="248">
        <f t="shared" si="322"/>
        <v>0</v>
      </c>
      <c r="J313" s="248">
        <f t="shared" si="322"/>
        <v>0</v>
      </c>
      <c r="K313" s="248">
        <f t="shared" si="322"/>
        <v>0</v>
      </c>
      <c r="L313" s="248">
        <f t="shared" si="322"/>
        <v>0</v>
      </c>
      <c r="M313" s="248">
        <f t="shared" si="322"/>
        <v>0</v>
      </c>
      <c r="N313" s="248">
        <f t="shared" si="322"/>
        <v>0</v>
      </c>
      <c r="O313" s="248">
        <f t="shared" si="322"/>
        <v>0</v>
      </c>
      <c r="P313" s="248">
        <f t="shared" si="322"/>
        <v>0</v>
      </c>
      <c r="Q313" s="248">
        <f t="shared" si="322"/>
        <v>0</v>
      </c>
      <c r="R313" s="248">
        <f t="shared" si="322"/>
        <v>0</v>
      </c>
      <c r="S313" s="248">
        <f t="shared" si="322"/>
        <v>0</v>
      </c>
      <c r="T313" s="248">
        <f t="shared" si="322"/>
        <v>0</v>
      </c>
      <c r="U313" s="248">
        <f t="shared" si="322"/>
        <v>0</v>
      </c>
      <c r="V313" s="248">
        <f t="shared" si="322"/>
        <v>0</v>
      </c>
      <c r="W313" s="248">
        <f t="shared" si="322"/>
        <v>0</v>
      </c>
      <c r="X313" s="248">
        <f t="shared" si="322"/>
        <v>0</v>
      </c>
      <c r="Y313" s="248">
        <f t="shared" si="322"/>
        <v>0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323">SUM(C315:D315)</f>
        <v>0</v>
      </c>
      <c r="F315" s="58"/>
      <c r="G315" s="55">
        <v>0</v>
      </c>
      <c r="H315" s="57">
        <v>0</v>
      </c>
      <c r="I315" s="57">
        <f t="shared" ref="I315:I317" si="324">SUM(G315:H315)</f>
        <v>0</v>
      </c>
      <c r="J315" s="58"/>
      <c r="K315" s="55">
        <v>0</v>
      </c>
      <c r="L315" s="57">
        <v>0</v>
      </c>
      <c r="M315" s="57">
        <f t="shared" ref="M315:M317" si="325">SUM(K315:L315)</f>
        <v>0</v>
      </c>
      <c r="N315" s="58"/>
      <c r="O315" s="55">
        <v>0</v>
      </c>
      <c r="P315" s="57">
        <v>0</v>
      </c>
      <c r="Q315" s="57">
        <f t="shared" ref="Q315:Q317" si="326">SUM(O315:P315)</f>
        <v>0</v>
      </c>
      <c r="R315" s="58"/>
      <c r="S315" s="55">
        <v>0</v>
      </c>
      <c r="T315" s="57">
        <v>0</v>
      </c>
      <c r="U315" s="57">
        <f t="shared" ref="U315:U317" si="327">SUM(S315:T315)</f>
        <v>0</v>
      </c>
      <c r="V315" s="59"/>
      <c r="W315" s="124">
        <f t="shared" ref="W315:Y318" si="328">C315+G315+K315+O315+S315</f>
        <v>0</v>
      </c>
      <c r="X315" s="57">
        <f t="shared" si="328"/>
        <v>0</v>
      </c>
      <c r="Y315" s="84">
        <f t="shared" si="328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323"/>
        <v>0</v>
      </c>
      <c r="F316" s="58"/>
      <c r="G316" s="55">
        <v>0</v>
      </c>
      <c r="H316" s="57">
        <v>0</v>
      </c>
      <c r="I316" s="57">
        <f t="shared" si="324"/>
        <v>0</v>
      </c>
      <c r="J316" s="58"/>
      <c r="K316" s="55">
        <v>0</v>
      </c>
      <c r="L316" s="57">
        <v>0</v>
      </c>
      <c r="M316" s="57">
        <f t="shared" si="325"/>
        <v>0</v>
      </c>
      <c r="N316" s="58"/>
      <c r="O316" s="55">
        <f>K316</f>
        <v>0</v>
      </c>
      <c r="P316" s="57">
        <v>0</v>
      </c>
      <c r="Q316" s="57">
        <f t="shared" si="326"/>
        <v>0</v>
      </c>
      <c r="R316" s="58"/>
      <c r="S316" s="55">
        <f>O316</f>
        <v>0</v>
      </c>
      <c r="T316" s="57">
        <v>0</v>
      </c>
      <c r="U316" s="57">
        <f t="shared" si="327"/>
        <v>0</v>
      </c>
      <c r="V316" s="59"/>
      <c r="W316" s="124">
        <f t="shared" si="328"/>
        <v>0</v>
      </c>
      <c r="X316" s="57">
        <f t="shared" si="328"/>
        <v>0</v>
      </c>
      <c r="Y316" s="84">
        <f t="shared" si="328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323"/>
        <v>0</v>
      </c>
      <c r="F317" s="58"/>
      <c r="G317" s="55">
        <v>0</v>
      </c>
      <c r="H317" s="57">
        <v>0</v>
      </c>
      <c r="I317" s="57">
        <f t="shared" si="324"/>
        <v>0</v>
      </c>
      <c r="J317" s="58"/>
      <c r="K317" s="55">
        <f>G317</f>
        <v>0</v>
      </c>
      <c r="L317" s="57">
        <v>0</v>
      </c>
      <c r="M317" s="57">
        <f t="shared" si="325"/>
        <v>0</v>
      </c>
      <c r="N317" s="58"/>
      <c r="O317" s="55">
        <v>0</v>
      </c>
      <c r="P317" s="57">
        <v>0</v>
      </c>
      <c r="Q317" s="57">
        <f t="shared" si="326"/>
        <v>0</v>
      </c>
      <c r="R317" s="58"/>
      <c r="S317" s="55">
        <f>O317</f>
        <v>0</v>
      </c>
      <c r="T317" s="57">
        <v>0</v>
      </c>
      <c r="U317" s="57">
        <f t="shared" si="327"/>
        <v>0</v>
      </c>
      <c r="V317" s="59"/>
      <c r="W317" s="124">
        <f t="shared" si="328"/>
        <v>0</v>
      </c>
      <c r="X317" s="57">
        <f t="shared" si="328"/>
        <v>0</v>
      </c>
      <c r="Y317" s="84">
        <f t="shared" si="328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328"/>
        <v>0</v>
      </c>
      <c r="X318" s="80">
        <f t="shared" si="328"/>
        <v>0</v>
      </c>
      <c r="Y318" s="80">
        <f t="shared" si="328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2"/>
      <c r="B320" s="54" t="s">
        <v>206</v>
      </c>
      <c r="C320" s="55">
        <f>1000</f>
        <v>1000</v>
      </c>
      <c r="D320" s="57">
        <v>0</v>
      </c>
      <c r="E320" s="57">
        <f t="shared" ref="E320" si="329">SUM(C320:D320)</f>
        <v>1000</v>
      </c>
      <c r="F320" s="58"/>
      <c r="G320" s="55">
        <f>C320</f>
        <v>1000</v>
      </c>
      <c r="H320" s="57">
        <v>0</v>
      </c>
      <c r="I320" s="57">
        <f t="shared" ref="I320" si="330">SUM(G320:H320)</f>
        <v>1000</v>
      </c>
      <c r="J320" s="58"/>
      <c r="K320" s="55">
        <f>G320</f>
        <v>1000</v>
      </c>
      <c r="L320" s="57">
        <v>0</v>
      </c>
      <c r="M320" s="57">
        <f t="shared" ref="M320" si="331">SUM(K320:L320)</f>
        <v>1000</v>
      </c>
      <c r="N320" s="58"/>
      <c r="O320" s="55">
        <f>K320</f>
        <v>1000</v>
      </c>
      <c r="P320" s="57">
        <v>0</v>
      </c>
      <c r="Q320" s="57">
        <f t="shared" ref="Q320" si="332">SUM(O320:P320)</f>
        <v>1000</v>
      </c>
      <c r="R320" s="58"/>
      <c r="S320" s="55">
        <f>O320</f>
        <v>1000</v>
      </c>
      <c r="T320" s="57">
        <v>0</v>
      </c>
      <c r="U320" s="57">
        <f t="shared" ref="U320" si="333">SUM(S320:T320)</f>
        <v>1000</v>
      </c>
      <c r="V320" s="59"/>
      <c r="W320" s="124">
        <f t="shared" ref="W320" si="334">C320+G320+K320+O320+S320</f>
        <v>5000</v>
      </c>
      <c r="X320" s="196">
        <f t="shared" ref="X320" si="335">D320+H320+L320+P320+T320</f>
        <v>0</v>
      </c>
      <c r="Y320" s="194">
        <f t="shared" ref="Y320" si="336">E320+I320+M320+Q320+U320</f>
        <v>5000</v>
      </c>
    </row>
    <row r="321" spans="1:77" s="61" customFormat="1" x14ac:dyDescent="0.25">
      <c r="A321" s="52"/>
      <c r="B321" s="54" t="s">
        <v>204</v>
      </c>
      <c r="C321" s="124">
        <v>1000</v>
      </c>
      <c r="D321" s="56">
        <v>0</v>
      </c>
      <c r="E321" s="56">
        <f t="shared" ref="E321" si="337">SUM(C321:D321)</f>
        <v>1000</v>
      </c>
      <c r="F321" s="58"/>
      <c r="G321" s="55">
        <f>C321</f>
        <v>1000</v>
      </c>
      <c r="H321" s="57">
        <v>0</v>
      </c>
      <c r="I321" s="57">
        <f t="shared" ref="I321" si="338">SUM(G321:H321)</f>
        <v>1000</v>
      </c>
      <c r="J321" s="58"/>
      <c r="K321" s="55">
        <f>G321</f>
        <v>1000</v>
      </c>
      <c r="L321" s="57">
        <v>0</v>
      </c>
      <c r="M321" s="57">
        <f t="shared" ref="M321" si="339">SUM(K321:L321)</f>
        <v>1000</v>
      </c>
      <c r="N321" s="58"/>
      <c r="O321" s="55">
        <f>K321</f>
        <v>1000</v>
      </c>
      <c r="P321" s="57">
        <v>0</v>
      </c>
      <c r="Q321" s="57">
        <f t="shared" ref="Q321" si="340">SUM(O321:P321)</f>
        <v>1000</v>
      </c>
      <c r="R321" s="58"/>
      <c r="S321" s="55">
        <f>O321</f>
        <v>1000</v>
      </c>
      <c r="T321" s="57">
        <v>0</v>
      </c>
      <c r="U321" s="57">
        <f t="shared" ref="U321" si="341">SUM(S321:T321)</f>
        <v>1000</v>
      </c>
      <c r="V321" s="59"/>
      <c r="W321" s="124">
        <f t="shared" ref="W321:Y323" si="342">C321+G321+K321+O321+S321</f>
        <v>5000</v>
      </c>
      <c r="X321" s="57">
        <f t="shared" si="342"/>
        <v>0</v>
      </c>
      <c r="Y321" s="84">
        <f t="shared" si="342"/>
        <v>5000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ref="E322" si="343">SUM(C322:D322)</f>
        <v>0</v>
      </c>
      <c r="F322" s="58"/>
      <c r="G322" s="55">
        <v>0</v>
      </c>
      <c r="H322" s="57">
        <v>0</v>
      </c>
      <c r="I322" s="57">
        <f t="shared" ref="I322" si="344">SUM(G322:H322)</f>
        <v>0</v>
      </c>
      <c r="J322" s="58"/>
      <c r="K322" s="55">
        <v>0</v>
      </c>
      <c r="L322" s="57">
        <v>0</v>
      </c>
      <c r="M322" s="57">
        <f t="shared" ref="M322" si="345">SUM(K322:L322)</f>
        <v>0</v>
      </c>
      <c r="N322" s="58"/>
      <c r="O322" s="55">
        <v>0</v>
      </c>
      <c r="P322" s="57">
        <v>0</v>
      </c>
      <c r="Q322" s="57">
        <f t="shared" ref="Q322" si="346">SUM(O322:P322)</f>
        <v>0</v>
      </c>
      <c r="R322" s="58"/>
      <c r="S322" s="55">
        <v>0</v>
      </c>
      <c r="T322" s="57">
        <v>0</v>
      </c>
      <c r="U322" s="57">
        <f t="shared" ref="U322" si="347">SUM(S322:T322)</f>
        <v>0</v>
      </c>
      <c r="V322" s="59"/>
      <c r="W322" s="124">
        <f t="shared" si="342"/>
        <v>0</v>
      </c>
      <c r="X322" s="57">
        <f t="shared" si="342"/>
        <v>0</v>
      </c>
      <c r="Y322" s="84">
        <f t="shared" si="342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2000</v>
      </c>
      <c r="D323" s="125">
        <f>SUM(D320:D322)</f>
        <v>0</v>
      </c>
      <c r="E323" s="125">
        <f>SUM(E320:E322)</f>
        <v>2000</v>
      </c>
      <c r="F323" s="81"/>
      <c r="G323" s="79">
        <f>SUM(G320:G322)</f>
        <v>2000</v>
      </c>
      <c r="H323" s="80">
        <f>SUM(H320:H322)</f>
        <v>0</v>
      </c>
      <c r="I323" s="80">
        <f>SUM(I320:I322)</f>
        <v>2000</v>
      </c>
      <c r="J323" s="81"/>
      <c r="K323" s="79">
        <f>SUM(K320:K322)</f>
        <v>2000</v>
      </c>
      <c r="L323" s="80">
        <f>SUM(L320:L322)</f>
        <v>0</v>
      </c>
      <c r="M323" s="80">
        <f>SUM(M320:M322)</f>
        <v>2000</v>
      </c>
      <c r="N323" s="81"/>
      <c r="O323" s="79">
        <f>SUM(O320:O322)</f>
        <v>2000</v>
      </c>
      <c r="P323" s="80">
        <f>SUM(P320:P322)</f>
        <v>0</v>
      </c>
      <c r="Q323" s="80">
        <f>SUM(Q320:Q322)</f>
        <v>2000</v>
      </c>
      <c r="R323" s="81"/>
      <c r="S323" s="79">
        <f>SUM(S320:S322)</f>
        <v>2000</v>
      </c>
      <c r="T323" s="80">
        <f>SUM(T320:T322)</f>
        <v>0</v>
      </c>
      <c r="U323" s="80">
        <f>SUM(U320:U322)</f>
        <v>2000</v>
      </c>
      <c r="V323" s="82"/>
      <c r="W323" s="228">
        <f t="shared" si="342"/>
        <v>10000</v>
      </c>
      <c r="X323" s="80">
        <f t="shared" si="342"/>
        <v>0</v>
      </c>
      <c r="Y323" s="80">
        <f t="shared" si="342"/>
        <v>10000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Y327" si="348">C325+G325+K325+O325+S325</f>
        <v>0</v>
      </c>
      <c r="X325" s="57">
        <f t="shared" si="348"/>
        <v>0</v>
      </c>
      <c r="Y325" s="84">
        <f t="shared" si="348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348"/>
        <v>0</v>
      </c>
      <c r="X326" s="56">
        <f t="shared" si="348"/>
        <v>0</v>
      </c>
      <c r="Y326" s="85">
        <f t="shared" si="348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348"/>
        <v>0</v>
      </c>
      <c r="X327" s="80">
        <f t="shared" si="348"/>
        <v>0</v>
      </c>
      <c r="Y327" s="80">
        <f t="shared" si="348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61" customFormat="1" x14ac:dyDescent="0.25">
      <c r="B329" s="61" t="s">
        <v>190</v>
      </c>
      <c r="C329" s="55">
        <f>1000*0</f>
        <v>0</v>
      </c>
      <c r="D329" s="56">
        <v>0</v>
      </c>
      <c r="E329" s="57">
        <f t="shared" ref="E329" si="349">SUM(C329:D329)</f>
        <v>0</v>
      </c>
      <c r="F329" s="58"/>
      <c r="G329" s="55">
        <f>C329</f>
        <v>0</v>
      </c>
      <c r="H329" s="56">
        <v>0</v>
      </c>
      <c r="I329" s="57">
        <f t="shared" ref="I329" si="350">SUM(G329:H329)</f>
        <v>0</v>
      </c>
      <c r="J329" s="58"/>
      <c r="K329" s="55">
        <f>G329</f>
        <v>0</v>
      </c>
      <c r="L329" s="56">
        <v>0</v>
      </c>
      <c r="M329" s="57">
        <f t="shared" ref="M329" si="351">SUM(K329:L329)</f>
        <v>0</v>
      </c>
      <c r="N329" s="58"/>
      <c r="O329" s="55">
        <f>K329</f>
        <v>0</v>
      </c>
      <c r="P329" s="56">
        <v>0</v>
      </c>
      <c r="Q329" s="56">
        <f t="shared" ref="Q329" si="352">SUM(O329:P329)</f>
        <v>0</v>
      </c>
      <c r="R329" s="58"/>
      <c r="S329" s="55">
        <f>O329</f>
        <v>0</v>
      </c>
      <c r="T329" s="56">
        <v>0</v>
      </c>
      <c r="U329" s="57">
        <f t="shared" ref="U329" si="353">SUM(S329:T329)</f>
        <v>0</v>
      </c>
      <c r="V329" s="59"/>
      <c r="W329" s="124">
        <f t="shared" ref="W329:Y333" si="354">C329+G329+K329+O329+S329</f>
        <v>0</v>
      </c>
      <c r="X329" s="57">
        <f t="shared" si="354"/>
        <v>0</v>
      </c>
      <c r="Y329" s="202">
        <f t="shared" si="354"/>
        <v>0</v>
      </c>
    </row>
    <row r="330" spans="1:77" s="61" customFormat="1" x14ac:dyDescent="0.25">
      <c r="A330" s="203"/>
      <c r="B330" s="54" t="s">
        <v>57</v>
      </c>
      <c r="C330" s="124">
        <v>0</v>
      </c>
      <c r="D330" s="56">
        <v>0</v>
      </c>
      <c r="E330" s="56">
        <f t="shared" ref="E330:E332" si="355">SUM(C330:D330)</f>
        <v>0</v>
      </c>
      <c r="F330" s="58"/>
      <c r="G330" s="55">
        <v>0</v>
      </c>
      <c r="H330" s="57">
        <v>0</v>
      </c>
      <c r="I330" s="57">
        <f t="shared" ref="I330:I332" si="356">SUM(G330:H330)</f>
        <v>0</v>
      </c>
      <c r="J330" s="58"/>
      <c r="K330" s="55">
        <v>0</v>
      </c>
      <c r="L330" s="56">
        <v>0</v>
      </c>
      <c r="M330" s="57">
        <f t="shared" ref="M330:M332" si="357">SUM(K330:L330)</f>
        <v>0</v>
      </c>
      <c r="N330" s="58"/>
      <c r="O330" s="55">
        <v>0</v>
      </c>
      <c r="P330" s="57">
        <v>0</v>
      </c>
      <c r="Q330" s="57">
        <f t="shared" ref="Q330:Q332" si="358">SUM(O330:P330)</f>
        <v>0</v>
      </c>
      <c r="R330" s="58"/>
      <c r="S330" s="55">
        <v>0</v>
      </c>
      <c r="T330" s="56">
        <v>0</v>
      </c>
      <c r="U330" s="57">
        <f t="shared" ref="U330:U332" si="359">SUM(S330:T330)</f>
        <v>0</v>
      </c>
      <c r="V330" s="59"/>
      <c r="W330" s="124">
        <f t="shared" si="354"/>
        <v>0</v>
      </c>
      <c r="X330" s="57">
        <f t="shared" si="354"/>
        <v>0</v>
      </c>
      <c r="Y330" s="84">
        <f t="shared" si="354"/>
        <v>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si="355"/>
        <v>0</v>
      </c>
      <c r="F331" s="58"/>
      <c r="G331" s="55">
        <v>0</v>
      </c>
      <c r="H331" s="57"/>
      <c r="I331" s="57">
        <f t="shared" si="356"/>
        <v>0</v>
      </c>
      <c r="J331" s="58"/>
      <c r="K331" s="55">
        <v>0</v>
      </c>
      <c r="L331" s="56">
        <v>0</v>
      </c>
      <c r="M331" s="57">
        <f t="shared" si="357"/>
        <v>0</v>
      </c>
      <c r="N331" s="58"/>
      <c r="O331" s="55">
        <v>0</v>
      </c>
      <c r="P331" s="56">
        <v>0</v>
      </c>
      <c r="Q331" s="56">
        <f t="shared" si="358"/>
        <v>0</v>
      </c>
      <c r="R331" s="58"/>
      <c r="S331" s="55">
        <v>0</v>
      </c>
      <c r="T331" s="56">
        <v>0</v>
      </c>
      <c r="U331" s="57">
        <f t="shared" si="359"/>
        <v>0</v>
      </c>
      <c r="V331" s="59"/>
      <c r="W331" s="124">
        <f t="shared" si="354"/>
        <v>0</v>
      </c>
      <c r="X331" s="57">
        <f t="shared" si="354"/>
        <v>0</v>
      </c>
      <c r="Y331" s="84">
        <f t="shared" si="354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355"/>
        <v>0</v>
      </c>
      <c r="F332" s="58"/>
      <c r="G332" s="55">
        <v>0</v>
      </c>
      <c r="H332" s="57">
        <v>0</v>
      </c>
      <c r="I332" s="57">
        <f t="shared" si="356"/>
        <v>0</v>
      </c>
      <c r="J332" s="58"/>
      <c r="K332" s="55">
        <v>0</v>
      </c>
      <c r="L332" s="57">
        <v>0</v>
      </c>
      <c r="M332" s="57">
        <f t="shared" si="357"/>
        <v>0</v>
      </c>
      <c r="N332" s="58"/>
      <c r="O332" s="55">
        <v>0</v>
      </c>
      <c r="P332" s="57">
        <v>0</v>
      </c>
      <c r="Q332" s="57">
        <f t="shared" si="358"/>
        <v>0</v>
      </c>
      <c r="R332" s="58"/>
      <c r="S332" s="55">
        <v>0</v>
      </c>
      <c r="T332" s="57">
        <v>0</v>
      </c>
      <c r="U332" s="57">
        <f t="shared" si="359"/>
        <v>0</v>
      </c>
      <c r="V332" s="59"/>
      <c r="W332" s="124">
        <f t="shared" si="354"/>
        <v>0</v>
      </c>
      <c r="X332" s="57">
        <f t="shared" si="354"/>
        <v>0</v>
      </c>
      <c r="Y332" s="84">
        <f t="shared" si="354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0</v>
      </c>
      <c r="D333" s="153">
        <f>SUM(D329:D332)</f>
        <v>0</v>
      </c>
      <c r="E333" s="153">
        <f>SUM(E329:E332)</f>
        <v>0</v>
      </c>
      <c r="F333" s="154"/>
      <c r="G333" s="152">
        <f>SUM(G329:G332)</f>
        <v>0</v>
      </c>
      <c r="H333" s="155">
        <f>SUM(H329:H332)</f>
        <v>0</v>
      </c>
      <c r="I333" s="155">
        <f>SUM(I329:I332)</f>
        <v>0</v>
      </c>
      <c r="J333" s="154"/>
      <c r="K333" s="152">
        <f>SUM(K329:K332)</f>
        <v>0</v>
      </c>
      <c r="L333" s="155">
        <f>SUM(L329:L332)</f>
        <v>0</v>
      </c>
      <c r="M333" s="155">
        <f>SUM(M329:M332)</f>
        <v>0</v>
      </c>
      <c r="N333" s="154"/>
      <c r="O333" s="152">
        <f>SUM(O329:O332)</f>
        <v>0</v>
      </c>
      <c r="P333" s="155">
        <f>SUM(P329:P332)</f>
        <v>0</v>
      </c>
      <c r="Q333" s="155">
        <f>SUM(Q329:Q332)</f>
        <v>0</v>
      </c>
      <c r="R333" s="154"/>
      <c r="S333" s="152">
        <f>SUM(S329:S332)</f>
        <v>0</v>
      </c>
      <c r="T333" s="155">
        <f>SUM(T329:T332)</f>
        <v>0</v>
      </c>
      <c r="U333" s="155">
        <f>SUM(U329:U332)</f>
        <v>0</v>
      </c>
      <c r="V333" s="82"/>
      <c r="W333" s="228">
        <f t="shared" si="354"/>
        <v>0</v>
      </c>
      <c r="X333" s="80">
        <f t="shared" si="354"/>
        <v>0</v>
      </c>
      <c r="Y333" s="80">
        <f t="shared" si="354"/>
        <v>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360">SUM(C313+C318+C323+C327+C333)</f>
        <v>2000</v>
      </c>
      <c r="D334" s="251">
        <f t="shared" si="360"/>
        <v>0</v>
      </c>
      <c r="E334" s="251">
        <f t="shared" si="360"/>
        <v>2000</v>
      </c>
      <c r="F334" s="251">
        <f t="shared" si="360"/>
        <v>0</v>
      </c>
      <c r="G334" s="251">
        <f t="shared" si="360"/>
        <v>2000</v>
      </c>
      <c r="H334" s="251">
        <f t="shared" si="360"/>
        <v>0</v>
      </c>
      <c r="I334" s="251">
        <f t="shared" si="360"/>
        <v>2000</v>
      </c>
      <c r="J334" s="251">
        <f t="shared" si="360"/>
        <v>0</v>
      </c>
      <c r="K334" s="251">
        <f t="shared" si="360"/>
        <v>2000</v>
      </c>
      <c r="L334" s="251">
        <f t="shared" si="360"/>
        <v>0</v>
      </c>
      <c r="M334" s="251">
        <f t="shared" si="360"/>
        <v>2000</v>
      </c>
      <c r="N334" s="251">
        <f t="shared" si="360"/>
        <v>0</v>
      </c>
      <c r="O334" s="251">
        <f t="shared" si="360"/>
        <v>2000</v>
      </c>
      <c r="P334" s="251">
        <f t="shared" si="360"/>
        <v>0</v>
      </c>
      <c r="Q334" s="251">
        <f t="shared" si="360"/>
        <v>2000</v>
      </c>
      <c r="R334" s="251">
        <f t="shared" si="360"/>
        <v>0</v>
      </c>
      <c r="S334" s="251">
        <f t="shared" si="360"/>
        <v>2000</v>
      </c>
      <c r="T334" s="251">
        <f t="shared" si="360"/>
        <v>0</v>
      </c>
      <c r="U334" s="251">
        <f t="shared" si="360"/>
        <v>2000</v>
      </c>
      <c r="V334" s="251">
        <f t="shared" si="360"/>
        <v>0</v>
      </c>
      <c r="W334" s="251">
        <f t="shared" si="360"/>
        <v>10000</v>
      </c>
      <c r="X334" s="251">
        <f t="shared" si="360"/>
        <v>0</v>
      </c>
      <c r="Y334" s="251">
        <f t="shared" si="360"/>
        <v>10000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((C313+C323+C333)*0.2627)</f>
        <v>525.4</v>
      </c>
      <c r="D335" s="251">
        <v>0</v>
      </c>
      <c r="E335" s="251">
        <f>C335</f>
        <v>525.4</v>
      </c>
      <c r="F335" s="251">
        <f>F307*0.47</f>
        <v>0</v>
      </c>
      <c r="G335" s="251">
        <f>((G313+G323+G333)*0.2627)</f>
        <v>525.4</v>
      </c>
      <c r="H335" s="251">
        <v>0</v>
      </c>
      <c r="I335" s="251">
        <f>G335</f>
        <v>525.4</v>
      </c>
      <c r="J335" s="251">
        <f>J307*0.47</f>
        <v>0</v>
      </c>
      <c r="K335" s="251">
        <f>((K313+K323+K333)*0.2627)</f>
        <v>525.4</v>
      </c>
      <c r="L335" s="251">
        <v>0</v>
      </c>
      <c r="M335" s="251">
        <f>K335</f>
        <v>525.4</v>
      </c>
      <c r="N335" s="251">
        <f>N307*0.47</f>
        <v>0</v>
      </c>
      <c r="O335" s="251">
        <f>((O313+O323+O333)*0.2627)</f>
        <v>525.4</v>
      </c>
      <c r="P335" s="251">
        <v>0</v>
      </c>
      <c r="Q335" s="251">
        <f>O335</f>
        <v>525.4</v>
      </c>
      <c r="R335" s="251">
        <f>R307*0.47</f>
        <v>0</v>
      </c>
      <c r="S335" s="251">
        <f>((S313+S323+S333)*0.2627)</f>
        <v>525.4</v>
      </c>
      <c r="T335" s="251">
        <v>0</v>
      </c>
      <c r="U335" s="251">
        <f>S335</f>
        <v>525.4</v>
      </c>
      <c r="V335" s="251">
        <f>V307*0.47</f>
        <v>0</v>
      </c>
      <c r="W335" s="251">
        <f>((W313+W323+W333)*0.2627)</f>
        <v>2627</v>
      </c>
      <c r="X335" s="251">
        <v>0</v>
      </c>
      <c r="Y335" s="251">
        <f>W335</f>
        <v>2627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2525.4</v>
      </c>
      <c r="D336" s="251">
        <f t="shared" ref="D336:Y336" si="361">SUM(D334:D335)</f>
        <v>0</v>
      </c>
      <c r="E336" s="251">
        <f t="shared" si="361"/>
        <v>2525.4</v>
      </c>
      <c r="F336" s="251">
        <f t="shared" si="361"/>
        <v>0</v>
      </c>
      <c r="G336" s="251">
        <f t="shared" si="361"/>
        <v>2525.4</v>
      </c>
      <c r="H336" s="251">
        <f t="shared" si="361"/>
        <v>0</v>
      </c>
      <c r="I336" s="251">
        <f t="shared" si="361"/>
        <v>2525.4</v>
      </c>
      <c r="J336" s="251">
        <f t="shared" si="361"/>
        <v>0</v>
      </c>
      <c r="K336" s="251">
        <f t="shared" si="361"/>
        <v>2525.4</v>
      </c>
      <c r="L336" s="251">
        <f t="shared" si="361"/>
        <v>0</v>
      </c>
      <c r="M336" s="251">
        <f t="shared" si="361"/>
        <v>2525.4</v>
      </c>
      <c r="N336" s="251">
        <f t="shared" si="361"/>
        <v>0</v>
      </c>
      <c r="O336" s="251">
        <f t="shared" si="361"/>
        <v>2525.4</v>
      </c>
      <c r="P336" s="251">
        <f t="shared" si="361"/>
        <v>0</v>
      </c>
      <c r="Q336" s="251">
        <f t="shared" si="361"/>
        <v>2525.4</v>
      </c>
      <c r="R336" s="251">
        <f t="shared" si="361"/>
        <v>0</v>
      </c>
      <c r="S336" s="251">
        <f t="shared" si="361"/>
        <v>2525.4</v>
      </c>
      <c r="T336" s="251">
        <f t="shared" si="361"/>
        <v>0</v>
      </c>
      <c r="U336" s="251">
        <f t="shared" si="361"/>
        <v>2525.4</v>
      </c>
      <c r="V336" s="251">
        <f t="shared" si="361"/>
        <v>0</v>
      </c>
      <c r="W336" s="251">
        <f t="shared" si="361"/>
        <v>12627</v>
      </c>
      <c r="X336" s="251">
        <f t="shared" si="361"/>
        <v>0</v>
      </c>
      <c r="Y336" s="251">
        <f t="shared" si="361"/>
        <v>12627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101556.94581278999</v>
      </c>
      <c r="D339" s="121">
        <f t="shared" ref="D339:X339" si="362">D248+D176+D88+D292+D336</f>
        <v>0</v>
      </c>
      <c r="E339" s="121">
        <f t="shared" si="362"/>
        <v>101556.94581278999</v>
      </c>
      <c r="F339" s="121">
        <f t="shared" si="362"/>
        <v>0</v>
      </c>
      <c r="G339" s="121">
        <f t="shared" si="362"/>
        <v>100742.87890813879</v>
      </c>
      <c r="H339" s="121">
        <f t="shared" si="362"/>
        <v>0</v>
      </c>
      <c r="I339" s="121">
        <f t="shared" si="362"/>
        <v>100742.87890813879</v>
      </c>
      <c r="J339" s="121">
        <f t="shared" si="362"/>
        <v>0</v>
      </c>
      <c r="K339" s="121">
        <f t="shared" si="362"/>
        <v>55095.4</v>
      </c>
      <c r="L339" s="121">
        <f t="shared" si="362"/>
        <v>0</v>
      </c>
      <c r="M339" s="121">
        <f t="shared" si="362"/>
        <v>55095.4</v>
      </c>
      <c r="N339" s="121">
        <f t="shared" si="362"/>
        <v>0</v>
      </c>
      <c r="O339" s="121">
        <f t="shared" si="362"/>
        <v>55095.4</v>
      </c>
      <c r="P339" s="121">
        <f t="shared" si="362"/>
        <v>0</v>
      </c>
      <c r="Q339" s="121">
        <f t="shared" si="362"/>
        <v>55095.4</v>
      </c>
      <c r="R339" s="121">
        <f t="shared" si="362"/>
        <v>0</v>
      </c>
      <c r="S339" s="121">
        <f t="shared" si="362"/>
        <v>55095.4</v>
      </c>
      <c r="T339" s="121">
        <f t="shared" si="362"/>
        <v>0</v>
      </c>
      <c r="U339" s="121">
        <f t="shared" si="362"/>
        <v>55095.4</v>
      </c>
      <c r="V339" s="121">
        <f t="shared" si="362"/>
        <v>0</v>
      </c>
      <c r="W339" s="121">
        <f t="shared" si="362"/>
        <v>367586.12472092884</v>
      </c>
      <c r="X339" s="121">
        <f t="shared" si="362"/>
        <v>0</v>
      </c>
      <c r="Y339" s="121">
        <f>Y248+Y176+Y88+Y292+Y336</f>
        <v>367586.12472092884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4" customFormat="1" x14ac:dyDescent="0.25">
      <c r="V340" s="45"/>
      <c r="W340" s="47"/>
      <c r="X340" s="47"/>
      <c r="Y340" s="46"/>
    </row>
    <row r="341" spans="1:77" s="4" customFormat="1" x14ac:dyDescent="0.25">
      <c r="V341" s="45"/>
      <c r="W341" s="47"/>
      <c r="X341" s="47"/>
      <c r="Y341" s="46"/>
    </row>
    <row r="342" spans="1:77" s="4" customFormat="1" x14ac:dyDescent="0.25">
      <c r="V342" s="45"/>
      <c r="W342" s="47"/>
      <c r="X342" s="47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12"/>
      <c r="X348" s="12"/>
      <c r="Y348" s="46"/>
    </row>
    <row r="349" spans="1:77" s="4" customFormat="1" x14ac:dyDescent="0.25">
      <c r="V349" s="45"/>
      <c r="W349" s="12"/>
      <c r="X349" s="12"/>
      <c r="Y349" s="46"/>
    </row>
    <row r="350" spans="1:77" s="4" customFormat="1" x14ac:dyDescent="0.25">
      <c r="V350" s="45"/>
      <c r="W350" s="12"/>
      <c r="X350" s="12"/>
      <c r="Y350" s="46"/>
    </row>
    <row r="351" spans="1:77" s="4" customFormat="1" x14ac:dyDescent="0.25">
      <c r="V351" s="45"/>
      <c r="W351" s="12"/>
      <c r="X351" s="12"/>
      <c r="Y351" s="46"/>
    </row>
    <row r="352" spans="1:77" s="4" customFormat="1" x14ac:dyDescent="0.25">
      <c r="V352" s="45"/>
      <c r="W352" s="12"/>
      <c r="X352" s="12"/>
      <c r="Y352" s="46"/>
    </row>
    <row r="353" spans="22:25" s="4" customFormat="1" x14ac:dyDescent="0.25">
      <c r="V353" s="45"/>
      <c r="W353" s="12"/>
      <c r="X353" s="12"/>
      <c r="Y353" s="46"/>
    </row>
    <row r="354" spans="22:25" s="4" customFormat="1" x14ac:dyDescent="0.25">
      <c r="V354" s="45"/>
      <c r="W354" s="12"/>
      <c r="X354" s="12"/>
      <c r="Y354" s="46"/>
    </row>
    <row r="355" spans="22:25" s="4" customFormat="1" x14ac:dyDescent="0.25">
      <c r="V355" s="45"/>
      <c r="W355" s="12"/>
      <c r="X355" s="12"/>
      <c r="Y355" s="46"/>
    </row>
    <row r="356" spans="22:25" s="4" customFormat="1" x14ac:dyDescent="0.25">
      <c r="V356" s="45"/>
      <c r="W356" s="12"/>
      <c r="X356" s="12"/>
      <c r="Y356" s="46"/>
    </row>
    <row r="357" spans="22:25" s="4" customFormat="1" x14ac:dyDescent="0.25">
      <c r="V357" s="45"/>
      <c r="W357" s="12"/>
      <c r="X357" s="12"/>
      <c r="Y357" s="46"/>
    </row>
    <row r="358" spans="22:25" s="4" customFormat="1" x14ac:dyDescent="0.25">
      <c r="V358" s="45"/>
      <c r="W358" s="12"/>
      <c r="X358" s="12"/>
      <c r="Y358" s="46"/>
    </row>
    <row r="359" spans="22:25" s="4" customFormat="1" x14ac:dyDescent="0.25">
      <c r="V359" s="45"/>
      <c r="W359" s="12"/>
      <c r="X359" s="12"/>
      <c r="Y359" s="46"/>
    </row>
    <row r="360" spans="22:25" s="4" customFormat="1" x14ac:dyDescent="0.25">
      <c r="V360" s="45"/>
      <c r="W360" s="12"/>
      <c r="X360" s="12"/>
      <c r="Y360" s="46"/>
    </row>
    <row r="361" spans="22:25" s="4" customFormat="1" x14ac:dyDescent="0.25">
      <c r="V361" s="45"/>
      <c r="W361" s="12"/>
      <c r="X361" s="12"/>
      <c r="Y361" s="46"/>
    </row>
    <row r="362" spans="22:25" s="4" customFormat="1" x14ac:dyDescent="0.25">
      <c r="V362" s="45"/>
      <c r="W362" s="12"/>
      <c r="X362" s="12"/>
      <c r="Y362" s="46"/>
    </row>
    <row r="363" spans="22:25" s="4" customFormat="1" x14ac:dyDescent="0.25">
      <c r="V363" s="45"/>
      <c r="W363" s="12"/>
      <c r="X363" s="12"/>
      <c r="Y363" s="46"/>
    </row>
    <row r="364" spans="22:25" s="4" customFormat="1" x14ac:dyDescent="0.25">
      <c r="V364" s="45"/>
      <c r="W364" s="12"/>
      <c r="X364" s="12"/>
      <c r="Y364" s="46"/>
    </row>
    <row r="365" spans="22:25" s="4" customFormat="1" x14ac:dyDescent="0.25">
      <c r="V365" s="45"/>
      <c r="W365" s="12"/>
      <c r="X365" s="12"/>
      <c r="Y365" s="46"/>
    </row>
    <row r="366" spans="22:25" s="4" customFormat="1" x14ac:dyDescent="0.25">
      <c r="V366" s="45"/>
      <c r="W366" s="12"/>
      <c r="X366" s="12"/>
      <c r="Y366" s="46"/>
    </row>
    <row r="367" spans="22:25" s="4" customFormat="1" x14ac:dyDescent="0.25">
      <c r="V367" s="45"/>
      <c r="W367" s="12"/>
      <c r="X367" s="12"/>
      <c r="Y367" s="46"/>
    </row>
    <row r="368" spans="22:25" s="4" customFormat="1" x14ac:dyDescent="0.25">
      <c r="V368" s="45"/>
      <c r="W368" s="12"/>
      <c r="X368" s="12"/>
      <c r="Y368" s="46"/>
    </row>
    <row r="369" spans="22:25" s="4" customFormat="1" x14ac:dyDescent="0.25">
      <c r="V369" s="45"/>
      <c r="W369" s="12"/>
      <c r="X369" s="12"/>
      <c r="Y369" s="46"/>
    </row>
    <row r="370" spans="22:25" s="4" customFormat="1" x14ac:dyDescent="0.25">
      <c r="V370" s="45"/>
      <c r="W370" s="12"/>
      <c r="X370" s="12"/>
      <c r="Y370" s="46"/>
    </row>
    <row r="371" spans="22:25" s="4" customFormat="1" x14ac:dyDescent="0.25">
      <c r="V371" s="45"/>
      <c r="W371" s="12"/>
      <c r="X371" s="12"/>
      <c r="Y371" s="46"/>
    </row>
    <row r="372" spans="22:25" s="4" customFormat="1" x14ac:dyDescent="0.25">
      <c r="V372" s="45"/>
      <c r="W372" s="12"/>
      <c r="X372" s="12"/>
      <c r="Y372" s="46"/>
    </row>
    <row r="373" spans="22:25" s="4" customFormat="1" x14ac:dyDescent="0.25">
      <c r="V373" s="45"/>
      <c r="W373" s="12"/>
      <c r="X373" s="12"/>
      <c r="Y373" s="46"/>
    </row>
    <row r="374" spans="22:25" s="4" customFormat="1" x14ac:dyDescent="0.25">
      <c r="V374" s="45"/>
      <c r="W374" s="12"/>
      <c r="X374" s="12"/>
      <c r="Y374" s="46"/>
    </row>
    <row r="375" spans="22:25" s="4" customFormat="1" x14ac:dyDescent="0.25">
      <c r="V375" s="45"/>
      <c r="W375" s="12"/>
      <c r="X375" s="12"/>
      <c r="Y375" s="46"/>
    </row>
    <row r="376" spans="22:25" s="4" customFormat="1" x14ac:dyDescent="0.25">
      <c r="V376" s="45"/>
      <c r="W376" s="12"/>
      <c r="X376" s="12"/>
      <c r="Y376" s="46"/>
    </row>
    <row r="377" spans="22:25" s="4" customFormat="1" x14ac:dyDescent="0.25">
      <c r="V377" s="45"/>
      <c r="W377" s="12"/>
      <c r="X377" s="12"/>
      <c r="Y377" s="46"/>
    </row>
    <row r="378" spans="22:25" s="4" customFormat="1" x14ac:dyDescent="0.25">
      <c r="V378" s="45"/>
      <c r="W378" s="12"/>
      <c r="X378" s="12"/>
      <c r="Y378" s="46"/>
    </row>
    <row r="379" spans="22:25" s="4" customFormat="1" x14ac:dyDescent="0.25">
      <c r="V379" s="45"/>
      <c r="W379" s="12"/>
      <c r="X379" s="12"/>
      <c r="Y379" s="46"/>
    </row>
    <row r="380" spans="22:25" s="4" customFormat="1" x14ac:dyDescent="0.25">
      <c r="V380" s="45"/>
      <c r="W380" s="12"/>
      <c r="X380" s="12"/>
      <c r="Y380" s="46"/>
    </row>
    <row r="381" spans="22:25" s="4" customFormat="1" x14ac:dyDescent="0.25">
      <c r="V381" s="45"/>
      <c r="W381" s="12"/>
      <c r="X381" s="12"/>
      <c r="Y381" s="46"/>
    </row>
    <row r="382" spans="22:25" s="4" customFormat="1" x14ac:dyDescent="0.25">
      <c r="V382" s="45"/>
      <c r="W382" s="12"/>
      <c r="X382" s="12"/>
      <c r="Y382" s="46"/>
    </row>
    <row r="383" spans="22:25" s="4" customFormat="1" x14ac:dyDescent="0.25">
      <c r="V383" s="45"/>
      <c r="W383" s="12"/>
      <c r="X383" s="12"/>
      <c r="Y383" s="46"/>
    </row>
    <row r="384" spans="22:25" s="4" customFormat="1" x14ac:dyDescent="0.25">
      <c r="V384" s="45"/>
      <c r="W384" s="12"/>
      <c r="X384" s="12"/>
      <c r="Y384" s="46"/>
    </row>
    <row r="385" spans="22:25" s="4" customFormat="1" x14ac:dyDescent="0.25">
      <c r="V385" s="45"/>
      <c r="W385" s="12"/>
      <c r="X385" s="12"/>
      <c r="Y385" s="46"/>
    </row>
    <row r="386" spans="22:25" s="4" customFormat="1" x14ac:dyDescent="0.25">
      <c r="V386" s="45"/>
      <c r="W386" s="12"/>
      <c r="X386" s="12"/>
      <c r="Y386" s="46"/>
    </row>
    <row r="387" spans="22:25" s="4" customFormat="1" x14ac:dyDescent="0.25">
      <c r="V387" s="45"/>
      <c r="W387" s="12"/>
      <c r="X387" s="12"/>
      <c r="Y387" s="46"/>
    </row>
    <row r="388" spans="22:25" s="4" customFormat="1" x14ac:dyDescent="0.25">
      <c r="V388" s="45"/>
      <c r="W388" s="12"/>
      <c r="X388" s="12"/>
      <c r="Y388" s="46"/>
    </row>
    <row r="389" spans="22:25" s="4" customFormat="1" x14ac:dyDescent="0.25">
      <c r="V389" s="45"/>
      <c r="W389" s="12"/>
      <c r="X389" s="12"/>
      <c r="Y389" s="46"/>
    </row>
    <row r="390" spans="22:25" s="4" customFormat="1" x14ac:dyDescent="0.25">
      <c r="V390" s="45"/>
      <c r="W390" s="12"/>
      <c r="X390" s="12"/>
      <c r="Y390" s="46"/>
    </row>
    <row r="391" spans="22:25" s="4" customFormat="1" x14ac:dyDescent="0.25">
      <c r="V391" s="45"/>
      <c r="W391" s="12"/>
      <c r="X391" s="12"/>
      <c r="Y391" s="46"/>
    </row>
    <row r="392" spans="22:25" s="4" customFormat="1" x14ac:dyDescent="0.25">
      <c r="V392" s="45"/>
      <c r="W392" s="12"/>
      <c r="X392" s="12"/>
      <c r="Y392" s="46"/>
    </row>
    <row r="393" spans="22:25" s="4" customFormat="1" x14ac:dyDescent="0.25">
      <c r="V393" s="45"/>
      <c r="W393" s="12"/>
      <c r="X393" s="12"/>
      <c r="Y393" s="46"/>
    </row>
    <row r="394" spans="22:25" s="4" customFormat="1" x14ac:dyDescent="0.25">
      <c r="V394" s="45"/>
      <c r="W394" s="12"/>
      <c r="X394" s="12"/>
      <c r="Y394" s="46"/>
    </row>
    <row r="395" spans="22:25" s="4" customFormat="1" x14ac:dyDescent="0.25">
      <c r="V395" s="45"/>
      <c r="W395" s="12"/>
      <c r="X395" s="12"/>
      <c r="Y395" s="46"/>
    </row>
    <row r="396" spans="22:25" s="4" customFormat="1" x14ac:dyDescent="0.25">
      <c r="V396" s="45"/>
      <c r="W396" s="12"/>
      <c r="X396" s="12"/>
      <c r="Y396" s="46"/>
    </row>
    <row r="397" spans="22:25" s="4" customFormat="1" x14ac:dyDescent="0.25">
      <c r="V397" s="45"/>
      <c r="W397" s="12"/>
      <c r="X397" s="12"/>
      <c r="Y397" s="46"/>
    </row>
    <row r="398" spans="22:25" s="4" customFormat="1" x14ac:dyDescent="0.25">
      <c r="V398" s="45"/>
      <c r="W398" s="12"/>
      <c r="X398" s="12"/>
      <c r="Y398" s="46"/>
    </row>
    <row r="399" spans="22:25" s="4" customFormat="1" x14ac:dyDescent="0.25">
      <c r="V399" s="45"/>
      <c r="W399" s="12"/>
      <c r="X399" s="12"/>
      <c r="Y399" s="46"/>
    </row>
    <row r="400" spans="22:25" s="4" customFormat="1" x14ac:dyDescent="0.25">
      <c r="V400" s="45"/>
      <c r="W400" s="12"/>
      <c r="X400" s="12"/>
      <c r="Y400" s="46"/>
    </row>
    <row r="401" spans="22:25" s="4" customFormat="1" x14ac:dyDescent="0.25">
      <c r="V401" s="45"/>
      <c r="W401" s="12"/>
      <c r="X401" s="12"/>
      <c r="Y401" s="46"/>
    </row>
    <row r="402" spans="22:25" s="4" customFormat="1" x14ac:dyDescent="0.25">
      <c r="V402" s="45"/>
      <c r="W402" s="12"/>
      <c r="X402" s="12"/>
      <c r="Y402" s="46"/>
    </row>
    <row r="403" spans="22:25" s="4" customFormat="1" x14ac:dyDescent="0.25">
      <c r="V403" s="45"/>
      <c r="W403" s="12"/>
      <c r="X403" s="12"/>
      <c r="Y403" s="46"/>
    </row>
    <row r="404" spans="22:25" s="4" customFormat="1" x14ac:dyDescent="0.25">
      <c r="V404" s="45"/>
      <c r="W404" s="12"/>
      <c r="X404" s="12"/>
      <c r="Y404" s="46"/>
    </row>
    <row r="405" spans="22:25" s="4" customFormat="1" x14ac:dyDescent="0.25">
      <c r="V405" s="45"/>
      <c r="W405" s="12"/>
      <c r="X405" s="12"/>
      <c r="Y405" s="46"/>
    </row>
    <row r="406" spans="22:25" s="4" customFormat="1" x14ac:dyDescent="0.25">
      <c r="V406" s="45"/>
      <c r="W406" s="12"/>
      <c r="X406" s="12"/>
      <c r="Y406" s="46"/>
    </row>
    <row r="407" spans="22:25" s="4" customFormat="1" x14ac:dyDescent="0.25">
      <c r="V407" s="45"/>
      <c r="W407" s="12"/>
      <c r="X407" s="12"/>
      <c r="Y407" s="46"/>
    </row>
    <row r="408" spans="22:25" s="4" customFormat="1" x14ac:dyDescent="0.25">
      <c r="V408" s="45"/>
      <c r="W408" s="12"/>
      <c r="X408" s="12"/>
      <c r="Y408" s="46"/>
    </row>
    <row r="409" spans="22:25" s="4" customFormat="1" x14ac:dyDescent="0.25">
      <c r="V409" s="45"/>
      <c r="W409" s="12"/>
      <c r="X409" s="12"/>
      <c r="Y409" s="46"/>
    </row>
    <row r="410" spans="22:25" s="4" customFormat="1" x14ac:dyDescent="0.25">
      <c r="V410" s="45"/>
      <c r="W410" s="12"/>
      <c r="X410" s="12"/>
      <c r="Y410" s="46"/>
    </row>
    <row r="411" spans="22:25" s="4" customFormat="1" x14ac:dyDescent="0.25">
      <c r="V411" s="45"/>
      <c r="W411" s="12"/>
      <c r="X411" s="12"/>
      <c r="Y411" s="46"/>
    </row>
    <row r="412" spans="22:25" s="4" customFormat="1" x14ac:dyDescent="0.25">
      <c r="V412" s="45"/>
      <c r="W412" s="12"/>
      <c r="X412" s="12"/>
      <c r="Y412" s="46"/>
    </row>
    <row r="413" spans="22:25" s="4" customFormat="1" x14ac:dyDescent="0.25">
      <c r="V413" s="45"/>
      <c r="W413" s="12"/>
      <c r="X413" s="12"/>
      <c r="Y413" s="46"/>
    </row>
    <row r="414" spans="22:25" s="4" customFormat="1" x14ac:dyDescent="0.25">
      <c r="V414" s="45"/>
      <c r="W414" s="12"/>
      <c r="X414" s="12"/>
      <c r="Y414" s="46"/>
    </row>
    <row r="415" spans="22:25" s="4" customFormat="1" x14ac:dyDescent="0.25">
      <c r="V415" s="45"/>
      <c r="W415" s="12"/>
      <c r="X415" s="12"/>
      <c r="Y415" s="46"/>
    </row>
    <row r="416" spans="22:25" s="4" customFormat="1" x14ac:dyDescent="0.25">
      <c r="V416" s="45"/>
      <c r="W416" s="12"/>
      <c r="X416" s="12"/>
      <c r="Y416" s="46"/>
    </row>
    <row r="417" spans="22:25" s="4" customFormat="1" x14ac:dyDescent="0.25">
      <c r="V417" s="45"/>
      <c r="W417" s="12"/>
      <c r="X417" s="12"/>
      <c r="Y417" s="46"/>
    </row>
    <row r="418" spans="22:25" s="4" customFormat="1" x14ac:dyDescent="0.25">
      <c r="V418" s="45"/>
      <c r="W418" s="12"/>
      <c r="X418" s="12"/>
      <c r="Y418" s="46"/>
    </row>
    <row r="419" spans="22:25" s="4" customFormat="1" x14ac:dyDescent="0.25">
      <c r="V419" s="45"/>
      <c r="W419" s="12"/>
      <c r="X419" s="12"/>
      <c r="Y419" s="46"/>
    </row>
    <row r="420" spans="22:25" s="4" customFormat="1" x14ac:dyDescent="0.25">
      <c r="V420" s="45"/>
      <c r="W420" s="12"/>
      <c r="X420" s="12"/>
      <c r="Y420" s="46"/>
    </row>
    <row r="421" spans="22:25" s="4" customFormat="1" x14ac:dyDescent="0.25">
      <c r="V421" s="45"/>
      <c r="W421" s="12"/>
      <c r="X421" s="12"/>
      <c r="Y421" s="46"/>
    </row>
    <row r="422" spans="22:25" s="4" customFormat="1" x14ac:dyDescent="0.25">
      <c r="V422" s="45"/>
      <c r="W422" s="12"/>
      <c r="X422" s="12"/>
      <c r="Y422" s="46"/>
    </row>
    <row r="423" spans="22:25" s="4" customFormat="1" x14ac:dyDescent="0.25">
      <c r="V423" s="45"/>
      <c r="W423" s="12"/>
      <c r="X423" s="12"/>
      <c r="Y423" s="46"/>
    </row>
    <row r="424" spans="22:25" s="4" customFormat="1" x14ac:dyDescent="0.25">
      <c r="V424" s="45"/>
      <c r="W424" s="12"/>
      <c r="X424" s="12"/>
      <c r="Y424" s="46"/>
    </row>
    <row r="425" spans="22:25" s="4" customFormat="1" x14ac:dyDescent="0.25">
      <c r="V425" s="45"/>
      <c r="W425" s="12"/>
      <c r="X425" s="12"/>
      <c r="Y425" s="46"/>
    </row>
    <row r="426" spans="22:25" s="4" customFormat="1" x14ac:dyDescent="0.25">
      <c r="V426" s="45"/>
      <c r="W426" s="12"/>
      <c r="X426" s="12"/>
      <c r="Y426" s="46"/>
    </row>
    <row r="427" spans="22:25" s="4" customFormat="1" x14ac:dyDescent="0.25">
      <c r="V427" s="45"/>
      <c r="W427" s="12"/>
      <c r="X427" s="12"/>
      <c r="Y427" s="46"/>
    </row>
    <row r="428" spans="22:25" s="4" customFormat="1" x14ac:dyDescent="0.25">
      <c r="V428" s="45"/>
      <c r="W428" s="12"/>
      <c r="X428" s="12"/>
      <c r="Y428" s="46"/>
    </row>
    <row r="429" spans="22:25" s="4" customFormat="1" x14ac:dyDescent="0.25">
      <c r="V429" s="45"/>
      <c r="W429" s="12"/>
      <c r="X429" s="12"/>
      <c r="Y429" s="46"/>
    </row>
    <row r="430" spans="22:25" s="4" customFormat="1" x14ac:dyDescent="0.25">
      <c r="V430" s="45"/>
      <c r="W430" s="12"/>
      <c r="X430" s="12"/>
      <c r="Y430" s="46"/>
    </row>
    <row r="431" spans="22:25" s="4" customFormat="1" x14ac:dyDescent="0.25">
      <c r="V431" s="45"/>
      <c r="W431" s="12"/>
      <c r="X431" s="12"/>
      <c r="Y431" s="46"/>
    </row>
    <row r="432" spans="22:25" s="4" customFormat="1" x14ac:dyDescent="0.25">
      <c r="V432" s="45"/>
      <c r="W432" s="12"/>
      <c r="X432" s="12"/>
      <c r="Y432" s="46"/>
    </row>
    <row r="433" spans="22:25" s="4" customFormat="1" x14ac:dyDescent="0.25">
      <c r="V433" s="45"/>
      <c r="W433" s="12"/>
      <c r="X433" s="12"/>
      <c r="Y433" s="46"/>
    </row>
    <row r="434" spans="22:25" s="4" customFormat="1" x14ac:dyDescent="0.25">
      <c r="V434" s="45"/>
      <c r="W434" s="12"/>
      <c r="X434" s="12"/>
      <c r="Y434" s="46"/>
    </row>
    <row r="435" spans="22:25" s="4" customFormat="1" x14ac:dyDescent="0.25">
      <c r="V435" s="45"/>
      <c r="W435" s="12"/>
      <c r="X435" s="12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</sheetData>
  <mergeCells count="13">
    <mergeCell ref="A250:Y250"/>
    <mergeCell ref="A294:Y294"/>
    <mergeCell ref="A178:Y178"/>
    <mergeCell ref="A4:Y4"/>
    <mergeCell ref="A90:Y90"/>
    <mergeCell ref="A1:Y1"/>
    <mergeCell ref="A2:B2"/>
    <mergeCell ref="C2:E2"/>
    <mergeCell ref="G2:I2"/>
    <mergeCell ref="K2:M2"/>
    <mergeCell ref="O2:Q2"/>
    <mergeCell ref="S2:U2"/>
    <mergeCell ref="W2:Y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Y451"/>
  <sheetViews>
    <sheetView zoomScale="80" zoomScaleNormal="80" zoomScalePageLayoutView="80" workbookViewId="0">
      <pane xSplit="2" ySplit="5" topLeftCell="C132" activePane="bottomRight" state="frozen"/>
      <selection pane="topRight" activeCell="C1" sqref="C1"/>
      <selection pane="bottomLeft" activeCell="A6" sqref="A6"/>
      <selection pane="bottomRight" activeCell="C247" sqref="C247"/>
    </sheetView>
  </sheetViews>
  <sheetFormatPr defaultColWidth="8.88671875" defaultRowHeight="13.2" x14ac:dyDescent="0.25"/>
  <cols>
    <col min="1" max="1" width="10.88671875" style="7" customWidth="1"/>
    <col min="2" max="2" width="42.44140625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4.664062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4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25" s="61" customFormat="1" x14ac:dyDescent="0.25">
      <c r="A1" s="316" t="s">
        <v>101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25" s="61" customFormat="1" x14ac:dyDescent="0.25">
      <c r="A2" s="331">
        <v>44778</v>
      </c>
      <c r="B2" s="332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25" s="72" customFormat="1" ht="26.4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25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25" s="77" customForma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25" s="61" customFormat="1" x14ac:dyDescent="0.25">
      <c r="A6" s="53"/>
      <c r="B6" s="52"/>
      <c r="C6" s="124">
        <v>0</v>
      </c>
      <c r="D6" s="56">
        <v>0</v>
      </c>
      <c r="E6" s="56">
        <f t="shared" ref="E6:E14" si="0">SUM(C6:D6)</f>
        <v>0</v>
      </c>
      <c r="F6" s="58"/>
      <c r="G6" s="55">
        <f t="shared" ref="G6:G14" si="1">C6*1.05</f>
        <v>0</v>
      </c>
      <c r="H6" s="57">
        <f t="shared" ref="H6:H14" si="2">D6*1.05</f>
        <v>0</v>
      </c>
      <c r="I6" s="57">
        <f t="shared" ref="I6:I14" si="3">SUM(G6:H6)</f>
        <v>0</v>
      </c>
      <c r="J6" s="58"/>
      <c r="K6" s="55">
        <f t="shared" ref="K6:K14" si="4">G6*1.05</f>
        <v>0</v>
      </c>
      <c r="L6" s="57">
        <f t="shared" ref="L6:L14" si="5">H6*1.05</f>
        <v>0</v>
      </c>
      <c r="M6" s="57">
        <f t="shared" ref="M6:M14" si="6">SUM(K6:L6)</f>
        <v>0</v>
      </c>
      <c r="N6" s="58"/>
      <c r="O6" s="55">
        <f t="shared" ref="O6:O14" si="7">K6*1.05</f>
        <v>0</v>
      </c>
      <c r="P6" s="57">
        <f t="shared" ref="P6:P14" si="8">L6*1.05</f>
        <v>0</v>
      </c>
      <c r="Q6" s="57">
        <f t="shared" ref="Q6:Q14" si="9">SUM(O6:P6)</f>
        <v>0</v>
      </c>
      <c r="R6" s="58"/>
      <c r="S6" s="55">
        <f t="shared" ref="S6:S14" si="10">O6*1.05</f>
        <v>0</v>
      </c>
      <c r="T6" s="57">
        <f t="shared" ref="T6:T14" si="11">P6*1.05</f>
        <v>0</v>
      </c>
      <c r="U6" s="57">
        <f t="shared" ref="U6:U14" si="12">SUM(S6:T6)</f>
        <v>0</v>
      </c>
      <c r="V6" s="59"/>
      <c r="W6" s="124">
        <f t="shared" ref="W6:W15" si="13">C6+G6+K6+O6+S6</f>
        <v>0</v>
      </c>
      <c r="X6" s="57">
        <f t="shared" ref="X6:X15" si="14">D6+H6+L6+P6+T6</f>
        <v>0</v>
      </c>
      <c r="Y6" s="60">
        <f t="shared" ref="Y6:Y15" si="15">E6+I6+M6+Q6+U6</f>
        <v>0</v>
      </c>
    </row>
    <row r="7" spans="1:25" s="61" customFormat="1" x14ac:dyDescent="0.25">
      <c r="A7" s="53"/>
      <c r="B7" s="52"/>
      <c r="C7" s="124">
        <v>0</v>
      </c>
      <c r="D7" s="56">
        <v>0</v>
      </c>
      <c r="E7" s="56">
        <f t="shared" si="0"/>
        <v>0</v>
      </c>
      <c r="F7" s="58"/>
      <c r="G7" s="55">
        <f t="shared" si="1"/>
        <v>0</v>
      </c>
      <c r="H7" s="57">
        <f t="shared" si="2"/>
        <v>0</v>
      </c>
      <c r="I7" s="57">
        <f t="shared" si="3"/>
        <v>0</v>
      </c>
      <c r="J7" s="58"/>
      <c r="K7" s="55">
        <f t="shared" si="4"/>
        <v>0</v>
      </c>
      <c r="L7" s="57">
        <f t="shared" si="5"/>
        <v>0</v>
      </c>
      <c r="M7" s="57">
        <f t="shared" si="6"/>
        <v>0</v>
      </c>
      <c r="N7" s="58"/>
      <c r="O7" s="55">
        <f t="shared" si="7"/>
        <v>0</v>
      </c>
      <c r="P7" s="57">
        <f t="shared" si="8"/>
        <v>0</v>
      </c>
      <c r="Q7" s="57">
        <f t="shared" si="9"/>
        <v>0</v>
      </c>
      <c r="R7" s="58"/>
      <c r="S7" s="55">
        <f t="shared" si="10"/>
        <v>0</v>
      </c>
      <c r="T7" s="57">
        <f t="shared" si="11"/>
        <v>0</v>
      </c>
      <c r="U7" s="57">
        <f t="shared" si="12"/>
        <v>0</v>
      </c>
      <c r="V7" s="59"/>
      <c r="W7" s="124">
        <f t="shared" si="13"/>
        <v>0</v>
      </c>
      <c r="X7" s="57">
        <f t="shared" si="14"/>
        <v>0</v>
      </c>
      <c r="Y7" s="60">
        <f t="shared" si="15"/>
        <v>0</v>
      </c>
    </row>
    <row r="8" spans="1:25" s="61" customFormat="1" x14ac:dyDescent="0.25">
      <c r="A8" s="53"/>
      <c r="B8" s="54"/>
      <c r="C8" s="124">
        <v>0</v>
      </c>
      <c r="D8" s="56">
        <v>0</v>
      </c>
      <c r="E8" s="56">
        <f t="shared" si="0"/>
        <v>0</v>
      </c>
      <c r="F8" s="58"/>
      <c r="G8" s="55">
        <f t="shared" si="1"/>
        <v>0</v>
      </c>
      <c r="H8" s="57">
        <f t="shared" si="2"/>
        <v>0</v>
      </c>
      <c r="I8" s="57">
        <f t="shared" si="3"/>
        <v>0</v>
      </c>
      <c r="J8" s="58"/>
      <c r="K8" s="55">
        <f t="shared" si="4"/>
        <v>0</v>
      </c>
      <c r="L8" s="57">
        <f t="shared" si="5"/>
        <v>0</v>
      </c>
      <c r="M8" s="57">
        <f t="shared" si="6"/>
        <v>0</v>
      </c>
      <c r="N8" s="58"/>
      <c r="O8" s="55">
        <f t="shared" si="7"/>
        <v>0</v>
      </c>
      <c r="P8" s="57">
        <f t="shared" si="8"/>
        <v>0</v>
      </c>
      <c r="Q8" s="57">
        <f t="shared" si="9"/>
        <v>0</v>
      </c>
      <c r="R8" s="58"/>
      <c r="S8" s="55">
        <f t="shared" si="10"/>
        <v>0</v>
      </c>
      <c r="T8" s="57">
        <f t="shared" si="11"/>
        <v>0</v>
      </c>
      <c r="U8" s="57">
        <f t="shared" si="12"/>
        <v>0</v>
      </c>
      <c r="V8" s="59"/>
      <c r="W8" s="124">
        <f t="shared" si="13"/>
        <v>0</v>
      </c>
      <c r="X8" s="57">
        <f t="shared" si="14"/>
        <v>0</v>
      </c>
      <c r="Y8" s="60">
        <f t="shared" si="15"/>
        <v>0</v>
      </c>
    </row>
    <row r="9" spans="1:25" s="61" customFormat="1" x14ac:dyDescent="0.25">
      <c r="A9" s="53"/>
      <c r="B9" s="54"/>
      <c r="C9" s="124">
        <v>0</v>
      </c>
      <c r="D9" s="56">
        <v>0</v>
      </c>
      <c r="E9" s="56">
        <f t="shared" si="0"/>
        <v>0</v>
      </c>
      <c r="F9" s="58"/>
      <c r="G9" s="55">
        <f t="shared" si="1"/>
        <v>0</v>
      </c>
      <c r="H9" s="57">
        <f t="shared" si="2"/>
        <v>0</v>
      </c>
      <c r="I9" s="57">
        <f t="shared" si="3"/>
        <v>0</v>
      </c>
      <c r="J9" s="58"/>
      <c r="K9" s="55">
        <f t="shared" si="4"/>
        <v>0</v>
      </c>
      <c r="L9" s="57">
        <f t="shared" si="5"/>
        <v>0</v>
      </c>
      <c r="M9" s="57">
        <f t="shared" si="6"/>
        <v>0</v>
      </c>
      <c r="N9" s="58"/>
      <c r="O9" s="55">
        <f t="shared" si="7"/>
        <v>0</v>
      </c>
      <c r="P9" s="57">
        <f t="shared" si="8"/>
        <v>0</v>
      </c>
      <c r="Q9" s="57">
        <f t="shared" si="9"/>
        <v>0</v>
      </c>
      <c r="R9" s="58"/>
      <c r="S9" s="55">
        <f t="shared" si="10"/>
        <v>0</v>
      </c>
      <c r="T9" s="57">
        <f t="shared" si="11"/>
        <v>0</v>
      </c>
      <c r="U9" s="57">
        <f t="shared" si="12"/>
        <v>0</v>
      </c>
      <c r="V9" s="59"/>
      <c r="W9" s="124">
        <f t="shared" si="13"/>
        <v>0</v>
      </c>
      <c r="X9" s="57">
        <f t="shared" si="14"/>
        <v>0</v>
      </c>
      <c r="Y9" s="60">
        <f t="shared" si="15"/>
        <v>0</v>
      </c>
    </row>
    <row r="10" spans="1:25" s="61" customFormat="1" x14ac:dyDescent="0.25">
      <c r="A10" s="53"/>
      <c r="B10" s="54"/>
      <c r="C10" s="124">
        <v>0</v>
      </c>
      <c r="D10" s="56">
        <v>0</v>
      </c>
      <c r="E10" s="56">
        <f t="shared" si="0"/>
        <v>0</v>
      </c>
      <c r="F10" s="58"/>
      <c r="G10" s="55">
        <f t="shared" si="1"/>
        <v>0</v>
      </c>
      <c r="H10" s="57">
        <f t="shared" si="2"/>
        <v>0</v>
      </c>
      <c r="I10" s="57">
        <f t="shared" si="3"/>
        <v>0</v>
      </c>
      <c r="J10" s="58"/>
      <c r="K10" s="55">
        <f t="shared" si="4"/>
        <v>0</v>
      </c>
      <c r="L10" s="57">
        <f t="shared" si="5"/>
        <v>0</v>
      </c>
      <c r="M10" s="57">
        <f t="shared" si="6"/>
        <v>0</v>
      </c>
      <c r="N10" s="58"/>
      <c r="O10" s="55">
        <f t="shared" si="7"/>
        <v>0</v>
      </c>
      <c r="P10" s="57">
        <f t="shared" si="8"/>
        <v>0</v>
      </c>
      <c r="Q10" s="57">
        <f t="shared" si="9"/>
        <v>0</v>
      </c>
      <c r="R10" s="58"/>
      <c r="S10" s="55">
        <f t="shared" si="10"/>
        <v>0</v>
      </c>
      <c r="T10" s="57">
        <f t="shared" si="11"/>
        <v>0</v>
      </c>
      <c r="U10" s="57">
        <f t="shared" si="12"/>
        <v>0</v>
      </c>
      <c r="V10" s="59"/>
      <c r="W10" s="124">
        <f t="shared" si="13"/>
        <v>0</v>
      </c>
      <c r="X10" s="57">
        <f t="shared" si="14"/>
        <v>0</v>
      </c>
      <c r="Y10" s="60">
        <f t="shared" si="15"/>
        <v>0</v>
      </c>
    </row>
    <row r="11" spans="1:25" s="61" customFormat="1" x14ac:dyDescent="0.25">
      <c r="A11" s="53"/>
      <c r="B11" s="54"/>
      <c r="C11" s="124">
        <v>0</v>
      </c>
      <c r="D11" s="56">
        <v>0</v>
      </c>
      <c r="E11" s="56">
        <f t="shared" si="0"/>
        <v>0</v>
      </c>
      <c r="F11" s="58"/>
      <c r="G11" s="55">
        <f t="shared" si="1"/>
        <v>0</v>
      </c>
      <c r="H11" s="57">
        <f t="shared" si="2"/>
        <v>0</v>
      </c>
      <c r="I11" s="57">
        <f t="shared" si="3"/>
        <v>0</v>
      </c>
      <c r="J11" s="58"/>
      <c r="K11" s="55">
        <f t="shared" si="4"/>
        <v>0</v>
      </c>
      <c r="L11" s="57">
        <f t="shared" si="5"/>
        <v>0</v>
      </c>
      <c r="M11" s="57">
        <f t="shared" si="6"/>
        <v>0</v>
      </c>
      <c r="N11" s="58"/>
      <c r="O11" s="55">
        <f t="shared" si="7"/>
        <v>0</v>
      </c>
      <c r="P11" s="57">
        <f t="shared" si="8"/>
        <v>0</v>
      </c>
      <c r="Q11" s="57">
        <f t="shared" si="9"/>
        <v>0</v>
      </c>
      <c r="R11" s="58"/>
      <c r="S11" s="55">
        <f t="shared" si="10"/>
        <v>0</v>
      </c>
      <c r="T11" s="57">
        <f t="shared" si="11"/>
        <v>0</v>
      </c>
      <c r="U11" s="57">
        <f t="shared" si="12"/>
        <v>0</v>
      </c>
      <c r="V11" s="59"/>
      <c r="W11" s="124">
        <f t="shared" si="13"/>
        <v>0</v>
      </c>
      <c r="X11" s="57">
        <f t="shared" si="14"/>
        <v>0</v>
      </c>
      <c r="Y11" s="60">
        <f t="shared" si="15"/>
        <v>0</v>
      </c>
    </row>
    <row r="12" spans="1:25" s="61" customFormat="1" x14ac:dyDescent="0.25">
      <c r="A12" s="52"/>
      <c r="B12" s="54"/>
      <c r="C12" s="124">
        <v>0</v>
      </c>
      <c r="D12" s="56">
        <v>0</v>
      </c>
      <c r="E12" s="56">
        <f t="shared" si="0"/>
        <v>0</v>
      </c>
      <c r="F12" s="58"/>
      <c r="G12" s="55">
        <f t="shared" si="1"/>
        <v>0</v>
      </c>
      <c r="H12" s="57">
        <f t="shared" si="2"/>
        <v>0</v>
      </c>
      <c r="I12" s="57">
        <f t="shared" si="3"/>
        <v>0</v>
      </c>
      <c r="J12" s="58"/>
      <c r="K12" s="55">
        <f t="shared" si="4"/>
        <v>0</v>
      </c>
      <c r="L12" s="57">
        <f t="shared" si="5"/>
        <v>0</v>
      </c>
      <c r="M12" s="57">
        <f t="shared" si="6"/>
        <v>0</v>
      </c>
      <c r="N12" s="58"/>
      <c r="O12" s="55">
        <f t="shared" si="7"/>
        <v>0</v>
      </c>
      <c r="P12" s="57">
        <f t="shared" si="8"/>
        <v>0</v>
      </c>
      <c r="Q12" s="57">
        <f t="shared" si="9"/>
        <v>0</v>
      </c>
      <c r="R12" s="58"/>
      <c r="S12" s="55">
        <f t="shared" si="10"/>
        <v>0</v>
      </c>
      <c r="T12" s="57">
        <f t="shared" si="11"/>
        <v>0</v>
      </c>
      <c r="U12" s="57">
        <f t="shared" si="12"/>
        <v>0</v>
      </c>
      <c r="V12" s="59"/>
      <c r="W12" s="124">
        <f t="shared" si="13"/>
        <v>0</v>
      </c>
      <c r="X12" s="57">
        <f t="shared" si="14"/>
        <v>0</v>
      </c>
      <c r="Y12" s="84">
        <f t="shared" si="15"/>
        <v>0</v>
      </c>
    </row>
    <row r="13" spans="1:25" s="61" customFormat="1" x14ac:dyDescent="0.25">
      <c r="A13" s="52"/>
      <c r="B13" s="54"/>
      <c r="C13" s="124">
        <v>0</v>
      </c>
      <c r="D13" s="56">
        <v>0</v>
      </c>
      <c r="E13" s="56">
        <f t="shared" si="0"/>
        <v>0</v>
      </c>
      <c r="F13" s="58"/>
      <c r="G13" s="55">
        <f t="shared" si="1"/>
        <v>0</v>
      </c>
      <c r="H13" s="57">
        <f t="shared" si="2"/>
        <v>0</v>
      </c>
      <c r="I13" s="57">
        <f t="shared" si="3"/>
        <v>0</v>
      </c>
      <c r="J13" s="58"/>
      <c r="K13" s="55">
        <f t="shared" si="4"/>
        <v>0</v>
      </c>
      <c r="L13" s="57">
        <f t="shared" si="5"/>
        <v>0</v>
      </c>
      <c r="M13" s="57">
        <f t="shared" si="6"/>
        <v>0</v>
      </c>
      <c r="N13" s="58"/>
      <c r="O13" s="55">
        <f t="shared" si="7"/>
        <v>0</v>
      </c>
      <c r="P13" s="57">
        <f t="shared" si="8"/>
        <v>0</v>
      </c>
      <c r="Q13" s="57">
        <f t="shared" si="9"/>
        <v>0</v>
      </c>
      <c r="R13" s="58"/>
      <c r="S13" s="55">
        <f t="shared" si="10"/>
        <v>0</v>
      </c>
      <c r="T13" s="57">
        <f t="shared" si="11"/>
        <v>0</v>
      </c>
      <c r="U13" s="57">
        <f t="shared" si="12"/>
        <v>0</v>
      </c>
      <c r="V13" s="59"/>
      <c r="W13" s="124">
        <f t="shared" si="13"/>
        <v>0</v>
      </c>
      <c r="X13" s="57">
        <f t="shared" si="14"/>
        <v>0</v>
      </c>
      <c r="Y13" s="84">
        <f t="shared" si="15"/>
        <v>0</v>
      </c>
    </row>
    <row r="14" spans="1:25" s="61" customFormat="1" x14ac:dyDescent="0.25">
      <c r="A14" s="52"/>
      <c r="B14" s="54"/>
      <c r="C14" s="124">
        <v>0</v>
      </c>
      <c r="D14" s="56">
        <v>0</v>
      </c>
      <c r="E14" s="56">
        <f t="shared" si="0"/>
        <v>0</v>
      </c>
      <c r="F14" s="58"/>
      <c r="G14" s="55">
        <f t="shared" si="1"/>
        <v>0</v>
      </c>
      <c r="H14" s="57">
        <f t="shared" si="2"/>
        <v>0</v>
      </c>
      <c r="I14" s="57">
        <f t="shared" si="3"/>
        <v>0</v>
      </c>
      <c r="J14" s="58"/>
      <c r="K14" s="55">
        <f t="shared" si="4"/>
        <v>0</v>
      </c>
      <c r="L14" s="57">
        <f t="shared" si="5"/>
        <v>0</v>
      </c>
      <c r="M14" s="57">
        <f t="shared" si="6"/>
        <v>0</v>
      </c>
      <c r="N14" s="58"/>
      <c r="O14" s="55">
        <f t="shared" si="7"/>
        <v>0</v>
      </c>
      <c r="P14" s="57">
        <f t="shared" si="8"/>
        <v>0</v>
      </c>
      <c r="Q14" s="57">
        <f t="shared" si="9"/>
        <v>0</v>
      </c>
      <c r="R14" s="58"/>
      <c r="S14" s="55">
        <f t="shared" si="10"/>
        <v>0</v>
      </c>
      <c r="T14" s="57">
        <f t="shared" si="11"/>
        <v>0</v>
      </c>
      <c r="U14" s="57">
        <f t="shared" si="12"/>
        <v>0</v>
      </c>
      <c r="V14" s="59"/>
      <c r="W14" s="124">
        <f t="shared" si="13"/>
        <v>0</v>
      </c>
      <c r="X14" s="57">
        <f t="shared" si="14"/>
        <v>0</v>
      </c>
      <c r="Y14" s="84">
        <f t="shared" si="15"/>
        <v>0</v>
      </c>
    </row>
    <row r="15" spans="1:25" s="83" customFormat="1" x14ac:dyDescent="0.25">
      <c r="A15" s="78"/>
      <c r="B15" s="78" t="s">
        <v>9</v>
      </c>
      <c r="C15" s="228">
        <f>SUM(C6:C14)</f>
        <v>0</v>
      </c>
      <c r="D15" s="125">
        <f>SUM(D6:D14)</f>
        <v>0</v>
      </c>
      <c r="E15" s="125">
        <f>SUM(E6:E14)</f>
        <v>0</v>
      </c>
      <c r="F15" s="81"/>
      <c r="G15" s="79">
        <f>SUM(G6:G14)</f>
        <v>0</v>
      </c>
      <c r="H15" s="80">
        <f>SUM(H6:H14)</f>
        <v>0</v>
      </c>
      <c r="I15" s="80">
        <f>SUM(I6:I14)</f>
        <v>0</v>
      </c>
      <c r="J15" s="81"/>
      <c r="K15" s="79">
        <f>SUM(K6:K14)</f>
        <v>0</v>
      </c>
      <c r="L15" s="80">
        <f>SUM(L6:L14)</f>
        <v>0</v>
      </c>
      <c r="M15" s="80">
        <f>SUM(M6:M14)</f>
        <v>0</v>
      </c>
      <c r="N15" s="81"/>
      <c r="O15" s="79">
        <f>SUM(O6:O14)</f>
        <v>0</v>
      </c>
      <c r="P15" s="80">
        <f>SUM(P6:P14)</f>
        <v>0</v>
      </c>
      <c r="Q15" s="80">
        <f>SUM(Q6:Q14)</f>
        <v>0</v>
      </c>
      <c r="R15" s="81"/>
      <c r="S15" s="79">
        <f>SUM(S6:S14)</f>
        <v>0</v>
      </c>
      <c r="T15" s="80">
        <f>SUM(T6:T14)</f>
        <v>0</v>
      </c>
      <c r="U15" s="80">
        <f>SUM(U6:U14)</f>
        <v>0</v>
      </c>
      <c r="V15" s="82"/>
      <c r="W15" s="228">
        <f t="shared" si="13"/>
        <v>0</v>
      </c>
      <c r="X15" s="80">
        <f t="shared" si="14"/>
        <v>0</v>
      </c>
      <c r="Y15" s="80">
        <f t="shared" si="15"/>
        <v>0</v>
      </c>
    </row>
    <row r="16" spans="1:25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61" customFormat="1" x14ac:dyDescent="0.25">
      <c r="A17" s="52"/>
      <c r="B17" s="54"/>
      <c r="C17" s="124">
        <v>0</v>
      </c>
      <c r="D17" s="56">
        <v>0</v>
      </c>
      <c r="E17" s="56">
        <f t="shared" ref="E17:E25" si="16">SUM(C17:D17)</f>
        <v>0</v>
      </c>
      <c r="F17" s="58"/>
      <c r="G17" s="55">
        <f t="shared" ref="G17:G25" si="17">C17*1.05</f>
        <v>0</v>
      </c>
      <c r="H17" s="57">
        <f t="shared" ref="H17:H25" si="18">D17*1.05</f>
        <v>0</v>
      </c>
      <c r="I17" s="57">
        <f t="shared" ref="I17:I25" si="19">SUM(G17:H17)</f>
        <v>0</v>
      </c>
      <c r="J17" s="58"/>
      <c r="K17" s="55">
        <f t="shared" ref="K17:K25" si="20">G17*1.05</f>
        <v>0</v>
      </c>
      <c r="L17" s="57">
        <f t="shared" ref="L17:L25" si="21">H17*1.05</f>
        <v>0</v>
      </c>
      <c r="M17" s="57">
        <f t="shared" ref="M17:M25" si="22">SUM(K17:L17)</f>
        <v>0</v>
      </c>
      <c r="N17" s="58"/>
      <c r="O17" s="55">
        <f t="shared" ref="O17:O25" si="23">K17*1.05</f>
        <v>0</v>
      </c>
      <c r="P17" s="57">
        <f t="shared" ref="P17:P25" si="24">L17*1.05</f>
        <v>0</v>
      </c>
      <c r="Q17" s="57">
        <f t="shared" ref="Q17:Q25" si="25">SUM(O17:P17)</f>
        <v>0</v>
      </c>
      <c r="R17" s="58"/>
      <c r="S17" s="55">
        <f t="shared" ref="S17:S25" si="26">O17*1.05</f>
        <v>0</v>
      </c>
      <c r="T17" s="57">
        <f t="shared" ref="T17:T25" si="27">P17*1.05</f>
        <v>0</v>
      </c>
      <c r="U17" s="57">
        <f t="shared" ref="U17:U25" si="28">SUM(S17:T17)</f>
        <v>0</v>
      </c>
      <c r="V17" s="59"/>
      <c r="W17" s="124">
        <f t="shared" ref="W17:W26" si="29">C17+G17+K17+O17+S17</f>
        <v>0</v>
      </c>
      <c r="X17" s="57">
        <f t="shared" ref="X17:X26" si="30">D17+H17+L17+P17+T17</f>
        <v>0</v>
      </c>
      <c r="Y17" s="84">
        <f t="shared" ref="Y17:Y26" si="31">E17+I17+M17+Q17+U17</f>
        <v>0</v>
      </c>
    </row>
    <row r="18" spans="1:77" s="61" customFormat="1" x14ac:dyDescent="0.25">
      <c r="A18" s="87"/>
      <c r="B18" s="54"/>
      <c r="C18" s="124">
        <v>0</v>
      </c>
      <c r="D18" s="56">
        <v>0</v>
      </c>
      <c r="E18" s="56">
        <f t="shared" si="16"/>
        <v>0</v>
      </c>
      <c r="F18" s="58"/>
      <c r="G18" s="55">
        <f t="shared" si="17"/>
        <v>0</v>
      </c>
      <c r="H18" s="57">
        <f t="shared" si="18"/>
        <v>0</v>
      </c>
      <c r="I18" s="57">
        <f t="shared" si="19"/>
        <v>0</v>
      </c>
      <c r="J18" s="58"/>
      <c r="K18" s="55">
        <f t="shared" si="20"/>
        <v>0</v>
      </c>
      <c r="L18" s="57">
        <f t="shared" si="21"/>
        <v>0</v>
      </c>
      <c r="M18" s="57">
        <f t="shared" si="22"/>
        <v>0</v>
      </c>
      <c r="N18" s="58"/>
      <c r="O18" s="55">
        <f t="shared" si="23"/>
        <v>0</v>
      </c>
      <c r="P18" s="57">
        <f t="shared" si="24"/>
        <v>0</v>
      </c>
      <c r="Q18" s="57">
        <f t="shared" si="25"/>
        <v>0</v>
      </c>
      <c r="R18" s="58"/>
      <c r="S18" s="55">
        <f t="shared" si="26"/>
        <v>0</v>
      </c>
      <c r="T18" s="57">
        <f t="shared" si="27"/>
        <v>0</v>
      </c>
      <c r="U18" s="57">
        <f t="shared" si="28"/>
        <v>0</v>
      </c>
      <c r="V18" s="59"/>
      <c r="W18" s="124">
        <f t="shared" si="29"/>
        <v>0</v>
      </c>
      <c r="X18" s="57">
        <f t="shared" si="30"/>
        <v>0</v>
      </c>
      <c r="Y18" s="84">
        <f t="shared" si="31"/>
        <v>0</v>
      </c>
    </row>
    <row r="19" spans="1:77" s="61" customFormat="1" x14ac:dyDescent="0.25">
      <c r="A19" s="52"/>
      <c r="B19" s="52"/>
      <c r="C19" s="124">
        <v>0</v>
      </c>
      <c r="D19" s="56">
        <v>0</v>
      </c>
      <c r="E19" s="56">
        <f t="shared" si="16"/>
        <v>0</v>
      </c>
      <c r="F19" s="58"/>
      <c r="G19" s="55">
        <f t="shared" si="17"/>
        <v>0</v>
      </c>
      <c r="H19" s="57">
        <f t="shared" si="18"/>
        <v>0</v>
      </c>
      <c r="I19" s="57">
        <f t="shared" si="19"/>
        <v>0</v>
      </c>
      <c r="J19" s="58"/>
      <c r="K19" s="55">
        <f t="shared" si="20"/>
        <v>0</v>
      </c>
      <c r="L19" s="57">
        <f t="shared" si="21"/>
        <v>0</v>
      </c>
      <c r="M19" s="57">
        <f t="shared" si="22"/>
        <v>0</v>
      </c>
      <c r="N19" s="58"/>
      <c r="O19" s="55">
        <f t="shared" si="23"/>
        <v>0</v>
      </c>
      <c r="P19" s="57">
        <f t="shared" si="24"/>
        <v>0</v>
      </c>
      <c r="Q19" s="57">
        <f t="shared" si="25"/>
        <v>0</v>
      </c>
      <c r="R19" s="58"/>
      <c r="S19" s="55">
        <f t="shared" si="26"/>
        <v>0</v>
      </c>
      <c r="T19" s="57">
        <f t="shared" si="27"/>
        <v>0</v>
      </c>
      <c r="U19" s="57">
        <f t="shared" si="28"/>
        <v>0</v>
      </c>
      <c r="V19" s="59"/>
      <c r="W19" s="124">
        <f t="shared" si="29"/>
        <v>0</v>
      </c>
      <c r="X19" s="57">
        <f t="shared" si="30"/>
        <v>0</v>
      </c>
      <c r="Y19" s="84">
        <f t="shared" si="31"/>
        <v>0</v>
      </c>
    </row>
    <row r="20" spans="1:77" s="61" customFormat="1" x14ac:dyDescent="0.25">
      <c r="A20" s="52"/>
      <c r="B20" s="54"/>
      <c r="C20" s="124">
        <v>0</v>
      </c>
      <c r="D20" s="56">
        <v>0</v>
      </c>
      <c r="E20" s="56">
        <f t="shared" si="16"/>
        <v>0</v>
      </c>
      <c r="F20" s="58"/>
      <c r="G20" s="55">
        <f t="shared" si="17"/>
        <v>0</v>
      </c>
      <c r="H20" s="57">
        <f t="shared" si="18"/>
        <v>0</v>
      </c>
      <c r="I20" s="57">
        <f t="shared" si="19"/>
        <v>0</v>
      </c>
      <c r="J20" s="58"/>
      <c r="K20" s="55">
        <f t="shared" si="20"/>
        <v>0</v>
      </c>
      <c r="L20" s="57">
        <f t="shared" si="21"/>
        <v>0</v>
      </c>
      <c r="M20" s="57">
        <f t="shared" si="22"/>
        <v>0</v>
      </c>
      <c r="N20" s="58"/>
      <c r="O20" s="55">
        <f t="shared" si="23"/>
        <v>0</v>
      </c>
      <c r="P20" s="57">
        <f t="shared" si="24"/>
        <v>0</v>
      </c>
      <c r="Q20" s="57">
        <f t="shared" si="25"/>
        <v>0</v>
      </c>
      <c r="R20" s="58"/>
      <c r="S20" s="55">
        <f t="shared" si="26"/>
        <v>0</v>
      </c>
      <c r="T20" s="57">
        <f t="shared" si="27"/>
        <v>0</v>
      </c>
      <c r="U20" s="57">
        <f t="shared" si="28"/>
        <v>0</v>
      </c>
      <c r="V20" s="59"/>
      <c r="W20" s="124">
        <f t="shared" si="29"/>
        <v>0</v>
      </c>
      <c r="X20" s="57">
        <f t="shared" si="30"/>
        <v>0</v>
      </c>
      <c r="Y20" s="84">
        <f t="shared" si="31"/>
        <v>0</v>
      </c>
    </row>
    <row r="21" spans="1:77" s="61" customFormat="1" x14ac:dyDescent="0.25">
      <c r="A21" s="87"/>
      <c r="B21" s="54"/>
      <c r="C21" s="124">
        <v>0</v>
      </c>
      <c r="D21" s="56">
        <v>0</v>
      </c>
      <c r="E21" s="56">
        <f t="shared" si="16"/>
        <v>0</v>
      </c>
      <c r="F21" s="58"/>
      <c r="G21" s="55">
        <f t="shared" si="17"/>
        <v>0</v>
      </c>
      <c r="H21" s="57">
        <f t="shared" si="18"/>
        <v>0</v>
      </c>
      <c r="I21" s="57">
        <f t="shared" si="19"/>
        <v>0</v>
      </c>
      <c r="J21" s="58"/>
      <c r="K21" s="55">
        <f t="shared" si="20"/>
        <v>0</v>
      </c>
      <c r="L21" s="57">
        <f t="shared" si="21"/>
        <v>0</v>
      </c>
      <c r="M21" s="57">
        <f t="shared" si="22"/>
        <v>0</v>
      </c>
      <c r="N21" s="58"/>
      <c r="O21" s="55">
        <f t="shared" si="23"/>
        <v>0</v>
      </c>
      <c r="P21" s="57">
        <f t="shared" si="24"/>
        <v>0</v>
      </c>
      <c r="Q21" s="57">
        <f t="shared" si="25"/>
        <v>0</v>
      </c>
      <c r="R21" s="58"/>
      <c r="S21" s="55">
        <f t="shared" si="26"/>
        <v>0</v>
      </c>
      <c r="T21" s="57">
        <f t="shared" si="27"/>
        <v>0</v>
      </c>
      <c r="U21" s="57">
        <f t="shared" si="28"/>
        <v>0</v>
      </c>
      <c r="V21" s="59"/>
      <c r="W21" s="124">
        <f t="shared" si="29"/>
        <v>0</v>
      </c>
      <c r="X21" s="57">
        <f t="shared" si="30"/>
        <v>0</v>
      </c>
      <c r="Y21" s="84">
        <f t="shared" si="31"/>
        <v>0</v>
      </c>
    </row>
    <row r="22" spans="1:77" s="61" customFormat="1" x14ac:dyDescent="0.25">
      <c r="A22" s="87"/>
      <c r="B22" s="54"/>
      <c r="C22" s="124">
        <v>0</v>
      </c>
      <c r="D22" s="56">
        <v>0</v>
      </c>
      <c r="E22" s="56">
        <f t="shared" si="16"/>
        <v>0</v>
      </c>
      <c r="F22" s="58"/>
      <c r="G22" s="55">
        <f t="shared" si="17"/>
        <v>0</v>
      </c>
      <c r="H22" s="57">
        <f t="shared" si="18"/>
        <v>0</v>
      </c>
      <c r="I22" s="57">
        <f t="shared" si="19"/>
        <v>0</v>
      </c>
      <c r="J22" s="58"/>
      <c r="K22" s="55">
        <f t="shared" si="20"/>
        <v>0</v>
      </c>
      <c r="L22" s="57">
        <f t="shared" si="21"/>
        <v>0</v>
      </c>
      <c r="M22" s="57">
        <f t="shared" si="22"/>
        <v>0</v>
      </c>
      <c r="N22" s="58"/>
      <c r="O22" s="55">
        <f t="shared" si="23"/>
        <v>0</v>
      </c>
      <c r="P22" s="57">
        <f t="shared" si="24"/>
        <v>0</v>
      </c>
      <c r="Q22" s="57">
        <f t="shared" si="25"/>
        <v>0</v>
      </c>
      <c r="R22" s="58"/>
      <c r="S22" s="55">
        <f t="shared" si="26"/>
        <v>0</v>
      </c>
      <c r="T22" s="57">
        <f t="shared" si="27"/>
        <v>0</v>
      </c>
      <c r="U22" s="57">
        <f t="shared" si="28"/>
        <v>0</v>
      </c>
      <c r="V22" s="59"/>
      <c r="W22" s="124">
        <f t="shared" si="29"/>
        <v>0</v>
      </c>
      <c r="X22" s="57">
        <f t="shared" si="30"/>
        <v>0</v>
      </c>
      <c r="Y22" s="84">
        <f t="shared" si="31"/>
        <v>0</v>
      </c>
    </row>
    <row r="23" spans="1:77" s="61" customFormat="1" x14ac:dyDescent="0.25">
      <c r="A23" s="52"/>
      <c r="B23" s="54"/>
      <c r="C23" s="124">
        <v>0</v>
      </c>
      <c r="D23" s="56">
        <v>0</v>
      </c>
      <c r="E23" s="56">
        <f t="shared" si="16"/>
        <v>0</v>
      </c>
      <c r="F23" s="58"/>
      <c r="G23" s="55">
        <f t="shared" si="17"/>
        <v>0</v>
      </c>
      <c r="H23" s="57">
        <f t="shared" si="18"/>
        <v>0</v>
      </c>
      <c r="I23" s="57">
        <f t="shared" si="19"/>
        <v>0</v>
      </c>
      <c r="J23" s="58"/>
      <c r="K23" s="55">
        <f t="shared" si="20"/>
        <v>0</v>
      </c>
      <c r="L23" s="57">
        <f t="shared" si="21"/>
        <v>0</v>
      </c>
      <c r="M23" s="57">
        <f t="shared" si="22"/>
        <v>0</v>
      </c>
      <c r="N23" s="58"/>
      <c r="O23" s="55">
        <f t="shared" si="23"/>
        <v>0</v>
      </c>
      <c r="P23" s="57">
        <f t="shared" si="24"/>
        <v>0</v>
      </c>
      <c r="Q23" s="57">
        <f t="shared" si="25"/>
        <v>0</v>
      </c>
      <c r="R23" s="58"/>
      <c r="S23" s="55">
        <f t="shared" si="26"/>
        <v>0</v>
      </c>
      <c r="T23" s="57">
        <f t="shared" si="27"/>
        <v>0</v>
      </c>
      <c r="U23" s="57">
        <f t="shared" si="28"/>
        <v>0</v>
      </c>
      <c r="V23" s="59"/>
      <c r="W23" s="124">
        <f t="shared" si="29"/>
        <v>0</v>
      </c>
      <c r="X23" s="57">
        <f t="shared" si="30"/>
        <v>0</v>
      </c>
      <c r="Y23" s="84">
        <f t="shared" si="31"/>
        <v>0</v>
      </c>
    </row>
    <row r="24" spans="1:77" s="61" customFormat="1" x14ac:dyDescent="0.25">
      <c r="A24" s="52"/>
      <c r="B24" s="54"/>
      <c r="C24" s="124">
        <v>0</v>
      </c>
      <c r="D24" s="56">
        <v>0</v>
      </c>
      <c r="E24" s="56">
        <f t="shared" si="16"/>
        <v>0</v>
      </c>
      <c r="F24" s="58"/>
      <c r="G24" s="55">
        <f t="shared" si="17"/>
        <v>0</v>
      </c>
      <c r="H24" s="57">
        <f t="shared" si="18"/>
        <v>0</v>
      </c>
      <c r="I24" s="57">
        <f t="shared" si="19"/>
        <v>0</v>
      </c>
      <c r="J24" s="58"/>
      <c r="K24" s="55">
        <f t="shared" si="20"/>
        <v>0</v>
      </c>
      <c r="L24" s="57">
        <f t="shared" si="21"/>
        <v>0</v>
      </c>
      <c r="M24" s="57">
        <f t="shared" si="22"/>
        <v>0</v>
      </c>
      <c r="N24" s="58"/>
      <c r="O24" s="55">
        <f t="shared" si="23"/>
        <v>0</v>
      </c>
      <c r="P24" s="57">
        <f t="shared" si="24"/>
        <v>0</v>
      </c>
      <c r="Q24" s="57">
        <f t="shared" si="25"/>
        <v>0</v>
      </c>
      <c r="R24" s="58"/>
      <c r="S24" s="55">
        <f t="shared" si="26"/>
        <v>0</v>
      </c>
      <c r="T24" s="57">
        <f t="shared" si="27"/>
        <v>0</v>
      </c>
      <c r="U24" s="57">
        <f t="shared" si="28"/>
        <v>0</v>
      </c>
      <c r="V24" s="59"/>
      <c r="W24" s="124">
        <f t="shared" si="29"/>
        <v>0</v>
      </c>
      <c r="X24" s="57">
        <f t="shared" si="30"/>
        <v>0</v>
      </c>
      <c r="Y24" s="84">
        <f t="shared" si="31"/>
        <v>0</v>
      </c>
    </row>
    <row r="25" spans="1:77" s="61" customFormat="1" x14ac:dyDescent="0.25">
      <c r="A25" s="52"/>
      <c r="B25" s="54"/>
      <c r="C25" s="124">
        <v>0</v>
      </c>
      <c r="D25" s="56">
        <v>0</v>
      </c>
      <c r="E25" s="56">
        <f t="shared" si="16"/>
        <v>0</v>
      </c>
      <c r="F25" s="58"/>
      <c r="G25" s="55">
        <f t="shared" si="17"/>
        <v>0</v>
      </c>
      <c r="H25" s="57">
        <f t="shared" si="18"/>
        <v>0</v>
      </c>
      <c r="I25" s="57">
        <f t="shared" si="19"/>
        <v>0</v>
      </c>
      <c r="J25" s="58"/>
      <c r="K25" s="55">
        <f t="shared" si="20"/>
        <v>0</v>
      </c>
      <c r="L25" s="57">
        <f t="shared" si="21"/>
        <v>0</v>
      </c>
      <c r="M25" s="57">
        <f t="shared" si="22"/>
        <v>0</v>
      </c>
      <c r="N25" s="58"/>
      <c r="O25" s="55">
        <f t="shared" si="23"/>
        <v>0</v>
      </c>
      <c r="P25" s="57">
        <f t="shared" si="24"/>
        <v>0</v>
      </c>
      <c r="Q25" s="57">
        <f t="shared" si="25"/>
        <v>0</v>
      </c>
      <c r="R25" s="58"/>
      <c r="S25" s="55">
        <f t="shared" si="26"/>
        <v>0</v>
      </c>
      <c r="T25" s="57">
        <f t="shared" si="27"/>
        <v>0</v>
      </c>
      <c r="U25" s="57">
        <f t="shared" si="28"/>
        <v>0</v>
      </c>
      <c r="V25" s="59"/>
      <c r="W25" s="124">
        <f t="shared" si="29"/>
        <v>0</v>
      </c>
      <c r="X25" s="57">
        <f t="shared" si="30"/>
        <v>0</v>
      </c>
      <c r="Y25" s="84">
        <f t="shared" si="31"/>
        <v>0</v>
      </c>
    </row>
    <row r="26" spans="1:77" s="83" customFormat="1" x14ac:dyDescent="0.25">
      <c r="A26" s="78"/>
      <c r="B26" s="78" t="s">
        <v>9</v>
      </c>
      <c r="C26" s="228">
        <f>SUM(C17:C25)</f>
        <v>0</v>
      </c>
      <c r="D26" s="125">
        <f>SUM(D17:D25)</f>
        <v>0</v>
      </c>
      <c r="E26" s="125">
        <f>SUM(E17:E25)</f>
        <v>0</v>
      </c>
      <c r="F26" s="81"/>
      <c r="G26" s="79">
        <f>SUM(G17:G25)</f>
        <v>0</v>
      </c>
      <c r="H26" s="80">
        <f>SUM(H17:H25)</f>
        <v>0</v>
      </c>
      <c r="I26" s="80">
        <f>SUM(I17:I25)</f>
        <v>0</v>
      </c>
      <c r="J26" s="81"/>
      <c r="K26" s="79">
        <f>SUM(K17:K25)</f>
        <v>0</v>
      </c>
      <c r="L26" s="80">
        <f>SUM(L17:L25)</f>
        <v>0</v>
      </c>
      <c r="M26" s="80">
        <f>SUM(M17:M25)</f>
        <v>0</v>
      </c>
      <c r="N26" s="81"/>
      <c r="O26" s="79">
        <f>SUM(O17:O25)</f>
        <v>0</v>
      </c>
      <c r="P26" s="80">
        <f>SUM(P17:P25)</f>
        <v>0</v>
      </c>
      <c r="Q26" s="80">
        <f>SUM(Q17:Q25)</f>
        <v>0</v>
      </c>
      <c r="R26" s="81"/>
      <c r="S26" s="79">
        <f>SUM(S17:S25)</f>
        <v>0</v>
      </c>
      <c r="T26" s="80">
        <f>SUM(T17:T25)</f>
        <v>0</v>
      </c>
      <c r="U26" s="80">
        <f>SUM(U17:U25)</f>
        <v>0</v>
      </c>
      <c r="V26" s="82"/>
      <c r="W26" s="228">
        <f t="shared" si="29"/>
        <v>0</v>
      </c>
      <c r="X26" s="80">
        <f t="shared" si="30"/>
        <v>0</v>
      </c>
      <c r="Y26" s="80">
        <f t="shared" si="31"/>
        <v>0</v>
      </c>
    </row>
    <row r="27" spans="1:77" s="92" customFormat="1" x14ac:dyDescent="0.25">
      <c r="A27" s="89" t="s">
        <v>16</v>
      </c>
      <c r="B27" s="89"/>
      <c r="C27" s="90">
        <f>C26+C15</f>
        <v>0</v>
      </c>
      <c r="D27" s="90">
        <f t="shared" ref="D27:Y27" si="32">D26+D15</f>
        <v>0</v>
      </c>
      <c r="E27" s="90">
        <f t="shared" si="32"/>
        <v>0</v>
      </c>
      <c r="F27" s="90">
        <f t="shared" si="32"/>
        <v>0</v>
      </c>
      <c r="G27" s="90">
        <f t="shared" si="32"/>
        <v>0</v>
      </c>
      <c r="H27" s="90">
        <f t="shared" si="32"/>
        <v>0</v>
      </c>
      <c r="I27" s="90">
        <f t="shared" si="32"/>
        <v>0</v>
      </c>
      <c r="J27" s="90">
        <f t="shared" si="32"/>
        <v>0</v>
      </c>
      <c r="K27" s="90">
        <f t="shared" si="32"/>
        <v>0</v>
      </c>
      <c r="L27" s="90">
        <f t="shared" si="32"/>
        <v>0</v>
      </c>
      <c r="M27" s="90">
        <f t="shared" si="32"/>
        <v>0</v>
      </c>
      <c r="N27" s="90">
        <f t="shared" si="32"/>
        <v>0</v>
      </c>
      <c r="O27" s="90">
        <f t="shared" si="32"/>
        <v>0</v>
      </c>
      <c r="P27" s="90">
        <f t="shared" si="32"/>
        <v>0</v>
      </c>
      <c r="Q27" s="90">
        <f t="shared" si="32"/>
        <v>0</v>
      </c>
      <c r="R27" s="90">
        <f t="shared" si="32"/>
        <v>0</v>
      </c>
      <c r="S27" s="90">
        <f t="shared" si="32"/>
        <v>0</v>
      </c>
      <c r="T27" s="90">
        <f t="shared" si="32"/>
        <v>0</v>
      </c>
      <c r="U27" s="90">
        <f t="shared" si="32"/>
        <v>0</v>
      </c>
      <c r="V27" s="90">
        <f t="shared" si="32"/>
        <v>0</v>
      </c>
      <c r="W27" s="90">
        <f t="shared" si="32"/>
        <v>0</v>
      </c>
      <c r="X27" s="90">
        <f t="shared" si="32"/>
        <v>0</v>
      </c>
      <c r="Y27" s="90">
        <f t="shared" si="32"/>
        <v>0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>
        <v>0</v>
      </c>
      <c r="D29" s="56">
        <v>0</v>
      </c>
      <c r="E29" s="56">
        <f t="shared" ref="E29:E35" si="33">SUM(C29:D29)</f>
        <v>0</v>
      </c>
      <c r="F29" s="58"/>
      <c r="G29" s="55">
        <f>(G6)*0.37</f>
        <v>0</v>
      </c>
      <c r="H29" s="57">
        <v>0</v>
      </c>
      <c r="I29" s="57">
        <f t="shared" ref="I29:I35" si="34">SUM(G29:H29)</f>
        <v>0</v>
      </c>
      <c r="J29" s="58"/>
      <c r="K29" s="55">
        <f>(K6)*0.37</f>
        <v>0</v>
      </c>
      <c r="L29" s="57">
        <v>0</v>
      </c>
      <c r="M29" s="57">
        <f t="shared" ref="M29:M35" si="35">SUM(K29:L29)</f>
        <v>0</v>
      </c>
      <c r="N29" s="58"/>
      <c r="O29" s="55">
        <f>(O6)*0.37</f>
        <v>0</v>
      </c>
      <c r="P29" s="57">
        <v>0</v>
      </c>
      <c r="Q29" s="57">
        <f t="shared" ref="Q29:Q35" si="36">SUM(O29:P29)</f>
        <v>0</v>
      </c>
      <c r="R29" s="58"/>
      <c r="S29" s="55">
        <f>(S6)*0.37</f>
        <v>0</v>
      </c>
      <c r="T29" s="57">
        <v>0</v>
      </c>
      <c r="U29" s="57">
        <f t="shared" ref="U29:U35" si="37">SUM(S29:T29)</f>
        <v>0</v>
      </c>
      <c r="V29" s="59"/>
      <c r="W29" s="124">
        <f t="shared" ref="W29:Y36" si="38">C29+G29+K29+O29+S29</f>
        <v>0</v>
      </c>
      <c r="X29" s="57">
        <f t="shared" si="38"/>
        <v>0</v>
      </c>
      <c r="Y29" s="84">
        <f t="shared" si="38"/>
        <v>0</v>
      </c>
    </row>
    <row r="30" spans="1:77" s="61" customFormat="1" x14ac:dyDescent="0.25">
      <c r="A30" s="234">
        <v>3.5999999999999997E-2</v>
      </c>
      <c r="B30" s="52" t="s">
        <v>40</v>
      </c>
      <c r="C30" s="124">
        <v>0</v>
      </c>
      <c r="D30" s="56">
        <v>0</v>
      </c>
      <c r="E30" s="56">
        <f t="shared" si="33"/>
        <v>0</v>
      </c>
      <c r="F30" s="58"/>
      <c r="G30" s="55">
        <f t="shared" ref="G30:H35" si="39">C30*1.05</f>
        <v>0</v>
      </c>
      <c r="H30" s="57">
        <f t="shared" si="39"/>
        <v>0</v>
      </c>
      <c r="I30" s="57">
        <f t="shared" si="34"/>
        <v>0</v>
      </c>
      <c r="J30" s="58"/>
      <c r="K30" s="55">
        <f t="shared" ref="K30:L35" si="40">G30*1.05</f>
        <v>0</v>
      </c>
      <c r="L30" s="57">
        <f t="shared" si="40"/>
        <v>0</v>
      </c>
      <c r="M30" s="57">
        <f t="shared" si="35"/>
        <v>0</v>
      </c>
      <c r="N30" s="58"/>
      <c r="O30" s="55">
        <f t="shared" ref="O30:P35" si="41">K30*1.05</f>
        <v>0</v>
      </c>
      <c r="P30" s="57">
        <f t="shared" si="41"/>
        <v>0</v>
      </c>
      <c r="Q30" s="57">
        <f t="shared" si="36"/>
        <v>0</v>
      </c>
      <c r="R30" s="58"/>
      <c r="S30" s="55">
        <f t="shared" ref="S30:T35" si="42">O30*1.05</f>
        <v>0</v>
      </c>
      <c r="T30" s="57">
        <f t="shared" si="42"/>
        <v>0</v>
      </c>
      <c r="U30" s="57">
        <f t="shared" si="37"/>
        <v>0</v>
      </c>
      <c r="V30" s="59"/>
      <c r="W30" s="124">
        <f t="shared" si="38"/>
        <v>0</v>
      </c>
      <c r="X30" s="57">
        <f t="shared" si="38"/>
        <v>0</v>
      </c>
      <c r="Y30" s="84">
        <f t="shared" si="38"/>
        <v>0</v>
      </c>
    </row>
    <row r="31" spans="1:77" s="61" customFormat="1" x14ac:dyDescent="0.25">
      <c r="A31" s="234">
        <v>8.6999999999999994E-2</v>
      </c>
      <c r="B31" s="52" t="s">
        <v>51</v>
      </c>
      <c r="C31" s="124">
        <v>0</v>
      </c>
      <c r="D31" s="56">
        <v>0</v>
      </c>
      <c r="E31" s="56">
        <f t="shared" si="33"/>
        <v>0</v>
      </c>
      <c r="F31" s="58"/>
      <c r="G31" s="55">
        <f t="shared" si="39"/>
        <v>0</v>
      </c>
      <c r="H31" s="57">
        <f t="shared" si="39"/>
        <v>0</v>
      </c>
      <c r="I31" s="57">
        <f t="shared" si="34"/>
        <v>0</v>
      </c>
      <c r="J31" s="58"/>
      <c r="K31" s="55">
        <f t="shared" si="40"/>
        <v>0</v>
      </c>
      <c r="L31" s="57">
        <f t="shared" si="40"/>
        <v>0</v>
      </c>
      <c r="M31" s="57">
        <f t="shared" si="35"/>
        <v>0</v>
      </c>
      <c r="N31" s="58"/>
      <c r="O31" s="55">
        <f t="shared" si="41"/>
        <v>0</v>
      </c>
      <c r="P31" s="57">
        <f t="shared" si="41"/>
        <v>0</v>
      </c>
      <c r="Q31" s="57">
        <f t="shared" si="36"/>
        <v>0</v>
      </c>
      <c r="R31" s="58"/>
      <c r="S31" s="55">
        <f t="shared" si="42"/>
        <v>0</v>
      </c>
      <c r="T31" s="57">
        <f t="shared" si="42"/>
        <v>0</v>
      </c>
      <c r="U31" s="57">
        <f t="shared" si="37"/>
        <v>0</v>
      </c>
      <c r="V31" s="59"/>
      <c r="W31" s="124">
        <f t="shared" si="38"/>
        <v>0</v>
      </c>
      <c r="X31" s="57">
        <f t="shared" si="38"/>
        <v>0</v>
      </c>
      <c r="Y31" s="84">
        <f t="shared" si="38"/>
        <v>0</v>
      </c>
    </row>
    <row r="32" spans="1:77" s="61" customFormat="1" x14ac:dyDescent="0.25">
      <c r="A32" s="234">
        <v>0.30099999999999999</v>
      </c>
      <c r="B32" s="54" t="s">
        <v>52</v>
      </c>
      <c r="C32" s="124">
        <v>0</v>
      </c>
      <c r="D32" s="56">
        <v>0</v>
      </c>
      <c r="E32" s="56">
        <f t="shared" si="33"/>
        <v>0</v>
      </c>
      <c r="F32" s="58"/>
      <c r="G32" s="55">
        <f t="shared" si="39"/>
        <v>0</v>
      </c>
      <c r="H32" s="57">
        <f t="shared" si="39"/>
        <v>0</v>
      </c>
      <c r="I32" s="57">
        <f t="shared" si="34"/>
        <v>0</v>
      </c>
      <c r="J32" s="58"/>
      <c r="K32" s="55">
        <f t="shared" si="40"/>
        <v>0</v>
      </c>
      <c r="L32" s="57">
        <f t="shared" si="40"/>
        <v>0</v>
      </c>
      <c r="M32" s="57">
        <f t="shared" si="35"/>
        <v>0</v>
      </c>
      <c r="N32" s="58"/>
      <c r="O32" s="55">
        <f t="shared" si="41"/>
        <v>0</v>
      </c>
      <c r="P32" s="57">
        <f t="shared" si="41"/>
        <v>0</v>
      </c>
      <c r="Q32" s="57">
        <f t="shared" si="36"/>
        <v>0</v>
      </c>
      <c r="R32" s="58"/>
      <c r="S32" s="55">
        <f t="shared" si="42"/>
        <v>0</v>
      </c>
      <c r="T32" s="57">
        <f t="shared" si="42"/>
        <v>0</v>
      </c>
      <c r="U32" s="57">
        <f t="shared" si="37"/>
        <v>0</v>
      </c>
      <c r="V32" s="59"/>
      <c r="W32" s="124">
        <f t="shared" si="38"/>
        <v>0</v>
      </c>
      <c r="X32" s="57">
        <f t="shared" si="38"/>
        <v>0</v>
      </c>
      <c r="Y32" s="84">
        <f t="shared" si="38"/>
        <v>0</v>
      </c>
    </row>
    <row r="33" spans="1:77" s="61" customFormat="1" x14ac:dyDescent="0.25">
      <c r="A33" s="234">
        <v>0.42</v>
      </c>
      <c r="B33" s="54" t="s">
        <v>53</v>
      </c>
      <c r="C33" s="124">
        <v>0</v>
      </c>
      <c r="D33" s="56">
        <v>0</v>
      </c>
      <c r="E33" s="56">
        <f t="shared" si="33"/>
        <v>0</v>
      </c>
      <c r="F33" s="58"/>
      <c r="G33" s="55">
        <f t="shared" si="39"/>
        <v>0</v>
      </c>
      <c r="H33" s="57">
        <f t="shared" si="39"/>
        <v>0</v>
      </c>
      <c r="I33" s="57">
        <f t="shared" si="34"/>
        <v>0</v>
      </c>
      <c r="J33" s="58"/>
      <c r="K33" s="55">
        <f t="shared" si="40"/>
        <v>0</v>
      </c>
      <c r="L33" s="57">
        <f t="shared" si="40"/>
        <v>0</v>
      </c>
      <c r="M33" s="57">
        <f t="shared" si="35"/>
        <v>0</v>
      </c>
      <c r="N33" s="58"/>
      <c r="O33" s="55">
        <f t="shared" si="41"/>
        <v>0</v>
      </c>
      <c r="P33" s="57">
        <f t="shared" si="41"/>
        <v>0</v>
      </c>
      <c r="Q33" s="57">
        <f t="shared" si="36"/>
        <v>0</v>
      </c>
      <c r="R33" s="58"/>
      <c r="S33" s="55">
        <f t="shared" si="42"/>
        <v>0</v>
      </c>
      <c r="T33" s="57">
        <f t="shared" si="42"/>
        <v>0</v>
      </c>
      <c r="U33" s="57">
        <f t="shared" si="37"/>
        <v>0</v>
      </c>
      <c r="V33" s="59"/>
      <c r="W33" s="124">
        <f t="shared" si="38"/>
        <v>0</v>
      </c>
      <c r="X33" s="57">
        <f t="shared" si="38"/>
        <v>0</v>
      </c>
      <c r="Y33" s="84">
        <f t="shared" si="38"/>
        <v>0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33"/>
        <v>0</v>
      </c>
      <c r="F34" s="58"/>
      <c r="G34" s="55">
        <f t="shared" si="39"/>
        <v>0</v>
      </c>
      <c r="H34" s="57">
        <f t="shared" si="39"/>
        <v>0</v>
      </c>
      <c r="I34" s="57">
        <f t="shared" si="34"/>
        <v>0</v>
      </c>
      <c r="J34" s="58"/>
      <c r="K34" s="55">
        <f t="shared" si="40"/>
        <v>0</v>
      </c>
      <c r="L34" s="57">
        <f t="shared" si="40"/>
        <v>0</v>
      </c>
      <c r="M34" s="57">
        <f t="shared" si="35"/>
        <v>0</v>
      </c>
      <c r="N34" s="58"/>
      <c r="O34" s="55">
        <f t="shared" si="41"/>
        <v>0</v>
      </c>
      <c r="P34" s="57">
        <f t="shared" si="41"/>
        <v>0</v>
      </c>
      <c r="Q34" s="57">
        <f t="shared" si="36"/>
        <v>0</v>
      </c>
      <c r="R34" s="58"/>
      <c r="S34" s="55">
        <f t="shared" si="42"/>
        <v>0</v>
      </c>
      <c r="T34" s="57">
        <f t="shared" si="42"/>
        <v>0</v>
      </c>
      <c r="U34" s="57">
        <f t="shared" si="37"/>
        <v>0</v>
      </c>
      <c r="V34" s="59"/>
      <c r="W34" s="124">
        <f t="shared" si="38"/>
        <v>0</v>
      </c>
      <c r="X34" s="57">
        <f t="shared" si="38"/>
        <v>0</v>
      </c>
      <c r="Y34" s="84">
        <f t="shared" si="38"/>
        <v>0</v>
      </c>
    </row>
    <row r="35" spans="1:77" s="61" customFormat="1" x14ac:dyDescent="0.25">
      <c r="A35" s="6"/>
      <c r="B35" s="52"/>
      <c r="C35" s="124">
        <v>0</v>
      </c>
      <c r="D35" s="56">
        <v>0</v>
      </c>
      <c r="E35" s="56">
        <f t="shared" si="33"/>
        <v>0</v>
      </c>
      <c r="F35" s="58"/>
      <c r="G35" s="55">
        <f t="shared" si="39"/>
        <v>0</v>
      </c>
      <c r="H35" s="57">
        <f t="shared" si="39"/>
        <v>0</v>
      </c>
      <c r="I35" s="57">
        <f t="shared" si="34"/>
        <v>0</v>
      </c>
      <c r="J35" s="58"/>
      <c r="K35" s="55">
        <f t="shared" si="40"/>
        <v>0</v>
      </c>
      <c r="L35" s="57">
        <f t="shared" si="40"/>
        <v>0</v>
      </c>
      <c r="M35" s="57">
        <f t="shared" si="35"/>
        <v>0</v>
      </c>
      <c r="N35" s="58"/>
      <c r="O35" s="55">
        <f t="shared" si="41"/>
        <v>0</v>
      </c>
      <c r="P35" s="57">
        <f t="shared" si="41"/>
        <v>0</v>
      </c>
      <c r="Q35" s="57">
        <f t="shared" si="36"/>
        <v>0</v>
      </c>
      <c r="R35" s="58"/>
      <c r="S35" s="55">
        <f t="shared" si="42"/>
        <v>0</v>
      </c>
      <c r="T35" s="57">
        <f t="shared" si="42"/>
        <v>0</v>
      </c>
      <c r="U35" s="57">
        <f t="shared" si="37"/>
        <v>0</v>
      </c>
      <c r="V35" s="59"/>
      <c r="W35" s="124">
        <f t="shared" si="38"/>
        <v>0</v>
      </c>
      <c r="X35" s="57">
        <f t="shared" si="38"/>
        <v>0</v>
      </c>
      <c r="Y35" s="84">
        <f t="shared" si="38"/>
        <v>0</v>
      </c>
    </row>
    <row r="36" spans="1:77" s="83" customFormat="1" x14ac:dyDescent="0.25">
      <c r="A36" s="78"/>
      <c r="B36" s="78" t="s">
        <v>9</v>
      </c>
      <c r="C36" s="228">
        <f>SUM(C29:C35)</f>
        <v>0</v>
      </c>
      <c r="D36" s="125">
        <f>SUM(D29:D35)</f>
        <v>0</v>
      </c>
      <c r="E36" s="125">
        <f>SUM(E29:E35)</f>
        <v>0</v>
      </c>
      <c r="F36" s="81"/>
      <c r="G36" s="79">
        <f>SUM(G29:G35)</f>
        <v>0</v>
      </c>
      <c r="H36" s="80">
        <f>SUM(H29:H35)</f>
        <v>0</v>
      </c>
      <c r="I36" s="80">
        <f>SUM(I29:I35)</f>
        <v>0</v>
      </c>
      <c r="J36" s="81"/>
      <c r="K36" s="79">
        <f>SUM(K29:K35)</f>
        <v>0</v>
      </c>
      <c r="L36" s="80">
        <f>SUM(L29:L35)</f>
        <v>0</v>
      </c>
      <c r="M36" s="80">
        <f>SUM(M29:M35)</f>
        <v>0</v>
      </c>
      <c r="N36" s="81"/>
      <c r="O36" s="79">
        <f>SUM(O29:O35)</f>
        <v>0</v>
      </c>
      <c r="P36" s="80">
        <f>SUM(P29:P35)</f>
        <v>0</v>
      </c>
      <c r="Q36" s="80">
        <f>SUM(Q29:Q35)</f>
        <v>0</v>
      </c>
      <c r="R36" s="81"/>
      <c r="S36" s="79">
        <f>SUM(S29:S35)</f>
        <v>0</v>
      </c>
      <c r="T36" s="80">
        <f>SUM(T29:T35)</f>
        <v>0</v>
      </c>
      <c r="U36" s="80">
        <f>SUM(U29:U35)</f>
        <v>0</v>
      </c>
      <c r="V36" s="82"/>
      <c r="W36" s="228">
        <f t="shared" si="38"/>
        <v>0</v>
      </c>
      <c r="X36" s="80">
        <f t="shared" si="38"/>
        <v>0</v>
      </c>
      <c r="Y36" s="80">
        <f t="shared" si="38"/>
        <v>0</v>
      </c>
    </row>
    <row r="37" spans="1:77" s="94" customFormat="1" x14ac:dyDescent="0.25">
      <c r="A37" s="89" t="s">
        <v>17</v>
      </c>
      <c r="B37" s="89"/>
      <c r="C37" s="90">
        <f t="shared" ref="C37:Y37" si="43">C36+C27</f>
        <v>0</v>
      </c>
      <c r="D37" s="90">
        <f t="shared" si="43"/>
        <v>0</v>
      </c>
      <c r="E37" s="90">
        <f t="shared" si="43"/>
        <v>0</v>
      </c>
      <c r="F37" s="90">
        <f t="shared" si="43"/>
        <v>0</v>
      </c>
      <c r="G37" s="90">
        <f t="shared" si="43"/>
        <v>0</v>
      </c>
      <c r="H37" s="90">
        <f t="shared" si="43"/>
        <v>0</v>
      </c>
      <c r="I37" s="90">
        <f t="shared" si="43"/>
        <v>0</v>
      </c>
      <c r="J37" s="90">
        <f t="shared" si="43"/>
        <v>0</v>
      </c>
      <c r="K37" s="90">
        <f t="shared" si="43"/>
        <v>0</v>
      </c>
      <c r="L37" s="90">
        <f t="shared" si="43"/>
        <v>0</v>
      </c>
      <c r="M37" s="90">
        <f t="shared" si="43"/>
        <v>0</v>
      </c>
      <c r="N37" s="90">
        <f t="shared" si="43"/>
        <v>0</v>
      </c>
      <c r="O37" s="90">
        <f t="shared" si="43"/>
        <v>0</v>
      </c>
      <c r="P37" s="90">
        <f t="shared" si="43"/>
        <v>0</v>
      </c>
      <c r="Q37" s="90">
        <f t="shared" si="43"/>
        <v>0</v>
      </c>
      <c r="R37" s="90">
        <f t="shared" si="43"/>
        <v>0</v>
      </c>
      <c r="S37" s="90">
        <f t="shared" si="43"/>
        <v>0</v>
      </c>
      <c r="T37" s="90">
        <f t="shared" si="43"/>
        <v>0</v>
      </c>
      <c r="U37" s="90">
        <f t="shared" si="43"/>
        <v>0</v>
      </c>
      <c r="V37" s="90">
        <f t="shared" si="43"/>
        <v>0</v>
      </c>
      <c r="W37" s="90">
        <f t="shared" si="43"/>
        <v>0</v>
      </c>
      <c r="X37" s="90">
        <f t="shared" si="43"/>
        <v>0</v>
      </c>
      <c r="Y37" s="90">
        <f t="shared" si="43"/>
        <v>0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2"/>
      <c r="B39" s="52"/>
      <c r="C39" s="124">
        <v>0</v>
      </c>
      <c r="D39" s="56">
        <v>0</v>
      </c>
      <c r="E39" s="56">
        <f t="shared" ref="E39:E48" si="44">SUM(C39:D39)</f>
        <v>0</v>
      </c>
      <c r="F39" s="58"/>
      <c r="G39" s="55">
        <v>0</v>
      </c>
      <c r="H39" s="57">
        <v>0</v>
      </c>
      <c r="I39" s="57">
        <f t="shared" ref="I39:I48" si="45">SUM(G39:H39)</f>
        <v>0</v>
      </c>
      <c r="J39" s="58"/>
      <c r="K39" s="55">
        <v>0</v>
      </c>
      <c r="L39" s="57">
        <v>0</v>
      </c>
      <c r="M39" s="57">
        <f t="shared" ref="M39:M48" si="46">SUM(K39:L39)</f>
        <v>0</v>
      </c>
      <c r="N39" s="58"/>
      <c r="O39" s="55">
        <v>0</v>
      </c>
      <c r="P39" s="57">
        <v>0</v>
      </c>
      <c r="Q39" s="57">
        <f t="shared" ref="Q39:Q48" si="47">SUM(O39:P39)</f>
        <v>0</v>
      </c>
      <c r="R39" s="58"/>
      <c r="S39" s="55">
        <v>0</v>
      </c>
      <c r="T39" s="57">
        <v>0</v>
      </c>
      <c r="U39" s="57">
        <f t="shared" ref="U39:U48" si="48">SUM(S39:T39)</f>
        <v>0</v>
      </c>
      <c r="V39" s="59"/>
      <c r="W39" s="124">
        <f t="shared" ref="W39:W49" si="49">C39+G39+K39+O39+S39</f>
        <v>0</v>
      </c>
      <c r="X39" s="57">
        <f t="shared" ref="X39:X49" si="50">D39+H39+L39+P39+T39</f>
        <v>0</v>
      </c>
      <c r="Y39" s="84">
        <f t="shared" ref="Y39:Y49" si="51">E39+I39+M39+Q39+U39</f>
        <v>0</v>
      </c>
    </row>
    <row r="40" spans="1:77" s="61" customFormat="1" x14ac:dyDescent="0.25">
      <c r="A40" s="52"/>
      <c r="B40" s="52"/>
      <c r="C40" s="124">
        <v>0</v>
      </c>
      <c r="D40" s="56">
        <v>0</v>
      </c>
      <c r="E40" s="56">
        <f t="shared" si="44"/>
        <v>0</v>
      </c>
      <c r="F40" s="58"/>
      <c r="G40" s="55">
        <v>0</v>
      </c>
      <c r="H40" s="57">
        <v>0</v>
      </c>
      <c r="I40" s="57">
        <f t="shared" si="45"/>
        <v>0</v>
      </c>
      <c r="J40" s="58"/>
      <c r="K40" s="55">
        <v>0</v>
      </c>
      <c r="L40" s="57">
        <v>0</v>
      </c>
      <c r="M40" s="57">
        <f t="shared" si="46"/>
        <v>0</v>
      </c>
      <c r="N40" s="58"/>
      <c r="O40" s="55">
        <v>0</v>
      </c>
      <c r="P40" s="57">
        <v>0</v>
      </c>
      <c r="Q40" s="57">
        <f t="shared" si="47"/>
        <v>0</v>
      </c>
      <c r="R40" s="58"/>
      <c r="S40" s="55">
        <v>0</v>
      </c>
      <c r="T40" s="57">
        <v>0</v>
      </c>
      <c r="U40" s="57">
        <f t="shared" si="48"/>
        <v>0</v>
      </c>
      <c r="V40" s="59"/>
      <c r="W40" s="124">
        <f t="shared" si="49"/>
        <v>0</v>
      </c>
      <c r="X40" s="57">
        <f t="shared" si="50"/>
        <v>0</v>
      </c>
      <c r="Y40" s="84">
        <f t="shared" si="51"/>
        <v>0</v>
      </c>
    </row>
    <row r="41" spans="1:77" s="61" customFormat="1" x14ac:dyDescent="0.25">
      <c r="A41" s="52"/>
      <c r="B41" s="52"/>
      <c r="C41" s="124">
        <v>0</v>
      </c>
      <c r="D41" s="56">
        <v>0</v>
      </c>
      <c r="E41" s="56">
        <f t="shared" si="44"/>
        <v>0</v>
      </c>
      <c r="F41" s="58"/>
      <c r="G41" s="55">
        <v>0</v>
      </c>
      <c r="H41" s="57">
        <v>0</v>
      </c>
      <c r="I41" s="57">
        <f t="shared" si="45"/>
        <v>0</v>
      </c>
      <c r="J41" s="58"/>
      <c r="K41" s="55">
        <v>0</v>
      </c>
      <c r="L41" s="57">
        <v>0</v>
      </c>
      <c r="M41" s="57">
        <f t="shared" si="46"/>
        <v>0</v>
      </c>
      <c r="N41" s="58"/>
      <c r="O41" s="55">
        <v>0</v>
      </c>
      <c r="P41" s="57">
        <v>0</v>
      </c>
      <c r="Q41" s="57">
        <f t="shared" si="47"/>
        <v>0</v>
      </c>
      <c r="R41" s="58"/>
      <c r="S41" s="55">
        <v>0</v>
      </c>
      <c r="T41" s="57">
        <v>0</v>
      </c>
      <c r="U41" s="57">
        <f t="shared" si="48"/>
        <v>0</v>
      </c>
      <c r="V41" s="59"/>
      <c r="W41" s="124">
        <f t="shared" si="49"/>
        <v>0</v>
      </c>
      <c r="X41" s="57">
        <f t="shared" si="50"/>
        <v>0</v>
      </c>
      <c r="Y41" s="84">
        <f t="shared" si="51"/>
        <v>0</v>
      </c>
    </row>
    <row r="42" spans="1:77" s="61" customFormat="1" x14ac:dyDescent="0.25">
      <c r="A42" s="52"/>
      <c r="B42" s="52"/>
      <c r="C42" s="124">
        <v>0</v>
      </c>
      <c r="D42" s="56">
        <v>0</v>
      </c>
      <c r="E42" s="56">
        <f t="shared" si="44"/>
        <v>0</v>
      </c>
      <c r="F42" s="58"/>
      <c r="G42" s="55">
        <v>0</v>
      </c>
      <c r="H42" s="57">
        <v>0</v>
      </c>
      <c r="I42" s="57">
        <f t="shared" si="45"/>
        <v>0</v>
      </c>
      <c r="J42" s="58"/>
      <c r="K42" s="55">
        <v>0</v>
      </c>
      <c r="L42" s="57">
        <v>0</v>
      </c>
      <c r="M42" s="57">
        <f t="shared" si="46"/>
        <v>0</v>
      </c>
      <c r="N42" s="58"/>
      <c r="O42" s="55">
        <v>0</v>
      </c>
      <c r="P42" s="57">
        <v>0</v>
      </c>
      <c r="Q42" s="57">
        <f t="shared" si="47"/>
        <v>0</v>
      </c>
      <c r="R42" s="58"/>
      <c r="S42" s="55">
        <v>0</v>
      </c>
      <c r="T42" s="57">
        <v>0</v>
      </c>
      <c r="U42" s="57">
        <f t="shared" si="48"/>
        <v>0</v>
      </c>
      <c r="V42" s="59"/>
      <c r="W42" s="124">
        <f t="shared" si="49"/>
        <v>0</v>
      </c>
      <c r="X42" s="57">
        <f t="shared" si="50"/>
        <v>0</v>
      </c>
      <c r="Y42" s="84">
        <f t="shared" si="51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44"/>
        <v>0</v>
      </c>
      <c r="F43" s="58"/>
      <c r="G43" s="55">
        <v>0</v>
      </c>
      <c r="H43" s="57">
        <v>0</v>
      </c>
      <c r="I43" s="57">
        <f t="shared" si="45"/>
        <v>0</v>
      </c>
      <c r="J43" s="58"/>
      <c r="K43" s="55">
        <v>0</v>
      </c>
      <c r="L43" s="57">
        <v>0</v>
      </c>
      <c r="M43" s="57">
        <f t="shared" si="46"/>
        <v>0</v>
      </c>
      <c r="N43" s="58"/>
      <c r="O43" s="55">
        <v>0</v>
      </c>
      <c r="P43" s="57">
        <v>0</v>
      </c>
      <c r="Q43" s="57">
        <f t="shared" si="47"/>
        <v>0</v>
      </c>
      <c r="R43" s="58"/>
      <c r="S43" s="55">
        <v>0</v>
      </c>
      <c r="T43" s="57">
        <v>0</v>
      </c>
      <c r="U43" s="57">
        <f t="shared" si="48"/>
        <v>0</v>
      </c>
      <c r="V43" s="59"/>
      <c r="W43" s="124">
        <f t="shared" si="49"/>
        <v>0</v>
      </c>
      <c r="X43" s="57">
        <f t="shared" si="50"/>
        <v>0</v>
      </c>
      <c r="Y43" s="84">
        <f t="shared" si="51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44"/>
        <v>0</v>
      </c>
      <c r="F44" s="58"/>
      <c r="G44" s="55">
        <v>0</v>
      </c>
      <c r="H44" s="57">
        <v>0</v>
      </c>
      <c r="I44" s="57">
        <f t="shared" si="45"/>
        <v>0</v>
      </c>
      <c r="J44" s="58"/>
      <c r="K44" s="55">
        <v>0</v>
      </c>
      <c r="L44" s="57">
        <v>0</v>
      </c>
      <c r="M44" s="57">
        <f t="shared" si="46"/>
        <v>0</v>
      </c>
      <c r="N44" s="58"/>
      <c r="O44" s="55">
        <v>0</v>
      </c>
      <c r="P44" s="57">
        <v>0</v>
      </c>
      <c r="Q44" s="57">
        <f t="shared" si="47"/>
        <v>0</v>
      </c>
      <c r="R44" s="58"/>
      <c r="S44" s="55">
        <v>0</v>
      </c>
      <c r="T44" s="57">
        <v>0</v>
      </c>
      <c r="U44" s="57">
        <f t="shared" si="48"/>
        <v>0</v>
      </c>
      <c r="V44" s="59"/>
      <c r="W44" s="124">
        <f t="shared" si="49"/>
        <v>0</v>
      </c>
      <c r="X44" s="57">
        <f t="shared" si="50"/>
        <v>0</v>
      </c>
      <c r="Y44" s="84">
        <f t="shared" si="51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44"/>
        <v>0</v>
      </c>
      <c r="F45" s="58"/>
      <c r="G45" s="55">
        <v>0</v>
      </c>
      <c r="H45" s="57">
        <v>0</v>
      </c>
      <c r="I45" s="57">
        <f t="shared" si="45"/>
        <v>0</v>
      </c>
      <c r="J45" s="58"/>
      <c r="K45" s="55">
        <v>0</v>
      </c>
      <c r="L45" s="57">
        <v>0</v>
      </c>
      <c r="M45" s="57">
        <f t="shared" si="46"/>
        <v>0</v>
      </c>
      <c r="N45" s="58"/>
      <c r="O45" s="55">
        <v>0</v>
      </c>
      <c r="P45" s="57">
        <v>0</v>
      </c>
      <c r="Q45" s="57">
        <f t="shared" si="47"/>
        <v>0</v>
      </c>
      <c r="R45" s="58"/>
      <c r="S45" s="55">
        <v>0</v>
      </c>
      <c r="T45" s="57">
        <v>0</v>
      </c>
      <c r="U45" s="57">
        <f t="shared" si="48"/>
        <v>0</v>
      </c>
      <c r="V45" s="59"/>
      <c r="W45" s="124">
        <f t="shared" si="49"/>
        <v>0</v>
      </c>
      <c r="X45" s="57">
        <f t="shared" si="50"/>
        <v>0</v>
      </c>
      <c r="Y45" s="84">
        <f t="shared" si="51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44"/>
        <v>0</v>
      </c>
      <c r="F46" s="58"/>
      <c r="G46" s="55">
        <v>0</v>
      </c>
      <c r="H46" s="57">
        <v>0</v>
      </c>
      <c r="I46" s="57">
        <f t="shared" si="45"/>
        <v>0</v>
      </c>
      <c r="J46" s="58"/>
      <c r="K46" s="55">
        <v>0</v>
      </c>
      <c r="L46" s="57">
        <v>0</v>
      </c>
      <c r="M46" s="57">
        <f t="shared" si="46"/>
        <v>0</v>
      </c>
      <c r="N46" s="58"/>
      <c r="O46" s="55">
        <v>0</v>
      </c>
      <c r="P46" s="57">
        <v>0</v>
      </c>
      <c r="Q46" s="57">
        <f t="shared" si="47"/>
        <v>0</v>
      </c>
      <c r="R46" s="58"/>
      <c r="S46" s="55">
        <v>0</v>
      </c>
      <c r="T46" s="57">
        <v>0</v>
      </c>
      <c r="U46" s="57">
        <f t="shared" si="48"/>
        <v>0</v>
      </c>
      <c r="V46" s="59"/>
      <c r="W46" s="124">
        <f t="shared" si="49"/>
        <v>0</v>
      </c>
      <c r="X46" s="57">
        <f t="shared" si="50"/>
        <v>0</v>
      </c>
      <c r="Y46" s="84">
        <f t="shared" si="51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44"/>
        <v>0</v>
      </c>
      <c r="F47" s="58"/>
      <c r="G47" s="55">
        <v>0</v>
      </c>
      <c r="H47" s="57">
        <v>0</v>
      </c>
      <c r="I47" s="57">
        <f t="shared" si="45"/>
        <v>0</v>
      </c>
      <c r="J47" s="58"/>
      <c r="K47" s="55">
        <v>0</v>
      </c>
      <c r="L47" s="57">
        <v>0</v>
      </c>
      <c r="M47" s="57">
        <f t="shared" si="46"/>
        <v>0</v>
      </c>
      <c r="N47" s="58"/>
      <c r="O47" s="55">
        <v>0</v>
      </c>
      <c r="P47" s="57">
        <v>0</v>
      </c>
      <c r="Q47" s="57">
        <f t="shared" si="47"/>
        <v>0</v>
      </c>
      <c r="R47" s="58"/>
      <c r="S47" s="55">
        <v>0</v>
      </c>
      <c r="T47" s="57">
        <v>0</v>
      </c>
      <c r="U47" s="57">
        <f t="shared" si="48"/>
        <v>0</v>
      </c>
      <c r="V47" s="59"/>
      <c r="W47" s="124">
        <f t="shared" si="49"/>
        <v>0</v>
      </c>
      <c r="X47" s="57">
        <f t="shared" si="50"/>
        <v>0</v>
      </c>
      <c r="Y47" s="84">
        <f t="shared" si="51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44"/>
        <v>0</v>
      </c>
      <c r="F48" s="58"/>
      <c r="G48" s="55">
        <v>0</v>
      </c>
      <c r="H48" s="57">
        <v>0</v>
      </c>
      <c r="I48" s="57">
        <f t="shared" si="45"/>
        <v>0</v>
      </c>
      <c r="J48" s="58"/>
      <c r="K48" s="55">
        <v>0</v>
      </c>
      <c r="L48" s="57">
        <v>0</v>
      </c>
      <c r="M48" s="57">
        <f t="shared" si="46"/>
        <v>0</v>
      </c>
      <c r="N48" s="58"/>
      <c r="O48" s="55">
        <v>0</v>
      </c>
      <c r="P48" s="57">
        <v>0</v>
      </c>
      <c r="Q48" s="57">
        <f t="shared" si="47"/>
        <v>0</v>
      </c>
      <c r="R48" s="58"/>
      <c r="S48" s="55">
        <v>0</v>
      </c>
      <c r="T48" s="57">
        <v>0</v>
      </c>
      <c r="U48" s="57">
        <f t="shared" si="48"/>
        <v>0</v>
      </c>
      <c r="V48" s="59"/>
      <c r="W48" s="124">
        <f t="shared" si="49"/>
        <v>0</v>
      </c>
      <c r="X48" s="57">
        <f t="shared" si="50"/>
        <v>0</v>
      </c>
      <c r="Y48" s="84">
        <f t="shared" si="51"/>
        <v>0</v>
      </c>
    </row>
    <row r="49" spans="1:25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0</v>
      </c>
      <c r="E49" s="125">
        <f>SUM(E39:E48)</f>
        <v>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49"/>
        <v>0</v>
      </c>
      <c r="X49" s="80">
        <f t="shared" si="50"/>
        <v>0</v>
      </c>
      <c r="Y49" s="80">
        <f t="shared" si="51"/>
        <v>0</v>
      </c>
    </row>
    <row r="50" spans="1:25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25" s="61" customFormat="1" x14ac:dyDescent="0.25">
      <c r="A51" s="52"/>
      <c r="B51" s="52"/>
      <c r="C51" s="124">
        <v>0</v>
      </c>
      <c r="D51" s="56">
        <v>0</v>
      </c>
      <c r="E51" s="56">
        <f t="shared" ref="E51:E56" si="52">SUM(C51:D51)</f>
        <v>0</v>
      </c>
      <c r="F51" s="58"/>
      <c r="G51" s="55">
        <v>0</v>
      </c>
      <c r="H51" s="57">
        <v>0</v>
      </c>
      <c r="I51" s="57">
        <f t="shared" ref="I51:I56" si="53">SUM(G51:H51)</f>
        <v>0</v>
      </c>
      <c r="J51" s="58"/>
      <c r="K51" s="55">
        <v>0</v>
      </c>
      <c r="L51" s="57">
        <v>0</v>
      </c>
      <c r="M51" s="57">
        <f t="shared" ref="M51:M56" si="54">SUM(K51:L51)</f>
        <v>0</v>
      </c>
      <c r="N51" s="58"/>
      <c r="O51" s="55">
        <v>0</v>
      </c>
      <c r="P51" s="57">
        <v>0</v>
      </c>
      <c r="Q51" s="57">
        <f t="shared" ref="Q51:Q56" si="55">SUM(O51:P51)</f>
        <v>0</v>
      </c>
      <c r="R51" s="58"/>
      <c r="S51" s="55">
        <v>0</v>
      </c>
      <c r="T51" s="57">
        <v>0</v>
      </c>
      <c r="U51" s="57">
        <f t="shared" ref="U51:U56" si="56">SUM(S51:T51)</f>
        <v>0</v>
      </c>
      <c r="V51" s="59"/>
      <c r="W51" s="124">
        <f t="shared" ref="W51:Y57" si="57">C51+G51+K51+O51+S51</f>
        <v>0</v>
      </c>
      <c r="X51" s="57">
        <f t="shared" si="57"/>
        <v>0</v>
      </c>
      <c r="Y51" s="84">
        <f t="shared" si="57"/>
        <v>0</v>
      </c>
    </row>
    <row r="52" spans="1:25" s="61" customFormat="1" x14ac:dyDescent="0.25">
      <c r="A52" s="87"/>
      <c r="B52" s="54" t="s">
        <v>57</v>
      </c>
      <c r="C52" s="124">
        <f>15000*0</f>
        <v>0</v>
      </c>
      <c r="D52" s="56">
        <v>0</v>
      </c>
      <c r="E52" s="56">
        <f t="shared" si="52"/>
        <v>0</v>
      </c>
      <c r="F52" s="58"/>
      <c r="G52" s="55">
        <f>5000*0</f>
        <v>0</v>
      </c>
      <c r="H52" s="57">
        <v>0</v>
      </c>
      <c r="I52" s="57">
        <f t="shared" si="53"/>
        <v>0</v>
      </c>
      <c r="J52" s="58"/>
      <c r="K52" s="55">
        <f>G52</f>
        <v>0</v>
      </c>
      <c r="L52" s="57">
        <v>0</v>
      </c>
      <c r="M52" s="57">
        <f t="shared" si="54"/>
        <v>0</v>
      </c>
      <c r="N52" s="58"/>
      <c r="O52" s="55">
        <f>K52</f>
        <v>0</v>
      </c>
      <c r="P52" s="57">
        <v>0</v>
      </c>
      <c r="Q52" s="57">
        <f t="shared" si="55"/>
        <v>0</v>
      </c>
      <c r="R52" s="58"/>
      <c r="S52" s="55">
        <f>O52</f>
        <v>0</v>
      </c>
      <c r="T52" s="57">
        <v>0</v>
      </c>
      <c r="U52" s="57">
        <f t="shared" si="56"/>
        <v>0</v>
      </c>
      <c r="V52" s="59"/>
      <c r="W52" s="124">
        <f t="shared" si="57"/>
        <v>0</v>
      </c>
      <c r="X52" s="196">
        <f t="shared" si="57"/>
        <v>0</v>
      </c>
      <c r="Y52" s="194">
        <f t="shared" si="57"/>
        <v>0</v>
      </c>
    </row>
    <row r="53" spans="1:25" s="61" customFormat="1" x14ac:dyDescent="0.25">
      <c r="A53" s="87"/>
      <c r="B53" s="195" t="s">
        <v>128</v>
      </c>
      <c r="C53" s="124">
        <v>0</v>
      </c>
      <c r="D53" s="56"/>
      <c r="E53" s="56">
        <f t="shared" si="52"/>
        <v>0</v>
      </c>
      <c r="F53" s="58"/>
      <c r="G53" s="55">
        <f>5000</f>
        <v>5000</v>
      </c>
      <c r="H53" s="57">
        <f>5000*0</f>
        <v>0</v>
      </c>
      <c r="I53" s="57">
        <f t="shared" si="53"/>
        <v>5000</v>
      </c>
      <c r="J53" s="58"/>
      <c r="K53" s="55">
        <v>0</v>
      </c>
      <c r="L53" s="57">
        <v>0</v>
      </c>
      <c r="M53" s="57">
        <f t="shared" si="54"/>
        <v>0</v>
      </c>
      <c r="N53" s="58"/>
      <c r="O53" s="55">
        <f>G53</f>
        <v>5000</v>
      </c>
      <c r="P53" s="57">
        <f>5000*0</f>
        <v>0</v>
      </c>
      <c r="Q53" s="57">
        <f t="shared" si="55"/>
        <v>5000</v>
      </c>
      <c r="R53" s="58"/>
      <c r="S53" s="55">
        <v>0</v>
      </c>
      <c r="T53" s="57">
        <v>0</v>
      </c>
      <c r="U53" s="57">
        <f t="shared" si="56"/>
        <v>0</v>
      </c>
      <c r="V53" s="59"/>
      <c r="W53" s="124">
        <f t="shared" si="57"/>
        <v>10000</v>
      </c>
      <c r="X53" s="57">
        <f t="shared" si="57"/>
        <v>0</v>
      </c>
      <c r="Y53" s="84">
        <f t="shared" si="57"/>
        <v>10000</v>
      </c>
    </row>
    <row r="54" spans="1:25" s="61" customFormat="1" x14ac:dyDescent="0.25">
      <c r="A54" s="235"/>
      <c r="B54" s="199" t="s">
        <v>124</v>
      </c>
      <c r="C54" s="55">
        <f>30000*0</f>
        <v>0</v>
      </c>
      <c r="D54" s="57">
        <v>30000</v>
      </c>
      <c r="E54" s="57">
        <f t="shared" si="52"/>
        <v>30000</v>
      </c>
      <c r="F54" s="58"/>
      <c r="G54" s="55">
        <v>0</v>
      </c>
      <c r="H54" s="57">
        <v>0</v>
      </c>
      <c r="I54" s="57">
        <f t="shared" si="53"/>
        <v>0</v>
      </c>
      <c r="J54" s="58"/>
      <c r="K54" s="55">
        <v>0</v>
      </c>
      <c r="L54" s="57">
        <v>0</v>
      </c>
      <c r="M54" s="57">
        <f t="shared" si="54"/>
        <v>0</v>
      </c>
      <c r="N54" s="58"/>
      <c r="O54" s="55">
        <v>0</v>
      </c>
      <c r="P54" s="57">
        <v>0</v>
      </c>
      <c r="Q54" s="57">
        <f t="shared" si="55"/>
        <v>0</v>
      </c>
      <c r="R54" s="58"/>
      <c r="S54" s="55">
        <v>0</v>
      </c>
      <c r="T54" s="57">
        <v>0</v>
      </c>
      <c r="U54" s="57">
        <f t="shared" si="56"/>
        <v>0</v>
      </c>
      <c r="V54" s="59"/>
      <c r="W54" s="124">
        <f t="shared" si="57"/>
        <v>0</v>
      </c>
      <c r="X54" s="57">
        <f t="shared" si="57"/>
        <v>30000</v>
      </c>
      <c r="Y54" s="202">
        <f t="shared" si="57"/>
        <v>30000</v>
      </c>
    </row>
    <row r="55" spans="1:25" s="61" customFormat="1" x14ac:dyDescent="0.25">
      <c r="B55" s="61" t="s">
        <v>121</v>
      </c>
      <c r="C55" s="55">
        <f>(20*250)+2500</f>
        <v>7500</v>
      </c>
      <c r="D55" s="57">
        <v>0</v>
      </c>
      <c r="E55" s="57">
        <f t="shared" si="52"/>
        <v>7500</v>
      </c>
      <c r="F55" s="58"/>
      <c r="G55" s="55">
        <f>C55+2000</f>
        <v>9500</v>
      </c>
      <c r="H55" s="57">
        <v>0</v>
      </c>
      <c r="I55" s="57">
        <f t="shared" si="53"/>
        <v>9500</v>
      </c>
      <c r="J55" s="58"/>
      <c r="K55" s="55">
        <f>G55*0</f>
        <v>0</v>
      </c>
      <c r="L55" s="57">
        <v>0</v>
      </c>
      <c r="M55" s="57">
        <f t="shared" si="54"/>
        <v>0</v>
      </c>
      <c r="N55" s="58"/>
      <c r="O55" s="55">
        <f>K55+5000+3000</f>
        <v>8000</v>
      </c>
      <c r="P55" s="57">
        <v>0</v>
      </c>
      <c r="Q55" s="57">
        <f t="shared" si="55"/>
        <v>8000</v>
      </c>
      <c r="R55" s="58"/>
      <c r="S55" s="55">
        <f>O55*0</f>
        <v>0</v>
      </c>
      <c r="T55" s="57">
        <v>0</v>
      </c>
      <c r="U55" s="57">
        <f t="shared" si="56"/>
        <v>0</v>
      </c>
      <c r="V55" s="59"/>
      <c r="W55" s="124">
        <f t="shared" si="57"/>
        <v>25000</v>
      </c>
      <c r="X55" s="57">
        <f t="shared" si="57"/>
        <v>0</v>
      </c>
      <c r="Y55" s="202">
        <f t="shared" si="57"/>
        <v>25000</v>
      </c>
    </row>
    <row r="56" spans="1:25" s="61" customFormat="1" x14ac:dyDescent="0.25">
      <c r="A56" s="52"/>
      <c r="B56" s="52" t="s">
        <v>197</v>
      </c>
      <c r="C56" s="124">
        <v>4000</v>
      </c>
      <c r="D56" s="56">
        <v>0</v>
      </c>
      <c r="E56" s="56">
        <f t="shared" si="52"/>
        <v>4000</v>
      </c>
      <c r="F56" s="58"/>
      <c r="G56" s="55">
        <v>0</v>
      </c>
      <c r="H56" s="57">
        <v>0</v>
      </c>
      <c r="I56" s="57">
        <f t="shared" si="53"/>
        <v>0</v>
      </c>
      <c r="J56" s="58"/>
      <c r="K56" s="55">
        <v>4000</v>
      </c>
      <c r="L56" s="57">
        <v>0</v>
      </c>
      <c r="M56" s="57">
        <f t="shared" si="54"/>
        <v>4000</v>
      </c>
      <c r="N56" s="58"/>
      <c r="O56" s="55">
        <v>0</v>
      </c>
      <c r="P56" s="57">
        <v>0</v>
      </c>
      <c r="Q56" s="57">
        <f t="shared" si="55"/>
        <v>0</v>
      </c>
      <c r="R56" s="58"/>
      <c r="S56" s="55">
        <v>0</v>
      </c>
      <c r="T56" s="57">
        <v>0</v>
      </c>
      <c r="U56" s="57">
        <f t="shared" si="56"/>
        <v>0</v>
      </c>
      <c r="V56" s="59"/>
      <c r="W56" s="124">
        <f t="shared" si="57"/>
        <v>8000</v>
      </c>
      <c r="X56" s="57">
        <f t="shared" si="57"/>
        <v>0</v>
      </c>
      <c r="Y56" s="84">
        <f t="shared" si="57"/>
        <v>8000</v>
      </c>
    </row>
    <row r="57" spans="1:25" s="83" customFormat="1" x14ac:dyDescent="0.25">
      <c r="A57" s="78"/>
      <c r="B57" s="78" t="s">
        <v>9</v>
      </c>
      <c r="C57" s="228">
        <f>SUM(C51:C56)</f>
        <v>11500</v>
      </c>
      <c r="D57" s="125">
        <f>SUM(D51:D56)</f>
        <v>30000</v>
      </c>
      <c r="E57" s="125">
        <f>SUM(E51:E56)</f>
        <v>41500</v>
      </c>
      <c r="F57" s="81"/>
      <c r="G57" s="79">
        <f>SUM(G51:G56)</f>
        <v>14500</v>
      </c>
      <c r="H57" s="80">
        <f>SUM(H51:H56)</f>
        <v>0</v>
      </c>
      <c r="I57" s="80">
        <f>SUM(I51:I56)</f>
        <v>14500</v>
      </c>
      <c r="J57" s="81"/>
      <c r="K57" s="79">
        <f>SUM(K51:K56)</f>
        <v>4000</v>
      </c>
      <c r="L57" s="80">
        <f>SUM(L51:L56)</f>
        <v>0</v>
      </c>
      <c r="M57" s="80">
        <f>SUM(M51:M56)</f>
        <v>4000</v>
      </c>
      <c r="N57" s="81"/>
      <c r="O57" s="79">
        <f>SUM(O51:O56)</f>
        <v>13000</v>
      </c>
      <c r="P57" s="80">
        <f>SUM(P51:P56)</f>
        <v>0</v>
      </c>
      <c r="Q57" s="80">
        <f>SUM(Q51:Q56)</f>
        <v>13000</v>
      </c>
      <c r="R57" s="81"/>
      <c r="S57" s="79">
        <f>SUM(S51:S56)</f>
        <v>0</v>
      </c>
      <c r="T57" s="80">
        <f>SUM(T51:T56)</f>
        <v>0</v>
      </c>
      <c r="U57" s="80">
        <f>SUM(U51:U56)</f>
        <v>0</v>
      </c>
      <c r="V57" s="82"/>
      <c r="W57" s="228">
        <f t="shared" si="57"/>
        <v>43000</v>
      </c>
      <c r="X57" s="80">
        <f t="shared" si="57"/>
        <v>30000</v>
      </c>
      <c r="Y57" s="80">
        <f t="shared" si="57"/>
        <v>73000</v>
      </c>
    </row>
    <row r="58" spans="1:25" s="77" customFormat="1" x14ac:dyDescent="0.25">
      <c r="A58" s="74" t="s">
        <v>14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25" s="61" customFormat="1" x14ac:dyDescent="0.25">
      <c r="A59" s="52"/>
      <c r="B59" s="52"/>
      <c r="C59" s="124">
        <v>0</v>
      </c>
      <c r="D59" s="56">
        <v>0</v>
      </c>
      <c r="E59" s="56">
        <f>SUM(C59:D59)</f>
        <v>0</v>
      </c>
      <c r="F59" s="58"/>
      <c r="G59" s="55">
        <v>0</v>
      </c>
      <c r="H59" s="57">
        <v>0</v>
      </c>
      <c r="I59" s="57">
        <f>SUM(G59:H59)</f>
        <v>0</v>
      </c>
      <c r="J59" s="58"/>
      <c r="K59" s="55">
        <v>0</v>
      </c>
      <c r="L59" s="57">
        <v>0</v>
      </c>
      <c r="M59" s="57">
        <f>SUM(K59:L59)</f>
        <v>0</v>
      </c>
      <c r="N59" s="58"/>
      <c r="O59" s="55">
        <v>0</v>
      </c>
      <c r="P59" s="57">
        <v>0</v>
      </c>
      <c r="Q59" s="57">
        <f>SUM(O59:P59)</f>
        <v>0</v>
      </c>
      <c r="R59" s="58"/>
      <c r="S59" s="55">
        <v>0</v>
      </c>
      <c r="T59" s="57">
        <v>0</v>
      </c>
      <c r="U59" s="57">
        <f>SUM(S59:T59)</f>
        <v>0</v>
      </c>
      <c r="V59" s="59"/>
      <c r="W59" s="124">
        <f t="shared" ref="W59:Y63" si="58">C59+G59+K59+O59+S59</f>
        <v>0</v>
      </c>
      <c r="X59" s="57">
        <f t="shared" si="58"/>
        <v>0</v>
      </c>
      <c r="Y59" s="84">
        <f t="shared" si="58"/>
        <v>0</v>
      </c>
    </row>
    <row r="60" spans="1:25" s="61" customFormat="1" x14ac:dyDescent="0.25">
      <c r="A60" s="52"/>
      <c r="B60" s="52"/>
      <c r="C60" s="124">
        <v>0</v>
      </c>
      <c r="D60" s="56">
        <v>0</v>
      </c>
      <c r="E60" s="56">
        <f>SUM(C60:D60)</f>
        <v>0</v>
      </c>
      <c r="F60" s="58"/>
      <c r="G60" s="55">
        <v>0</v>
      </c>
      <c r="H60" s="57">
        <v>0</v>
      </c>
      <c r="I60" s="57">
        <f>SUM(G60:H60)</f>
        <v>0</v>
      </c>
      <c r="J60" s="58"/>
      <c r="K60" s="55">
        <v>0</v>
      </c>
      <c r="L60" s="57">
        <v>0</v>
      </c>
      <c r="M60" s="57">
        <f>SUM(K60:L60)</f>
        <v>0</v>
      </c>
      <c r="N60" s="58"/>
      <c r="O60" s="55">
        <v>0</v>
      </c>
      <c r="P60" s="57">
        <v>0</v>
      </c>
      <c r="Q60" s="57">
        <f>SUM(O60:P60)</f>
        <v>0</v>
      </c>
      <c r="R60" s="58"/>
      <c r="S60" s="55">
        <v>0</v>
      </c>
      <c r="T60" s="57">
        <v>0</v>
      </c>
      <c r="U60" s="57">
        <f>SUM(S60:T60)</f>
        <v>0</v>
      </c>
      <c r="V60" s="59"/>
      <c r="W60" s="124">
        <f t="shared" si="58"/>
        <v>0</v>
      </c>
      <c r="X60" s="57">
        <f t="shared" si="58"/>
        <v>0</v>
      </c>
      <c r="Y60" s="84">
        <f t="shared" si="58"/>
        <v>0</v>
      </c>
    </row>
    <row r="61" spans="1:25" s="61" customFormat="1" x14ac:dyDescent="0.25">
      <c r="A61" s="52"/>
      <c r="B61" s="52"/>
      <c r="C61" s="124">
        <v>0</v>
      </c>
      <c r="D61" s="56">
        <v>0</v>
      </c>
      <c r="E61" s="56">
        <f>SUM(C61:D61)</f>
        <v>0</v>
      </c>
      <c r="F61" s="58"/>
      <c r="G61" s="55">
        <v>0</v>
      </c>
      <c r="H61" s="57">
        <v>0</v>
      </c>
      <c r="I61" s="57">
        <f>SUM(G61:H61)</f>
        <v>0</v>
      </c>
      <c r="J61" s="58"/>
      <c r="K61" s="55">
        <v>0</v>
      </c>
      <c r="L61" s="57">
        <v>0</v>
      </c>
      <c r="M61" s="57">
        <f>SUM(K61:L61)</f>
        <v>0</v>
      </c>
      <c r="N61" s="58"/>
      <c r="O61" s="55">
        <v>0</v>
      </c>
      <c r="P61" s="57">
        <v>0</v>
      </c>
      <c r="Q61" s="57">
        <f>SUM(O61:P61)</f>
        <v>0</v>
      </c>
      <c r="R61" s="58"/>
      <c r="S61" s="55">
        <v>0</v>
      </c>
      <c r="T61" s="57">
        <v>0</v>
      </c>
      <c r="U61" s="57">
        <f>SUM(S61:T61)</f>
        <v>0</v>
      </c>
      <c r="V61" s="59"/>
      <c r="W61" s="124">
        <f t="shared" si="58"/>
        <v>0</v>
      </c>
      <c r="X61" s="57">
        <f t="shared" si="58"/>
        <v>0</v>
      </c>
      <c r="Y61" s="84">
        <f t="shared" si="58"/>
        <v>0</v>
      </c>
    </row>
    <row r="62" spans="1:25" s="61" customFormat="1" x14ac:dyDescent="0.25">
      <c r="A62" s="52"/>
      <c r="B62" s="52"/>
      <c r="C62" s="124">
        <v>0</v>
      </c>
      <c r="D62" s="56">
        <v>0</v>
      </c>
      <c r="E62" s="56">
        <f>SUM(C62:D62)</f>
        <v>0</v>
      </c>
      <c r="F62" s="58"/>
      <c r="G62" s="55">
        <v>0</v>
      </c>
      <c r="H62" s="57">
        <v>0</v>
      </c>
      <c r="I62" s="57">
        <f>SUM(G62:H62)</f>
        <v>0</v>
      </c>
      <c r="J62" s="58"/>
      <c r="K62" s="55">
        <v>0</v>
      </c>
      <c r="L62" s="57">
        <v>0</v>
      </c>
      <c r="M62" s="57">
        <f>SUM(K62:L62)</f>
        <v>0</v>
      </c>
      <c r="N62" s="58"/>
      <c r="O62" s="55">
        <v>0</v>
      </c>
      <c r="P62" s="57">
        <v>0</v>
      </c>
      <c r="Q62" s="57">
        <f>SUM(O62:P62)</f>
        <v>0</v>
      </c>
      <c r="R62" s="58"/>
      <c r="S62" s="55">
        <v>0</v>
      </c>
      <c r="T62" s="57">
        <v>0</v>
      </c>
      <c r="U62" s="57">
        <f>SUM(S62:T62)</f>
        <v>0</v>
      </c>
      <c r="V62" s="59"/>
      <c r="W62" s="124">
        <f t="shared" si="58"/>
        <v>0</v>
      </c>
      <c r="X62" s="57">
        <f t="shared" si="58"/>
        <v>0</v>
      </c>
      <c r="Y62" s="84">
        <f t="shared" si="58"/>
        <v>0</v>
      </c>
    </row>
    <row r="63" spans="1:25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0</v>
      </c>
      <c r="H63" s="125">
        <f>SUM(H59:H62)</f>
        <v>0</v>
      </c>
      <c r="I63" s="125">
        <f>SUM(I59:I62)</f>
        <v>0</v>
      </c>
      <c r="J63" s="81"/>
      <c r="K63" s="79">
        <f>SUM(K59:K62)</f>
        <v>0</v>
      </c>
      <c r="L63" s="125">
        <f>SUM(L59:L62)</f>
        <v>0</v>
      </c>
      <c r="M63" s="125">
        <f>SUM(M59:M62)</f>
        <v>0</v>
      </c>
      <c r="N63" s="81"/>
      <c r="O63" s="79">
        <f>SUM(O59:O62)</f>
        <v>0</v>
      </c>
      <c r="P63" s="125">
        <f>SUM(P59:P62)</f>
        <v>0</v>
      </c>
      <c r="Q63" s="125">
        <f>SUM(Q59:Q62)</f>
        <v>0</v>
      </c>
      <c r="R63" s="81"/>
      <c r="S63" s="79">
        <f>SUM(S59:S62)</f>
        <v>0</v>
      </c>
      <c r="T63" s="125">
        <f>SUM(T59:T62)</f>
        <v>0</v>
      </c>
      <c r="U63" s="125">
        <f>SUM(U59:U62)</f>
        <v>0</v>
      </c>
      <c r="V63" s="82"/>
      <c r="W63" s="228">
        <f t="shared" si="58"/>
        <v>0</v>
      </c>
      <c r="X63" s="80">
        <f t="shared" si="58"/>
        <v>0</v>
      </c>
      <c r="Y63" s="84">
        <f t="shared" si="58"/>
        <v>0</v>
      </c>
    </row>
    <row r="64" spans="1:25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25" s="61" customFormat="1" x14ac:dyDescent="0.25">
      <c r="A65" s="52"/>
      <c r="B65" s="52"/>
      <c r="C65" s="124">
        <v>0</v>
      </c>
      <c r="D65" s="56">
        <v>0</v>
      </c>
      <c r="E65" s="56">
        <f t="shared" ref="E65:E84" si="59">SUM(C65:D65)</f>
        <v>0</v>
      </c>
      <c r="F65" s="58"/>
      <c r="G65" s="55">
        <v>0</v>
      </c>
      <c r="H65" s="56">
        <v>0</v>
      </c>
      <c r="I65" s="57">
        <f t="shared" ref="I65:I84" si="60">SUM(G65:H65)</f>
        <v>0</v>
      </c>
      <c r="J65" s="58"/>
      <c r="K65" s="55">
        <v>0</v>
      </c>
      <c r="L65" s="56">
        <v>0</v>
      </c>
      <c r="M65" s="57">
        <f t="shared" ref="M65:M84" si="61">SUM(K65:L65)</f>
        <v>0</v>
      </c>
      <c r="N65" s="58"/>
      <c r="O65" s="55">
        <v>0</v>
      </c>
      <c r="P65" s="56">
        <v>0</v>
      </c>
      <c r="Q65" s="57">
        <f t="shared" ref="Q65:Q84" si="62">SUM(O65:P65)</f>
        <v>0</v>
      </c>
      <c r="R65" s="58"/>
      <c r="S65" s="55">
        <v>0</v>
      </c>
      <c r="T65" s="56">
        <v>0</v>
      </c>
      <c r="U65" s="57">
        <f t="shared" ref="U65:U84" si="63">SUM(S65:T65)</f>
        <v>0</v>
      </c>
      <c r="V65" s="59"/>
      <c r="W65" s="124">
        <f t="shared" ref="W65:W85" si="64">C65+G65+K65+O65+S65</f>
        <v>0</v>
      </c>
      <c r="X65" s="57">
        <f t="shared" ref="X65:X85" si="65">D65+H65+L65+P65+T65</f>
        <v>0</v>
      </c>
      <c r="Y65" s="84">
        <f t="shared" ref="Y65:Y85" si="66">E65+I65+M65+Q65+U65</f>
        <v>0</v>
      </c>
    </row>
    <row r="66" spans="1:25" s="61" customFormat="1" x14ac:dyDescent="0.25">
      <c r="A66" s="54" t="s">
        <v>57</v>
      </c>
      <c r="B66" s="195" t="s">
        <v>122</v>
      </c>
      <c r="C66" s="124">
        <f>15000*0</f>
        <v>0</v>
      </c>
      <c r="D66" s="56">
        <f>15000*1</f>
        <v>15000</v>
      </c>
      <c r="E66" s="56">
        <f t="shared" si="59"/>
        <v>15000</v>
      </c>
      <c r="F66" s="58"/>
      <c r="G66" s="55">
        <v>0</v>
      </c>
      <c r="H66" s="57">
        <v>0</v>
      </c>
      <c r="I66" s="57">
        <f t="shared" si="60"/>
        <v>0</v>
      </c>
      <c r="J66" s="58"/>
      <c r="K66" s="55">
        <v>0</v>
      </c>
      <c r="L66" s="57">
        <v>0</v>
      </c>
      <c r="M66" s="57">
        <f t="shared" si="61"/>
        <v>0</v>
      </c>
      <c r="N66" s="58"/>
      <c r="O66" s="55">
        <v>0</v>
      </c>
      <c r="P66" s="57">
        <v>0</v>
      </c>
      <c r="Q66" s="57">
        <f t="shared" si="62"/>
        <v>0</v>
      </c>
      <c r="R66" s="58"/>
      <c r="S66" s="55">
        <v>0</v>
      </c>
      <c r="T66" s="57">
        <v>0</v>
      </c>
      <c r="U66" s="57">
        <f t="shared" si="63"/>
        <v>0</v>
      </c>
      <c r="V66" s="59"/>
      <c r="W66" s="124">
        <f t="shared" si="64"/>
        <v>0</v>
      </c>
      <c r="X66" s="196">
        <f t="shared" si="65"/>
        <v>15000</v>
      </c>
      <c r="Y66" s="194">
        <f t="shared" si="66"/>
        <v>15000</v>
      </c>
    </row>
    <row r="67" spans="1:25" s="61" customFormat="1" x14ac:dyDescent="0.25">
      <c r="A67" s="52"/>
      <c r="B67" s="199" t="s">
        <v>196</v>
      </c>
      <c r="C67" s="124">
        <v>0</v>
      </c>
      <c r="D67" s="56">
        <f>35000+35000</f>
        <v>70000</v>
      </c>
      <c r="E67" s="56">
        <f t="shared" si="59"/>
        <v>70000</v>
      </c>
      <c r="F67" s="58"/>
      <c r="G67" s="55">
        <f>C67</f>
        <v>0</v>
      </c>
      <c r="H67" s="56">
        <f>D67</f>
        <v>70000</v>
      </c>
      <c r="I67" s="57">
        <f t="shared" si="60"/>
        <v>70000</v>
      </c>
      <c r="J67" s="58"/>
      <c r="K67" s="55">
        <f>G67</f>
        <v>0</v>
      </c>
      <c r="L67" s="56">
        <f>H67-60000</f>
        <v>10000</v>
      </c>
      <c r="M67" s="57">
        <f t="shared" si="61"/>
        <v>10000</v>
      </c>
      <c r="N67" s="58"/>
      <c r="O67" s="55">
        <f>K67</f>
        <v>0</v>
      </c>
      <c r="P67" s="56">
        <f>L67+60000</f>
        <v>70000</v>
      </c>
      <c r="Q67" s="57">
        <f t="shared" si="62"/>
        <v>70000</v>
      </c>
      <c r="R67" s="58"/>
      <c r="S67" s="55">
        <f>O67</f>
        <v>0</v>
      </c>
      <c r="T67" s="56">
        <v>10000</v>
      </c>
      <c r="U67" s="57">
        <f t="shared" si="63"/>
        <v>10000</v>
      </c>
      <c r="V67" s="59"/>
      <c r="W67" s="124">
        <f t="shared" si="64"/>
        <v>0</v>
      </c>
      <c r="X67" s="196">
        <f t="shared" si="65"/>
        <v>230000</v>
      </c>
      <c r="Y67" s="194">
        <f t="shared" si="66"/>
        <v>230000</v>
      </c>
    </row>
    <row r="68" spans="1:25" s="61" customFormat="1" x14ac:dyDescent="0.25">
      <c r="A68" s="52"/>
      <c r="B68" s="52"/>
      <c r="C68" s="124">
        <v>0</v>
      </c>
      <c r="D68" s="56">
        <v>0</v>
      </c>
      <c r="E68" s="56">
        <f t="shared" si="59"/>
        <v>0</v>
      </c>
      <c r="F68" s="58"/>
      <c r="G68" s="55">
        <v>0</v>
      </c>
      <c r="H68" s="56">
        <v>0</v>
      </c>
      <c r="I68" s="57">
        <f t="shared" si="60"/>
        <v>0</v>
      </c>
      <c r="J68" s="58"/>
      <c r="K68" s="55">
        <v>0</v>
      </c>
      <c r="L68" s="56">
        <v>0</v>
      </c>
      <c r="M68" s="57">
        <f t="shared" si="61"/>
        <v>0</v>
      </c>
      <c r="N68" s="58"/>
      <c r="O68" s="55">
        <v>0</v>
      </c>
      <c r="P68" s="56">
        <v>0</v>
      </c>
      <c r="Q68" s="57">
        <f t="shared" si="62"/>
        <v>0</v>
      </c>
      <c r="R68" s="58"/>
      <c r="S68" s="55">
        <v>0</v>
      </c>
      <c r="T68" s="56">
        <v>0</v>
      </c>
      <c r="U68" s="57">
        <f t="shared" si="63"/>
        <v>0</v>
      </c>
      <c r="V68" s="59"/>
      <c r="W68" s="124">
        <f t="shared" si="64"/>
        <v>0</v>
      </c>
      <c r="X68" s="57">
        <f t="shared" si="65"/>
        <v>0</v>
      </c>
      <c r="Y68" s="84">
        <f t="shared" si="66"/>
        <v>0</v>
      </c>
    </row>
    <row r="69" spans="1:25" s="61" customFormat="1" x14ac:dyDescent="0.25">
      <c r="A69" s="52"/>
      <c r="B69" s="195" t="s">
        <v>118</v>
      </c>
      <c r="C69" s="124">
        <v>0</v>
      </c>
      <c r="D69" s="56">
        <f>5000+5000</f>
        <v>10000</v>
      </c>
      <c r="E69" s="56">
        <f t="shared" si="59"/>
        <v>10000</v>
      </c>
      <c r="F69" s="58"/>
      <c r="G69" s="55">
        <f>C69</f>
        <v>0</v>
      </c>
      <c r="H69" s="57">
        <f>D69</f>
        <v>10000</v>
      </c>
      <c r="I69" s="57">
        <f t="shared" si="60"/>
        <v>10000</v>
      </c>
      <c r="J69" s="58"/>
      <c r="K69" s="55">
        <f>G69</f>
        <v>0</v>
      </c>
      <c r="L69" s="57">
        <f>H69</f>
        <v>10000</v>
      </c>
      <c r="M69" s="57">
        <f t="shared" si="61"/>
        <v>10000</v>
      </c>
      <c r="N69" s="58"/>
      <c r="O69" s="55">
        <f>K69</f>
        <v>0</v>
      </c>
      <c r="P69" s="57">
        <f>L69</f>
        <v>10000</v>
      </c>
      <c r="Q69" s="57">
        <f t="shared" si="62"/>
        <v>10000</v>
      </c>
      <c r="R69" s="58"/>
      <c r="S69" s="55">
        <f>O69</f>
        <v>0</v>
      </c>
      <c r="T69" s="57">
        <f>P69-2500</f>
        <v>7500</v>
      </c>
      <c r="U69" s="57">
        <f t="shared" si="63"/>
        <v>7500</v>
      </c>
      <c r="V69" s="59"/>
      <c r="W69" s="124">
        <f t="shared" si="64"/>
        <v>0</v>
      </c>
      <c r="X69" s="57">
        <f t="shared" si="65"/>
        <v>47500</v>
      </c>
      <c r="Y69" s="84">
        <f t="shared" si="66"/>
        <v>47500</v>
      </c>
    </row>
    <row r="70" spans="1:25" s="61" customFormat="1" x14ac:dyDescent="0.25">
      <c r="A70" s="52"/>
      <c r="B70" s="52"/>
      <c r="C70" s="124">
        <v>0</v>
      </c>
      <c r="D70" s="56">
        <v>0</v>
      </c>
      <c r="E70" s="56">
        <f t="shared" si="59"/>
        <v>0</v>
      </c>
      <c r="F70" s="58"/>
      <c r="G70" s="55">
        <v>0</v>
      </c>
      <c r="H70" s="56">
        <v>0</v>
      </c>
      <c r="I70" s="57">
        <f t="shared" si="60"/>
        <v>0</v>
      </c>
      <c r="J70" s="58"/>
      <c r="K70" s="55">
        <v>0</v>
      </c>
      <c r="L70" s="56">
        <v>0</v>
      </c>
      <c r="M70" s="57">
        <f t="shared" si="61"/>
        <v>0</v>
      </c>
      <c r="N70" s="58"/>
      <c r="O70" s="55">
        <v>0</v>
      </c>
      <c r="P70" s="56">
        <v>0</v>
      </c>
      <c r="Q70" s="57">
        <f t="shared" si="62"/>
        <v>0</v>
      </c>
      <c r="R70" s="58"/>
      <c r="S70" s="55">
        <v>0</v>
      </c>
      <c r="T70" s="57">
        <v>0</v>
      </c>
      <c r="U70" s="57">
        <f t="shared" si="63"/>
        <v>0</v>
      </c>
      <c r="V70" s="59"/>
      <c r="W70" s="124">
        <f t="shared" si="64"/>
        <v>0</v>
      </c>
      <c r="X70" s="57">
        <f t="shared" si="65"/>
        <v>0</v>
      </c>
      <c r="Y70" s="84">
        <f t="shared" si="66"/>
        <v>0</v>
      </c>
    </row>
    <row r="71" spans="1:25" s="61" customFormat="1" x14ac:dyDescent="0.25">
      <c r="A71" s="235"/>
      <c r="B71" s="199" t="s">
        <v>194</v>
      </c>
      <c r="C71" s="55"/>
      <c r="D71" s="57">
        <v>0</v>
      </c>
      <c r="E71" s="57">
        <f t="shared" si="59"/>
        <v>0</v>
      </c>
      <c r="F71" s="58"/>
      <c r="G71" s="55">
        <f>10*2000*0</f>
        <v>0</v>
      </c>
      <c r="H71" s="57">
        <v>20000</v>
      </c>
      <c r="I71" s="57">
        <f t="shared" si="60"/>
        <v>20000</v>
      </c>
      <c r="J71" s="58"/>
      <c r="K71" s="55">
        <v>0</v>
      </c>
      <c r="L71" s="57">
        <v>0</v>
      </c>
      <c r="M71" s="57">
        <f t="shared" si="61"/>
        <v>0</v>
      </c>
      <c r="N71" s="58"/>
      <c r="O71" s="55">
        <v>0</v>
      </c>
      <c r="P71" s="57">
        <v>0</v>
      </c>
      <c r="Q71" s="57">
        <f t="shared" si="62"/>
        <v>0</v>
      </c>
      <c r="R71" s="58"/>
      <c r="S71" s="55">
        <v>0</v>
      </c>
      <c r="T71" s="57">
        <v>0</v>
      </c>
      <c r="U71" s="57">
        <f t="shared" si="63"/>
        <v>0</v>
      </c>
      <c r="V71" s="59"/>
      <c r="W71" s="124">
        <f t="shared" si="64"/>
        <v>0</v>
      </c>
      <c r="X71" s="57">
        <f t="shared" si="65"/>
        <v>20000</v>
      </c>
      <c r="Y71" s="202">
        <f t="shared" si="66"/>
        <v>20000</v>
      </c>
    </row>
    <row r="72" spans="1:25" s="61" customFormat="1" x14ac:dyDescent="0.25">
      <c r="A72" s="52"/>
      <c r="B72" s="52"/>
      <c r="C72" s="124">
        <v>0</v>
      </c>
      <c r="D72" s="56">
        <v>0</v>
      </c>
      <c r="E72" s="56">
        <f t="shared" si="59"/>
        <v>0</v>
      </c>
      <c r="F72" s="58"/>
      <c r="G72" s="55">
        <v>0</v>
      </c>
      <c r="H72" s="57">
        <v>0</v>
      </c>
      <c r="I72" s="57">
        <f t="shared" si="60"/>
        <v>0</v>
      </c>
      <c r="J72" s="58"/>
      <c r="K72" s="55">
        <v>0</v>
      </c>
      <c r="L72" s="57">
        <v>0</v>
      </c>
      <c r="M72" s="57">
        <f t="shared" si="61"/>
        <v>0</v>
      </c>
      <c r="N72" s="58"/>
      <c r="O72" s="55">
        <v>0</v>
      </c>
      <c r="P72" s="57">
        <v>0</v>
      </c>
      <c r="Q72" s="57">
        <f t="shared" si="62"/>
        <v>0</v>
      </c>
      <c r="R72" s="58"/>
      <c r="S72" s="55">
        <v>0</v>
      </c>
      <c r="T72" s="57">
        <v>0</v>
      </c>
      <c r="U72" s="57">
        <f t="shared" si="63"/>
        <v>0</v>
      </c>
      <c r="V72" s="59"/>
      <c r="W72" s="124">
        <f t="shared" si="64"/>
        <v>0</v>
      </c>
      <c r="X72" s="57">
        <f t="shared" si="65"/>
        <v>0</v>
      </c>
      <c r="Y72" s="84">
        <f t="shared" si="66"/>
        <v>0</v>
      </c>
    </row>
    <row r="73" spans="1:25" s="61" customFormat="1" x14ac:dyDescent="0.25">
      <c r="A73" s="87"/>
      <c r="B73" s="54"/>
      <c r="C73" s="124">
        <v>0</v>
      </c>
      <c r="D73" s="56">
        <v>0</v>
      </c>
      <c r="E73" s="56">
        <f t="shared" si="59"/>
        <v>0</v>
      </c>
      <c r="F73" s="58"/>
      <c r="G73" s="55">
        <v>0</v>
      </c>
      <c r="H73" s="57">
        <v>0</v>
      </c>
      <c r="I73" s="57">
        <f t="shared" si="60"/>
        <v>0</v>
      </c>
      <c r="J73" s="58"/>
      <c r="K73" s="55">
        <v>0</v>
      </c>
      <c r="L73" s="57">
        <v>0</v>
      </c>
      <c r="M73" s="57">
        <f t="shared" si="61"/>
        <v>0</v>
      </c>
      <c r="N73" s="58"/>
      <c r="O73" s="55">
        <v>0</v>
      </c>
      <c r="P73" s="57">
        <v>0</v>
      </c>
      <c r="Q73" s="57">
        <f t="shared" si="62"/>
        <v>0</v>
      </c>
      <c r="R73" s="58"/>
      <c r="S73" s="55">
        <v>0</v>
      </c>
      <c r="T73" s="57">
        <v>0</v>
      </c>
      <c r="U73" s="57">
        <f t="shared" si="63"/>
        <v>0</v>
      </c>
      <c r="V73" s="59"/>
      <c r="W73" s="124">
        <f t="shared" si="64"/>
        <v>0</v>
      </c>
      <c r="X73" s="57">
        <f t="shared" si="65"/>
        <v>0</v>
      </c>
      <c r="Y73" s="84">
        <f t="shared" si="66"/>
        <v>0</v>
      </c>
    </row>
    <row r="74" spans="1:25" s="61" customFormat="1" x14ac:dyDescent="0.25">
      <c r="A74" s="87"/>
      <c r="B74" s="54"/>
      <c r="C74" s="124">
        <v>0</v>
      </c>
      <c r="D74" s="56">
        <v>0</v>
      </c>
      <c r="E74" s="56">
        <f t="shared" si="59"/>
        <v>0</v>
      </c>
      <c r="F74" s="58"/>
      <c r="G74" s="55">
        <v>0</v>
      </c>
      <c r="H74" s="57">
        <v>0</v>
      </c>
      <c r="I74" s="57">
        <f t="shared" si="60"/>
        <v>0</v>
      </c>
      <c r="J74" s="58"/>
      <c r="K74" s="55">
        <v>0</v>
      </c>
      <c r="L74" s="57">
        <v>0</v>
      </c>
      <c r="M74" s="57">
        <f t="shared" si="61"/>
        <v>0</v>
      </c>
      <c r="N74" s="58"/>
      <c r="O74" s="55">
        <v>0</v>
      </c>
      <c r="P74" s="57">
        <v>0</v>
      </c>
      <c r="Q74" s="57">
        <f t="shared" si="62"/>
        <v>0</v>
      </c>
      <c r="R74" s="58"/>
      <c r="S74" s="55">
        <v>0</v>
      </c>
      <c r="T74" s="57">
        <v>0</v>
      </c>
      <c r="U74" s="57">
        <f t="shared" si="63"/>
        <v>0</v>
      </c>
      <c r="V74" s="59"/>
      <c r="W74" s="124">
        <f t="shared" si="64"/>
        <v>0</v>
      </c>
      <c r="X74" s="57">
        <f t="shared" si="65"/>
        <v>0</v>
      </c>
      <c r="Y74" s="84">
        <f t="shared" si="66"/>
        <v>0</v>
      </c>
    </row>
    <row r="75" spans="1:25" s="61" customFormat="1" x14ac:dyDescent="0.25">
      <c r="A75" s="87"/>
      <c r="B75" s="54"/>
      <c r="C75" s="124">
        <v>0</v>
      </c>
      <c r="D75" s="56">
        <v>0</v>
      </c>
      <c r="E75" s="56">
        <f t="shared" si="59"/>
        <v>0</v>
      </c>
      <c r="F75" s="58"/>
      <c r="G75" s="55">
        <v>0</v>
      </c>
      <c r="H75" s="57">
        <v>0</v>
      </c>
      <c r="I75" s="57">
        <f t="shared" si="60"/>
        <v>0</v>
      </c>
      <c r="J75" s="58"/>
      <c r="K75" s="55">
        <v>0</v>
      </c>
      <c r="L75" s="57">
        <v>0</v>
      </c>
      <c r="M75" s="57">
        <f t="shared" si="61"/>
        <v>0</v>
      </c>
      <c r="N75" s="58"/>
      <c r="O75" s="55">
        <v>0</v>
      </c>
      <c r="P75" s="57">
        <v>0</v>
      </c>
      <c r="Q75" s="57">
        <f t="shared" si="62"/>
        <v>0</v>
      </c>
      <c r="R75" s="58"/>
      <c r="S75" s="55">
        <v>0</v>
      </c>
      <c r="T75" s="57">
        <v>0</v>
      </c>
      <c r="U75" s="57">
        <f t="shared" si="63"/>
        <v>0</v>
      </c>
      <c r="V75" s="59"/>
      <c r="W75" s="124">
        <f t="shared" si="64"/>
        <v>0</v>
      </c>
      <c r="X75" s="57">
        <f t="shared" si="65"/>
        <v>0</v>
      </c>
      <c r="Y75" s="84">
        <f t="shared" si="66"/>
        <v>0</v>
      </c>
    </row>
    <row r="76" spans="1:25" s="61" customFormat="1" x14ac:dyDescent="0.25">
      <c r="A76" s="87"/>
      <c r="B76" s="54"/>
      <c r="C76" s="124">
        <v>0</v>
      </c>
      <c r="D76" s="56">
        <v>0</v>
      </c>
      <c r="E76" s="56">
        <f t="shared" si="59"/>
        <v>0</v>
      </c>
      <c r="F76" s="58"/>
      <c r="G76" s="55">
        <v>0</v>
      </c>
      <c r="H76" s="57">
        <v>0</v>
      </c>
      <c r="I76" s="57">
        <f t="shared" si="60"/>
        <v>0</v>
      </c>
      <c r="J76" s="58"/>
      <c r="K76" s="55">
        <v>0</v>
      </c>
      <c r="L76" s="57">
        <v>0</v>
      </c>
      <c r="M76" s="57">
        <f t="shared" si="61"/>
        <v>0</v>
      </c>
      <c r="N76" s="58"/>
      <c r="O76" s="55">
        <v>0</v>
      </c>
      <c r="P76" s="57">
        <v>0</v>
      </c>
      <c r="Q76" s="57">
        <f t="shared" si="62"/>
        <v>0</v>
      </c>
      <c r="R76" s="58"/>
      <c r="S76" s="55">
        <v>0</v>
      </c>
      <c r="T76" s="57">
        <v>0</v>
      </c>
      <c r="U76" s="57">
        <f t="shared" si="63"/>
        <v>0</v>
      </c>
      <c r="V76" s="59"/>
      <c r="W76" s="124">
        <f t="shared" si="64"/>
        <v>0</v>
      </c>
      <c r="X76" s="57">
        <f t="shared" si="65"/>
        <v>0</v>
      </c>
      <c r="Y76" s="84">
        <f t="shared" si="66"/>
        <v>0</v>
      </c>
    </row>
    <row r="77" spans="1:25" s="61" customFormat="1" x14ac:dyDescent="0.25">
      <c r="A77" s="87"/>
      <c r="B77" s="54"/>
      <c r="C77" s="124">
        <v>0</v>
      </c>
      <c r="D77" s="56">
        <v>0</v>
      </c>
      <c r="E77" s="56">
        <f t="shared" si="59"/>
        <v>0</v>
      </c>
      <c r="F77" s="58"/>
      <c r="G77" s="55">
        <v>0</v>
      </c>
      <c r="H77" s="57">
        <v>0</v>
      </c>
      <c r="I77" s="57">
        <f t="shared" si="60"/>
        <v>0</v>
      </c>
      <c r="J77" s="58"/>
      <c r="K77" s="55">
        <v>0</v>
      </c>
      <c r="L77" s="57">
        <v>0</v>
      </c>
      <c r="M77" s="57">
        <f t="shared" si="61"/>
        <v>0</v>
      </c>
      <c r="N77" s="58"/>
      <c r="O77" s="55">
        <v>0</v>
      </c>
      <c r="P77" s="57">
        <v>0</v>
      </c>
      <c r="Q77" s="57">
        <f t="shared" si="62"/>
        <v>0</v>
      </c>
      <c r="R77" s="58"/>
      <c r="S77" s="55">
        <v>0</v>
      </c>
      <c r="T77" s="57">
        <v>0</v>
      </c>
      <c r="U77" s="57">
        <f t="shared" si="63"/>
        <v>0</v>
      </c>
      <c r="V77" s="59"/>
      <c r="W77" s="124">
        <f t="shared" si="64"/>
        <v>0</v>
      </c>
      <c r="X77" s="57">
        <f t="shared" si="65"/>
        <v>0</v>
      </c>
      <c r="Y77" s="84">
        <f t="shared" si="66"/>
        <v>0</v>
      </c>
    </row>
    <row r="78" spans="1:25" s="61" customFormat="1" x14ac:dyDescent="0.25">
      <c r="A78" s="87"/>
      <c r="B78" s="54"/>
      <c r="C78" s="124">
        <v>0</v>
      </c>
      <c r="D78" s="56">
        <v>0</v>
      </c>
      <c r="E78" s="56">
        <f t="shared" si="59"/>
        <v>0</v>
      </c>
      <c r="F78" s="58"/>
      <c r="G78" s="55">
        <v>0</v>
      </c>
      <c r="H78" s="57">
        <v>0</v>
      </c>
      <c r="I78" s="57">
        <f t="shared" si="60"/>
        <v>0</v>
      </c>
      <c r="J78" s="58"/>
      <c r="K78" s="55">
        <v>0</v>
      </c>
      <c r="L78" s="57">
        <v>0</v>
      </c>
      <c r="M78" s="57">
        <f t="shared" si="61"/>
        <v>0</v>
      </c>
      <c r="N78" s="58"/>
      <c r="O78" s="55">
        <v>0</v>
      </c>
      <c r="P78" s="57">
        <v>0</v>
      </c>
      <c r="Q78" s="57">
        <f t="shared" si="62"/>
        <v>0</v>
      </c>
      <c r="R78" s="58"/>
      <c r="S78" s="55">
        <v>0</v>
      </c>
      <c r="T78" s="57">
        <v>0</v>
      </c>
      <c r="U78" s="57">
        <f t="shared" si="63"/>
        <v>0</v>
      </c>
      <c r="V78" s="59"/>
      <c r="W78" s="124">
        <f t="shared" si="64"/>
        <v>0</v>
      </c>
      <c r="X78" s="57">
        <f t="shared" si="65"/>
        <v>0</v>
      </c>
      <c r="Y78" s="84">
        <f t="shared" si="66"/>
        <v>0</v>
      </c>
    </row>
    <row r="79" spans="1:25" s="61" customFormat="1" x14ac:dyDescent="0.25">
      <c r="A79" s="87"/>
      <c r="B79" s="54"/>
      <c r="C79" s="124">
        <v>0</v>
      </c>
      <c r="D79" s="56">
        <v>0</v>
      </c>
      <c r="E79" s="56">
        <f t="shared" si="59"/>
        <v>0</v>
      </c>
      <c r="F79" s="58"/>
      <c r="G79" s="55">
        <v>0</v>
      </c>
      <c r="H79" s="57">
        <v>0</v>
      </c>
      <c r="I79" s="57">
        <f t="shared" si="60"/>
        <v>0</v>
      </c>
      <c r="J79" s="58"/>
      <c r="K79" s="55">
        <v>0</v>
      </c>
      <c r="L79" s="57">
        <v>0</v>
      </c>
      <c r="M79" s="57">
        <f t="shared" si="61"/>
        <v>0</v>
      </c>
      <c r="N79" s="58"/>
      <c r="O79" s="55">
        <v>0</v>
      </c>
      <c r="P79" s="57">
        <v>0</v>
      </c>
      <c r="Q79" s="57">
        <f t="shared" si="62"/>
        <v>0</v>
      </c>
      <c r="R79" s="58"/>
      <c r="S79" s="55">
        <v>0</v>
      </c>
      <c r="T79" s="57">
        <v>0</v>
      </c>
      <c r="U79" s="57">
        <f t="shared" si="63"/>
        <v>0</v>
      </c>
      <c r="V79" s="59"/>
      <c r="W79" s="124">
        <f t="shared" si="64"/>
        <v>0</v>
      </c>
      <c r="X79" s="57">
        <f t="shared" si="65"/>
        <v>0</v>
      </c>
      <c r="Y79" s="84">
        <f t="shared" si="66"/>
        <v>0</v>
      </c>
    </row>
    <row r="80" spans="1:25" s="61" customFormat="1" x14ac:dyDescent="0.25">
      <c r="A80" s="52"/>
      <c r="B80" s="52"/>
      <c r="C80" s="124">
        <v>0</v>
      </c>
      <c r="D80" s="56">
        <v>0</v>
      </c>
      <c r="E80" s="56">
        <f t="shared" si="59"/>
        <v>0</v>
      </c>
      <c r="F80" s="58"/>
      <c r="G80" s="55">
        <v>0</v>
      </c>
      <c r="H80" s="57">
        <v>0</v>
      </c>
      <c r="I80" s="57">
        <f t="shared" si="60"/>
        <v>0</v>
      </c>
      <c r="J80" s="58"/>
      <c r="K80" s="55">
        <v>0</v>
      </c>
      <c r="L80" s="57">
        <v>0</v>
      </c>
      <c r="M80" s="57">
        <f t="shared" si="61"/>
        <v>0</v>
      </c>
      <c r="N80" s="58"/>
      <c r="O80" s="55">
        <v>0</v>
      </c>
      <c r="P80" s="57">
        <v>0</v>
      </c>
      <c r="Q80" s="57">
        <f t="shared" si="62"/>
        <v>0</v>
      </c>
      <c r="R80" s="58"/>
      <c r="S80" s="55">
        <v>0</v>
      </c>
      <c r="T80" s="57">
        <v>0</v>
      </c>
      <c r="U80" s="57">
        <f t="shared" si="63"/>
        <v>0</v>
      </c>
      <c r="V80" s="59"/>
      <c r="W80" s="124">
        <f t="shared" si="64"/>
        <v>0</v>
      </c>
      <c r="X80" s="57">
        <f t="shared" si="65"/>
        <v>0</v>
      </c>
      <c r="Y80" s="84">
        <f t="shared" si="66"/>
        <v>0</v>
      </c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59"/>
        <v>0</v>
      </c>
      <c r="F81" s="58"/>
      <c r="G81" s="55">
        <v>0</v>
      </c>
      <c r="H81" s="57">
        <v>0</v>
      </c>
      <c r="I81" s="57">
        <f t="shared" si="60"/>
        <v>0</v>
      </c>
      <c r="J81" s="58"/>
      <c r="K81" s="55">
        <v>0</v>
      </c>
      <c r="L81" s="57">
        <v>0</v>
      </c>
      <c r="M81" s="57">
        <f t="shared" si="61"/>
        <v>0</v>
      </c>
      <c r="N81" s="58"/>
      <c r="O81" s="55">
        <v>0</v>
      </c>
      <c r="P81" s="57">
        <v>0</v>
      </c>
      <c r="Q81" s="57">
        <f t="shared" si="62"/>
        <v>0</v>
      </c>
      <c r="R81" s="58"/>
      <c r="S81" s="55">
        <v>0</v>
      </c>
      <c r="T81" s="57">
        <v>0</v>
      </c>
      <c r="U81" s="57">
        <f t="shared" si="63"/>
        <v>0</v>
      </c>
      <c r="V81" s="59"/>
      <c r="W81" s="124">
        <f t="shared" si="64"/>
        <v>0</v>
      </c>
      <c r="X81" s="57">
        <f t="shared" si="65"/>
        <v>0</v>
      </c>
      <c r="Y81" s="84">
        <f t="shared" si="66"/>
        <v>0</v>
      </c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59"/>
        <v>0</v>
      </c>
      <c r="F82" s="58"/>
      <c r="G82" s="55">
        <v>0</v>
      </c>
      <c r="H82" s="57">
        <v>0</v>
      </c>
      <c r="I82" s="57">
        <f t="shared" si="60"/>
        <v>0</v>
      </c>
      <c r="J82" s="58"/>
      <c r="K82" s="55">
        <v>0</v>
      </c>
      <c r="L82" s="57">
        <v>0</v>
      </c>
      <c r="M82" s="57">
        <f t="shared" si="61"/>
        <v>0</v>
      </c>
      <c r="N82" s="58"/>
      <c r="O82" s="55">
        <v>0</v>
      </c>
      <c r="P82" s="57">
        <v>0</v>
      </c>
      <c r="Q82" s="57">
        <f t="shared" si="62"/>
        <v>0</v>
      </c>
      <c r="R82" s="58"/>
      <c r="S82" s="55">
        <v>0</v>
      </c>
      <c r="T82" s="57">
        <v>0</v>
      </c>
      <c r="U82" s="57">
        <f t="shared" si="63"/>
        <v>0</v>
      </c>
      <c r="V82" s="59"/>
      <c r="W82" s="124">
        <f t="shared" si="64"/>
        <v>0</v>
      </c>
      <c r="X82" s="57">
        <f t="shared" si="65"/>
        <v>0</v>
      </c>
      <c r="Y82" s="84">
        <f t="shared" si="66"/>
        <v>0</v>
      </c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59"/>
        <v>0</v>
      </c>
      <c r="F83" s="58"/>
      <c r="G83" s="55">
        <v>0</v>
      </c>
      <c r="H83" s="57">
        <v>0</v>
      </c>
      <c r="I83" s="57">
        <f t="shared" si="60"/>
        <v>0</v>
      </c>
      <c r="J83" s="58"/>
      <c r="K83" s="55">
        <v>0</v>
      </c>
      <c r="L83" s="57">
        <v>0</v>
      </c>
      <c r="M83" s="57">
        <f t="shared" si="61"/>
        <v>0</v>
      </c>
      <c r="N83" s="58"/>
      <c r="O83" s="55">
        <v>0</v>
      </c>
      <c r="P83" s="57">
        <v>0</v>
      </c>
      <c r="Q83" s="57">
        <f t="shared" si="62"/>
        <v>0</v>
      </c>
      <c r="R83" s="58"/>
      <c r="S83" s="55">
        <v>0</v>
      </c>
      <c r="T83" s="57">
        <v>0</v>
      </c>
      <c r="U83" s="57">
        <f t="shared" si="63"/>
        <v>0</v>
      </c>
      <c r="V83" s="59"/>
      <c r="W83" s="124">
        <f t="shared" si="64"/>
        <v>0</v>
      </c>
      <c r="X83" s="57">
        <f t="shared" si="65"/>
        <v>0</v>
      </c>
      <c r="Y83" s="84">
        <f t="shared" si="66"/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59"/>
        <v>0</v>
      </c>
      <c r="F84" s="58"/>
      <c r="G84" s="55">
        <v>0</v>
      </c>
      <c r="H84" s="57">
        <v>0</v>
      </c>
      <c r="I84" s="57">
        <f t="shared" si="60"/>
        <v>0</v>
      </c>
      <c r="J84" s="58"/>
      <c r="K84" s="55">
        <v>0</v>
      </c>
      <c r="L84" s="57">
        <v>0</v>
      </c>
      <c r="M84" s="57">
        <f t="shared" si="61"/>
        <v>0</v>
      </c>
      <c r="N84" s="58"/>
      <c r="O84" s="55">
        <v>0</v>
      </c>
      <c r="P84" s="57">
        <v>0</v>
      </c>
      <c r="Q84" s="57">
        <f t="shared" si="62"/>
        <v>0</v>
      </c>
      <c r="R84" s="58"/>
      <c r="S84" s="55">
        <v>0</v>
      </c>
      <c r="T84" s="57">
        <v>0</v>
      </c>
      <c r="U84" s="57">
        <f t="shared" si="63"/>
        <v>0</v>
      </c>
      <c r="V84" s="59"/>
      <c r="W84" s="124">
        <f t="shared" si="64"/>
        <v>0</v>
      </c>
      <c r="X84" s="57">
        <f t="shared" si="65"/>
        <v>0</v>
      </c>
      <c r="Y84" s="84">
        <f t="shared" si="66"/>
        <v>0</v>
      </c>
    </row>
    <row r="85" spans="1:77" s="83" customFormat="1" x14ac:dyDescent="0.25">
      <c r="A85" s="78"/>
      <c r="B85" s="78" t="s">
        <v>9</v>
      </c>
      <c r="C85" s="229">
        <f>SUM(C65:C84)</f>
        <v>0</v>
      </c>
      <c r="D85" s="153">
        <f>SUM(D65:D84)</f>
        <v>95000</v>
      </c>
      <c r="E85" s="153">
        <f>SUM(E65:E84)</f>
        <v>95000</v>
      </c>
      <c r="F85" s="154"/>
      <c r="G85" s="152">
        <f>SUM(G65:G84)</f>
        <v>0</v>
      </c>
      <c r="H85" s="153">
        <f>SUM(H65:H84)</f>
        <v>100000</v>
      </c>
      <c r="I85" s="153">
        <f>SUM(I65:I84)</f>
        <v>100000</v>
      </c>
      <c r="J85" s="154"/>
      <c r="K85" s="152">
        <f>SUM(K65:K84)</f>
        <v>0</v>
      </c>
      <c r="L85" s="153">
        <f>SUM(L65:L84)</f>
        <v>20000</v>
      </c>
      <c r="M85" s="153">
        <f>SUM(M65:M84)</f>
        <v>20000</v>
      </c>
      <c r="N85" s="154"/>
      <c r="O85" s="152">
        <f>SUM(O65:O84)</f>
        <v>0</v>
      </c>
      <c r="P85" s="153">
        <f>SUM(P65:P84)</f>
        <v>80000</v>
      </c>
      <c r="Q85" s="153">
        <f>SUM(Q65:Q84)</f>
        <v>80000</v>
      </c>
      <c r="R85" s="154"/>
      <c r="S85" s="152">
        <f>SUM(S65:S84)</f>
        <v>0</v>
      </c>
      <c r="T85" s="153">
        <f>SUM(T65:T84)</f>
        <v>17500</v>
      </c>
      <c r="U85" s="153">
        <f>SUM(U65:U84)</f>
        <v>17500</v>
      </c>
      <c r="V85" s="82"/>
      <c r="W85" s="228">
        <f t="shared" si="64"/>
        <v>0</v>
      </c>
      <c r="X85" s="80">
        <f t="shared" si="65"/>
        <v>312500</v>
      </c>
      <c r="Y85" s="80">
        <f t="shared" si="66"/>
        <v>312500</v>
      </c>
    </row>
    <row r="86" spans="1:77" s="97" customFormat="1" x14ac:dyDescent="0.25">
      <c r="A86" s="89" t="s">
        <v>28</v>
      </c>
      <c r="B86" s="89"/>
      <c r="C86" s="95">
        <f>C85+C63+C57+C49+C37</f>
        <v>11500</v>
      </c>
      <c r="D86" s="95">
        <f t="shared" ref="D86:X86" si="67">D85+D63+D57+D49+D37</f>
        <v>125000</v>
      </c>
      <c r="E86" s="95">
        <f>SUM(C86:D86)</f>
        <v>136500</v>
      </c>
      <c r="F86" s="95"/>
      <c r="G86" s="95">
        <f t="shared" si="67"/>
        <v>14500</v>
      </c>
      <c r="H86" s="95">
        <f t="shared" si="67"/>
        <v>100000</v>
      </c>
      <c r="I86" s="95">
        <f>SUM(G86:H86)</f>
        <v>114500</v>
      </c>
      <c r="J86" s="95"/>
      <c r="K86" s="95">
        <f t="shared" si="67"/>
        <v>4000</v>
      </c>
      <c r="L86" s="95">
        <f t="shared" si="67"/>
        <v>20000</v>
      </c>
      <c r="M86" s="95">
        <f>SUM(K86:L86)</f>
        <v>24000</v>
      </c>
      <c r="N86" s="95"/>
      <c r="O86" s="95">
        <f t="shared" si="67"/>
        <v>13000</v>
      </c>
      <c r="P86" s="95">
        <f t="shared" si="67"/>
        <v>80000</v>
      </c>
      <c r="Q86" s="95">
        <f>SUM(O86:P86)</f>
        <v>93000</v>
      </c>
      <c r="R86" s="95"/>
      <c r="S86" s="95">
        <f t="shared" si="67"/>
        <v>0</v>
      </c>
      <c r="T86" s="95">
        <f t="shared" si="67"/>
        <v>17500</v>
      </c>
      <c r="U86" s="95">
        <f>SUM(S86:T86)</f>
        <v>17500</v>
      </c>
      <c r="V86" s="95"/>
      <c r="W86" s="95">
        <f t="shared" si="67"/>
        <v>43000</v>
      </c>
      <c r="X86" s="95">
        <f t="shared" si="67"/>
        <v>342500</v>
      </c>
      <c r="Y86" s="95">
        <f>SUM(W86:X86)</f>
        <v>385500</v>
      </c>
      <c r="Z86" s="96">
        <f>Y86+37500+37500</f>
        <v>460500</v>
      </c>
      <c r="AA86" s="96">
        <f>Y86-W86</f>
        <v>342500</v>
      </c>
    </row>
    <row r="87" spans="1:77" s="97" customFormat="1" x14ac:dyDescent="0.25">
      <c r="A87" s="89" t="s">
        <v>27</v>
      </c>
      <c r="B87" s="89"/>
      <c r="C87" s="95">
        <f>(C37+C57+C85)*0.5</f>
        <v>5750</v>
      </c>
      <c r="D87" s="95">
        <v>0</v>
      </c>
      <c r="E87" s="95">
        <f>SUM(C87:D87)</f>
        <v>5750</v>
      </c>
      <c r="F87" s="95"/>
      <c r="G87" s="95">
        <f>(G37+G57+G85)*0.5</f>
        <v>7250</v>
      </c>
      <c r="H87" s="95">
        <v>0</v>
      </c>
      <c r="I87" s="95">
        <f>SUM(G87:H87)</f>
        <v>7250</v>
      </c>
      <c r="J87" s="95">
        <f>(J37+J57+J85)*0.453</f>
        <v>0</v>
      </c>
      <c r="K87" s="95">
        <f>(K37+K57+K85)*0.5</f>
        <v>2000</v>
      </c>
      <c r="L87" s="95">
        <v>0</v>
      </c>
      <c r="M87" s="95">
        <f>SUM(K87:L87)</f>
        <v>2000</v>
      </c>
      <c r="N87" s="95">
        <f>(N37+N57+N85)*0.453</f>
        <v>0</v>
      </c>
      <c r="O87" s="95">
        <f>(O37+O57+O85)*0.5</f>
        <v>6500</v>
      </c>
      <c r="P87" s="95">
        <v>0</v>
      </c>
      <c r="Q87" s="95">
        <f>SUM(O87:P87)</f>
        <v>6500</v>
      </c>
      <c r="R87" s="95">
        <f>(R37+R57+R85)*0.453</f>
        <v>0</v>
      </c>
      <c r="S87" s="95">
        <f>(S37+S57+S85)*0.5</f>
        <v>0</v>
      </c>
      <c r="T87" s="95">
        <v>0</v>
      </c>
      <c r="U87" s="95">
        <f>SUM(S87:T87)</f>
        <v>0</v>
      </c>
      <c r="V87" s="95">
        <f>(V37+V57+V85)*0.453</f>
        <v>0</v>
      </c>
      <c r="W87" s="95">
        <f>(W37+W57+W85)*0.5</f>
        <v>21500</v>
      </c>
      <c r="X87" s="95">
        <v>0</v>
      </c>
      <c r="Y87" s="95">
        <f>SUM(W87:X87)</f>
        <v>21500</v>
      </c>
      <c r="Z87" s="96"/>
      <c r="AA87" s="96"/>
    </row>
    <row r="88" spans="1:77" s="97" customFormat="1" x14ac:dyDescent="0.25">
      <c r="A88" s="89" t="s">
        <v>29</v>
      </c>
      <c r="B88" s="89"/>
      <c r="C88" s="95">
        <f t="shared" ref="C88:X88" si="68">SUM(C86:C87)</f>
        <v>17250</v>
      </c>
      <c r="D88" s="95">
        <f t="shared" si="68"/>
        <v>125000</v>
      </c>
      <c r="E88" s="95">
        <f>SUM(C88:D88)</f>
        <v>142250</v>
      </c>
      <c r="F88" s="95"/>
      <c r="G88" s="95">
        <f t="shared" si="68"/>
        <v>21750</v>
      </c>
      <c r="H88" s="95">
        <f t="shared" si="68"/>
        <v>100000</v>
      </c>
      <c r="I88" s="95">
        <f>SUM(G88:H88)</f>
        <v>121750</v>
      </c>
      <c r="J88" s="95">
        <f t="shared" si="68"/>
        <v>0</v>
      </c>
      <c r="K88" s="95">
        <f t="shared" si="68"/>
        <v>6000</v>
      </c>
      <c r="L88" s="95">
        <f t="shared" si="68"/>
        <v>20000</v>
      </c>
      <c r="M88" s="95">
        <f>SUM(K88:L88)</f>
        <v>26000</v>
      </c>
      <c r="N88" s="95">
        <f t="shared" si="68"/>
        <v>0</v>
      </c>
      <c r="O88" s="95">
        <f t="shared" si="68"/>
        <v>19500</v>
      </c>
      <c r="P88" s="95">
        <f t="shared" si="68"/>
        <v>80000</v>
      </c>
      <c r="Q88" s="95">
        <f>SUM(O88:P88)</f>
        <v>99500</v>
      </c>
      <c r="R88" s="95">
        <f t="shared" si="68"/>
        <v>0</v>
      </c>
      <c r="S88" s="95">
        <f t="shared" si="68"/>
        <v>0</v>
      </c>
      <c r="T88" s="95">
        <f t="shared" si="68"/>
        <v>17500</v>
      </c>
      <c r="U88" s="95">
        <f>SUM(S88:T88)</f>
        <v>17500</v>
      </c>
      <c r="V88" s="95">
        <f t="shared" si="68"/>
        <v>0</v>
      </c>
      <c r="W88" s="95">
        <f t="shared" si="68"/>
        <v>64500</v>
      </c>
      <c r="X88" s="95">
        <f t="shared" si="68"/>
        <v>342500</v>
      </c>
      <c r="Y88" s="95">
        <f>SUM(W88:X88)</f>
        <v>407000</v>
      </c>
      <c r="Z88" s="96"/>
      <c r="AA88" s="96"/>
    </row>
    <row r="89" spans="1:77" s="30" customFormat="1" x14ac:dyDescent="0.25">
      <c r="A89" s="24"/>
      <c r="B89" s="24"/>
      <c r="C89" s="27"/>
      <c r="D89" s="27"/>
      <c r="E89" s="28"/>
      <c r="F89" s="24"/>
      <c r="G89" s="27"/>
      <c r="H89" s="27"/>
      <c r="I89" s="28"/>
      <c r="J89" s="24"/>
      <c r="K89" s="27"/>
      <c r="L89" s="27"/>
      <c r="M89" s="28"/>
      <c r="N89" s="24"/>
      <c r="O89" s="27"/>
      <c r="P89" s="27"/>
      <c r="Q89" s="28"/>
      <c r="R89" s="24"/>
      <c r="S89" s="27"/>
      <c r="T89" s="27"/>
      <c r="U89" s="28"/>
      <c r="V89" s="29"/>
      <c r="W89" s="28"/>
      <c r="X89" s="28"/>
      <c r="Y89" s="27"/>
      <c r="Z89" s="28"/>
      <c r="AA89" s="28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s="61" customFormat="1" x14ac:dyDescent="0.25">
      <c r="A92" s="52"/>
      <c r="B92" s="52"/>
      <c r="C92" s="124">
        <v>0</v>
      </c>
      <c r="D92" s="56">
        <v>0</v>
      </c>
      <c r="E92" s="56">
        <f t="shared" ref="E92:E98" si="69">SUM(C92:D92)</f>
        <v>0</v>
      </c>
      <c r="F92" s="58"/>
      <c r="G92" s="55">
        <f t="shared" ref="G92:H98" si="70">C92*1.05</f>
        <v>0</v>
      </c>
      <c r="H92" s="57">
        <f t="shared" si="70"/>
        <v>0</v>
      </c>
      <c r="I92" s="57">
        <f t="shared" ref="I92:I98" si="71">SUM(G92:H92)</f>
        <v>0</v>
      </c>
      <c r="J92" s="58"/>
      <c r="K92" s="55">
        <f t="shared" ref="K92:L98" si="72">G92*1.05</f>
        <v>0</v>
      </c>
      <c r="L92" s="57">
        <f t="shared" si="72"/>
        <v>0</v>
      </c>
      <c r="M92" s="57">
        <f t="shared" ref="M92:M98" si="73">SUM(K92:L92)</f>
        <v>0</v>
      </c>
      <c r="N92" s="58"/>
      <c r="O92" s="55">
        <f t="shared" ref="O92:P98" si="74">K92*1.05</f>
        <v>0</v>
      </c>
      <c r="P92" s="57">
        <f t="shared" si="74"/>
        <v>0</v>
      </c>
      <c r="Q92" s="57">
        <f t="shared" ref="Q92:Q98" si="75">SUM(O92:P92)</f>
        <v>0</v>
      </c>
      <c r="R92" s="58"/>
      <c r="S92" s="55">
        <f t="shared" ref="S92:T98" si="76">O92*1.05</f>
        <v>0</v>
      </c>
      <c r="T92" s="57">
        <f t="shared" si="76"/>
        <v>0</v>
      </c>
      <c r="U92" s="57">
        <f t="shared" ref="U92:U98" si="77">SUM(S92:T92)</f>
        <v>0</v>
      </c>
      <c r="V92" s="59"/>
      <c r="W92" s="124">
        <f t="shared" ref="W92:Y99" si="78">C92+G92+K92+O92+S92</f>
        <v>0</v>
      </c>
      <c r="X92" s="57">
        <f t="shared" si="78"/>
        <v>0</v>
      </c>
      <c r="Y92" s="84">
        <f t="shared" si="78"/>
        <v>0</v>
      </c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</row>
    <row r="93" spans="1:77" s="61" customFormat="1" x14ac:dyDescent="0.25">
      <c r="A93" s="52"/>
      <c r="B93" s="84"/>
      <c r="C93" s="124">
        <v>0</v>
      </c>
      <c r="D93" s="56">
        <v>0</v>
      </c>
      <c r="E93" s="56">
        <f t="shared" si="69"/>
        <v>0</v>
      </c>
      <c r="F93" s="58"/>
      <c r="G93" s="55">
        <f t="shared" si="70"/>
        <v>0</v>
      </c>
      <c r="H93" s="57">
        <f t="shared" si="70"/>
        <v>0</v>
      </c>
      <c r="I93" s="57">
        <f t="shared" si="71"/>
        <v>0</v>
      </c>
      <c r="J93" s="58"/>
      <c r="K93" s="55">
        <f t="shared" si="72"/>
        <v>0</v>
      </c>
      <c r="L93" s="57">
        <f t="shared" si="72"/>
        <v>0</v>
      </c>
      <c r="M93" s="57">
        <f t="shared" si="73"/>
        <v>0</v>
      </c>
      <c r="N93" s="58"/>
      <c r="O93" s="55">
        <f t="shared" si="74"/>
        <v>0</v>
      </c>
      <c r="P93" s="57">
        <f t="shared" si="74"/>
        <v>0</v>
      </c>
      <c r="Q93" s="57">
        <f t="shared" si="75"/>
        <v>0</v>
      </c>
      <c r="R93" s="58"/>
      <c r="S93" s="55">
        <f t="shared" si="76"/>
        <v>0</v>
      </c>
      <c r="T93" s="57">
        <f t="shared" si="76"/>
        <v>0</v>
      </c>
      <c r="U93" s="57">
        <f t="shared" si="77"/>
        <v>0</v>
      </c>
      <c r="V93" s="59"/>
      <c r="W93" s="124">
        <f t="shared" si="78"/>
        <v>0</v>
      </c>
      <c r="X93" s="57">
        <f t="shared" si="78"/>
        <v>0</v>
      </c>
      <c r="Y93" s="84">
        <f t="shared" si="78"/>
        <v>0</v>
      </c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</row>
    <row r="94" spans="1:77" s="61" customFormat="1" x14ac:dyDescent="0.25">
      <c r="A94" s="52"/>
      <c r="B94" s="52"/>
      <c r="C94" s="124">
        <v>0</v>
      </c>
      <c r="D94" s="56">
        <v>0</v>
      </c>
      <c r="E94" s="56">
        <f t="shared" si="69"/>
        <v>0</v>
      </c>
      <c r="F94" s="58"/>
      <c r="G94" s="55">
        <f t="shared" si="70"/>
        <v>0</v>
      </c>
      <c r="H94" s="57">
        <f t="shared" si="70"/>
        <v>0</v>
      </c>
      <c r="I94" s="57">
        <f t="shared" si="71"/>
        <v>0</v>
      </c>
      <c r="J94" s="58"/>
      <c r="K94" s="55">
        <f t="shared" si="72"/>
        <v>0</v>
      </c>
      <c r="L94" s="57">
        <f t="shared" si="72"/>
        <v>0</v>
      </c>
      <c r="M94" s="57">
        <f t="shared" si="73"/>
        <v>0</v>
      </c>
      <c r="N94" s="58"/>
      <c r="O94" s="55">
        <f t="shared" si="74"/>
        <v>0</v>
      </c>
      <c r="P94" s="57">
        <f t="shared" si="74"/>
        <v>0</v>
      </c>
      <c r="Q94" s="57">
        <f t="shared" si="75"/>
        <v>0</v>
      </c>
      <c r="R94" s="58"/>
      <c r="S94" s="55">
        <f t="shared" si="76"/>
        <v>0</v>
      </c>
      <c r="T94" s="57">
        <f t="shared" si="76"/>
        <v>0</v>
      </c>
      <c r="U94" s="57">
        <f t="shared" si="77"/>
        <v>0</v>
      </c>
      <c r="V94" s="59"/>
      <c r="W94" s="124">
        <f t="shared" si="78"/>
        <v>0</v>
      </c>
      <c r="X94" s="57">
        <f t="shared" si="78"/>
        <v>0</v>
      </c>
      <c r="Y94" s="84">
        <f t="shared" si="78"/>
        <v>0</v>
      </c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</row>
    <row r="95" spans="1:77" s="61" customFormat="1" x14ac:dyDescent="0.25">
      <c r="A95" s="52"/>
      <c r="B95" s="52"/>
      <c r="C95" s="124">
        <v>0</v>
      </c>
      <c r="D95" s="56">
        <v>0</v>
      </c>
      <c r="E95" s="56">
        <f t="shared" si="69"/>
        <v>0</v>
      </c>
      <c r="F95" s="58"/>
      <c r="G95" s="55">
        <f t="shared" si="70"/>
        <v>0</v>
      </c>
      <c r="H95" s="57">
        <f t="shared" si="70"/>
        <v>0</v>
      </c>
      <c r="I95" s="57">
        <f t="shared" si="71"/>
        <v>0</v>
      </c>
      <c r="J95" s="58"/>
      <c r="K95" s="55">
        <f t="shared" si="72"/>
        <v>0</v>
      </c>
      <c r="L95" s="57">
        <f t="shared" si="72"/>
        <v>0</v>
      </c>
      <c r="M95" s="57">
        <f t="shared" si="73"/>
        <v>0</v>
      </c>
      <c r="N95" s="58"/>
      <c r="O95" s="55">
        <f t="shared" si="74"/>
        <v>0</v>
      </c>
      <c r="P95" s="57">
        <f t="shared" si="74"/>
        <v>0</v>
      </c>
      <c r="Q95" s="57">
        <f t="shared" si="75"/>
        <v>0</v>
      </c>
      <c r="R95" s="58"/>
      <c r="S95" s="55">
        <f t="shared" si="76"/>
        <v>0</v>
      </c>
      <c r="T95" s="57">
        <f t="shared" si="76"/>
        <v>0</v>
      </c>
      <c r="U95" s="57">
        <f t="shared" si="77"/>
        <v>0</v>
      </c>
      <c r="V95" s="59"/>
      <c r="W95" s="124">
        <f t="shared" si="78"/>
        <v>0</v>
      </c>
      <c r="X95" s="57">
        <f t="shared" si="78"/>
        <v>0</v>
      </c>
      <c r="Y95" s="84">
        <f t="shared" si="78"/>
        <v>0</v>
      </c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</row>
    <row r="96" spans="1:77" s="61" customFormat="1" x14ac:dyDescent="0.25">
      <c r="A96" s="52"/>
      <c r="B96" s="52"/>
      <c r="C96" s="124">
        <v>0</v>
      </c>
      <c r="D96" s="56">
        <v>0</v>
      </c>
      <c r="E96" s="56">
        <f t="shared" si="69"/>
        <v>0</v>
      </c>
      <c r="F96" s="58"/>
      <c r="G96" s="55">
        <f t="shared" si="70"/>
        <v>0</v>
      </c>
      <c r="H96" s="57">
        <f t="shared" si="70"/>
        <v>0</v>
      </c>
      <c r="I96" s="57">
        <f t="shared" si="71"/>
        <v>0</v>
      </c>
      <c r="J96" s="58"/>
      <c r="K96" s="55">
        <f t="shared" si="72"/>
        <v>0</v>
      </c>
      <c r="L96" s="57">
        <f t="shared" si="72"/>
        <v>0</v>
      </c>
      <c r="M96" s="57">
        <f t="shared" si="73"/>
        <v>0</v>
      </c>
      <c r="N96" s="58"/>
      <c r="O96" s="55">
        <f t="shared" si="74"/>
        <v>0</v>
      </c>
      <c r="P96" s="57">
        <f t="shared" si="74"/>
        <v>0</v>
      </c>
      <c r="Q96" s="57">
        <f t="shared" si="75"/>
        <v>0</v>
      </c>
      <c r="R96" s="58"/>
      <c r="S96" s="55">
        <f t="shared" si="76"/>
        <v>0</v>
      </c>
      <c r="T96" s="57">
        <f t="shared" si="76"/>
        <v>0</v>
      </c>
      <c r="U96" s="57">
        <f t="shared" si="77"/>
        <v>0</v>
      </c>
      <c r="V96" s="59"/>
      <c r="W96" s="124">
        <f t="shared" si="78"/>
        <v>0</v>
      </c>
      <c r="X96" s="57">
        <f t="shared" si="78"/>
        <v>0</v>
      </c>
      <c r="Y96" s="84">
        <f t="shared" si="78"/>
        <v>0</v>
      </c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</row>
    <row r="97" spans="1:77" s="61" customFormat="1" x14ac:dyDescent="0.25">
      <c r="A97" s="52"/>
      <c r="B97" s="52"/>
      <c r="C97" s="124">
        <v>0</v>
      </c>
      <c r="D97" s="56">
        <v>0</v>
      </c>
      <c r="E97" s="56">
        <f t="shared" si="69"/>
        <v>0</v>
      </c>
      <c r="F97" s="58"/>
      <c r="G97" s="55">
        <f t="shared" si="70"/>
        <v>0</v>
      </c>
      <c r="H97" s="57">
        <f t="shared" si="70"/>
        <v>0</v>
      </c>
      <c r="I97" s="57">
        <f t="shared" si="71"/>
        <v>0</v>
      </c>
      <c r="J97" s="58"/>
      <c r="K97" s="55">
        <f t="shared" si="72"/>
        <v>0</v>
      </c>
      <c r="L97" s="57">
        <f t="shared" si="72"/>
        <v>0</v>
      </c>
      <c r="M97" s="57">
        <f t="shared" si="73"/>
        <v>0</v>
      </c>
      <c r="N97" s="58"/>
      <c r="O97" s="55">
        <f t="shared" si="74"/>
        <v>0</v>
      </c>
      <c r="P97" s="57">
        <f t="shared" si="74"/>
        <v>0</v>
      </c>
      <c r="Q97" s="57">
        <f t="shared" si="75"/>
        <v>0</v>
      </c>
      <c r="R97" s="58"/>
      <c r="S97" s="55">
        <f t="shared" si="76"/>
        <v>0</v>
      </c>
      <c r="T97" s="57">
        <f t="shared" si="76"/>
        <v>0</v>
      </c>
      <c r="U97" s="57">
        <f t="shared" si="77"/>
        <v>0</v>
      </c>
      <c r="V97" s="59"/>
      <c r="W97" s="124">
        <f t="shared" si="78"/>
        <v>0</v>
      </c>
      <c r="X97" s="57">
        <f t="shared" si="78"/>
        <v>0</v>
      </c>
      <c r="Y97" s="84">
        <f t="shared" si="78"/>
        <v>0</v>
      </c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</row>
    <row r="98" spans="1:77" s="61" customFormat="1" x14ac:dyDescent="0.25">
      <c r="A98" s="52"/>
      <c r="B98" s="52"/>
      <c r="C98" s="124">
        <v>0</v>
      </c>
      <c r="D98" s="56">
        <v>0</v>
      </c>
      <c r="E98" s="56">
        <f t="shared" si="69"/>
        <v>0</v>
      </c>
      <c r="F98" s="58"/>
      <c r="G98" s="55">
        <f t="shared" si="70"/>
        <v>0</v>
      </c>
      <c r="H98" s="57">
        <f t="shared" si="70"/>
        <v>0</v>
      </c>
      <c r="I98" s="57">
        <f t="shared" si="71"/>
        <v>0</v>
      </c>
      <c r="J98" s="58"/>
      <c r="K98" s="55">
        <f t="shared" si="72"/>
        <v>0</v>
      </c>
      <c r="L98" s="57">
        <f t="shared" si="72"/>
        <v>0</v>
      </c>
      <c r="M98" s="57">
        <f t="shared" si="73"/>
        <v>0</v>
      </c>
      <c r="N98" s="58"/>
      <c r="O98" s="55">
        <f t="shared" si="74"/>
        <v>0</v>
      </c>
      <c r="P98" s="57">
        <f t="shared" si="74"/>
        <v>0</v>
      </c>
      <c r="Q98" s="57">
        <f t="shared" si="75"/>
        <v>0</v>
      </c>
      <c r="R98" s="58"/>
      <c r="S98" s="55">
        <f t="shared" si="76"/>
        <v>0</v>
      </c>
      <c r="T98" s="57">
        <f t="shared" si="76"/>
        <v>0</v>
      </c>
      <c r="U98" s="57">
        <f t="shared" si="77"/>
        <v>0</v>
      </c>
      <c r="V98" s="59"/>
      <c r="W98" s="124">
        <f t="shared" si="78"/>
        <v>0</v>
      </c>
      <c r="X98" s="57">
        <f t="shared" si="78"/>
        <v>0</v>
      </c>
      <c r="Y98" s="84">
        <f t="shared" si="78"/>
        <v>0</v>
      </c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</row>
    <row r="99" spans="1:77" s="83" customFormat="1" x14ac:dyDescent="0.25">
      <c r="A99" s="78"/>
      <c r="B99" s="78" t="s">
        <v>9</v>
      </c>
      <c r="C99" s="228">
        <f>SUM(C92:C98)</f>
        <v>0</v>
      </c>
      <c r="D99" s="125">
        <f>SUM(D92:D98)</f>
        <v>0</v>
      </c>
      <c r="E99" s="125">
        <f>SUM(E92:E98)</f>
        <v>0</v>
      </c>
      <c r="F99" s="81"/>
      <c r="G99" s="79">
        <f>SUM(G92:G98)</f>
        <v>0</v>
      </c>
      <c r="H99" s="80">
        <f>SUM(H92:H98)</f>
        <v>0</v>
      </c>
      <c r="I99" s="80">
        <f>SUM(I92:I98)</f>
        <v>0</v>
      </c>
      <c r="J99" s="81"/>
      <c r="K99" s="79">
        <f>SUM(K92:K98)</f>
        <v>0</v>
      </c>
      <c r="L99" s="80">
        <f>SUM(L92:L98)</f>
        <v>0</v>
      </c>
      <c r="M99" s="80">
        <f>SUM(M92:M98)</f>
        <v>0</v>
      </c>
      <c r="N99" s="81"/>
      <c r="O99" s="79">
        <f>SUM(O92:O98)</f>
        <v>0</v>
      </c>
      <c r="P99" s="80">
        <f>SUM(P92:P98)</f>
        <v>0</v>
      </c>
      <c r="Q99" s="80">
        <f>SUM(Q92:Q98)</f>
        <v>0</v>
      </c>
      <c r="R99" s="81"/>
      <c r="S99" s="79">
        <f>SUM(S92:S98)</f>
        <v>0</v>
      </c>
      <c r="T99" s="80">
        <f>SUM(T92:T98)</f>
        <v>0</v>
      </c>
      <c r="U99" s="80">
        <f>SUM(U92:U98)</f>
        <v>0</v>
      </c>
      <c r="V99" s="82"/>
      <c r="W99" s="228">
        <f t="shared" si="78"/>
        <v>0</v>
      </c>
      <c r="X99" s="80">
        <f t="shared" si="78"/>
        <v>0</v>
      </c>
      <c r="Y99" s="80">
        <f t="shared" si="78"/>
        <v>0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s="61" customFormat="1" x14ac:dyDescent="0.25">
      <c r="A101" s="52"/>
      <c r="B101" s="52"/>
      <c r="C101" s="124">
        <v>0</v>
      </c>
      <c r="D101" s="56">
        <v>0</v>
      </c>
      <c r="E101" s="56">
        <f t="shared" ref="E101:E111" si="79">SUM(C101:D101)</f>
        <v>0</v>
      </c>
      <c r="F101" s="58"/>
      <c r="G101" s="55">
        <f t="shared" ref="G101:G111" si="80">C101*1.05</f>
        <v>0</v>
      </c>
      <c r="H101" s="57">
        <f t="shared" ref="H101:H111" si="81">D101*1.05</f>
        <v>0</v>
      </c>
      <c r="I101" s="57">
        <f t="shared" ref="I101:I111" si="82">SUM(G101:H101)</f>
        <v>0</v>
      </c>
      <c r="J101" s="58"/>
      <c r="K101" s="55">
        <f t="shared" ref="K101:K111" si="83">G101*1.05</f>
        <v>0</v>
      </c>
      <c r="L101" s="57">
        <f t="shared" ref="L101:L111" si="84">H101*1.05</f>
        <v>0</v>
      </c>
      <c r="M101" s="57">
        <f t="shared" ref="M101:M111" si="85">SUM(K101:L101)</f>
        <v>0</v>
      </c>
      <c r="N101" s="58"/>
      <c r="O101" s="55">
        <f t="shared" ref="O101:O111" si="86">K101*1.05</f>
        <v>0</v>
      </c>
      <c r="P101" s="57">
        <f t="shared" ref="P101:P111" si="87">L101*1.05</f>
        <v>0</v>
      </c>
      <c r="Q101" s="57">
        <f t="shared" ref="Q101:Q111" si="88">SUM(O101:P101)</f>
        <v>0</v>
      </c>
      <c r="R101" s="58"/>
      <c r="S101" s="55">
        <f t="shared" ref="S101:S111" si="89">O101*1.05</f>
        <v>0</v>
      </c>
      <c r="T101" s="57">
        <f t="shared" ref="T101:T111" si="90">P101*1.05</f>
        <v>0</v>
      </c>
      <c r="U101" s="57">
        <f t="shared" ref="U101:U111" si="91">SUM(S101:T101)</f>
        <v>0</v>
      </c>
      <c r="V101" s="59"/>
      <c r="W101" s="124">
        <f t="shared" ref="W101:W112" si="92">C101+G101+K101+O101+S101</f>
        <v>0</v>
      </c>
      <c r="X101" s="57">
        <f t="shared" ref="X101:X112" si="93">D101+H101+L101+P101+T101</f>
        <v>0</v>
      </c>
      <c r="Y101" s="84">
        <f t="shared" ref="Y101:Y112" si="94">E101+I101+M101+Q101+U101</f>
        <v>0</v>
      </c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</row>
    <row r="102" spans="1:77" s="61" customFormat="1" x14ac:dyDescent="0.25">
      <c r="A102" s="87"/>
      <c r="B102" s="52"/>
      <c r="C102" s="124">
        <v>0</v>
      </c>
      <c r="D102" s="56">
        <v>0</v>
      </c>
      <c r="E102" s="56">
        <f t="shared" si="79"/>
        <v>0</v>
      </c>
      <c r="F102" s="58"/>
      <c r="G102" s="55">
        <f t="shared" si="80"/>
        <v>0</v>
      </c>
      <c r="H102" s="57">
        <f t="shared" si="81"/>
        <v>0</v>
      </c>
      <c r="I102" s="57">
        <f t="shared" si="82"/>
        <v>0</v>
      </c>
      <c r="J102" s="58"/>
      <c r="K102" s="55">
        <f t="shared" si="83"/>
        <v>0</v>
      </c>
      <c r="L102" s="57">
        <f t="shared" si="84"/>
        <v>0</v>
      </c>
      <c r="M102" s="57">
        <f t="shared" si="85"/>
        <v>0</v>
      </c>
      <c r="N102" s="58"/>
      <c r="O102" s="55">
        <f t="shared" si="86"/>
        <v>0</v>
      </c>
      <c r="P102" s="57">
        <f t="shared" si="87"/>
        <v>0</v>
      </c>
      <c r="Q102" s="57">
        <f t="shared" si="88"/>
        <v>0</v>
      </c>
      <c r="R102" s="58"/>
      <c r="S102" s="55">
        <f t="shared" si="89"/>
        <v>0</v>
      </c>
      <c r="T102" s="57">
        <f t="shared" si="90"/>
        <v>0</v>
      </c>
      <c r="U102" s="57">
        <f t="shared" si="91"/>
        <v>0</v>
      </c>
      <c r="V102" s="59"/>
      <c r="W102" s="124">
        <f t="shared" si="92"/>
        <v>0</v>
      </c>
      <c r="X102" s="57">
        <f t="shared" si="93"/>
        <v>0</v>
      </c>
      <c r="Y102" s="84">
        <f t="shared" si="94"/>
        <v>0</v>
      </c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</row>
    <row r="103" spans="1:77" s="61" customFormat="1" x14ac:dyDescent="0.25">
      <c r="A103" s="52"/>
      <c r="B103" s="54"/>
      <c r="C103" s="124">
        <v>0</v>
      </c>
      <c r="D103" s="56">
        <v>0</v>
      </c>
      <c r="E103" s="56">
        <f t="shared" si="79"/>
        <v>0</v>
      </c>
      <c r="F103" s="58"/>
      <c r="G103" s="55">
        <f t="shared" si="80"/>
        <v>0</v>
      </c>
      <c r="H103" s="57">
        <f t="shared" si="81"/>
        <v>0</v>
      </c>
      <c r="I103" s="57">
        <f t="shared" si="82"/>
        <v>0</v>
      </c>
      <c r="J103" s="58"/>
      <c r="K103" s="55">
        <f t="shared" si="83"/>
        <v>0</v>
      </c>
      <c r="L103" s="57">
        <f t="shared" si="84"/>
        <v>0</v>
      </c>
      <c r="M103" s="57">
        <f t="shared" si="85"/>
        <v>0</v>
      </c>
      <c r="N103" s="58"/>
      <c r="O103" s="55">
        <f t="shared" si="86"/>
        <v>0</v>
      </c>
      <c r="P103" s="57">
        <f t="shared" si="87"/>
        <v>0</v>
      </c>
      <c r="Q103" s="57">
        <f t="shared" si="88"/>
        <v>0</v>
      </c>
      <c r="R103" s="58"/>
      <c r="S103" s="55">
        <f t="shared" si="89"/>
        <v>0</v>
      </c>
      <c r="T103" s="57">
        <f t="shared" si="90"/>
        <v>0</v>
      </c>
      <c r="U103" s="57">
        <f t="shared" si="91"/>
        <v>0</v>
      </c>
      <c r="V103" s="59"/>
      <c r="W103" s="124">
        <f t="shared" si="92"/>
        <v>0</v>
      </c>
      <c r="X103" s="57">
        <f t="shared" si="93"/>
        <v>0</v>
      </c>
      <c r="Y103" s="84">
        <f t="shared" si="94"/>
        <v>0</v>
      </c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</row>
    <row r="104" spans="1:77" s="61" customFormat="1" x14ac:dyDescent="0.25">
      <c r="A104" s="52"/>
      <c r="B104" s="52"/>
      <c r="C104" s="124">
        <v>0</v>
      </c>
      <c r="D104" s="56">
        <v>0</v>
      </c>
      <c r="E104" s="56">
        <f t="shared" si="79"/>
        <v>0</v>
      </c>
      <c r="F104" s="58"/>
      <c r="G104" s="55">
        <f t="shared" si="80"/>
        <v>0</v>
      </c>
      <c r="H104" s="57">
        <f t="shared" si="81"/>
        <v>0</v>
      </c>
      <c r="I104" s="57">
        <f t="shared" si="82"/>
        <v>0</v>
      </c>
      <c r="J104" s="58"/>
      <c r="K104" s="55">
        <f t="shared" si="83"/>
        <v>0</v>
      </c>
      <c r="L104" s="57">
        <f t="shared" si="84"/>
        <v>0</v>
      </c>
      <c r="M104" s="57">
        <f t="shared" si="85"/>
        <v>0</v>
      </c>
      <c r="N104" s="58"/>
      <c r="O104" s="55">
        <f t="shared" si="86"/>
        <v>0</v>
      </c>
      <c r="P104" s="57">
        <f t="shared" si="87"/>
        <v>0</v>
      </c>
      <c r="Q104" s="57">
        <f t="shared" si="88"/>
        <v>0</v>
      </c>
      <c r="R104" s="58"/>
      <c r="S104" s="55">
        <f t="shared" si="89"/>
        <v>0</v>
      </c>
      <c r="T104" s="57">
        <f t="shared" si="90"/>
        <v>0</v>
      </c>
      <c r="U104" s="57">
        <f t="shared" si="91"/>
        <v>0</v>
      </c>
      <c r="V104" s="59"/>
      <c r="W104" s="124">
        <f t="shared" si="92"/>
        <v>0</v>
      </c>
      <c r="X104" s="57">
        <f t="shared" si="93"/>
        <v>0</v>
      </c>
      <c r="Y104" s="84">
        <f t="shared" si="94"/>
        <v>0</v>
      </c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s="61" customFormat="1" x14ac:dyDescent="0.25">
      <c r="A105" s="87"/>
      <c r="B105" s="52"/>
      <c r="C105" s="124">
        <v>0</v>
      </c>
      <c r="D105" s="56">
        <v>0</v>
      </c>
      <c r="E105" s="56">
        <f t="shared" si="79"/>
        <v>0</v>
      </c>
      <c r="F105" s="58"/>
      <c r="G105" s="55">
        <f t="shared" si="80"/>
        <v>0</v>
      </c>
      <c r="H105" s="57">
        <f t="shared" si="81"/>
        <v>0</v>
      </c>
      <c r="I105" s="57">
        <f t="shared" si="82"/>
        <v>0</v>
      </c>
      <c r="J105" s="58"/>
      <c r="K105" s="55">
        <f t="shared" si="83"/>
        <v>0</v>
      </c>
      <c r="L105" s="57">
        <f t="shared" si="84"/>
        <v>0</v>
      </c>
      <c r="M105" s="57">
        <f t="shared" si="85"/>
        <v>0</v>
      </c>
      <c r="N105" s="58"/>
      <c r="O105" s="55">
        <f t="shared" si="86"/>
        <v>0</v>
      </c>
      <c r="P105" s="57">
        <f t="shared" si="87"/>
        <v>0</v>
      </c>
      <c r="Q105" s="57">
        <f t="shared" si="88"/>
        <v>0</v>
      </c>
      <c r="R105" s="58"/>
      <c r="S105" s="55">
        <f t="shared" si="89"/>
        <v>0</v>
      </c>
      <c r="T105" s="57">
        <f t="shared" si="90"/>
        <v>0</v>
      </c>
      <c r="U105" s="57">
        <f t="shared" si="91"/>
        <v>0</v>
      </c>
      <c r="V105" s="59"/>
      <c r="W105" s="124">
        <f t="shared" si="92"/>
        <v>0</v>
      </c>
      <c r="X105" s="57">
        <f t="shared" si="93"/>
        <v>0</v>
      </c>
      <c r="Y105" s="84">
        <f t="shared" si="94"/>
        <v>0</v>
      </c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s="61" customFormat="1" x14ac:dyDescent="0.25">
      <c r="A106" s="87"/>
      <c r="B106" s="52"/>
      <c r="C106" s="124">
        <v>0</v>
      </c>
      <c r="D106" s="56">
        <v>0</v>
      </c>
      <c r="E106" s="56">
        <f t="shared" si="79"/>
        <v>0</v>
      </c>
      <c r="F106" s="58"/>
      <c r="G106" s="55">
        <f t="shared" si="80"/>
        <v>0</v>
      </c>
      <c r="H106" s="57">
        <f t="shared" si="81"/>
        <v>0</v>
      </c>
      <c r="I106" s="57">
        <f t="shared" si="82"/>
        <v>0</v>
      </c>
      <c r="J106" s="58"/>
      <c r="K106" s="55">
        <f t="shared" si="83"/>
        <v>0</v>
      </c>
      <c r="L106" s="57">
        <f t="shared" si="84"/>
        <v>0</v>
      </c>
      <c r="M106" s="57">
        <f t="shared" si="85"/>
        <v>0</v>
      </c>
      <c r="N106" s="58"/>
      <c r="O106" s="55">
        <f t="shared" si="86"/>
        <v>0</v>
      </c>
      <c r="P106" s="57">
        <f t="shared" si="87"/>
        <v>0</v>
      </c>
      <c r="Q106" s="57">
        <f t="shared" si="88"/>
        <v>0</v>
      </c>
      <c r="R106" s="58"/>
      <c r="S106" s="55">
        <f t="shared" si="89"/>
        <v>0</v>
      </c>
      <c r="T106" s="57">
        <f t="shared" si="90"/>
        <v>0</v>
      </c>
      <c r="U106" s="57">
        <f t="shared" si="91"/>
        <v>0</v>
      </c>
      <c r="V106" s="59"/>
      <c r="W106" s="124">
        <f t="shared" si="92"/>
        <v>0</v>
      </c>
      <c r="X106" s="57">
        <f t="shared" si="93"/>
        <v>0</v>
      </c>
      <c r="Y106" s="84">
        <f t="shared" si="94"/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2"/>
      <c r="C107" s="124">
        <v>0</v>
      </c>
      <c r="D107" s="56">
        <v>0</v>
      </c>
      <c r="E107" s="56">
        <f t="shared" si="79"/>
        <v>0</v>
      </c>
      <c r="F107" s="58"/>
      <c r="G107" s="55">
        <f t="shared" si="80"/>
        <v>0</v>
      </c>
      <c r="H107" s="57">
        <f t="shared" si="81"/>
        <v>0</v>
      </c>
      <c r="I107" s="57">
        <f t="shared" si="82"/>
        <v>0</v>
      </c>
      <c r="J107" s="58"/>
      <c r="K107" s="55">
        <f t="shared" si="83"/>
        <v>0</v>
      </c>
      <c r="L107" s="57">
        <f t="shared" si="84"/>
        <v>0</v>
      </c>
      <c r="M107" s="57">
        <f t="shared" si="85"/>
        <v>0</v>
      </c>
      <c r="N107" s="58"/>
      <c r="O107" s="55">
        <f t="shared" si="86"/>
        <v>0</v>
      </c>
      <c r="P107" s="57">
        <f t="shared" si="87"/>
        <v>0</v>
      </c>
      <c r="Q107" s="57">
        <f t="shared" si="88"/>
        <v>0</v>
      </c>
      <c r="R107" s="58"/>
      <c r="S107" s="55">
        <f t="shared" si="89"/>
        <v>0</v>
      </c>
      <c r="T107" s="57">
        <f t="shared" si="90"/>
        <v>0</v>
      </c>
      <c r="U107" s="57">
        <f t="shared" si="91"/>
        <v>0</v>
      </c>
      <c r="V107" s="59"/>
      <c r="W107" s="124">
        <f t="shared" si="92"/>
        <v>0</v>
      </c>
      <c r="X107" s="57">
        <f t="shared" si="93"/>
        <v>0</v>
      </c>
      <c r="Y107" s="84">
        <f t="shared" si="94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52"/>
      <c r="B108" s="54"/>
      <c r="C108" s="124">
        <v>0</v>
      </c>
      <c r="D108" s="56">
        <v>0</v>
      </c>
      <c r="E108" s="56">
        <f t="shared" si="79"/>
        <v>0</v>
      </c>
      <c r="F108" s="58"/>
      <c r="G108" s="55">
        <f t="shared" si="80"/>
        <v>0</v>
      </c>
      <c r="H108" s="57">
        <f t="shared" si="81"/>
        <v>0</v>
      </c>
      <c r="I108" s="57">
        <f t="shared" si="82"/>
        <v>0</v>
      </c>
      <c r="J108" s="58"/>
      <c r="K108" s="55">
        <f t="shared" si="83"/>
        <v>0</v>
      </c>
      <c r="L108" s="57">
        <f t="shared" si="84"/>
        <v>0</v>
      </c>
      <c r="M108" s="57">
        <f t="shared" si="85"/>
        <v>0</v>
      </c>
      <c r="N108" s="58"/>
      <c r="O108" s="55">
        <f t="shared" si="86"/>
        <v>0</v>
      </c>
      <c r="P108" s="57">
        <f t="shared" si="87"/>
        <v>0</v>
      </c>
      <c r="Q108" s="57">
        <f t="shared" si="88"/>
        <v>0</v>
      </c>
      <c r="R108" s="58"/>
      <c r="S108" s="55">
        <f t="shared" si="89"/>
        <v>0</v>
      </c>
      <c r="T108" s="57">
        <f t="shared" si="90"/>
        <v>0</v>
      </c>
      <c r="U108" s="57">
        <f t="shared" si="91"/>
        <v>0</v>
      </c>
      <c r="V108" s="59"/>
      <c r="W108" s="124">
        <f t="shared" si="92"/>
        <v>0</v>
      </c>
      <c r="X108" s="57">
        <f t="shared" si="93"/>
        <v>0</v>
      </c>
      <c r="Y108" s="84">
        <f t="shared" si="94"/>
        <v>0</v>
      </c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79"/>
        <v>0</v>
      </c>
      <c r="F109" s="74"/>
      <c r="G109" s="55">
        <f t="shared" si="80"/>
        <v>0</v>
      </c>
      <c r="H109" s="57">
        <f t="shared" si="81"/>
        <v>0</v>
      </c>
      <c r="I109" s="57">
        <f t="shared" si="82"/>
        <v>0</v>
      </c>
      <c r="J109" s="74"/>
      <c r="K109" s="55">
        <f t="shared" si="83"/>
        <v>0</v>
      </c>
      <c r="L109" s="57">
        <f t="shared" si="84"/>
        <v>0</v>
      </c>
      <c r="M109" s="57">
        <f t="shared" si="85"/>
        <v>0</v>
      </c>
      <c r="N109" s="74"/>
      <c r="O109" s="55">
        <f t="shared" si="86"/>
        <v>0</v>
      </c>
      <c r="P109" s="57">
        <f t="shared" si="87"/>
        <v>0</v>
      </c>
      <c r="Q109" s="57">
        <f t="shared" si="88"/>
        <v>0</v>
      </c>
      <c r="R109" s="74"/>
      <c r="S109" s="55">
        <f t="shared" si="89"/>
        <v>0</v>
      </c>
      <c r="T109" s="57">
        <f t="shared" si="90"/>
        <v>0</v>
      </c>
      <c r="U109" s="57">
        <f t="shared" si="91"/>
        <v>0</v>
      </c>
      <c r="V109" s="59"/>
      <c r="W109" s="124">
        <f t="shared" si="92"/>
        <v>0</v>
      </c>
      <c r="X109" s="57">
        <f t="shared" si="93"/>
        <v>0</v>
      </c>
      <c r="Y109" s="84">
        <f t="shared" si="94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79"/>
        <v>0</v>
      </c>
      <c r="F110" s="74"/>
      <c r="G110" s="55">
        <f t="shared" si="80"/>
        <v>0</v>
      </c>
      <c r="H110" s="57">
        <f t="shared" si="81"/>
        <v>0</v>
      </c>
      <c r="I110" s="57">
        <f t="shared" si="82"/>
        <v>0</v>
      </c>
      <c r="J110" s="74"/>
      <c r="K110" s="55">
        <f t="shared" si="83"/>
        <v>0</v>
      </c>
      <c r="L110" s="57">
        <f t="shared" si="84"/>
        <v>0</v>
      </c>
      <c r="M110" s="57">
        <f t="shared" si="85"/>
        <v>0</v>
      </c>
      <c r="N110" s="74"/>
      <c r="O110" s="55">
        <f t="shared" si="86"/>
        <v>0</v>
      </c>
      <c r="P110" s="57">
        <f t="shared" si="87"/>
        <v>0</v>
      </c>
      <c r="Q110" s="57">
        <f t="shared" si="88"/>
        <v>0</v>
      </c>
      <c r="R110" s="74"/>
      <c r="S110" s="55">
        <f t="shared" si="89"/>
        <v>0</v>
      </c>
      <c r="T110" s="57">
        <f t="shared" si="90"/>
        <v>0</v>
      </c>
      <c r="U110" s="57">
        <f t="shared" si="91"/>
        <v>0</v>
      </c>
      <c r="V110" s="59"/>
      <c r="W110" s="124">
        <f t="shared" si="92"/>
        <v>0</v>
      </c>
      <c r="X110" s="57">
        <f t="shared" si="93"/>
        <v>0</v>
      </c>
      <c r="Y110" s="84">
        <f t="shared" si="94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79"/>
        <v>0</v>
      </c>
      <c r="F111" s="74"/>
      <c r="G111" s="55">
        <f t="shared" si="80"/>
        <v>0</v>
      </c>
      <c r="H111" s="57">
        <f t="shared" si="81"/>
        <v>0</v>
      </c>
      <c r="I111" s="57">
        <f t="shared" si="82"/>
        <v>0</v>
      </c>
      <c r="J111" s="74"/>
      <c r="K111" s="55">
        <f t="shared" si="83"/>
        <v>0</v>
      </c>
      <c r="L111" s="57">
        <f t="shared" si="84"/>
        <v>0</v>
      </c>
      <c r="M111" s="57">
        <f t="shared" si="85"/>
        <v>0</v>
      </c>
      <c r="N111" s="74"/>
      <c r="O111" s="55">
        <f t="shared" si="86"/>
        <v>0</v>
      </c>
      <c r="P111" s="57">
        <f t="shared" si="87"/>
        <v>0</v>
      </c>
      <c r="Q111" s="57">
        <f t="shared" si="88"/>
        <v>0</v>
      </c>
      <c r="R111" s="74"/>
      <c r="S111" s="55">
        <f t="shared" si="89"/>
        <v>0</v>
      </c>
      <c r="T111" s="57">
        <f t="shared" si="90"/>
        <v>0</v>
      </c>
      <c r="U111" s="57">
        <f t="shared" si="91"/>
        <v>0</v>
      </c>
      <c r="V111" s="59"/>
      <c r="W111" s="124">
        <f t="shared" si="92"/>
        <v>0</v>
      </c>
      <c r="X111" s="57">
        <f t="shared" si="93"/>
        <v>0</v>
      </c>
      <c r="Y111" s="84">
        <f t="shared" si="94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0</v>
      </c>
      <c r="D112" s="125">
        <f>SUM(D101:D111)</f>
        <v>0</v>
      </c>
      <c r="E112" s="125">
        <f>SUM(E101:E111)</f>
        <v>0</v>
      </c>
      <c r="F112" s="81"/>
      <c r="G112" s="79">
        <f>SUM(G101:G111)</f>
        <v>0</v>
      </c>
      <c r="H112" s="80">
        <f>SUM(H101:H111)</f>
        <v>0</v>
      </c>
      <c r="I112" s="80">
        <f>SUM(I101:I111)</f>
        <v>0</v>
      </c>
      <c r="J112" s="81"/>
      <c r="K112" s="79">
        <f>SUM(K101:K111)</f>
        <v>0</v>
      </c>
      <c r="L112" s="80">
        <f>SUM(L101:L111)</f>
        <v>0</v>
      </c>
      <c r="M112" s="80">
        <f>SUM(M101:M111)</f>
        <v>0</v>
      </c>
      <c r="N112" s="81"/>
      <c r="O112" s="79">
        <f>SUM(O101:O111)</f>
        <v>0</v>
      </c>
      <c r="P112" s="80">
        <f>SUM(P101:P111)</f>
        <v>0</v>
      </c>
      <c r="Q112" s="80">
        <f>SUM(Q101:Q111)</f>
        <v>0</v>
      </c>
      <c r="R112" s="81"/>
      <c r="S112" s="79">
        <f>SUM(S101:S111)</f>
        <v>0</v>
      </c>
      <c r="T112" s="80">
        <f>SUM(T101:T111)</f>
        <v>0</v>
      </c>
      <c r="U112" s="80">
        <f>SUM(U101:U111)</f>
        <v>0</v>
      </c>
      <c r="V112" s="82"/>
      <c r="W112" s="228">
        <f t="shared" si="92"/>
        <v>0</v>
      </c>
      <c r="X112" s="80">
        <f t="shared" si="93"/>
        <v>0</v>
      </c>
      <c r="Y112" s="80">
        <f t="shared" si="94"/>
        <v>0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>C112+C99</f>
        <v>0</v>
      </c>
      <c r="D113" s="101">
        <f t="shared" ref="D113:Y113" si="95">D112+D99</f>
        <v>0</v>
      </c>
      <c r="E113" s="101">
        <f t="shared" si="95"/>
        <v>0</v>
      </c>
      <c r="F113" s="101">
        <f t="shared" si="95"/>
        <v>0</v>
      </c>
      <c r="G113" s="101">
        <f t="shared" si="95"/>
        <v>0</v>
      </c>
      <c r="H113" s="101">
        <f t="shared" si="95"/>
        <v>0</v>
      </c>
      <c r="I113" s="101">
        <f t="shared" si="95"/>
        <v>0</v>
      </c>
      <c r="J113" s="101">
        <f t="shared" si="95"/>
        <v>0</v>
      </c>
      <c r="K113" s="101">
        <f t="shared" si="95"/>
        <v>0</v>
      </c>
      <c r="L113" s="101">
        <f t="shared" si="95"/>
        <v>0</v>
      </c>
      <c r="M113" s="101">
        <f t="shared" si="95"/>
        <v>0</v>
      </c>
      <c r="N113" s="101">
        <f t="shared" si="95"/>
        <v>0</v>
      </c>
      <c r="O113" s="101">
        <f t="shared" si="95"/>
        <v>0</v>
      </c>
      <c r="P113" s="101">
        <f t="shared" si="95"/>
        <v>0</v>
      </c>
      <c r="Q113" s="101">
        <f t="shared" si="95"/>
        <v>0</v>
      </c>
      <c r="R113" s="101">
        <f t="shared" si="95"/>
        <v>0</v>
      </c>
      <c r="S113" s="101">
        <f t="shared" si="95"/>
        <v>0</v>
      </c>
      <c r="T113" s="101">
        <f t="shared" si="95"/>
        <v>0</v>
      </c>
      <c r="U113" s="101">
        <f t="shared" si="95"/>
        <v>0</v>
      </c>
      <c r="V113" s="101">
        <f t="shared" si="95"/>
        <v>0</v>
      </c>
      <c r="W113" s="101">
        <f t="shared" si="95"/>
        <v>0</v>
      </c>
      <c r="X113" s="101">
        <f t="shared" si="95"/>
        <v>0</v>
      </c>
      <c r="Y113" s="101">
        <f t="shared" si="95"/>
        <v>0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f>C92*0.35</f>
        <v>0</v>
      </c>
      <c r="D115" s="56">
        <v>0</v>
      </c>
      <c r="E115" s="56">
        <f t="shared" ref="E115:E121" si="96">SUM(C115:D115)</f>
        <v>0</v>
      </c>
      <c r="F115" s="58"/>
      <c r="G115" s="55">
        <f>G92*0.35</f>
        <v>0</v>
      </c>
      <c r="H115" s="57">
        <v>0</v>
      </c>
      <c r="I115" s="57">
        <f t="shared" ref="I115:I121" si="97">SUM(G115:H115)</f>
        <v>0</v>
      </c>
      <c r="J115" s="58"/>
      <c r="K115" s="55">
        <f>K92*0.35</f>
        <v>0</v>
      </c>
      <c r="L115" s="57">
        <v>0</v>
      </c>
      <c r="M115" s="57">
        <f t="shared" ref="M115:M121" si="98">SUM(K115:L115)</f>
        <v>0</v>
      </c>
      <c r="N115" s="58"/>
      <c r="O115" s="55">
        <f>O92*0.35</f>
        <v>0</v>
      </c>
      <c r="P115" s="57">
        <v>0</v>
      </c>
      <c r="Q115" s="57">
        <f t="shared" ref="Q115:Q121" si="99">SUM(O115:P115)</f>
        <v>0</v>
      </c>
      <c r="R115" s="58"/>
      <c r="S115" s="55">
        <f>S92*0.35</f>
        <v>0</v>
      </c>
      <c r="T115" s="57">
        <v>0</v>
      </c>
      <c r="U115" s="57">
        <f t="shared" ref="U115:U121" si="100">SUM(S115:T115)</f>
        <v>0</v>
      </c>
      <c r="V115" s="59"/>
      <c r="W115" s="124">
        <f t="shared" ref="W115:Y121" si="101">C115+G115+K115+O115+S115</f>
        <v>0</v>
      </c>
      <c r="X115" s="57">
        <f t="shared" si="101"/>
        <v>0</v>
      </c>
      <c r="Y115" s="84">
        <f t="shared" si="101"/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s="61" customFormat="1" x14ac:dyDescent="0.25">
      <c r="A116" s="3">
        <v>0.04</v>
      </c>
      <c r="B116" s="52" t="s">
        <v>37</v>
      </c>
      <c r="C116" s="124">
        <f>C96*0.35</f>
        <v>0</v>
      </c>
      <c r="D116" s="56">
        <v>0</v>
      </c>
      <c r="E116" s="56">
        <f t="shared" si="96"/>
        <v>0</v>
      </c>
      <c r="F116" s="58"/>
      <c r="G116" s="55">
        <f t="shared" ref="G116:H121" si="102">C116*1.05</f>
        <v>0</v>
      </c>
      <c r="H116" s="57">
        <f t="shared" si="102"/>
        <v>0</v>
      </c>
      <c r="I116" s="57">
        <f t="shared" si="97"/>
        <v>0</v>
      </c>
      <c r="J116" s="58"/>
      <c r="K116" s="55">
        <f t="shared" ref="K116:L121" si="103">G116*1.05</f>
        <v>0</v>
      </c>
      <c r="L116" s="57">
        <f t="shared" si="103"/>
        <v>0</v>
      </c>
      <c r="M116" s="57">
        <f t="shared" si="98"/>
        <v>0</v>
      </c>
      <c r="N116" s="58"/>
      <c r="O116" s="55">
        <f t="shared" ref="O116:P121" si="104">K116*1.05</f>
        <v>0</v>
      </c>
      <c r="P116" s="57">
        <f t="shared" si="104"/>
        <v>0</v>
      </c>
      <c r="Q116" s="57">
        <f t="shared" si="99"/>
        <v>0</v>
      </c>
      <c r="R116" s="58"/>
      <c r="S116" s="55">
        <f t="shared" ref="S116:T121" si="105">O116*1.05</f>
        <v>0</v>
      </c>
      <c r="T116" s="57">
        <f t="shared" si="105"/>
        <v>0</v>
      </c>
      <c r="U116" s="57">
        <f t="shared" si="100"/>
        <v>0</v>
      </c>
      <c r="V116" s="59"/>
      <c r="W116" s="124">
        <f t="shared" si="101"/>
        <v>0</v>
      </c>
      <c r="X116" s="57">
        <f t="shared" si="101"/>
        <v>0</v>
      </c>
      <c r="Y116" s="84">
        <f t="shared" si="101"/>
        <v>0</v>
      </c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</row>
    <row r="117" spans="1:77" s="61" customFormat="1" x14ac:dyDescent="0.25">
      <c r="A117" s="3">
        <v>0.09</v>
      </c>
      <c r="B117" s="52" t="s">
        <v>38</v>
      </c>
      <c r="C117" s="124">
        <f>C101*0.34</f>
        <v>0</v>
      </c>
      <c r="D117" s="56">
        <v>0</v>
      </c>
      <c r="E117" s="56">
        <f t="shared" si="96"/>
        <v>0</v>
      </c>
      <c r="F117" s="58"/>
      <c r="G117" s="55">
        <f t="shared" si="102"/>
        <v>0</v>
      </c>
      <c r="H117" s="57">
        <f t="shared" si="102"/>
        <v>0</v>
      </c>
      <c r="I117" s="57">
        <f t="shared" si="97"/>
        <v>0</v>
      </c>
      <c r="J117" s="58"/>
      <c r="K117" s="55">
        <f t="shared" si="103"/>
        <v>0</v>
      </c>
      <c r="L117" s="57">
        <f t="shared" si="103"/>
        <v>0</v>
      </c>
      <c r="M117" s="57">
        <f t="shared" si="98"/>
        <v>0</v>
      </c>
      <c r="N117" s="58"/>
      <c r="O117" s="55">
        <f t="shared" si="104"/>
        <v>0</v>
      </c>
      <c r="P117" s="57">
        <f t="shared" si="104"/>
        <v>0</v>
      </c>
      <c r="Q117" s="57">
        <f t="shared" si="99"/>
        <v>0</v>
      </c>
      <c r="R117" s="58"/>
      <c r="S117" s="55">
        <f t="shared" si="105"/>
        <v>0</v>
      </c>
      <c r="T117" s="57">
        <f t="shared" si="105"/>
        <v>0</v>
      </c>
      <c r="U117" s="57">
        <f t="shared" si="100"/>
        <v>0</v>
      </c>
      <c r="V117" s="59"/>
      <c r="W117" s="124">
        <f t="shared" si="101"/>
        <v>0</v>
      </c>
      <c r="X117" s="57">
        <f t="shared" si="101"/>
        <v>0</v>
      </c>
      <c r="Y117" s="84">
        <f t="shared" si="101"/>
        <v>0</v>
      </c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</row>
    <row r="118" spans="1:77" s="61" customFormat="1" x14ac:dyDescent="0.25">
      <c r="A118" s="3">
        <v>0.09</v>
      </c>
      <c r="B118" s="52" t="s">
        <v>39</v>
      </c>
      <c r="C118" s="124">
        <f>C103*0.43</f>
        <v>0</v>
      </c>
      <c r="D118" s="56">
        <f>D108*0.29</f>
        <v>0</v>
      </c>
      <c r="E118" s="56">
        <f t="shared" si="96"/>
        <v>0</v>
      </c>
      <c r="F118" s="58"/>
      <c r="G118" s="55">
        <f t="shared" si="102"/>
        <v>0</v>
      </c>
      <c r="H118" s="57">
        <f t="shared" si="102"/>
        <v>0</v>
      </c>
      <c r="I118" s="57">
        <f t="shared" si="97"/>
        <v>0</v>
      </c>
      <c r="J118" s="58"/>
      <c r="K118" s="55">
        <f t="shared" si="103"/>
        <v>0</v>
      </c>
      <c r="L118" s="57">
        <f t="shared" si="103"/>
        <v>0</v>
      </c>
      <c r="M118" s="57">
        <f t="shared" si="98"/>
        <v>0</v>
      </c>
      <c r="N118" s="58"/>
      <c r="O118" s="55">
        <f t="shared" si="104"/>
        <v>0</v>
      </c>
      <c r="P118" s="57">
        <f t="shared" si="104"/>
        <v>0</v>
      </c>
      <c r="Q118" s="57">
        <f t="shared" si="99"/>
        <v>0</v>
      </c>
      <c r="R118" s="58"/>
      <c r="S118" s="55">
        <f t="shared" si="105"/>
        <v>0</v>
      </c>
      <c r="T118" s="57">
        <f t="shared" si="105"/>
        <v>0</v>
      </c>
      <c r="U118" s="57">
        <f t="shared" si="100"/>
        <v>0</v>
      </c>
      <c r="V118" s="59"/>
      <c r="W118" s="124">
        <f t="shared" si="101"/>
        <v>0</v>
      </c>
      <c r="X118" s="57">
        <f t="shared" si="101"/>
        <v>0</v>
      </c>
      <c r="Y118" s="84">
        <f t="shared" si="101"/>
        <v>0</v>
      </c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</row>
    <row r="119" spans="1:77" s="61" customFormat="1" x14ac:dyDescent="0.25">
      <c r="A119" s="3">
        <v>0.19689999999999999</v>
      </c>
      <c r="B119" s="52" t="s">
        <v>55</v>
      </c>
      <c r="C119" s="124">
        <f>C104*0.03</f>
        <v>0</v>
      </c>
      <c r="D119" s="56">
        <v>0</v>
      </c>
      <c r="E119" s="56">
        <f t="shared" si="96"/>
        <v>0</v>
      </c>
      <c r="F119" s="58"/>
      <c r="G119" s="55">
        <f t="shared" si="102"/>
        <v>0</v>
      </c>
      <c r="H119" s="57">
        <f t="shared" si="102"/>
        <v>0</v>
      </c>
      <c r="I119" s="57">
        <f t="shared" si="97"/>
        <v>0</v>
      </c>
      <c r="J119" s="58"/>
      <c r="K119" s="55">
        <f t="shared" si="103"/>
        <v>0</v>
      </c>
      <c r="L119" s="57">
        <f t="shared" si="103"/>
        <v>0</v>
      </c>
      <c r="M119" s="57">
        <f t="shared" si="98"/>
        <v>0</v>
      </c>
      <c r="N119" s="58"/>
      <c r="O119" s="55">
        <f t="shared" si="104"/>
        <v>0</v>
      </c>
      <c r="P119" s="57">
        <f t="shared" si="104"/>
        <v>0</v>
      </c>
      <c r="Q119" s="57">
        <f t="shared" si="99"/>
        <v>0</v>
      </c>
      <c r="R119" s="58"/>
      <c r="S119" s="55">
        <f t="shared" si="105"/>
        <v>0</v>
      </c>
      <c r="T119" s="57">
        <f t="shared" si="105"/>
        <v>0</v>
      </c>
      <c r="U119" s="57">
        <f t="shared" si="100"/>
        <v>0</v>
      </c>
      <c r="V119" s="59"/>
      <c r="W119" s="124">
        <f t="shared" si="101"/>
        <v>0</v>
      </c>
      <c r="X119" s="57">
        <f t="shared" si="101"/>
        <v>0</v>
      </c>
      <c r="Y119" s="84">
        <f t="shared" si="101"/>
        <v>0</v>
      </c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</row>
    <row r="120" spans="1:77" s="61" customFormat="1" x14ac:dyDescent="0.25">
      <c r="A120" s="3">
        <v>0.2079</v>
      </c>
      <c r="B120" s="52" t="s">
        <v>56</v>
      </c>
      <c r="C120" s="124">
        <f>C107*0.06</f>
        <v>0</v>
      </c>
      <c r="D120" s="56">
        <v>0</v>
      </c>
      <c r="E120" s="56">
        <f t="shared" si="96"/>
        <v>0</v>
      </c>
      <c r="F120" s="58"/>
      <c r="G120" s="55">
        <f t="shared" si="102"/>
        <v>0</v>
      </c>
      <c r="H120" s="57">
        <f t="shared" si="102"/>
        <v>0</v>
      </c>
      <c r="I120" s="57">
        <f t="shared" si="97"/>
        <v>0</v>
      </c>
      <c r="J120" s="58"/>
      <c r="K120" s="55">
        <f t="shared" si="103"/>
        <v>0</v>
      </c>
      <c r="L120" s="57">
        <f t="shared" si="103"/>
        <v>0</v>
      </c>
      <c r="M120" s="57">
        <f t="shared" si="98"/>
        <v>0</v>
      </c>
      <c r="N120" s="58"/>
      <c r="O120" s="55">
        <f t="shared" si="104"/>
        <v>0</v>
      </c>
      <c r="P120" s="57">
        <f t="shared" si="104"/>
        <v>0</v>
      </c>
      <c r="Q120" s="57">
        <f t="shared" si="99"/>
        <v>0</v>
      </c>
      <c r="R120" s="58"/>
      <c r="S120" s="55">
        <f t="shared" si="105"/>
        <v>0</v>
      </c>
      <c r="T120" s="57">
        <f t="shared" si="105"/>
        <v>0</v>
      </c>
      <c r="U120" s="57">
        <f t="shared" si="100"/>
        <v>0</v>
      </c>
      <c r="V120" s="59"/>
      <c r="W120" s="124">
        <f t="shared" si="101"/>
        <v>0</v>
      </c>
      <c r="X120" s="57">
        <f t="shared" si="101"/>
        <v>0</v>
      </c>
      <c r="Y120" s="84">
        <f t="shared" si="101"/>
        <v>0</v>
      </c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</row>
    <row r="121" spans="1:77" s="61" customFormat="1" x14ac:dyDescent="0.25">
      <c r="A121" s="51">
        <v>12500</v>
      </c>
      <c r="B121" s="52" t="s">
        <v>36</v>
      </c>
      <c r="C121" s="124">
        <f>C108*0.06</f>
        <v>0</v>
      </c>
      <c r="D121" s="56">
        <v>0</v>
      </c>
      <c r="E121" s="56">
        <f t="shared" si="96"/>
        <v>0</v>
      </c>
      <c r="F121" s="58"/>
      <c r="G121" s="55">
        <f t="shared" si="102"/>
        <v>0</v>
      </c>
      <c r="H121" s="57">
        <f t="shared" si="102"/>
        <v>0</v>
      </c>
      <c r="I121" s="57">
        <f t="shared" si="97"/>
        <v>0</v>
      </c>
      <c r="J121" s="58"/>
      <c r="K121" s="55">
        <f t="shared" si="103"/>
        <v>0</v>
      </c>
      <c r="L121" s="57">
        <f t="shared" si="103"/>
        <v>0</v>
      </c>
      <c r="M121" s="57">
        <f t="shared" si="98"/>
        <v>0</v>
      </c>
      <c r="N121" s="58"/>
      <c r="O121" s="55">
        <f t="shared" si="104"/>
        <v>0</v>
      </c>
      <c r="P121" s="57">
        <f t="shared" si="104"/>
        <v>0</v>
      </c>
      <c r="Q121" s="57">
        <f t="shared" si="99"/>
        <v>0</v>
      </c>
      <c r="R121" s="58"/>
      <c r="S121" s="55">
        <f t="shared" si="105"/>
        <v>0</v>
      </c>
      <c r="T121" s="57">
        <f t="shared" si="105"/>
        <v>0</v>
      </c>
      <c r="U121" s="57">
        <f t="shared" si="100"/>
        <v>0</v>
      </c>
      <c r="V121" s="59"/>
      <c r="W121" s="124">
        <f t="shared" si="101"/>
        <v>0</v>
      </c>
      <c r="X121" s="57">
        <f t="shared" si="101"/>
        <v>0</v>
      </c>
      <c r="Y121" s="84">
        <f t="shared" si="101"/>
        <v>0</v>
      </c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</row>
    <row r="122" spans="1:77" s="61" customFormat="1" x14ac:dyDescent="0.25">
      <c r="A122" s="51"/>
      <c r="B122" s="52"/>
      <c r="C122" s="124"/>
      <c r="D122" s="56"/>
      <c r="E122" s="56"/>
      <c r="F122" s="58"/>
      <c r="G122" s="55"/>
      <c r="H122" s="57"/>
      <c r="I122" s="57"/>
      <c r="J122" s="58"/>
      <c r="K122" s="55"/>
      <c r="L122" s="57"/>
      <c r="M122" s="57"/>
      <c r="N122" s="58"/>
      <c r="O122" s="55"/>
      <c r="P122" s="57"/>
      <c r="Q122" s="57"/>
      <c r="R122" s="58"/>
      <c r="S122" s="55"/>
      <c r="T122" s="57"/>
      <c r="U122" s="57"/>
      <c r="V122" s="59"/>
      <c r="W122" s="124"/>
      <c r="X122" s="57"/>
      <c r="Y122" s="8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</row>
    <row r="123" spans="1:77" s="61" customFormat="1" x14ac:dyDescent="0.25">
      <c r="A123" s="51"/>
      <c r="B123" s="52"/>
      <c r="C123" s="124"/>
      <c r="D123" s="56"/>
      <c r="E123" s="56"/>
      <c r="F123" s="58"/>
      <c r="G123" s="55"/>
      <c r="H123" s="57"/>
      <c r="I123" s="57"/>
      <c r="J123" s="58"/>
      <c r="K123" s="55"/>
      <c r="L123" s="57"/>
      <c r="M123" s="57"/>
      <c r="N123" s="58"/>
      <c r="O123" s="55"/>
      <c r="P123" s="57"/>
      <c r="Q123" s="57"/>
      <c r="R123" s="58"/>
      <c r="S123" s="55"/>
      <c r="T123" s="57"/>
      <c r="U123" s="57"/>
      <c r="V123" s="59"/>
      <c r="W123" s="124"/>
      <c r="X123" s="57"/>
      <c r="Y123" s="8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0</v>
      </c>
      <c r="D124" s="125">
        <f>SUM(D115:D123)</f>
        <v>0</v>
      </c>
      <c r="E124" s="125">
        <f>SUM(E115:E123)</f>
        <v>0</v>
      </c>
      <c r="F124" s="81"/>
      <c r="G124" s="79">
        <f>SUM(G115:G123)</f>
        <v>0</v>
      </c>
      <c r="H124" s="80">
        <f>SUM(H115:H123)</f>
        <v>0</v>
      </c>
      <c r="I124" s="80">
        <f>SUM(I115:I123)</f>
        <v>0</v>
      </c>
      <c r="J124" s="81"/>
      <c r="K124" s="79">
        <f>SUM(K115:K123)</f>
        <v>0</v>
      </c>
      <c r="L124" s="80">
        <f>SUM(L115:L123)</f>
        <v>0</v>
      </c>
      <c r="M124" s="80">
        <f>SUM(M115:M123)</f>
        <v>0</v>
      </c>
      <c r="N124" s="81"/>
      <c r="O124" s="79">
        <f>SUM(O115:O123)</f>
        <v>0</v>
      </c>
      <c r="P124" s="80">
        <f>SUM(P115:P123)</f>
        <v>0</v>
      </c>
      <c r="Q124" s="80">
        <f>SUM(Q115:Q123)</f>
        <v>0</v>
      </c>
      <c r="R124" s="81"/>
      <c r="S124" s="79">
        <f>SUM(S115:S123)</f>
        <v>0</v>
      </c>
      <c r="T124" s="80">
        <f>SUM(T115:T123)</f>
        <v>0</v>
      </c>
      <c r="U124" s="80">
        <f>SUM(U115:U123)</f>
        <v>0</v>
      </c>
      <c r="V124" s="82"/>
      <c r="W124" s="228">
        <f>C124+G124+K124+O124+S124</f>
        <v>0</v>
      </c>
      <c r="X124" s="80">
        <f>D124+H124+L124+P124+T124</f>
        <v>0</v>
      </c>
      <c r="Y124" s="84">
        <f>E124+I124+M124+Q124+U124</f>
        <v>0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106">C124+C113</f>
        <v>0</v>
      </c>
      <c r="D125" s="101">
        <f t="shared" si="106"/>
        <v>0</v>
      </c>
      <c r="E125" s="101">
        <f t="shared" si="106"/>
        <v>0</v>
      </c>
      <c r="F125" s="101">
        <f t="shared" si="106"/>
        <v>0</v>
      </c>
      <c r="G125" s="101">
        <f t="shared" si="106"/>
        <v>0</v>
      </c>
      <c r="H125" s="101">
        <f t="shared" si="106"/>
        <v>0</v>
      </c>
      <c r="I125" s="101">
        <f t="shared" si="106"/>
        <v>0</v>
      </c>
      <c r="J125" s="101">
        <f t="shared" si="106"/>
        <v>0</v>
      </c>
      <c r="K125" s="101">
        <f t="shared" si="106"/>
        <v>0</v>
      </c>
      <c r="L125" s="101">
        <f t="shared" si="106"/>
        <v>0</v>
      </c>
      <c r="M125" s="101">
        <f t="shared" si="106"/>
        <v>0</v>
      </c>
      <c r="N125" s="101">
        <f t="shared" si="106"/>
        <v>0</v>
      </c>
      <c r="O125" s="101">
        <f t="shared" si="106"/>
        <v>0</v>
      </c>
      <c r="P125" s="101">
        <f t="shared" si="106"/>
        <v>0</v>
      </c>
      <c r="Q125" s="101">
        <f t="shared" si="106"/>
        <v>0</v>
      </c>
      <c r="R125" s="101">
        <f t="shared" si="106"/>
        <v>0</v>
      </c>
      <c r="S125" s="101">
        <f t="shared" si="106"/>
        <v>0</v>
      </c>
      <c r="T125" s="101">
        <f t="shared" si="106"/>
        <v>0</v>
      </c>
      <c r="U125" s="101">
        <f t="shared" si="106"/>
        <v>0</v>
      </c>
      <c r="V125" s="101">
        <f t="shared" si="106"/>
        <v>0</v>
      </c>
      <c r="W125" s="101">
        <f t="shared" si="106"/>
        <v>0</v>
      </c>
      <c r="X125" s="101">
        <f t="shared" si="106"/>
        <v>0</v>
      </c>
      <c r="Y125" s="101">
        <f t="shared" si="106"/>
        <v>0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x14ac:dyDescent="0.25">
      <c r="A127" s="52"/>
      <c r="B127" s="52"/>
      <c r="C127" s="124">
        <v>0</v>
      </c>
      <c r="D127" s="56">
        <v>0</v>
      </c>
      <c r="E127" s="56">
        <f t="shared" ref="E127:E140" si="107">SUM(C127:D127)</f>
        <v>0</v>
      </c>
      <c r="F127" s="58"/>
      <c r="G127" s="55">
        <v>0</v>
      </c>
      <c r="H127" s="57">
        <v>0</v>
      </c>
      <c r="I127" s="57">
        <f t="shared" ref="I127:I140" si="108">SUM(G127:H127)</f>
        <v>0</v>
      </c>
      <c r="J127" s="58"/>
      <c r="K127" s="55">
        <v>0</v>
      </c>
      <c r="L127" s="57">
        <v>0</v>
      </c>
      <c r="M127" s="57">
        <f t="shared" ref="M127:M140" si="109">SUM(K127:L127)</f>
        <v>0</v>
      </c>
      <c r="N127" s="58"/>
      <c r="O127" s="55">
        <v>0</v>
      </c>
      <c r="P127" s="57">
        <v>0</v>
      </c>
      <c r="Q127" s="57">
        <f t="shared" ref="Q127:Q140" si="110">SUM(O127:P127)</f>
        <v>0</v>
      </c>
      <c r="R127" s="58"/>
      <c r="S127" s="55">
        <v>0</v>
      </c>
      <c r="T127" s="57">
        <v>0</v>
      </c>
      <c r="U127" s="57">
        <f t="shared" ref="U127:U140" si="111">SUM(S127:T127)</f>
        <v>0</v>
      </c>
      <c r="V127" s="59"/>
      <c r="W127" s="124">
        <f t="shared" ref="W127:W141" si="112">C127+G127+K127+O127+S127</f>
        <v>0</v>
      </c>
      <c r="X127" s="57">
        <f t="shared" ref="X127:X141" si="113">D127+H127+L127+P127+T127</f>
        <v>0</v>
      </c>
      <c r="Y127" s="84">
        <f t="shared" ref="Y127:Y141" si="114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x14ac:dyDescent="0.25">
      <c r="A128" s="52"/>
      <c r="B128" s="52"/>
      <c r="C128" s="124">
        <v>0</v>
      </c>
      <c r="D128" s="56">
        <v>0</v>
      </c>
      <c r="E128" s="56">
        <f t="shared" si="107"/>
        <v>0</v>
      </c>
      <c r="F128" s="58"/>
      <c r="G128" s="55">
        <v>0</v>
      </c>
      <c r="H128" s="57">
        <v>0</v>
      </c>
      <c r="I128" s="57">
        <f t="shared" si="108"/>
        <v>0</v>
      </c>
      <c r="J128" s="58"/>
      <c r="K128" s="55">
        <v>0</v>
      </c>
      <c r="L128" s="57">
        <v>0</v>
      </c>
      <c r="M128" s="57">
        <f t="shared" si="109"/>
        <v>0</v>
      </c>
      <c r="N128" s="58"/>
      <c r="O128" s="55">
        <v>0</v>
      </c>
      <c r="P128" s="57">
        <v>0</v>
      </c>
      <c r="Q128" s="57">
        <f t="shared" si="110"/>
        <v>0</v>
      </c>
      <c r="R128" s="58"/>
      <c r="S128" s="55">
        <v>0</v>
      </c>
      <c r="T128" s="57">
        <v>0</v>
      </c>
      <c r="U128" s="57">
        <f t="shared" si="111"/>
        <v>0</v>
      </c>
      <c r="V128" s="59"/>
      <c r="W128" s="124">
        <f t="shared" si="112"/>
        <v>0</v>
      </c>
      <c r="X128" s="57">
        <f t="shared" si="113"/>
        <v>0</v>
      </c>
      <c r="Y128" s="84">
        <f t="shared" si="114"/>
        <v>0</v>
      </c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</row>
    <row r="129" spans="1:77" s="61" customFormat="1" x14ac:dyDescent="0.25">
      <c r="A129" s="52"/>
      <c r="B129" s="52"/>
      <c r="C129" s="124">
        <v>0</v>
      </c>
      <c r="D129" s="56">
        <v>0</v>
      </c>
      <c r="E129" s="56">
        <f t="shared" si="107"/>
        <v>0</v>
      </c>
      <c r="F129" s="58"/>
      <c r="G129" s="55">
        <v>0</v>
      </c>
      <c r="H129" s="57">
        <v>0</v>
      </c>
      <c r="I129" s="57">
        <f t="shared" si="108"/>
        <v>0</v>
      </c>
      <c r="J129" s="58"/>
      <c r="K129" s="55">
        <v>0</v>
      </c>
      <c r="L129" s="57">
        <v>0</v>
      </c>
      <c r="M129" s="57">
        <f t="shared" si="109"/>
        <v>0</v>
      </c>
      <c r="N129" s="58"/>
      <c r="O129" s="55">
        <v>0</v>
      </c>
      <c r="P129" s="57">
        <v>0</v>
      </c>
      <c r="Q129" s="57">
        <f t="shared" si="110"/>
        <v>0</v>
      </c>
      <c r="R129" s="58"/>
      <c r="S129" s="55">
        <v>0</v>
      </c>
      <c r="T129" s="57">
        <v>0</v>
      </c>
      <c r="U129" s="57">
        <f t="shared" si="111"/>
        <v>0</v>
      </c>
      <c r="V129" s="59"/>
      <c r="W129" s="124">
        <f t="shared" si="112"/>
        <v>0</v>
      </c>
      <c r="X129" s="57">
        <f t="shared" si="113"/>
        <v>0</v>
      </c>
      <c r="Y129" s="84">
        <f t="shared" si="114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107"/>
        <v>0</v>
      </c>
      <c r="F130" s="58"/>
      <c r="G130" s="55">
        <v>0</v>
      </c>
      <c r="H130" s="57">
        <v>0</v>
      </c>
      <c r="I130" s="57">
        <f t="shared" si="108"/>
        <v>0</v>
      </c>
      <c r="J130" s="58"/>
      <c r="K130" s="55">
        <v>0</v>
      </c>
      <c r="L130" s="57">
        <v>0</v>
      </c>
      <c r="M130" s="57">
        <f t="shared" si="109"/>
        <v>0</v>
      </c>
      <c r="N130" s="58"/>
      <c r="O130" s="55">
        <v>0</v>
      </c>
      <c r="P130" s="57">
        <v>0</v>
      </c>
      <c r="Q130" s="57">
        <f t="shared" si="110"/>
        <v>0</v>
      </c>
      <c r="R130" s="58"/>
      <c r="S130" s="55">
        <v>0</v>
      </c>
      <c r="T130" s="57">
        <v>0</v>
      </c>
      <c r="U130" s="57">
        <f t="shared" si="111"/>
        <v>0</v>
      </c>
      <c r="V130" s="59"/>
      <c r="W130" s="124">
        <f t="shared" si="112"/>
        <v>0</v>
      </c>
      <c r="X130" s="57">
        <f t="shared" si="113"/>
        <v>0</v>
      </c>
      <c r="Y130" s="84">
        <f t="shared" si="114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107"/>
        <v>0</v>
      </c>
      <c r="F131" s="58"/>
      <c r="G131" s="55">
        <v>0</v>
      </c>
      <c r="H131" s="57">
        <v>0</v>
      </c>
      <c r="I131" s="57">
        <f t="shared" si="108"/>
        <v>0</v>
      </c>
      <c r="J131" s="58"/>
      <c r="K131" s="55">
        <v>0</v>
      </c>
      <c r="L131" s="57">
        <v>0</v>
      </c>
      <c r="M131" s="57">
        <f t="shared" si="109"/>
        <v>0</v>
      </c>
      <c r="N131" s="58"/>
      <c r="O131" s="55">
        <v>0</v>
      </c>
      <c r="P131" s="57">
        <v>0</v>
      </c>
      <c r="Q131" s="57">
        <f t="shared" si="110"/>
        <v>0</v>
      </c>
      <c r="R131" s="58"/>
      <c r="S131" s="55">
        <v>0</v>
      </c>
      <c r="T131" s="57">
        <v>0</v>
      </c>
      <c r="U131" s="57">
        <f t="shared" si="111"/>
        <v>0</v>
      </c>
      <c r="V131" s="59"/>
      <c r="W131" s="124">
        <f t="shared" si="112"/>
        <v>0</v>
      </c>
      <c r="X131" s="57">
        <f t="shared" si="113"/>
        <v>0</v>
      </c>
      <c r="Y131" s="84">
        <f t="shared" si="114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107"/>
        <v>0</v>
      </c>
      <c r="F132" s="58"/>
      <c r="G132" s="55">
        <v>0</v>
      </c>
      <c r="H132" s="57">
        <v>0</v>
      </c>
      <c r="I132" s="57">
        <f t="shared" si="108"/>
        <v>0</v>
      </c>
      <c r="J132" s="58"/>
      <c r="K132" s="55">
        <v>0</v>
      </c>
      <c r="L132" s="57">
        <v>0</v>
      </c>
      <c r="M132" s="57">
        <f t="shared" si="109"/>
        <v>0</v>
      </c>
      <c r="N132" s="58"/>
      <c r="O132" s="55">
        <v>0</v>
      </c>
      <c r="P132" s="57">
        <v>0</v>
      </c>
      <c r="Q132" s="57">
        <f t="shared" si="110"/>
        <v>0</v>
      </c>
      <c r="R132" s="58"/>
      <c r="S132" s="55">
        <v>0</v>
      </c>
      <c r="T132" s="57">
        <v>0</v>
      </c>
      <c r="U132" s="57">
        <f t="shared" si="111"/>
        <v>0</v>
      </c>
      <c r="V132" s="59"/>
      <c r="W132" s="124">
        <f t="shared" si="112"/>
        <v>0</v>
      </c>
      <c r="X132" s="57">
        <f t="shared" si="113"/>
        <v>0</v>
      </c>
      <c r="Y132" s="84">
        <f t="shared" si="114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107"/>
        <v>0</v>
      </c>
      <c r="F133" s="58"/>
      <c r="G133" s="55">
        <v>0</v>
      </c>
      <c r="H133" s="57">
        <v>0</v>
      </c>
      <c r="I133" s="57">
        <f t="shared" si="108"/>
        <v>0</v>
      </c>
      <c r="J133" s="58"/>
      <c r="K133" s="55">
        <v>0</v>
      </c>
      <c r="L133" s="57">
        <v>0</v>
      </c>
      <c r="M133" s="57">
        <f t="shared" si="109"/>
        <v>0</v>
      </c>
      <c r="N133" s="58"/>
      <c r="O133" s="55">
        <v>0</v>
      </c>
      <c r="P133" s="57">
        <v>0</v>
      </c>
      <c r="Q133" s="57">
        <f t="shared" si="110"/>
        <v>0</v>
      </c>
      <c r="R133" s="58"/>
      <c r="S133" s="55">
        <v>0</v>
      </c>
      <c r="T133" s="57">
        <v>0</v>
      </c>
      <c r="U133" s="57">
        <f t="shared" si="111"/>
        <v>0</v>
      </c>
      <c r="V133" s="59"/>
      <c r="W133" s="124">
        <f t="shared" si="112"/>
        <v>0</v>
      </c>
      <c r="X133" s="57">
        <f t="shared" si="113"/>
        <v>0</v>
      </c>
      <c r="Y133" s="84">
        <f t="shared" si="114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107"/>
        <v>0</v>
      </c>
      <c r="F134" s="58"/>
      <c r="G134" s="55">
        <v>0</v>
      </c>
      <c r="H134" s="57">
        <v>0</v>
      </c>
      <c r="I134" s="57">
        <f t="shared" si="108"/>
        <v>0</v>
      </c>
      <c r="J134" s="58"/>
      <c r="K134" s="55">
        <v>0</v>
      </c>
      <c r="L134" s="57">
        <v>0</v>
      </c>
      <c r="M134" s="57">
        <f t="shared" si="109"/>
        <v>0</v>
      </c>
      <c r="N134" s="58"/>
      <c r="O134" s="55">
        <v>0</v>
      </c>
      <c r="P134" s="57">
        <v>0</v>
      </c>
      <c r="Q134" s="57">
        <f t="shared" si="110"/>
        <v>0</v>
      </c>
      <c r="R134" s="58"/>
      <c r="S134" s="55">
        <v>0</v>
      </c>
      <c r="T134" s="57">
        <v>0</v>
      </c>
      <c r="U134" s="57">
        <f t="shared" si="111"/>
        <v>0</v>
      </c>
      <c r="V134" s="59"/>
      <c r="W134" s="124">
        <f t="shared" si="112"/>
        <v>0</v>
      </c>
      <c r="X134" s="57">
        <f t="shared" si="113"/>
        <v>0</v>
      </c>
      <c r="Y134" s="84">
        <f t="shared" si="114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107"/>
        <v>0</v>
      </c>
      <c r="F135" s="58"/>
      <c r="G135" s="55">
        <v>0</v>
      </c>
      <c r="H135" s="57">
        <v>0</v>
      </c>
      <c r="I135" s="57">
        <f t="shared" si="108"/>
        <v>0</v>
      </c>
      <c r="J135" s="58"/>
      <c r="K135" s="55">
        <v>0</v>
      </c>
      <c r="L135" s="57">
        <v>0</v>
      </c>
      <c r="M135" s="57">
        <f t="shared" si="109"/>
        <v>0</v>
      </c>
      <c r="N135" s="58"/>
      <c r="O135" s="55">
        <v>0</v>
      </c>
      <c r="P135" s="57">
        <v>0</v>
      </c>
      <c r="Q135" s="57">
        <f t="shared" si="110"/>
        <v>0</v>
      </c>
      <c r="R135" s="58"/>
      <c r="S135" s="55">
        <v>0</v>
      </c>
      <c r="T135" s="57">
        <v>0</v>
      </c>
      <c r="U135" s="57">
        <f t="shared" si="111"/>
        <v>0</v>
      </c>
      <c r="V135" s="59"/>
      <c r="W135" s="124">
        <f t="shared" si="112"/>
        <v>0</v>
      </c>
      <c r="X135" s="57">
        <f t="shared" si="113"/>
        <v>0</v>
      </c>
      <c r="Y135" s="84">
        <f t="shared" si="114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107"/>
        <v>0</v>
      </c>
      <c r="F136" s="58"/>
      <c r="G136" s="55">
        <v>0</v>
      </c>
      <c r="H136" s="57">
        <v>0</v>
      </c>
      <c r="I136" s="57">
        <f t="shared" si="108"/>
        <v>0</v>
      </c>
      <c r="J136" s="58"/>
      <c r="K136" s="55">
        <v>0</v>
      </c>
      <c r="L136" s="57">
        <v>0</v>
      </c>
      <c r="M136" s="57">
        <f t="shared" si="109"/>
        <v>0</v>
      </c>
      <c r="N136" s="58"/>
      <c r="O136" s="55">
        <v>0</v>
      </c>
      <c r="P136" s="57">
        <v>0</v>
      </c>
      <c r="Q136" s="57">
        <f t="shared" si="110"/>
        <v>0</v>
      </c>
      <c r="R136" s="58"/>
      <c r="S136" s="55">
        <v>0</v>
      </c>
      <c r="T136" s="57">
        <v>0</v>
      </c>
      <c r="U136" s="57">
        <f t="shared" si="111"/>
        <v>0</v>
      </c>
      <c r="V136" s="59"/>
      <c r="W136" s="124">
        <f t="shared" si="112"/>
        <v>0</v>
      </c>
      <c r="X136" s="57">
        <f t="shared" si="113"/>
        <v>0</v>
      </c>
      <c r="Y136" s="84">
        <f t="shared" si="114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107"/>
        <v>0</v>
      </c>
      <c r="F137" s="58"/>
      <c r="G137" s="55">
        <v>0</v>
      </c>
      <c r="H137" s="57">
        <v>0</v>
      </c>
      <c r="I137" s="57">
        <f t="shared" si="108"/>
        <v>0</v>
      </c>
      <c r="J137" s="58"/>
      <c r="K137" s="55">
        <v>0</v>
      </c>
      <c r="L137" s="57">
        <v>0</v>
      </c>
      <c r="M137" s="57">
        <f t="shared" si="109"/>
        <v>0</v>
      </c>
      <c r="N137" s="58"/>
      <c r="O137" s="55">
        <v>0</v>
      </c>
      <c r="P137" s="57">
        <v>0</v>
      </c>
      <c r="Q137" s="57">
        <f t="shared" si="110"/>
        <v>0</v>
      </c>
      <c r="R137" s="58"/>
      <c r="S137" s="55">
        <v>0</v>
      </c>
      <c r="T137" s="57">
        <v>0</v>
      </c>
      <c r="U137" s="57">
        <f t="shared" si="111"/>
        <v>0</v>
      </c>
      <c r="V137" s="59"/>
      <c r="W137" s="124">
        <f t="shared" si="112"/>
        <v>0</v>
      </c>
      <c r="X137" s="57">
        <f t="shared" si="113"/>
        <v>0</v>
      </c>
      <c r="Y137" s="84">
        <f t="shared" si="114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107"/>
        <v>0</v>
      </c>
      <c r="F138" s="58"/>
      <c r="G138" s="55">
        <v>0</v>
      </c>
      <c r="H138" s="57">
        <v>0</v>
      </c>
      <c r="I138" s="57">
        <f t="shared" si="108"/>
        <v>0</v>
      </c>
      <c r="J138" s="58"/>
      <c r="K138" s="55">
        <v>0</v>
      </c>
      <c r="L138" s="57">
        <v>0</v>
      </c>
      <c r="M138" s="57">
        <f t="shared" si="109"/>
        <v>0</v>
      </c>
      <c r="N138" s="58"/>
      <c r="O138" s="55">
        <v>0</v>
      </c>
      <c r="P138" s="57">
        <v>0</v>
      </c>
      <c r="Q138" s="57">
        <f t="shared" si="110"/>
        <v>0</v>
      </c>
      <c r="R138" s="58"/>
      <c r="S138" s="55">
        <v>0</v>
      </c>
      <c r="T138" s="57">
        <v>0</v>
      </c>
      <c r="U138" s="57">
        <f t="shared" si="111"/>
        <v>0</v>
      </c>
      <c r="V138" s="59"/>
      <c r="W138" s="124">
        <f t="shared" si="112"/>
        <v>0</v>
      </c>
      <c r="X138" s="57">
        <f t="shared" si="113"/>
        <v>0</v>
      </c>
      <c r="Y138" s="84">
        <f t="shared" si="114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107"/>
        <v>0</v>
      </c>
      <c r="F139" s="58"/>
      <c r="G139" s="55">
        <v>0</v>
      </c>
      <c r="H139" s="57">
        <v>0</v>
      </c>
      <c r="I139" s="57">
        <f t="shared" si="108"/>
        <v>0</v>
      </c>
      <c r="J139" s="58"/>
      <c r="K139" s="55">
        <v>0</v>
      </c>
      <c r="L139" s="57">
        <v>0</v>
      </c>
      <c r="M139" s="57">
        <f t="shared" si="109"/>
        <v>0</v>
      </c>
      <c r="N139" s="58"/>
      <c r="O139" s="55">
        <v>0</v>
      </c>
      <c r="P139" s="57">
        <v>0</v>
      </c>
      <c r="Q139" s="57">
        <f t="shared" si="110"/>
        <v>0</v>
      </c>
      <c r="R139" s="58"/>
      <c r="S139" s="55">
        <v>0</v>
      </c>
      <c r="T139" s="57">
        <v>0</v>
      </c>
      <c r="U139" s="57">
        <f t="shared" si="111"/>
        <v>0</v>
      </c>
      <c r="V139" s="59"/>
      <c r="W139" s="124">
        <f t="shared" si="112"/>
        <v>0</v>
      </c>
      <c r="X139" s="57">
        <f t="shared" si="113"/>
        <v>0</v>
      </c>
      <c r="Y139" s="84">
        <f t="shared" si="114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107"/>
        <v>0</v>
      </c>
      <c r="F140" s="58"/>
      <c r="G140" s="55">
        <v>0</v>
      </c>
      <c r="H140" s="57">
        <v>0</v>
      </c>
      <c r="I140" s="57">
        <f t="shared" si="108"/>
        <v>0</v>
      </c>
      <c r="J140" s="58"/>
      <c r="K140" s="55">
        <v>0</v>
      </c>
      <c r="L140" s="57">
        <v>0</v>
      </c>
      <c r="M140" s="57">
        <f t="shared" si="109"/>
        <v>0</v>
      </c>
      <c r="N140" s="58"/>
      <c r="O140" s="55">
        <v>0</v>
      </c>
      <c r="P140" s="57">
        <v>0</v>
      </c>
      <c r="Q140" s="57">
        <f t="shared" si="110"/>
        <v>0</v>
      </c>
      <c r="R140" s="58"/>
      <c r="S140" s="55">
        <v>0</v>
      </c>
      <c r="T140" s="57">
        <v>0</v>
      </c>
      <c r="U140" s="57">
        <f t="shared" si="111"/>
        <v>0</v>
      </c>
      <c r="V140" s="59"/>
      <c r="W140" s="124">
        <f t="shared" si="112"/>
        <v>0</v>
      </c>
      <c r="X140" s="57">
        <f t="shared" si="113"/>
        <v>0</v>
      </c>
      <c r="Y140" s="84">
        <f t="shared" si="114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112"/>
        <v>0</v>
      </c>
      <c r="X141" s="80">
        <f t="shared" si="113"/>
        <v>0</v>
      </c>
      <c r="Y141" s="80">
        <f t="shared" si="114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s="61" customFormat="1" x14ac:dyDescent="0.25">
      <c r="A143" s="52"/>
      <c r="B143" s="52"/>
      <c r="C143" s="124">
        <v>0</v>
      </c>
      <c r="D143" s="56">
        <v>0</v>
      </c>
      <c r="E143" s="56">
        <f t="shared" ref="E143:E148" si="115">SUM(C143:D143)</f>
        <v>0</v>
      </c>
      <c r="F143" s="58"/>
      <c r="G143" s="55">
        <v>0</v>
      </c>
      <c r="H143" s="57">
        <v>0</v>
      </c>
      <c r="I143" s="57">
        <f t="shared" ref="I143:I148" si="116">SUM(G143:H143)</f>
        <v>0</v>
      </c>
      <c r="J143" s="58"/>
      <c r="K143" s="55">
        <v>0</v>
      </c>
      <c r="L143" s="57">
        <v>0</v>
      </c>
      <c r="M143" s="57">
        <f t="shared" ref="M143:M148" si="117">SUM(K143:L143)</f>
        <v>0</v>
      </c>
      <c r="N143" s="58"/>
      <c r="O143" s="55">
        <v>0</v>
      </c>
      <c r="P143" s="57">
        <v>0</v>
      </c>
      <c r="Q143" s="57">
        <f t="shared" ref="Q143:Q148" si="118">SUM(O143:P143)</f>
        <v>0</v>
      </c>
      <c r="R143" s="58"/>
      <c r="S143" s="55">
        <v>0</v>
      </c>
      <c r="T143" s="57">
        <v>0</v>
      </c>
      <c r="U143" s="57">
        <f t="shared" ref="U143:U148" si="119">SUM(S143:T143)</f>
        <v>0</v>
      </c>
      <c r="V143" s="59"/>
      <c r="W143" s="124">
        <f t="shared" ref="W143:Y149" si="120">C143+G143+K143+O143+S143</f>
        <v>0</v>
      </c>
      <c r="X143" s="57">
        <f t="shared" si="120"/>
        <v>0</v>
      </c>
      <c r="Y143" s="84">
        <f t="shared" si="120"/>
        <v>0</v>
      </c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</row>
    <row r="144" spans="1:77" s="61" customFormat="1" x14ac:dyDescent="0.25">
      <c r="B144" s="61" t="s">
        <v>121</v>
      </c>
      <c r="C144" s="55">
        <f>(20*250)+2500</f>
        <v>7500</v>
      </c>
      <c r="D144" s="57">
        <v>0</v>
      </c>
      <c r="E144" s="57">
        <f t="shared" si="115"/>
        <v>7500</v>
      </c>
      <c r="F144" s="58"/>
      <c r="G144" s="55">
        <f>C144+2000</f>
        <v>9500</v>
      </c>
      <c r="H144" s="57">
        <v>0</v>
      </c>
      <c r="I144" s="57">
        <f t="shared" si="116"/>
        <v>9500</v>
      </c>
      <c r="J144" s="58"/>
      <c r="K144" s="55">
        <f>G144*0</f>
        <v>0</v>
      </c>
      <c r="L144" s="57">
        <v>0</v>
      </c>
      <c r="M144" s="57">
        <f t="shared" si="117"/>
        <v>0</v>
      </c>
      <c r="N144" s="58"/>
      <c r="O144" s="55">
        <f>K144+5000+3000</f>
        <v>8000</v>
      </c>
      <c r="P144" s="57">
        <v>0</v>
      </c>
      <c r="Q144" s="57">
        <f t="shared" si="118"/>
        <v>8000</v>
      </c>
      <c r="R144" s="58"/>
      <c r="S144" s="55">
        <f>O144*0</f>
        <v>0</v>
      </c>
      <c r="T144" s="57">
        <v>0</v>
      </c>
      <c r="U144" s="57">
        <f t="shared" si="119"/>
        <v>0</v>
      </c>
      <c r="V144" s="59"/>
      <c r="W144" s="124">
        <f t="shared" si="120"/>
        <v>25000</v>
      </c>
      <c r="X144" s="57">
        <f t="shared" si="120"/>
        <v>0</v>
      </c>
      <c r="Y144" s="202">
        <f t="shared" si="120"/>
        <v>25000</v>
      </c>
    </row>
    <row r="145" spans="1:77" s="61" customFormat="1" x14ac:dyDescent="0.25">
      <c r="A145" s="52"/>
      <c r="B145" s="52" t="s">
        <v>197</v>
      </c>
      <c r="C145" s="124">
        <v>4000</v>
      </c>
      <c r="D145" s="56">
        <v>0</v>
      </c>
      <c r="E145" s="56">
        <f t="shared" si="115"/>
        <v>4000</v>
      </c>
      <c r="F145" s="58"/>
      <c r="G145" s="55">
        <v>0</v>
      </c>
      <c r="H145" s="57">
        <v>0</v>
      </c>
      <c r="I145" s="57">
        <f t="shared" si="116"/>
        <v>0</v>
      </c>
      <c r="J145" s="58"/>
      <c r="K145" s="55">
        <v>4000</v>
      </c>
      <c r="L145" s="57">
        <v>0</v>
      </c>
      <c r="M145" s="57">
        <f t="shared" si="117"/>
        <v>4000</v>
      </c>
      <c r="N145" s="58"/>
      <c r="O145" s="55">
        <v>0</v>
      </c>
      <c r="P145" s="57">
        <v>0</v>
      </c>
      <c r="Q145" s="57">
        <f t="shared" si="118"/>
        <v>0</v>
      </c>
      <c r="R145" s="58"/>
      <c r="S145" s="55">
        <v>0</v>
      </c>
      <c r="T145" s="57">
        <v>0</v>
      </c>
      <c r="U145" s="57">
        <f t="shared" si="119"/>
        <v>0</v>
      </c>
      <c r="V145" s="59"/>
      <c r="W145" s="124">
        <f t="shared" si="120"/>
        <v>8000</v>
      </c>
      <c r="X145" s="57">
        <f t="shared" si="120"/>
        <v>0</v>
      </c>
      <c r="Y145" s="84">
        <f t="shared" si="120"/>
        <v>8000</v>
      </c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115"/>
        <v>0</v>
      </c>
      <c r="F146" s="58"/>
      <c r="G146" s="55">
        <v>0</v>
      </c>
      <c r="H146" s="57">
        <v>0</v>
      </c>
      <c r="I146" s="57">
        <f t="shared" si="116"/>
        <v>0</v>
      </c>
      <c r="J146" s="58"/>
      <c r="K146" s="55">
        <v>0</v>
      </c>
      <c r="L146" s="57">
        <v>0</v>
      </c>
      <c r="M146" s="57">
        <f t="shared" si="117"/>
        <v>0</v>
      </c>
      <c r="N146" s="58"/>
      <c r="O146" s="55">
        <v>0</v>
      </c>
      <c r="P146" s="57">
        <v>0</v>
      </c>
      <c r="Q146" s="57">
        <f t="shared" si="118"/>
        <v>0</v>
      </c>
      <c r="R146" s="58"/>
      <c r="S146" s="55">
        <v>0</v>
      </c>
      <c r="T146" s="57">
        <v>0</v>
      </c>
      <c r="U146" s="57">
        <f t="shared" si="119"/>
        <v>0</v>
      </c>
      <c r="V146" s="59"/>
      <c r="W146" s="124">
        <f t="shared" si="120"/>
        <v>0</v>
      </c>
      <c r="X146" s="57">
        <f t="shared" si="120"/>
        <v>0</v>
      </c>
      <c r="Y146" s="84">
        <f t="shared" si="120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115"/>
        <v>0</v>
      </c>
      <c r="F147" s="58"/>
      <c r="G147" s="55">
        <v>0</v>
      </c>
      <c r="H147" s="57">
        <v>0</v>
      </c>
      <c r="I147" s="57">
        <f t="shared" si="116"/>
        <v>0</v>
      </c>
      <c r="J147" s="58"/>
      <c r="K147" s="55">
        <v>0</v>
      </c>
      <c r="L147" s="57">
        <v>0</v>
      </c>
      <c r="M147" s="57">
        <f t="shared" si="117"/>
        <v>0</v>
      </c>
      <c r="N147" s="58"/>
      <c r="O147" s="55">
        <v>0</v>
      </c>
      <c r="P147" s="57">
        <v>0</v>
      </c>
      <c r="Q147" s="57">
        <f t="shared" si="118"/>
        <v>0</v>
      </c>
      <c r="R147" s="58"/>
      <c r="S147" s="55">
        <v>0</v>
      </c>
      <c r="T147" s="57">
        <v>0</v>
      </c>
      <c r="U147" s="57">
        <f t="shared" si="119"/>
        <v>0</v>
      </c>
      <c r="V147" s="59"/>
      <c r="W147" s="124">
        <f t="shared" si="120"/>
        <v>0</v>
      </c>
      <c r="X147" s="57">
        <f t="shared" si="120"/>
        <v>0</v>
      </c>
      <c r="Y147" s="84">
        <f t="shared" si="120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115"/>
        <v>0</v>
      </c>
      <c r="F148" s="58"/>
      <c r="G148" s="55">
        <v>0</v>
      </c>
      <c r="H148" s="57">
        <v>0</v>
      </c>
      <c r="I148" s="57">
        <f t="shared" si="116"/>
        <v>0</v>
      </c>
      <c r="J148" s="58"/>
      <c r="K148" s="55">
        <v>0</v>
      </c>
      <c r="L148" s="57">
        <v>0</v>
      </c>
      <c r="M148" s="57">
        <f t="shared" si="117"/>
        <v>0</v>
      </c>
      <c r="N148" s="58"/>
      <c r="O148" s="55">
        <v>0</v>
      </c>
      <c r="P148" s="57">
        <v>0</v>
      </c>
      <c r="Q148" s="57">
        <f t="shared" si="118"/>
        <v>0</v>
      </c>
      <c r="R148" s="58"/>
      <c r="S148" s="55">
        <v>0</v>
      </c>
      <c r="T148" s="57">
        <v>0</v>
      </c>
      <c r="U148" s="57">
        <f t="shared" si="119"/>
        <v>0</v>
      </c>
      <c r="V148" s="59"/>
      <c r="W148" s="124">
        <f t="shared" si="120"/>
        <v>0</v>
      </c>
      <c r="X148" s="57">
        <f t="shared" si="120"/>
        <v>0</v>
      </c>
      <c r="Y148" s="84">
        <f t="shared" si="120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11500</v>
      </c>
      <c r="D149" s="125">
        <f>SUM(D143:D148)</f>
        <v>0</v>
      </c>
      <c r="E149" s="125">
        <f>SUM(E143:E148)</f>
        <v>11500</v>
      </c>
      <c r="F149" s="81"/>
      <c r="G149" s="79">
        <f>SUM(G143:G148)</f>
        <v>9500</v>
      </c>
      <c r="H149" s="80">
        <f>SUM(H143:H148)</f>
        <v>0</v>
      </c>
      <c r="I149" s="80">
        <f>SUM(I143:I148)</f>
        <v>9500</v>
      </c>
      <c r="J149" s="81"/>
      <c r="K149" s="79">
        <f>SUM(K143:K148)</f>
        <v>4000</v>
      </c>
      <c r="L149" s="80">
        <f>SUM(L143:L148)</f>
        <v>0</v>
      </c>
      <c r="M149" s="80">
        <f>SUM(M143:M148)</f>
        <v>4000</v>
      </c>
      <c r="N149" s="81"/>
      <c r="O149" s="79">
        <f>SUM(O143:O148)</f>
        <v>8000</v>
      </c>
      <c r="P149" s="80">
        <f>SUM(P143:P148)</f>
        <v>0</v>
      </c>
      <c r="Q149" s="80">
        <f>SUM(Q143:Q148)</f>
        <v>8000</v>
      </c>
      <c r="R149" s="81"/>
      <c r="S149" s="79">
        <f>SUM(S143:S148)</f>
        <v>0</v>
      </c>
      <c r="T149" s="80">
        <f>SUM(T143:T148)</f>
        <v>0</v>
      </c>
      <c r="U149" s="80">
        <f>SUM(U143:U148)</f>
        <v>0</v>
      </c>
      <c r="V149" s="82"/>
      <c r="W149" s="228">
        <f t="shared" si="120"/>
        <v>33000</v>
      </c>
      <c r="X149" s="80">
        <f t="shared" si="120"/>
        <v>0</v>
      </c>
      <c r="Y149" s="80">
        <f t="shared" si="120"/>
        <v>33000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/>
      <c r="B151" s="54"/>
      <c r="C151" s="124">
        <v>0</v>
      </c>
      <c r="D151" s="56">
        <v>0</v>
      </c>
      <c r="E151" s="56">
        <f>SUM(C151:D151)</f>
        <v>0</v>
      </c>
      <c r="F151" s="58"/>
      <c r="G151" s="55">
        <v>0</v>
      </c>
      <c r="H151" s="56">
        <v>0</v>
      </c>
      <c r="I151" s="56">
        <f>SUM(G151:H151)</f>
        <v>0</v>
      </c>
      <c r="J151" s="58"/>
      <c r="K151" s="55">
        <v>0</v>
      </c>
      <c r="L151" s="56">
        <v>0</v>
      </c>
      <c r="M151" s="56">
        <f>SUM(K151:L151)</f>
        <v>0</v>
      </c>
      <c r="N151" s="58"/>
      <c r="O151" s="55">
        <v>0</v>
      </c>
      <c r="P151" s="56">
        <v>0</v>
      </c>
      <c r="Q151" s="56">
        <f>SUM(O151:P151)</f>
        <v>0</v>
      </c>
      <c r="R151" s="58"/>
      <c r="S151" s="55">
        <v>0</v>
      </c>
      <c r="T151" s="56">
        <v>0</v>
      </c>
      <c r="U151" s="56">
        <f>SUM(S151:T151)</f>
        <v>0</v>
      </c>
      <c r="V151" s="59"/>
      <c r="W151" s="124">
        <f t="shared" ref="W151:Y155" si="121">C151+G151+K151+O151+S151</f>
        <v>0</v>
      </c>
      <c r="X151" s="57">
        <f t="shared" si="121"/>
        <v>0</v>
      </c>
      <c r="Y151" s="84">
        <f t="shared" si="121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77" customFormat="1" x14ac:dyDescent="0.25">
      <c r="A152" s="54"/>
      <c r="B152" s="54"/>
      <c r="C152" s="124">
        <v>0</v>
      </c>
      <c r="D152" s="56">
        <v>0</v>
      </c>
      <c r="E152" s="56">
        <f>SUM(C152:D152)</f>
        <v>0</v>
      </c>
      <c r="F152" s="58"/>
      <c r="G152" s="55">
        <v>0</v>
      </c>
      <c r="H152" s="56">
        <v>0</v>
      </c>
      <c r="I152" s="56">
        <f>SUM(G152:H152)</f>
        <v>0</v>
      </c>
      <c r="J152" s="58"/>
      <c r="K152" s="55">
        <v>0</v>
      </c>
      <c r="L152" s="56">
        <v>0</v>
      </c>
      <c r="M152" s="56">
        <f>SUM(K152:L152)</f>
        <v>0</v>
      </c>
      <c r="N152" s="58"/>
      <c r="O152" s="55">
        <v>0</v>
      </c>
      <c r="P152" s="56">
        <v>0</v>
      </c>
      <c r="Q152" s="56">
        <f>SUM(O152:P152)</f>
        <v>0</v>
      </c>
      <c r="R152" s="58"/>
      <c r="S152" s="55">
        <v>0</v>
      </c>
      <c r="T152" s="56">
        <v>0</v>
      </c>
      <c r="U152" s="56">
        <f>SUM(S152:T152)</f>
        <v>0</v>
      </c>
      <c r="V152" s="59"/>
      <c r="W152" s="124">
        <f t="shared" si="121"/>
        <v>0</v>
      </c>
      <c r="X152" s="57">
        <f t="shared" si="121"/>
        <v>0</v>
      </c>
      <c r="Y152" s="84">
        <f t="shared" si="121"/>
        <v>0</v>
      </c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</row>
    <row r="153" spans="1:77" s="77" customFormat="1" x14ac:dyDescent="0.25">
      <c r="A153" s="54"/>
      <c r="B153" s="54"/>
      <c r="C153" s="124">
        <v>0</v>
      </c>
      <c r="D153" s="56">
        <v>0</v>
      </c>
      <c r="E153" s="56">
        <f>SUM(C153:D153)</f>
        <v>0</v>
      </c>
      <c r="F153" s="58"/>
      <c r="G153" s="55">
        <v>0</v>
      </c>
      <c r="H153" s="56">
        <v>0</v>
      </c>
      <c r="I153" s="56">
        <f>SUM(G153:H153)</f>
        <v>0</v>
      </c>
      <c r="J153" s="58"/>
      <c r="K153" s="55">
        <v>0</v>
      </c>
      <c r="L153" s="56">
        <v>0</v>
      </c>
      <c r="M153" s="56">
        <f>SUM(K153:L153)</f>
        <v>0</v>
      </c>
      <c r="N153" s="58"/>
      <c r="O153" s="55">
        <v>0</v>
      </c>
      <c r="P153" s="56">
        <v>0</v>
      </c>
      <c r="Q153" s="56">
        <f>SUM(O153:P153)</f>
        <v>0</v>
      </c>
      <c r="R153" s="58"/>
      <c r="S153" s="55">
        <v>0</v>
      </c>
      <c r="T153" s="56">
        <v>0</v>
      </c>
      <c r="U153" s="56">
        <f>SUM(S153:T153)</f>
        <v>0</v>
      </c>
      <c r="V153" s="59"/>
      <c r="W153" s="124">
        <f t="shared" si="121"/>
        <v>0</v>
      </c>
      <c r="X153" s="57">
        <f t="shared" si="121"/>
        <v>0</v>
      </c>
      <c r="Y153" s="84">
        <f t="shared" si="121"/>
        <v>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s="61" customFormat="1" x14ac:dyDescent="0.25">
      <c r="A154" s="54"/>
      <c r="B154" s="54"/>
      <c r="C154" s="124">
        <v>0</v>
      </c>
      <c r="D154" s="56">
        <v>0</v>
      </c>
      <c r="E154" s="56">
        <f>SUM(C154:D154)</f>
        <v>0</v>
      </c>
      <c r="F154" s="58"/>
      <c r="G154" s="55">
        <v>0</v>
      </c>
      <c r="H154" s="56">
        <v>0</v>
      </c>
      <c r="I154" s="56">
        <f>SUM(G154:H154)</f>
        <v>0</v>
      </c>
      <c r="J154" s="58"/>
      <c r="K154" s="55">
        <v>0</v>
      </c>
      <c r="L154" s="56">
        <v>0</v>
      </c>
      <c r="M154" s="56">
        <f>SUM(K154:L154)</f>
        <v>0</v>
      </c>
      <c r="N154" s="58"/>
      <c r="O154" s="55">
        <v>0</v>
      </c>
      <c r="P154" s="56">
        <v>0</v>
      </c>
      <c r="Q154" s="56">
        <f>SUM(O154:P154)</f>
        <v>0</v>
      </c>
      <c r="R154" s="58"/>
      <c r="S154" s="55">
        <v>0</v>
      </c>
      <c r="T154" s="56">
        <v>0</v>
      </c>
      <c r="U154" s="56">
        <f>SUM(S154:T154)</f>
        <v>0</v>
      </c>
      <c r="V154" s="59"/>
      <c r="W154" s="124">
        <f t="shared" si="121"/>
        <v>0</v>
      </c>
      <c r="X154" s="57">
        <f t="shared" si="121"/>
        <v>0</v>
      </c>
      <c r="Y154" s="84">
        <f t="shared" si="121"/>
        <v>0</v>
      </c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0</v>
      </c>
      <c r="H155" s="80">
        <f>SUM(H151:H154)</f>
        <v>0</v>
      </c>
      <c r="I155" s="80">
        <f>SUM(I151:I154)</f>
        <v>0</v>
      </c>
      <c r="J155" s="81"/>
      <c r="K155" s="79">
        <f>SUM(K151:K154)</f>
        <v>0</v>
      </c>
      <c r="L155" s="80">
        <f>SUM(L151:L154)</f>
        <v>0</v>
      </c>
      <c r="M155" s="80">
        <f>SUM(M151:M154)</f>
        <v>0</v>
      </c>
      <c r="N155" s="81"/>
      <c r="O155" s="79">
        <f>SUM(O151:O154)</f>
        <v>0</v>
      </c>
      <c r="P155" s="80">
        <f>SUM(P151:P154)</f>
        <v>0</v>
      </c>
      <c r="Q155" s="80">
        <f>SUM(Q151:Q154)</f>
        <v>0</v>
      </c>
      <c r="R155" s="81"/>
      <c r="S155" s="79">
        <f>SUM(S151:S154)</f>
        <v>0</v>
      </c>
      <c r="T155" s="80">
        <f>SUM(T151:T154)</f>
        <v>0</v>
      </c>
      <c r="U155" s="80">
        <f>SUM(U151:U154)</f>
        <v>0</v>
      </c>
      <c r="V155" s="82"/>
      <c r="W155" s="228">
        <f t="shared" si="121"/>
        <v>0</v>
      </c>
      <c r="X155" s="80">
        <f t="shared" si="121"/>
        <v>0</v>
      </c>
      <c r="Y155" s="80">
        <f t="shared" si="121"/>
        <v>0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2"/>
      <c r="B157" s="52"/>
      <c r="C157" s="124">
        <v>0</v>
      </c>
      <c r="D157" s="56">
        <v>0</v>
      </c>
      <c r="E157" s="56">
        <f t="shared" ref="E157:E172" si="122">SUM(C157:D157)</f>
        <v>0</v>
      </c>
      <c r="F157" s="58"/>
      <c r="G157" s="55">
        <v>0</v>
      </c>
      <c r="H157" s="57">
        <v>0</v>
      </c>
      <c r="I157" s="57">
        <f t="shared" ref="I157:I172" si="123">SUM(G157:H157)</f>
        <v>0</v>
      </c>
      <c r="J157" s="58"/>
      <c r="K157" s="55">
        <v>0</v>
      </c>
      <c r="L157" s="57">
        <v>0</v>
      </c>
      <c r="M157" s="57">
        <f t="shared" ref="M157:M172" si="124">SUM(K157:L157)</f>
        <v>0</v>
      </c>
      <c r="N157" s="58"/>
      <c r="O157" s="55">
        <v>0</v>
      </c>
      <c r="P157" s="57">
        <v>0</v>
      </c>
      <c r="Q157" s="57">
        <f t="shared" ref="Q157:Q172" si="125">SUM(O157:P157)</f>
        <v>0</v>
      </c>
      <c r="R157" s="58"/>
      <c r="S157" s="55">
        <v>0</v>
      </c>
      <c r="T157" s="57">
        <v>0</v>
      </c>
      <c r="U157" s="57">
        <f t="shared" ref="U157:U172" si="126">SUM(S157:T157)</f>
        <v>0</v>
      </c>
      <c r="V157" s="59"/>
      <c r="W157" s="124">
        <f t="shared" ref="W157:W173" si="127">C157+G157+K157+O157+S157</f>
        <v>0</v>
      </c>
      <c r="X157" s="57">
        <f t="shared" ref="X157:X173" si="128">D157+H157+L157+P157+T157</f>
        <v>0</v>
      </c>
      <c r="Y157" s="84">
        <f t="shared" ref="Y157:Y173" si="129">E157+I157+M157+Q157+U157</f>
        <v>0</v>
      </c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</row>
    <row r="158" spans="1:77" s="61" customFormat="1" x14ac:dyDescent="0.25">
      <c r="A158" s="87"/>
      <c r="B158" s="52"/>
      <c r="C158" s="124">
        <v>0</v>
      </c>
      <c r="D158" s="56">
        <v>0</v>
      </c>
      <c r="E158" s="56">
        <f t="shared" si="122"/>
        <v>0</v>
      </c>
      <c r="F158" s="58"/>
      <c r="G158" s="55">
        <v>0</v>
      </c>
      <c r="H158" s="57">
        <v>0</v>
      </c>
      <c r="I158" s="57">
        <f t="shared" si="123"/>
        <v>0</v>
      </c>
      <c r="J158" s="58"/>
      <c r="K158" s="55">
        <v>0</v>
      </c>
      <c r="L158" s="57">
        <v>0</v>
      </c>
      <c r="M158" s="57">
        <f t="shared" si="124"/>
        <v>0</v>
      </c>
      <c r="N158" s="58"/>
      <c r="O158" s="55">
        <v>0</v>
      </c>
      <c r="P158" s="57">
        <v>0</v>
      </c>
      <c r="Q158" s="57">
        <f t="shared" si="125"/>
        <v>0</v>
      </c>
      <c r="R158" s="58"/>
      <c r="S158" s="55">
        <v>0</v>
      </c>
      <c r="T158" s="57">
        <v>0</v>
      </c>
      <c r="U158" s="57">
        <f t="shared" si="126"/>
        <v>0</v>
      </c>
      <c r="V158" s="59"/>
      <c r="W158" s="124">
        <f t="shared" si="127"/>
        <v>0</v>
      </c>
      <c r="X158" s="57">
        <f t="shared" si="128"/>
        <v>0</v>
      </c>
      <c r="Y158" s="84">
        <f t="shared" si="129"/>
        <v>0</v>
      </c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</row>
    <row r="159" spans="1:77" s="61" customFormat="1" x14ac:dyDescent="0.25">
      <c r="A159" s="52"/>
      <c r="B159" s="52"/>
      <c r="C159" s="124">
        <v>0</v>
      </c>
      <c r="D159" s="56">
        <v>0</v>
      </c>
      <c r="E159" s="56">
        <f t="shared" si="122"/>
        <v>0</v>
      </c>
      <c r="F159" s="58"/>
      <c r="G159" s="55">
        <v>0</v>
      </c>
      <c r="H159" s="57">
        <v>0</v>
      </c>
      <c r="I159" s="57">
        <f t="shared" si="123"/>
        <v>0</v>
      </c>
      <c r="J159" s="58"/>
      <c r="K159" s="55">
        <v>0</v>
      </c>
      <c r="L159" s="57">
        <v>0</v>
      </c>
      <c r="M159" s="57">
        <f t="shared" si="124"/>
        <v>0</v>
      </c>
      <c r="N159" s="58"/>
      <c r="O159" s="55">
        <v>0</v>
      </c>
      <c r="P159" s="57">
        <v>0</v>
      </c>
      <c r="Q159" s="57">
        <f t="shared" si="125"/>
        <v>0</v>
      </c>
      <c r="R159" s="58"/>
      <c r="S159" s="55">
        <v>0</v>
      </c>
      <c r="T159" s="57">
        <v>0</v>
      </c>
      <c r="U159" s="57">
        <f t="shared" si="126"/>
        <v>0</v>
      </c>
      <c r="V159" s="59"/>
      <c r="W159" s="124">
        <f t="shared" si="127"/>
        <v>0</v>
      </c>
      <c r="X159" s="57">
        <f t="shared" si="128"/>
        <v>0</v>
      </c>
      <c r="Y159" s="84">
        <f t="shared" si="129"/>
        <v>0</v>
      </c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</row>
    <row r="160" spans="1:77" s="61" customFormat="1" x14ac:dyDescent="0.25">
      <c r="A160" s="87"/>
      <c r="B160" s="52"/>
      <c r="C160" s="124">
        <v>0</v>
      </c>
      <c r="D160" s="56">
        <v>0</v>
      </c>
      <c r="E160" s="56">
        <f t="shared" si="122"/>
        <v>0</v>
      </c>
      <c r="F160" s="58"/>
      <c r="G160" s="55">
        <v>0</v>
      </c>
      <c r="H160" s="57">
        <v>0</v>
      </c>
      <c r="I160" s="57">
        <f t="shared" si="123"/>
        <v>0</v>
      </c>
      <c r="J160" s="58"/>
      <c r="K160" s="55">
        <v>0</v>
      </c>
      <c r="L160" s="57">
        <v>0</v>
      </c>
      <c r="M160" s="57">
        <f t="shared" si="124"/>
        <v>0</v>
      </c>
      <c r="N160" s="58"/>
      <c r="O160" s="55">
        <v>0</v>
      </c>
      <c r="P160" s="57">
        <v>0</v>
      </c>
      <c r="Q160" s="57">
        <f t="shared" si="125"/>
        <v>0</v>
      </c>
      <c r="R160" s="58"/>
      <c r="S160" s="55">
        <v>0</v>
      </c>
      <c r="T160" s="57">
        <v>0</v>
      </c>
      <c r="U160" s="57">
        <f t="shared" si="126"/>
        <v>0</v>
      </c>
      <c r="V160" s="59"/>
      <c r="W160" s="124">
        <f t="shared" si="127"/>
        <v>0</v>
      </c>
      <c r="X160" s="57">
        <f t="shared" si="128"/>
        <v>0</v>
      </c>
      <c r="Y160" s="84">
        <f t="shared" si="129"/>
        <v>0</v>
      </c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</row>
    <row r="161" spans="1:77" s="61" customFormat="1" x14ac:dyDescent="0.25">
      <c r="A161" s="52"/>
      <c r="B161" s="52"/>
      <c r="C161" s="124">
        <v>0</v>
      </c>
      <c r="D161" s="56">
        <v>0</v>
      </c>
      <c r="E161" s="56">
        <f t="shared" si="122"/>
        <v>0</v>
      </c>
      <c r="F161" s="58"/>
      <c r="G161" s="55">
        <v>0</v>
      </c>
      <c r="H161" s="57">
        <v>0</v>
      </c>
      <c r="I161" s="57">
        <f t="shared" si="123"/>
        <v>0</v>
      </c>
      <c r="J161" s="58"/>
      <c r="K161" s="55">
        <v>0</v>
      </c>
      <c r="L161" s="57">
        <v>0</v>
      </c>
      <c r="M161" s="57">
        <f t="shared" si="124"/>
        <v>0</v>
      </c>
      <c r="N161" s="58"/>
      <c r="O161" s="55">
        <v>0</v>
      </c>
      <c r="P161" s="57">
        <v>0</v>
      </c>
      <c r="Q161" s="57">
        <f t="shared" si="125"/>
        <v>0</v>
      </c>
      <c r="R161" s="58"/>
      <c r="S161" s="55">
        <v>0</v>
      </c>
      <c r="T161" s="57">
        <v>0</v>
      </c>
      <c r="U161" s="57">
        <f t="shared" si="126"/>
        <v>0</v>
      </c>
      <c r="V161" s="59"/>
      <c r="W161" s="124">
        <f t="shared" si="127"/>
        <v>0</v>
      </c>
      <c r="X161" s="57">
        <f t="shared" si="128"/>
        <v>0</v>
      </c>
      <c r="Y161" s="84">
        <f t="shared" si="129"/>
        <v>0</v>
      </c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1" customFormat="1" x14ac:dyDescent="0.25">
      <c r="A162" s="52"/>
      <c r="B162" s="52"/>
      <c r="C162" s="124">
        <v>0</v>
      </c>
      <c r="D162" s="56">
        <v>0</v>
      </c>
      <c r="E162" s="56">
        <f t="shared" si="122"/>
        <v>0</v>
      </c>
      <c r="F162" s="58"/>
      <c r="G162" s="55">
        <v>0</v>
      </c>
      <c r="H162" s="57">
        <v>0</v>
      </c>
      <c r="I162" s="57">
        <f t="shared" si="123"/>
        <v>0</v>
      </c>
      <c r="J162" s="58"/>
      <c r="K162" s="55">
        <v>0</v>
      </c>
      <c r="L162" s="57">
        <v>0</v>
      </c>
      <c r="M162" s="57">
        <f t="shared" si="124"/>
        <v>0</v>
      </c>
      <c r="N162" s="58"/>
      <c r="O162" s="55">
        <v>0</v>
      </c>
      <c r="P162" s="57">
        <v>0</v>
      </c>
      <c r="Q162" s="57">
        <f t="shared" si="125"/>
        <v>0</v>
      </c>
      <c r="R162" s="58"/>
      <c r="S162" s="55">
        <v>0</v>
      </c>
      <c r="T162" s="57">
        <v>0</v>
      </c>
      <c r="U162" s="57">
        <f t="shared" si="126"/>
        <v>0</v>
      </c>
      <c r="V162" s="59"/>
      <c r="W162" s="124">
        <f t="shared" si="127"/>
        <v>0</v>
      </c>
      <c r="X162" s="57">
        <f t="shared" si="128"/>
        <v>0</v>
      </c>
      <c r="Y162" s="84">
        <f t="shared" si="129"/>
        <v>0</v>
      </c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</row>
    <row r="163" spans="1:77" s="61" customFormat="1" x14ac:dyDescent="0.25">
      <c r="A163" s="87"/>
      <c r="B163" s="52"/>
      <c r="C163" s="124">
        <v>0</v>
      </c>
      <c r="D163" s="56">
        <v>0</v>
      </c>
      <c r="E163" s="56">
        <f t="shared" si="122"/>
        <v>0</v>
      </c>
      <c r="F163" s="58"/>
      <c r="G163" s="55">
        <v>0</v>
      </c>
      <c r="H163" s="57">
        <v>0</v>
      </c>
      <c r="I163" s="57">
        <f t="shared" si="123"/>
        <v>0</v>
      </c>
      <c r="J163" s="58"/>
      <c r="K163" s="55">
        <v>0</v>
      </c>
      <c r="L163" s="57">
        <v>0</v>
      </c>
      <c r="M163" s="57">
        <f t="shared" si="124"/>
        <v>0</v>
      </c>
      <c r="N163" s="58"/>
      <c r="O163" s="55">
        <v>0</v>
      </c>
      <c r="P163" s="57">
        <v>0</v>
      </c>
      <c r="Q163" s="57">
        <f t="shared" si="125"/>
        <v>0</v>
      </c>
      <c r="R163" s="58"/>
      <c r="S163" s="55">
        <v>0</v>
      </c>
      <c r="T163" s="57">
        <v>0</v>
      </c>
      <c r="U163" s="57">
        <f t="shared" si="126"/>
        <v>0</v>
      </c>
      <c r="V163" s="59"/>
      <c r="W163" s="124">
        <f t="shared" si="127"/>
        <v>0</v>
      </c>
      <c r="X163" s="57">
        <f t="shared" si="128"/>
        <v>0</v>
      </c>
      <c r="Y163" s="84">
        <f t="shared" si="129"/>
        <v>0</v>
      </c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s="61" customFormat="1" x14ac:dyDescent="0.25">
      <c r="A164" s="52"/>
      <c r="B164" s="52"/>
      <c r="C164" s="124">
        <v>0</v>
      </c>
      <c r="D164" s="56">
        <v>0</v>
      </c>
      <c r="E164" s="56">
        <f t="shared" si="122"/>
        <v>0</v>
      </c>
      <c r="F164" s="58"/>
      <c r="G164" s="55">
        <v>0</v>
      </c>
      <c r="H164" s="57">
        <v>0</v>
      </c>
      <c r="I164" s="57">
        <f t="shared" si="123"/>
        <v>0</v>
      </c>
      <c r="J164" s="58"/>
      <c r="K164" s="55">
        <v>0</v>
      </c>
      <c r="L164" s="57">
        <v>0</v>
      </c>
      <c r="M164" s="57">
        <f t="shared" si="124"/>
        <v>0</v>
      </c>
      <c r="N164" s="58"/>
      <c r="O164" s="55">
        <v>0</v>
      </c>
      <c r="P164" s="57">
        <v>0</v>
      </c>
      <c r="Q164" s="57">
        <f t="shared" si="125"/>
        <v>0</v>
      </c>
      <c r="R164" s="58"/>
      <c r="S164" s="55">
        <v>0</v>
      </c>
      <c r="T164" s="57">
        <v>0</v>
      </c>
      <c r="U164" s="57">
        <f t="shared" si="126"/>
        <v>0</v>
      </c>
      <c r="V164" s="59"/>
      <c r="W164" s="124">
        <f t="shared" si="127"/>
        <v>0</v>
      </c>
      <c r="X164" s="57">
        <f t="shared" si="128"/>
        <v>0</v>
      </c>
      <c r="Y164" s="84">
        <f t="shared" si="129"/>
        <v>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/>
      <c r="C165" s="124">
        <v>0</v>
      </c>
      <c r="D165" s="56">
        <v>0</v>
      </c>
      <c r="E165" s="56">
        <f t="shared" si="122"/>
        <v>0</v>
      </c>
      <c r="F165" s="58"/>
      <c r="G165" s="55">
        <v>0</v>
      </c>
      <c r="H165" s="57">
        <v>0</v>
      </c>
      <c r="I165" s="57">
        <f t="shared" si="123"/>
        <v>0</v>
      </c>
      <c r="J165" s="58"/>
      <c r="K165" s="55">
        <v>0</v>
      </c>
      <c r="L165" s="57">
        <v>0</v>
      </c>
      <c r="M165" s="57">
        <f t="shared" si="124"/>
        <v>0</v>
      </c>
      <c r="N165" s="58"/>
      <c r="O165" s="55">
        <v>0</v>
      </c>
      <c r="P165" s="57">
        <v>0</v>
      </c>
      <c r="Q165" s="57">
        <f t="shared" si="125"/>
        <v>0</v>
      </c>
      <c r="R165" s="58"/>
      <c r="S165" s="55">
        <v>0</v>
      </c>
      <c r="T165" s="57">
        <v>0</v>
      </c>
      <c r="U165" s="57">
        <f t="shared" si="126"/>
        <v>0</v>
      </c>
      <c r="V165" s="59"/>
      <c r="W165" s="124">
        <f t="shared" si="127"/>
        <v>0</v>
      </c>
      <c r="X165" s="57">
        <f t="shared" si="128"/>
        <v>0</v>
      </c>
      <c r="Y165" s="84">
        <f t="shared" si="129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2"/>
      <c r="C166" s="124">
        <v>0</v>
      </c>
      <c r="D166" s="56">
        <v>0</v>
      </c>
      <c r="E166" s="56">
        <f t="shared" si="122"/>
        <v>0</v>
      </c>
      <c r="F166" s="58"/>
      <c r="G166" s="55">
        <v>0</v>
      </c>
      <c r="H166" s="57">
        <v>0</v>
      </c>
      <c r="I166" s="57">
        <f t="shared" si="123"/>
        <v>0</v>
      </c>
      <c r="J166" s="58"/>
      <c r="K166" s="55">
        <v>0</v>
      </c>
      <c r="L166" s="57">
        <v>0</v>
      </c>
      <c r="M166" s="57">
        <f t="shared" si="124"/>
        <v>0</v>
      </c>
      <c r="N166" s="58"/>
      <c r="O166" s="55">
        <v>0</v>
      </c>
      <c r="P166" s="57">
        <v>0</v>
      </c>
      <c r="Q166" s="57">
        <f t="shared" si="125"/>
        <v>0</v>
      </c>
      <c r="R166" s="58"/>
      <c r="S166" s="55">
        <v>0</v>
      </c>
      <c r="T166" s="57">
        <v>0</v>
      </c>
      <c r="U166" s="57">
        <f t="shared" si="126"/>
        <v>0</v>
      </c>
      <c r="V166" s="59"/>
      <c r="W166" s="124">
        <f t="shared" si="127"/>
        <v>0</v>
      </c>
      <c r="X166" s="57">
        <f t="shared" si="128"/>
        <v>0</v>
      </c>
      <c r="Y166" s="84">
        <f t="shared" si="129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122"/>
        <v>0</v>
      </c>
      <c r="F167" s="58"/>
      <c r="G167" s="55">
        <v>0</v>
      </c>
      <c r="H167" s="57">
        <v>0</v>
      </c>
      <c r="I167" s="57">
        <f t="shared" si="123"/>
        <v>0</v>
      </c>
      <c r="J167" s="58"/>
      <c r="K167" s="55">
        <v>0</v>
      </c>
      <c r="L167" s="57">
        <v>0</v>
      </c>
      <c r="M167" s="57">
        <f t="shared" si="124"/>
        <v>0</v>
      </c>
      <c r="N167" s="58"/>
      <c r="O167" s="55">
        <v>0</v>
      </c>
      <c r="P167" s="57">
        <v>0</v>
      </c>
      <c r="Q167" s="57">
        <f t="shared" si="125"/>
        <v>0</v>
      </c>
      <c r="R167" s="58"/>
      <c r="S167" s="55">
        <v>0</v>
      </c>
      <c r="T167" s="57">
        <v>0</v>
      </c>
      <c r="U167" s="57">
        <f t="shared" si="126"/>
        <v>0</v>
      </c>
      <c r="V167" s="59"/>
      <c r="W167" s="124">
        <f t="shared" si="127"/>
        <v>0</v>
      </c>
      <c r="X167" s="57">
        <f t="shared" si="128"/>
        <v>0</v>
      </c>
      <c r="Y167" s="84">
        <f t="shared" si="129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122"/>
        <v>0</v>
      </c>
      <c r="F168" s="58"/>
      <c r="G168" s="55">
        <v>0</v>
      </c>
      <c r="H168" s="57">
        <v>0</v>
      </c>
      <c r="I168" s="57">
        <f t="shared" si="123"/>
        <v>0</v>
      </c>
      <c r="J168" s="58"/>
      <c r="K168" s="55">
        <v>0</v>
      </c>
      <c r="L168" s="57">
        <v>0</v>
      </c>
      <c r="M168" s="57">
        <f t="shared" si="124"/>
        <v>0</v>
      </c>
      <c r="N168" s="58"/>
      <c r="O168" s="55">
        <v>0</v>
      </c>
      <c r="P168" s="57">
        <v>0</v>
      </c>
      <c r="Q168" s="57">
        <f t="shared" si="125"/>
        <v>0</v>
      </c>
      <c r="R168" s="58"/>
      <c r="S168" s="55">
        <v>0</v>
      </c>
      <c r="T168" s="57">
        <v>0</v>
      </c>
      <c r="U168" s="57">
        <f t="shared" si="126"/>
        <v>0</v>
      </c>
      <c r="V168" s="59"/>
      <c r="W168" s="124">
        <f t="shared" si="127"/>
        <v>0</v>
      </c>
      <c r="X168" s="57">
        <f t="shared" si="128"/>
        <v>0</v>
      </c>
      <c r="Y168" s="84">
        <f t="shared" si="129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122"/>
        <v>0</v>
      </c>
      <c r="F169" s="58"/>
      <c r="G169" s="55">
        <v>0</v>
      </c>
      <c r="H169" s="57">
        <v>0</v>
      </c>
      <c r="I169" s="57">
        <f t="shared" si="123"/>
        <v>0</v>
      </c>
      <c r="J169" s="58"/>
      <c r="K169" s="55">
        <v>0</v>
      </c>
      <c r="L169" s="57">
        <v>0</v>
      </c>
      <c r="M169" s="57">
        <f t="shared" si="124"/>
        <v>0</v>
      </c>
      <c r="N169" s="58"/>
      <c r="O169" s="55">
        <v>0</v>
      </c>
      <c r="P169" s="57">
        <v>0</v>
      </c>
      <c r="Q169" s="57">
        <f t="shared" si="125"/>
        <v>0</v>
      </c>
      <c r="R169" s="58"/>
      <c r="S169" s="55">
        <v>0</v>
      </c>
      <c r="T169" s="57">
        <v>0</v>
      </c>
      <c r="U169" s="57">
        <f t="shared" si="126"/>
        <v>0</v>
      </c>
      <c r="V169" s="59"/>
      <c r="W169" s="124">
        <f t="shared" si="127"/>
        <v>0</v>
      </c>
      <c r="X169" s="57">
        <f t="shared" si="128"/>
        <v>0</v>
      </c>
      <c r="Y169" s="84">
        <f t="shared" si="129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122"/>
        <v>0</v>
      </c>
      <c r="F170" s="58"/>
      <c r="G170" s="55">
        <v>0</v>
      </c>
      <c r="H170" s="57">
        <v>0</v>
      </c>
      <c r="I170" s="57">
        <f t="shared" si="123"/>
        <v>0</v>
      </c>
      <c r="J170" s="58"/>
      <c r="K170" s="55">
        <v>0</v>
      </c>
      <c r="L170" s="57">
        <v>0</v>
      </c>
      <c r="M170" s="57">
        <f t="shared" si="124"/>
        <v>0</v>
      </c>
      <c r="N170" s="58"/>
      <c r="O170" s="55">
        <v>0</v>
      </c>
      <c r="P170" s="57">
        <v>0</v>
      </c>
      <c r="Q170" s="57">
        <f t="shared" si="125"/>
        <v>0</v>
      </c>
      <c r="R170" s="58"/>
      <c r="S170" s="55">
        <v>0</v>
      </c>
      <c r="T170" s="57">
        <v>0</v>
      </c>
      <c r="U170" s="57">
        <f t="shared" si="126"/>
        <v>0</v>
      </c>
      <c r="V170" s="59"/>
      <c r="W170" s="124">
        <f t="shared" si="127"/>
        <v>0</v>
      </c>
      <c r="X170" s="57">
        <f t="shared" si="128"/>
        <v>0</v>
      </c>
      <c r="Y170" s="84">
        <f t="shared" si="129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122"/>
        <v>0</v>
      </c>
      <c r="F171" s="58"/>
      <c r="G171" s="55">
        <v>0</v>
      </c>
      <c r="H171" s="57">
        <v>0</v>
      </c>
      <c r="I171" s="57">
        <f t="shared" si="123"/>
        <v>0</v>
      </c>
      <c r="J171" s="58"/>
      <c r="K171" s="55">
        <v>0</v>
      </c>
      <c r="L171" s="57">
        <v>0</v>
      </c>
      <c r="M171" s="57">
        <f t="shared" si="124"/>
        <v>0</v>
      </c>
      <c r="N171" s="58"/>
      <c r="O171" s="55">
        <v>0</v>
      </c>
      <c r="P171" s="57">
        <v>0</v>
      </c>
      <c r="Q171" s="57">
        <f t="shared" si="125"/>
        <v>0</v>
      </c>
      <c r="R171" s="58"/>
      <c r="S171" s="55">
        <v>0</v>
      </c>
      <c r="T171" s="57">
        <v>0</v>
      </c>
      <c r="U171" s="57">
        <f t="shared" si="126"/>
        <v>0</v>
      </c>
      <c r="V171" s="59"/>
      <c r="W171" s="124">
        <f t="shared" si="127"/>
        <v>0</v>
      </c>
      <c r="X171" s="57">
        <f t="shared" si="128"/>
        <v>0</v>
      </c>
      <c r="Y171" s="84">
        <f t="shared" si="129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122"/>
        <v>0</v>
      </c>
      <c r="F172" s="58"/>
      <c r="G172" s="55">
        <v>0</v>
      </c>
      <c r="H172" s="57">
        <v>0</v>
      </c>
      <c r="I172" s="57">
        <f t="shared" si="123"/>
        <v>0</v>
      </c>
      <c r="J172" s="58"/>
      <c r="K172" s="55">
        <v>0</v>
      </c>
      <c r="L172" s="57">
        <v>0</v>
      </c>
      <c r="M172" s="57">
        <f t="shared" si="124"/>
        <v>0</v>
      </c>
      <c r="N172" s="58"/>
      <c r="O172" s="55">
        <v>0</v>
      </c>
      <c r="P172" s="57">
        <v>0</v>
      </c>
      <c r="Q172" s="57">
        <f t="shared" si="125"/>
        <v>0</v>
      </c>
      <c r="R172" s="58"/>
      <c r="S172" s="55">
        <v>0</v>
      </c>
      <c r="T172" s="57">
        <v>0</v>
      </c>
      <c r="U172" s="57">
        <f t="shared" si="126"/>
        <v>0</v>
      </c>
      <c r="V172" s="59"/>
      <c r="W172" s="124">
        <f t="shared" si="127"/>
        <v>0</v>
      </c>
      <c r="X172" s="57">
        <f t="shared" si="128"/>
        <v>0</v>
      </c>
      <c r="Y172" s="84">
        <f t="shared" si="129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0</v>
      </c>
      <c r="D173" s="153">
        <f>SUM(D157:D172)</f>
        <v>0</v>
      </c>
      <c r="E173" s="153">
        <f>SUM(E157:E172)</f>
        <v>0</v>
      </c>
      <c r="F173" s="154"/>
      <c r="G173" s="152">
        <f>SUM(G157:G172)</f>
        <v>0</v>
      </c>
      <c r="H173" s="155">
        <f>SUM(H157:H172)</f>
        <v>0</v>
      </c>
      <c r="I173" s="155">
        <f>SUM(I157:I172)</f>
        <v>0</v>
      </c>
      <c r="J173" s="154"/>
      <c r="K173" s="152">
        <f>SUM(K157:K172)</f>
        <v>0</v>
      </c>
      <c r="L173" s="155">
        <f>SUM(L157:L172)</f>
        <v>0</v>
      </c>
      <c r="M173" s="155">
        <f>SUM(M157:M172)</f>
        <v>0</v>
      </c>
      <c r="N173" s="154"/>
      <c r="O173" s="152">
        <f>SUM(O157:O172)</f>
        <v>0</v>
      </c>
      <c r="P173" s="155">
        <f>SUM(P157:P172)</f>
        <v>0</v>
      </c>
      <c r="Q173" s="155">
        <f>SUM(Q157:Q172)</f>
        <v>0</v>
      </c>
      <c r="R173" s="154"/>
      <c r="S173" s="152">
        <f>SUM(S157:S172)</f>
        <v>0</v>
      </c>
      <c r="T173" s="155">
        <f>SUM(T157:T172)</f>
        <v>0</v>
      </c>
      <c r="U173" s="155">
        <f>SUM(U157:U172)</f>
        <v>0</v>
      </c>
      <c r="V173" s="82"/>
      <c r="W173" s="228">
        <f t="shared" si="127"/>
        <v>0</v>
      </c>
      <c r="X173" s="80">
        <f t="shared" si="128"/>
        <v>0</v>
      </c>
      <c r="Y173" s="80">
        <f t="shared" si="129"/>
        <v>0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>(C173+ C155+C149+C141+C125)</f>
        <v>11500</v>
      </c>
      <c r="D174" s="104">
        <f t="shared" ref="D174:Y174" si="130">(D173+ D155+D149+D141+D125)</f>
        <v>0</v>
      </c>
      <c r="E174" s="104">
        <f t="shared" si="130"/>
        <v>11500</v>
      </c>
      <c r="F174" s="104">
        <f t="shared" si="130"/>
        <v>0</v>
      </c>
      <c r="G174" s="104">
        <f t="shared" si="130"/>
        <v>9500</v>
      </c>
      <c r="H174" s="104">
        <f t="shared" si="130"/>
        <v>0</v>
      </c>
      <c r="I174" s="104">
        <f t="shared" si="130"/>
        <v>9500</v>
      </c>
      <c r="J174" s="104">
        <f t="shared" si="130"/>
        <v>0</v>
      </c>
      <c r="K174" s="104">
        <f t="shared" si="130"/>
        <v>4000</v>
      </c>
      <c r="L174" s="104">
        <f t="shared" si="130"/>
        <v>0</v>
      </c>
      <c r="M174" s="104">
        <f t="shared" si="130"/>
        <v>4000</v>
      </c>
      <c r="N174" s="104">
        <f t="shared" si="130"/>
        <v>0</v>
      </c>
      <c r="O174" s="104">
        <f t="shared" si="130"/>
        <v>8000</v>
      </c>
      <c r="P174" s="104">
        <f t="shared" si="130"/>
        <v>0</v>
      </c>
      <c r="Q174" s="104">
        <f t="shared" si="130"/>
        <v>8000</v>
      </c>
      <c r="R174" s="104">
        <f t="shared" si="130"/>
        <v>0</v>
      </c>
      <c r="S174" s="104">
        <f t="shared" si="130"/>
        <v>0</v>
      </c>
      <c r="T174" s="104">
        <f t="shared" si="130"/>
        <v>0</v>
      </c>
      <c r="U174" s="104">
        <f t="shared" si="130"/>
        <v>0</v>
      </c>
      <c r="V174" s="104">
        <f t="shared" si="130"/>
        <v>0</v>
      </c>
      <c r="W174" s="104">
        <f t="shared" si="130"/>
        <v>33000</v>
      </c>
      <c r="X174" s="104">
        <f t="shared" si="130"/>
        <v>0</v>
      </c>
      <c r="Y174" s="104">
        <f t="shared" si="130"/>
        <v>33000</v>
      </c>
      <c r="Z174" s="105">
        <f>(SUM(C174+G174+K174)/3)</f>
        <v>8333.3333333333339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(C125+C149+C173)*0.405</f>
        <v>4657.5</v>
      </c>
      <c r="D175" s="104">
        <v>0</v>
      </c>
      <c r="E175" s="104">
        <f>C175</f>
        <v>4657.5</v>
      </c>
      <c r="F175" s="104">
        <f>(F125+F149+F173)*0.39</f>
        <v>0</v>
      </c>
      <c r="G175" s="104">
        <f>(G125+G149+G173)*0.405</f>
        <v>3847.5000000000005</v>
      </c>
      <c r="H175" s="104">
        <v>0</v>
      </c>
      <c r="I175" s="104">
        <f>G175</f>
        <v>3847.5000000000005</v>
      </c>
      <c r="J175" s="104">
        <f>(J125+J149+J173)*0.39</f>
        <v>0</v>
      </c>
      <c r="K175" s="104">
        <f>(K125+K149+K173)*0.405</f>
        <v>1620</v>
      </c>
      <c r="L175" s="104">
        <v>0</v>
      </c>
      <c r="M175" s="104">
        <f>K175</f>
        <v>1620</v>
      </c>
      <c r="N175" s="104">
        <f>(N125+N149+N173)*0.39</f>
        <v>0</v>
      </c>
      <c r="O175" s="104">
        <f>(O125+O149+O173)*0.405</f>
        <v>3240</v>
      </c>
      <c r="P175" s="104">
        <v>0</v>
      </c>
      <c r="Q175" s="104">
        <f>O175</f>
        <v>3240</v>
      </c>
      <c r="R175" s="104">
        <f>(R125+R149+R173)*0.39</f>
        <v>0</v>
      </c>
      <c r="S175" s="104">
        <f>(S125+S149+S173)*0.405</f>
        <v>0</v>
      </c>
      <c r="T175" s="104">
        <v>0</v>
      </c>
      <c r="U175" s="104">
        <f>S175</f>
        <v>0</v>
      </c>
      <c r="V175" s="104">
        <f>(V125+V149+V173)*0.39</f>
        <v>0</v>
      </c>
      <c r="W175" s="104">
        <f>(W125+W149+W173)*0.405</f>
        <v>13365</v>
      </c>
      <c r="X175" s="104">
        <v>0</v>
      </c>
      <c r="Y175" s="104">
        <f>W175</f>
        <v>13365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</f>
        <v>16157.5</v>
      </c>
      <c r="D176" s="104">
        <f t="shared" ref="D176:Y176" si="131">D174+D175</f>
        <v>0</v>
      </c>
      <c r="E176" s="104">
        <f t="shared" si="131"/>
        <v>16157.5</v>
      </c>
      <c r="F176" s="104">
        <f t="shared" si="131"/>
        <v>0</v>
      </c>
      <c r="G176" s="104">
        <f t="shared" si="131"/>
        <v>13347.5</v>
      </c>
      <c r="H176" s="104">
        <f t="shared" si="131"/>
        <v>0</v>
      </c>
      <c r="I176" s="104">
        <f t="shared" si="131"/>
        <v>13347.5</v>
      </c>
      <c r="J176" s="104">
        <f t="shared" si="131"/>
        <v>0</v>
      </c>
      <c r="K176" s="104">
        <f t="shared" si="131"/>
        <v>5620</v>
      </c>
      <c r="L176" s="104">
        <f t="shared" si="131"/>
        <v>0</v>
      </c>
      <c r="M176" s="104">
        <f t="shared" si="131"/>
        <v>5620</v>
      </c>
      <c r="N176" s="104">
        <f t="shared" si="131"/>
        <v>0</v>
      </c>
      <c r="O176" s="104">
        <f t="shared" si="131"/>
        <v>11240</v>
      </c>
      <c r="P176" s="104">
        <f t="shared" si="131"/>
        <v>0</v>
      </c>
      <c r="Q176" s="104">
        <f t="shared" si="131"/>
        <v>11240</v>
      </c>
      <c r="R176" s="104">
        <f t="shared" si="131"/>
        <v>0</v>
      </c>
      <c r="S176" s="104">
        <f t="shared" si="131"/>
        <v>0</v>
      </c>
      <c r="T176" s="104">
        <f t="shared" si="131"/>
        <v>0</v>
      </c>
      <c r="U176" s="104">
        <f t="shared" si="131"/>
        <v>0</v>
      </c>
      <c r="V176" s="104">
        <f t="shared" si="131"/>
        <v>0</v>
      </c>
      <c r="W176" s="104">
        <f t="shared" si="131"/>
        <v>46365</v>
      </c>
      <c r="X176" s="104">
        <f t="shared" si="131"/>
        <v>0</v>
      </c>
      <c r="Y176" s="104">
        <f t="shared" si="131"/>
        <v>46365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30" customFormat="1" x14ac:dyDescent="0.25">
      <c r="A177" s="24"/>
      <c r="B177" s="24"/>
      <c r="C177" s="27"/>
      <c r="D177" s="27"/>
      <c r="E177" s="28"/>
      <c r="F177" s="24"/>
      <c r="G177" s="27"/>
      <c r="H177" s="27"/>
      <c r="I177" s="28"/>
      <c r="J177" s="24"/>
      <c r="K177" s="27"/>
      <c r="L177" s="27"/>
      <c r="M177" s="28"/>
      <c r="N177" s="24"/>
      <c r="O177" s="27"/>
      <c r="P177" s="27"/>
      <c r="Q177" s="28"/>
      <c r="R177" s="24"/>
      <c r="S177" s="27"/>
      <c r="T177" s="27"/>
      <c r="U177" s="28"/>
      <c r="V177" s="29"/>
      <c r="W177" s="28"/>
      <c r="X177" s="28"/>
      <c r="Y177" s="27"/>
      <c r="Z177" s="28"/>
      <c r="AA177" s="28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77" customFormat="1" x14ac:dyDescent="0.25">
      <c r="A179" s="74" t="s">
        <v>5</v>
      </c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5"/>
      <c r="W179" s="74"/>
      <c r="X179" s="74"/>
      <c r="Y179" s="7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</row>
    <row r="180" spans="1:77" s="61" customFormat="1" x14ac:dyDescent="0.25">
      <c r="A180" s="52"/>
      <c r="B180" s="52"/>
      <c r="C180" s="55">
        <v>0</v>
      </c>
      <c r="D180" s="57">
        <v>0</v>
      </c>
      <c r="E180" s="57">
        <f t="shared" ref="E180:E185" si="132">SUM(C180:D180)</f>
        <v>0</v>
      </c>
      <c r="F180" s="58"/>
      <c r="G180" s="55">
        <f t="shared" ref="G180:H185" si="133">C180*1.05</f>
        <v>0</v>
      </c>
      <c r="H180" s="57">
        <f t="shared" si="133"/>
        <v>0</v>
      </c>
      <c r="I180" s="57">
        <f t="shared" ref="I180:I185" si="134">SUM(G180:H180)</f>
        <v>0</v>
      </c>
      <c r="J180" s="58"/>
      <c r="K180" s="55">
        <f t="shared" ref="K180:L185" si="135">G180*1.05</f>
        <v>0</v>
      </c>
      <c r="L180" s="57">
        <f t="shared" si="135"/>
        <v>0</v>
      </c>
      <c r="M180" s="57">
        <f t="shared" ref="M180:M185" si="136">SUM(K180:L180)</f>
        <v>0</v>
      </c>
      <c r="N180" s="58"/>
      <c r="O180" s="55">
        <f t="shared" ref="O180:P185" si="137">K180*1.05</f>
        <v>0</v>
      </c>
      <c r="P180" s="57">
        <f t="shared" si="137"/>
        <v>0</v>
      </c>
      <c r="Q180" s="57">
        <f t="shared" ref="Q180:Q185" si="138">SUM(O180:P180)</f>
        <v>0</v>
      </c>
      <c r="R180" s="58"/>
      <c r="S180" s="55">
        <f t="shared" ref="S180:T185" si="139">O180*1.05</f>
        <v>0</v>
      </c>
      <c r="T180" s="57">
        <f t="shared" si="139"/>
        <v>0</v>
      </c>
      <c r="U180" s="57">
        <f t="shared" ref="U180:U185" si="140">SUM(S180:T180)</f>
        <v>0</v>
      </c>
      <c r="V180" s="59"/>
      <c r="W180" s="124">
        <f t="shared" ref="W180:Y186" si="141">C180+G180+K180+O180+S180</f>
        <v>0</v>
      </c>
      <c r="X180" s="57">
        <f t="shared" si="141"/>
        <v>0</v>
      </c>
      <c r="Y180" s="84">
        <f t="shared" si="141"/>
        <v>0</v>
      </c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</row>
    <row r="181" spans="1:77" s="61" customFormat="1" x14ac:dyDescent="0.25">
      <c r="A181" s="52"/>
      <c r="B181" s="52"/>
      <c r="C181" s="55">
        <v>0</v>
      </c>
      <c r="D181" s="57">
        <v>0</v>
      </c>
      <c r="E181" s="57">
        <f t="shared" si="132"/>
        <v>0</v>
      </c>
      <c r="F181" s="58"/>
      <c r="G181" s="55">
        <f t="shared" si="133"/>
        <v>0</v>
      </c>
      <c r="H181" s="57">
        <f t="shared" si="133"/>
        <v>0</v>
      </c>
      <c r="I181" s="57">
        <f t="shared" si="134"/>
        <v>0</v>
      </c>
      <c r="J181" s="58"/>
      <c r="K181" s="55">
        <f t="shared" si="135"/>
        <v>0</v>
      </c>
      <c r="L181" s="57">
        <f t="shared" si="135"/>
        <v>0</v>
      </c>
      <c r="M181" s="57">
        <f t="shared" si="136"/>
        <v>0</v>
      </c>
      <c r="N181" s="58"/>
      <c r="O181" s="55">
        <f t="shared" si="137"/>
        <v>0</v>
      </c>
      <c r="P181" s="57">
        <f t="shared" si="137"/>
        <v>0</v>
      </c>
      <c r="Q181" s="57">
        <f t="shared" si="138"/>
        <v>0</v>
      </c>
      <c r="R181" s="58"/>
      <c r="S181" s="55">
        <f t="shared" si="139"/>
        <v>0</v>
      </c>
      <c r="T181" s="57">
        <f t="shared" si="139"/>
        <v>0</v>
      </c>
      <c r="U181" s="57">
        <f t="shared" si="140"/>
        <v>0</v>
      </c>
      <c r="V181" s="59"/>
      <c r="W181" s="124">
        <f t="shared" si="141"/>
        <v>0</v>
      </c>
      <c r="X181" s="57">
        <f t="shared" si="141"/>
        <v>0</v>
      </c>
      <c r="Y181" s="84">
        <f t="shared" si="141"/>
        <v>0</v>
      </c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</row>
    <row r="182" spans="1:77" s="61" customFormat="1" x14ac:dyDescent="0.25">
      <c r="A182" s="52"/>
      <c r="B182" s="52"/>
      <c r="C182" s="55">
        <v>0</v>
      </c>
      <c r="D182" s="57">
        <v>0</v>
      </c>
      <c r="E182" s="57">
        <f t="shared" si="132"/>
        <v>0</v>
      </c>
      <c r="F182" s="58"/>
      <c r="G182" s="55">
        <f t="shared" si="133"/>
        <v>0</v>
      </c>
      <c r="H182" s="57">
        <f t="shared" si="133"/>
        <v>0</v>
      </c>
      <c r="I182" s="57">
        <f t="shared" si="134"/>
        <v>0</v>
      </c>
      <c r="J182" s="58"/>
      <c r="K182" s="55">
        <f t="shared" si="135"/>
        <v>0</v>
      </c>
      <c r="L182" s="57">
        <f t="shared" si="135"/>
        <v>0</v>
      </c>
      <c r="M182" s="57">
        <f t="shared" si="136"/>
        <v>0</v>
      </c>
      <c r="N182" s="58"/>
      <c r="O182" s="55">
        <f t="shared" si="137"/>
        <v>0</v>
      </c>
      <c r="P182" s="57">
        <f t="shared" si="137"/>
        <v>0</v>
      </c>
      <c r="Q182" s="57">
        <f t="shared" si="138"/>
        <v>0</v>
      </c>
      <c r="R182" s="58"/>
      <c r="S182" s="55">
        <f t="shared" si="139"/>
        <v>0</v>
      </c>
      <c r="T182" s="57">
        <f t="shared" si="139"/>
        <v>0</v>
      </c>
      <c r="U182" s="57">
        <f t="shared" si="140"/>
        <v>0</v>
      </c>
      <c r="V182" s="59"/>
      <c r="W182" s="124">
        <f t="shared" si="141"/>
        <v>0</v>
      </c>
      <c r="X182" s="57">
        <f t="shared" si="141"/>
        <v>0</v>
      </c>
      <c r="Y182" s="84">
        <f t="shared" si="141"/>
        <v>0</v>
      </c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</row>
    <row r="183" spans="1:77" s="61" customFormat="1" x14ac:dyDescent="0.25">
      <c r="A183" s="52"/>
      <c r="B183" s="52"/>
      <c r="C183" s="55">
        <v>0</v>
      </c>
      <c r="D183" s="57">
        <v>0</v>
      </c>
      <c r="E183" s="57">
        <f t="shared" si="132"/>
        <v>0</v>
      </c>
      <c r="F183" s="58"/>
      <c r="G183" s="55">
        <f t="shared" ref="G183" si="142">C183*1.05</f>
        <v>0</v>
      </c>
      <c r="H183" s="57">
        <f t="shared" ref="H183" si="143">D183*1.05</f>
        <v>0</v>
      </c>
      <c r="I183" s="57">
        <f t="shared" si="134"/>
        <v>0</v>
      </c>
      <c r="J183" s="58"/>
      <c r="K183" s="55">
        <f t="shared" ref="K183" si="144">G183*1.05</f>
        <v>0</v>
      </c>
      <c r="L183" s="57">
        <f t="shared" ref="L183" si="145">H183*1.05</f>
        <v>0</v>
      </c>
      <c r="M183" s="57">
        <f t="shared" si="136"/>
        <v>0</v>
      </c>
      <c r="N183" s="58"/>
      <c r="O183" s="55">
        <f t="shared" ref="O183" si="146">K183*1.05</f>
        <v>0</v>
      </c>
      <c r="P183" s="57">
        <f t="shared" ref="P183" si="147">L183*1.05</f>
        <v>0</v>
      </c>
      <c r="Q183" s="57">
        <f t="shared" si="138"/>
        <v>0</v>
      </c>
      <c r="R183" s="58"/>
      <c r="S183" s="55">
        <f t="shared" ref="S183" si="148">O183*1.05</f>
        <v>0</v>
      </c>
      <c r="T183" s="57">
        <f t="shared" ref="T183" si="149">P183*1.05</f>
        <v>0</v>
      </c>
      <c r="U183" s="57">
        <f t="shared" si="140"/>
        <v>0</v>
      </c>
      <c r="V183" s="59"/>
      <c r="W183" s="124">
        <f t="shared" ref="W183" si="150">C183+G183+K183+O183+S183</f>
        <v>0</v>
      </c>
      <c r="X183" s="57">
        <f t="shared" ref="X183" si="151">D183+H183+L183+P183+T183</f>
        <v>0</v>
      </c>
      <c r="Y183" s="84">
        <f t="shared" ref="Y183" si="152">E183+I183+M183+Q183+U183</f>
        <v>0</v>
      </c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</row>
    <row r="184" spans="1:77" s="61" customFormat="1" x14ac:dyDescent="0.25">
      <c r="A184" s="52"/>
      <c r="B184" s="52"/>
      <c r="C184" s="124">
        <v>0</v>
      </c>
      <c r="D184" s="56">
        <v>0</v>
      </c>
      <c r="E184" s="56">
        <f t="shared" si="132"/>
        <v>0</v>
      </c>
      <c r="F184" s="58"/>
      <c r="G184" s="55">
        <f t="shared" si="133"/>
        <v>0</v>
      </c>
      <c r="H184" s="57">
        <f t="shared" si="133"/>
        <v>0</v>
      </c>
      <c r="I184" s="57">
        <f t="shared" si="134"/>
        <v>0</v>
      </c>
      <c r="J184" s="58"/>
      <c r="K184" s="55">
        <f t="shared" si="135"/>
        <v>0</v>
      </c>
      <c r="L184" s="57">
        <f t="shared" si="135"/>
        <v>0</v>
      </c>
      <c r="M184" s="57">
        <f t="shared" si="136"/>
        <v>0</v>
      </c>
      <c r="N184" s="58"/>
      <c r="O184" s="55">
        <f t="shared" si="137"/>
        <v>0</v>
      </c>
      <c r="P184" s="57">
        <f t="shared" si="137"/>
        <v>0</v>
      </c>
      <c r="Q184" s="57">
        <f t="shared" si="138"/>
        <v>0</v>
      </c>
      <c r="R184" s="58"/>
      <c r="S184" s="55">
        <f t="shared" si="139"/>
        <v>0</v>
      </c>
      <c r="T184" s="57">
        <f t="shared" si="139"/>
        <v>0</v>
      </c>
      <c r="U184" s="57">
        <f t="shared" si="140"/>
        <v>0</v>
      </c>
      <c r="V184" s="59"/>
      <c r="W184" s="124">
        <f t="shared" si="141"/>
        <v>0</v>
      </c>
      <c r="X184" s="57">
        <f t="shared" si="141"/>
        <v>0</v>
      </c>
      <c r="Y184" s="84">
        <f t="shared" si="141"/>
        <v>0</v>
      </c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</row>
    <row r="185" spans="1:77" s="61" customFormat="1" x14ac:dyDescent="0.25">
      <c r="A185" s="52"/>
      <c r="B185" s="52"/>
      <c r="C185" s="124">
        <v>0</v>
      </c>
      <c r="D185" s="56">
        <v>0</v>
      </c>
      <c r="E185" s="56">
        <f t="shared" si="132"/>
        <v>0</v>
      </c>
      <c r="F185" s="58"/>
      <c r="G185" s="55">
        <f t="shared" si="133"/>
        <v>0</v>
      </c>
      <c r="H185" s="57">
        <f t="shared" si="133"/>
        <v>0</v>
      </c>
      <c r="I185" s="57">
        <f t="shared" si="134"/>
        <v>0</v>
      </c>
      <c r="J185" s="58"/>
      <c r="K185" s="55">
        <f t="shared" si="135"/>
        <v>0</v>
      </c>
      <c r="L185" s="57">
        <f t="shared" si="135"/>
        <v>0</v>
      </c>
      <c r="M185" s="57">
        <f t="shared" si="136"/>
        <v>0</v>
      </c>
      <c r="N185" s="58"/>
      <c r="O185" s="55">
        <f t="shared" si="137"/>
        <v>0</v>
      </c>
      <c r="P185" s="57">
        <f t="shared" si="137"/>
        <v>0</v>
      </c>
      <c r="Q185" s="57">
        <f t="shared" si="138"/>
        <v>0</v>
      </c>
      <c r="R185" s="58"/>
      <c r="S185" s="55">
        <f t="shared" si="139"/>
        <v>0</v>
      </c>
      <c r="T185" s="57">
        <f t="shared" si="139"/>
        <v>0</v>
      </c>
      <c r="U185" s="57">
        <f t="shared" si="140"/>
        <v>0</v>
      </c>
      <c r="V185" s="59"/>
      <c r="W185" s="124">
        <f t="shared" si="141"/>
        <v>0</v>
      </c>
      <c r="X185" s="57">
        <f t="shared" si="141"/>
        <v>0</v>
      </c>
      <c r="Y185" s="84">
        <f t="shared" si="141"/>
        <v>0</v>
      </c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</row>
    <row r="186" spans="1:77" s="83" customFormat="1" x14ac:dyDescent="0.25">
      <c r="A186" s="78"/>
      <c r="B186" s="78" t="s">
        <v>9</v>
      </c>
      <c r="C186" s="228">
        <f>SUM(C180:C185)</f>
        <v>0</v>
      </c>
      <c r="D186" s="125">
        <f>SUM(D180:D185)</f>
        <v>0</v>
      </c>
      <c r="E186" s="125">
        <f>SUM(E180:E185)</f>
        <v>0</v>
      </c>
      <c r="F186" s="81"/>
      <c r="G186" s="79">
        <f>SUM(G180:G185)</f>
        <v>0</v>
      </c>
      <c r="H186" s="80">
        <f>SUM(H180:H185)</f>
        <v>0</v>
      </c>
      <c r="I186" s="80">
        <f>SUM(I180:I185)</f>
        <v>0</v>
      </c>
      <c r="J186" s="81"/>
      <c r="K186" s="79">
        <f>SUM(K180:K185)</f>
        <v>0</v>
      </c>
      <c r="L186" s="80">
        <f>SUM(L180:L185)</f>
        <v>0</v>
      </c>
      <c r="M186" s="80">
        <f>SUM(M180:M185)</f>
        <v>0</v>
      </c>
      <c r="N186" s="81"/>
      <c r="O186" s="79">
        <f>SUM(O180:O185)</f>
        <v>0</v>
      </c>
      <c r="P186" s="80">
        <f>SUM(P180:P185)</f>
        <v>0</v>
      </c>
      <c r="Q186" s="80">
        <f>SUM(Q180:Q185)</f>
        <v>0</v>
      </c>
      <c r="R186" s="81"/>
      <c r="S186" s="79">
        <f>SUM(S180:S185)</f>
        <v>0</v>
      </c>
      <c r="T186" s="80">
        <f>SUM(T180:T185)</f>
        <v>0</v>
      </c>
      <c r="U186" s="80">
        <f>SUM(U180:U185)</f>
        <v>0</v>
      </c>
      <c r="V186" s="82"/>
      <c r="W186" s="228">
        <f t="shared" si="141"/>
        <v>0</v>
      </c>
      <c r="X186" s="80">
        <f t="shared" si="141"/>
        <v>0</v>
      </c>
      <c r="Y186" s="80">
        <f t="shared" si="141"/>
        <v>0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A188" s="52"/>
      <c r="B188" s="52"/>
      <c r="C188" s="124">
        <v>0</v>
      </c>
      <c r="D188" s="56">
        <v>0</v>
      </c>
      <c r="E188" s="56">
        <f t="shared" ref="E188:E194" si="153">SUM(C188:D188)</f>
        <v>0</v>
      </c>
      <c r="F188" s="58"/>
      <c r="G188" s="55">
        <f t="shared" ref="G188:H194" si="154">C188*1.05</f>
        <v>0</v>
      </c>
      <c r="H188" s="57">
        <f t="shared" si="154"/>
        <v>0</v>
      </c>
      <c r="I188" s="57">
        <f t="shared" ref="I188:I194" si="155">SUM(G188:H188)</f>
        <v>0</v>
      </c>
      <c r="J188" s="58"/>
      <c r="K188" s="55">
        <f t="shared" ref="K188:L194" si="156">G188*1.05</f>
        <v>0</v>
      </c>
      <c r="L188" s="57">
        <f t="shared" si="156"/>
        <v>0</v>
      </c>
      <c r="M188" s="57">
        <f t="shared" ref="M188:M194" si="157">SUM(K188:L188)</f>
        <v>0</v>
      </c>
      <c r="N188" s="58"/>
      <c r="O188" s="55">
        <f t="shared" ref="O188:P194" si="158">K188*1.05</f>
        <v>0</v>
      </c>
      <c r="P188" s="57">
        <f t="shared" si="158"/>
        <v>0</v>
      </c>
      <c r="Q188" s="57">
        <f t="shared" ref="Q188:Q194" si="159">SUM(O188:P188)</f>
        <v>0</v>
      </c>
      <c r="R188" s="58"/>
      <c r="S188" s="55">
        <f t="shared" ref="S188:T194" si="160">O188*1.05</f>
        <v>0</v>
      </c>
      <c r="T188" s="57">
        <f t="shared" si="160"/>
        <v>0</v>
      </c>
      <c r="U188" s="57">
        <f t="shared" ref="U188:U194" si="161">SUM(S188:T188)</f>
        <v>0</v>
      </c>
      <c r="V188" s="59"/>
      <c r="W188" s="124">
        <f t="shared" ref="W188:Y195" si="162">C188+G188+K188+O188+S188</f>
        <v>0</v>
      </c>
      <c r="X188" s="57">
        <f t="shared" si="162"/>
        <v>0</v>
      </c>
      <c r="Y188" s="84">
        <f t="shared" si="162"/>
        <v>0</v>
      </c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</row>
    <row r="189" spans="1:77" s="61" customFormat="1" x14ac:dyDescent="0.25">
      <c r="A189" s="52"/>
      <c r="B189" s="54"/>
      <c r="C189" s="124">
        <v>0</v>
      </c>
      <c r="D189" s="56">
        <v>0</v>
      </c>
      <c r="E189" s="56">
        <f t="shared" si="153"/>
        <v>0</v>
      </c>
      <c r="F189" s="58"/>
      <c r="G189" s="55">
        <f t="shared" si="154"/>
        <v>0</v>
      </c>
      <c r="H189" s="57">
        <f t="shared" si="154"/>
        <v>0</v>
      </c>
      <c r="I189" s="57">
        <f t="shared" si="155"/>
        <v>0</v>
      </c>
      <c r="J189" s="58"/>
      <c r="K189" s="55">
        <f t="shared" si="156"/>
        <v>0</v>
      </c>
      <c r="L189" s="57">
        <f t="shared" si="156"/>
        <v>0</v>
      </c>
      <c r="M189" s="57">
        <f t="shared" si="157"/>
        <v>0</v>
      </c>
      <c r="N189" s="58"/>
      <c r="O189" s="55">
        <f t="shared" si="158"/>
        <v>0</v>
      </c>
      <c r="P189" s="57">
        <f t="shared" si="158"/>
        <v>0</v>
      </c>
      <c r="Q189" s="57">
        <f t="shared" si="159"/>
        <v>0</v>
      </c>
      <c r="R189" s="58"/>
      <c r="S189" s="55">
        <f t="shared" si="160"/>
        <v>0</v>
      </c>
      <c r="T189" s="57">
        <f t="shared" si="160"/>
        <v>0</v>
      </c>
      <c r="U189" s="57">
        <f t="shared" si="161"/>
        <v>0</v>
      </c>
      <c r="V189" s="59"/>
      <c r="W189" s="124">
        <f t="shared" si="162"/>
        <v>0</v>
      </c>
      <c r="X189" s="57">
        <f t="shared" si="162"/>
        <v>0</v>
      </c>
      <c r="Y189" s="84">
        <f t="shared" si="162"/>
        <v>0</v>
      </c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</row>
    <row r="190" spans="1:77" s="61" customFormat="1" x14ac:dyDescent="0.25">
      <c r="A190" s="52"/>
      <c r="B190" s="52"/>
      <c r="C190" s="124">
        <v>0</v>
      </c>
      <c r="D190" s="56">
        <v>0</v>
      </c>
      <c r="E190" s="56">
        <f t="shared" si="153"/>
        <v>0</v>
      </c>
      <c r="F190" s="58"/>
      <c r="G190" s="55">
        <f t="shared" si="154"/>
        <v>0</v>
      </c>
      <c r="H190" s="57">
        <f t="shared" si="154"/>
        <v>0</v>
      </c>
      <c r="I190" s="57">
        <f t="shared" si="155"/>
        <v>0</v>
      </c>
      <c r="J190" s="58"/>
      <c r="K190" s="55">
        <f t="shared" si="156"/>
        <v>0</v>
      </c>
      <c r="L190" s="57">
        <f t="shared" si="156"/>
        <v>0</v>
      </c>
      <c r="M190" s="57">
        <f t="shared" si="157"/>
        <v>0</v>
      </c>
      <c r="N190" s="58"/>
      <c r="O190" s="55">
        <f t="shared" si="158"/>
        <v>0</v>
      </c>
      <c r="P190" s="57">
        <f t="shared" si="158"/>
        <v>0</v>
      </c>
      <c r="Q190" s="57">
        <f t="shared" si="159"/>
        <v>0</v>
      </c>
      <c r="R190" s="58"/>
      <c r="S190" s="55">
        <f t="shared" si="160"/>
        <v>0</v>
      </c>
      <c r="T190" s="57">
        <f t="shared" si="160"/>
        <v>0</v>
      </c>
      <c r="U190" s="57">
        <f t="shared" si="161"/>
        <v>0</v>
      </c>
      <c r="V190" s="59"/>
      <c r="W190" s="124">
        <f t="shared" si="162"/>
        <v>0</v>
      </c>
      <c r="X190" s="57">
        <f t="shared" si="162"/>
        <v>0</v>
      </c>
      <c r="Y190" s="84">
        <f t="shared" si="162"/>
        <v>0</v>
      </c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s="61" customFormat="1" x14ac:dyDescent="0.25">
      <c r="A191" s="87"/>
      <c r="B191" s="52"/>
      <c r="C191" s="124">
        <v>0</v>
      </c>
      <c r="D191" s="56">
        <v>0</v>
      </c>
      <c r="E191" s="56">
        <f t="shared" si="153"/>
        <v>0</v>
      </c>
      <c r="F191" s="58"/>
      <c r="G191" s="55">
        <f t="shared" si="154"/>
        <v>0</v>
      </c>
      <c r="H191" s="57">
        <f t="shared" si="154"/>
        <v>0</v>
      </c>
      <c r="I191" s="57">
        <f t="shared" si="155"/>
        <v>0</v>
      </c>
      <c r="J191" s="58"/>
      <c r="K191" s="55">
        <f t="shared" si="156"/>
        <v>0</v>
      </c>
      <c r="L191" s="57">
        <f t="shared" si="156"/>
        <v>0</v>
      </c>
      <c r="M191" s="57">
        <f t="shared" si="157"/>
        <v>0</v>
      </c>
      <c r="N191" s="58"/>
      <c r="O191" s="55">
        <f t="shared" si="158"/>
        <v>0</v>
      </c>
      <c r="P191" s="57">
        <f t="shared" si="158"/>
        <v>0</v>
      </c>
      <c r="Q191" s="57">
        <f t="shared" si="159"/>
        <v>0</v>
      </c>
      <c r="R191" s="58"/>
      <c r="S191" s="55">
        <f t="shared" si="160"/>
        <v>0</v>
      </c>
      <c r="T191" s="57">
        <f t="shared" si="160"/>
        <v>0</v>
      </c>
      <c r="U191" s="57">
        <f t="shared" si="161"/>
        <v>0</v>
      </c>
      <c r="V191" s="59"/>
      <c r="W191" s="124">
        <f t="shared" si="162"/>
        <v>0</v>
      </c>
      <c r="X191" s="57">
        <f t="shared" si="162"/>
        <v>0</v>
      </c>
      <c r="Y191" s="84">
        <f t="shared" si="162"/>
        <v>0</v>
      </c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</row>
    <row r="192" spans="1:77" s="61" customFormat="1" x14ac:dyDescent="0.25">
      <c r="A192" s="52"/>
      <c r="B192" s="52"/>
      <c r="C192" s="124">
        <v>0</v>
      </c>
      <c r="D192" s="56">
        <v>0</v>
      </c>
      <c r="E192" s="56">
        <f t="shared" si="153"/>
        <v>0</v>
      </c>
      <c r="F192" s="58"/>
      <c r="G192" s="55">
        <f t="shared" si="154"/>
        <v>0</v>
      </c>
      <c r="H192" s="57">
        <f t="shared" si="154"/>
        <v>0</v>
      </c>
      <c r="I192" s="57">
        <f t="shared" si="155"/>
        <v>0</v>
      </c>
      <c r="J192" s="58"/>
      <c r="K192" s="55">
        <f t="shared" si="156"/>
        <v>0</v>
      </c>
      <c r="L192" s="57">
        <f t="shared" si="156"/>
        <v>0</v>
      </c>
      <c r="M192" s="57">
        <f t="shared" si="157"/>
        <v>0</v>
      </c>
      <c r="N192" s="58"/>
      <c r="O192" s="55">
        <f t="shared" si="158"/>
        <v>0</v>
      </c>
      <c r="P192" s="57">
        <f t="shared" si="158"/>
        <v>0</v>
      </c>
      <c r="Q192" s="57">
        <f t="shared" si="159"/>
        <v>0</v>
      </c>
      <c r="R192" s="58"/>
      <c r="S192" s="55">
        <f t="shared" si="160"/>
        <v>0</v>
      </c>
      <c r="T192" s="57">
        <f t="shared" si="160"/>
        <v>0</v>
      </c>
      <c r="U192" s="57">
        <f t="shared" si="161"/>
        <v>0</v>
      </c>
      <c r="V192" s="59"/>
      <c r="W192" s="124">
        <f t="shared" si="162"/>
        <v>0</v>
      </c>
      <c r="X192" s="57">
        <f t="shared" si="162"/>
        <v>0</v>
      </c>
      <c r="Y192" s="84">
        <f t="shared" si="162"/>
        <v>0</v>
      </c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si="153"/>
        <v>0</v>
      </c>
      <c r="F193" s="58"/>
      <c r="G193" s="55">
        <f t="shared" si="154"/>
        <v>0</v>
      </c>
      <c r="H193" s="57">
        <f t="shared" si="154"/>
        <v>0</v>
      </c>
      <c r="I193" s="57">
        <f t="shared" si="155"/>
        <v>0</v>
      </c>
      <c r="J193" s="58"/>
      <c r="K193" s="55">
        <f t="shared" si="156"/>
        <v>0</v>
      </c>
      <c r="L193" s="57">
        <f t="shared" si="156"/>
        <v>0</v>
      </c>
      <c r="M193" s="57">
        <f t="shared" si="157"/>
        <v>0</v>
      </c>
      <c r="N193" s="58"/>
      <c r="O193" s="55">
        <f t="shared" si="158"/>
        <v>0</v>
      </c>
      <c r="P193" s="57">
        <f t="shared" si="158"/>
        <v>0</v>
      </c>
      <c r="Q193" s="57">
        <f t="shared" si="159"/>
        <v>0</v>
      </c>
      <c r="R193" s="58"/>
      <c r="S193" s="55">
        <f t="shared" si="160"/>
        <v>0</v>
      </c>
      <c r="T193" s="57">
        <f t="shared" si="160"/>
        <v>0</v>
      </c>
      <c r="U193" s="57">
        <f t="shared" si="161"/>
        <v>0</v>
      </c>
      <c r="V193" s="59"/>
      <c r="W193" s="124">
        <f t="shared" si="162"/>
        <v>0</v>
      </c>
      <c r="X193" s="57">
        <f t="shared" si="162"/>
        <v>0</v>
      </c>
      <c r="Y193" s="84">
        <f t="shared" si="162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153"/>
        <v>0</v>
      </c>
      <c r="F194" s="74"/>
      <c r="G194" s="55">
        <f t="shared" si="154"/>
        <v>0</v>
      </c>
      <c r="H194" s="57">
        <f t="shared" si="154"/>
        <v>0</v>
      </c>
      <c r="I194" s="57">
        <f t="shared" si="155"/>
        <v>0</v>
      </c>
      <c r="J194" s="74"/>
      <c r="K194" s="55">
        <f t="shared" si="156"/>
        <v>0</v>
      </c>
      <c r="L194" s="57">
        <f t="shared" si="156"/>
        <v>0</v>
      </c>
      <c r="M194" s="57">
        <f t="shared" si="157"/>
        <v>0</v>
      </c>
      <c r="N194" s="74"/>
      <c r="O194" s="55">
        <f t="shared" si="158"/>
        <v>0</v>
      </c>
      <c r="P194" s="57">
        <f t="shared" si="158"/>
        <v>0</v>
      </c>
      <c r="Q194" s="57">
        <f t="shared" si="159"/>
        <v>0</v>
      </c>
      <c r="R194" s="74"/>
      <c r="S194" s="55">
        <f t="shared" si="160"/>
        <v>0</v>
      </c>
      <c r="T194" s="57">
        <f t="shared" si="160"/>
        <v>0</v>
      </c>
      <c r="U194" s="57">
        <f t="shared" si="161"/>
        <v>0</v>
      </c>
      <c r="V194" s="59"/>
      <c r="W194" s="124">
        <f t="shared" si="162"/>
        <v>0</v>
      </c>
      <c r="X194" s="57">
        <f t="shared" si="162"/>
        <v>0</v>
      </c>
      <c r="Y194" s="84">
        <f t="shared" si="162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0</v>
      </c>
      <c r="D195" s="125">
        <f>SUM(D188:D194)</f>
        <v>0</v>
      </c>
      <c r="E195" s="125">
        <f>SUM(E188:E194)</f>
        <v>0</v>
      </c>
      <c r="F195" s="81"/>
      <c r="G195" s="79">
        <f>SUM(G188:G194)</f>
        <v>0</v>
      </c>
      <c r="H195" s="80">
        <f>SUM(H188:H194)</f>
        <v>0</v>
      </c>
      <c r="I195" s="80">
        <f>SUM(I188:I194)</f>
        <v>0</v>
      </c>
      <c r="J195" s="81"/>
      <c r="K195" s="79">
        <f>SUM(K188:K194)</f>
        <v>0</v>
      </c>
      <c r="L195" s="80">
        <f>SUM(L188:L194)</f>
        <v>0</v>
      </c>
      <c r="M195" s="80">
        <f>SUM(M188:M194)</f>
        <v>0</v>
      </c>
      <c r="N195" s="81"/>
      <c r="O195" s="79">
        <f>SUM(O188:O194)</f>
        <v>0</v>
      </c>
      <c r="P195" s="80">
        <f>SUM(P188:P194)</f>
        <v>0</v>
      </c>
      <c r="Q195" s="80">
        <f>SUM(Q188:Q194)</f>
        <v>0</v>
      </c>
      <c r="R195" s="81"/>
      <c r="S195" s="79">
        <f>SUM(S188:S194)</f>
        <v>0</v>
      </c>
      <c r="T195" s="80">
        <f>SUM(T188:T194)</f>
        <v>0</v>
      </c>
      <c r="U195" s="80">
        <f>SUM(U188:U194)</f>
        <v>0</v>
      </c>
      <c r="V195" s="82"/>
      <c r="W195" s="228">
        <f t="shared" si="162"/>
        <v>0</v>
      </c>
      <c r="X195" s="80">
        <f t="shared" si="162"/>
        <v>0</v>
      </c>
      <c r="Y195" s="80">
        <f t="shared" si="162"/>
        <v>0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>C195+C186</f>
        <v>0</v>
      </c>
      <c r="D196" s="107">
        <f t="shared" ref="D196:X196" si="163">D195+D186</f>
        <v>0</v>
      </c>
      <c r="E196" s="107">
        <f t="shared" si="163"/>
        <v>0</v>
      </c>
      <c r="F196" s="107">
        <f t="shared" si="163"/>
        <v>0</v>
      </c>
      <c r="G196" s="107">
        <f t="shared" si="163"/>
        <v>0</v>
      </c>
      <c r="H196" s="107">
        <f t="shared" si="163"/>
        <v>0</v>
      </c>
      <c r="I196" s="107">
        <f t="shared" si="163"/>
        <v>0</v>
      </c>
      <c r="J196" s="107">
        <f t="shared" si="163"/>
        <v>0</v>
      </c>
      <c r="K196" s="107">
        <f t="shared" si="163"/>
        <v>0</v>
      </c>
      <c r="L196" s="107">
        <f t="shared" si="163"/>
        <v>0</v>
      </c>
      <c r="M196" s="107">
        <f t="shared" si="163"/>
        <v>0</v>
      </c>
      <c r="N196" s="107">
        <f t="shared" si="163"/>
        <v>0</v>
      </c>
      <c r="O196" s="107">
        <f t="shared" si="163"/>
        <v>0</v>
      </c>
      <c r="P196" s="107">
        <f t="shared" si="163"/>
        <v>0</v>
      </c>
      <c r="Q196" s="107">
        <f t="shared" si="163"/>
        <v>0</v>
      </c>
      <c r="R196" s="107">
        <f t="shared" si="163"/>
        <v>0</v>
      </c>
      <c r="S196" s="107">
        <f t="shared" si="163"/>
        <v>0</v>
      </c>
      <c r="T196" s="107">
        <f t="shared" si="163"/>
        <v>0</v>
      </c>
      <c r="U196" s="107">
        <f t="shared" si="163"/>
        <v>0</v>
      </c>
      <c r="V196" s="107">
        <f t="shared" si="163"/>
        <v>0</v>
      </c>
      <c r="W196" s="107">
        <f t="shared" si="163"/>
        <v>0</v>
      </c>
      <c r="X196" s="107">
        <f t="shared" si="163"/>
        <v>0</v>
      </c>
      <c r="Y196" s="108">
        <f>E196+I196+M196+Q196+U196</f>
        <v>0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77" customFormat="1" x14ac:dyDescent="0.25">
      <c r="A197" s="74" t="s">
        <v>6</v>
      </c>
      <c r="B197" s="74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129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s="61" customFormat="1" x14ac:dyDescent="0.25">
      <c r="A198" s="50">
        <v>3.6999999999999998E-2</v>
      </c>
      <c r="B198" s="52" t="s">
        <v>107</v>
      </c>
      <c r="C198" s="124">
        <f>C180*0.35</f>
        <v>0</v>
      </c>
      <c r="D198" s="56">
        <v>0</v>
      </c>
      <c r="E198" s="56">
        <f t="shared" ref="E198:E203" si="164">SUM(C198:D198)</f>
        <v>0</v>
      </c>
      <c r="F198" s="58"/>
      <c r="G198" s="55">
        <f>G180*0.35</f>
        <v>0</v>
      </c>
      <c r="H198" s="57">
        <v>0</v>
      </c>
      <c r="I198" s="57">
        <f t="shared" ref="I198:I203" si="165">SUM(G198:H198)</f>
        <v>0</v>
      </c>
      <c r="J198" s="58"/>
      <c r="K198" s="55">
        <f>K180*0.35</f>
        <v>0</v>
      </c>
      <c r="L198" s="57">
        <v>0</v>
      </c>
      <c r="M198" s="57">
        <f t="shared" ref="M198:M203" si="166">SUM(K198:L198)</f>
        <v>0</v>
      </c>
      <c r="N198" s="58"/>
      <c r="O198" s="55">
        <f>O180*0.35</f>
        <v>0</v>
      </c>
      <c r="P198" s="57">
        <v>0</v>
      </c>
      <c r="Q198" s="57">
        <f t="shared" ref="Q198:Q203" si="167">SUM(O198:P198)</f>
        <v>0</v>
      </c>
      <c r="R198" s="58"/>
      <c r="S198" s="55">
        <f>S180*0.35</f>
        <v>0</v>
      </c>
      <c r="T198" s="57">
        <v>0</v>
      </c>
      <c r="U198" s="57">
        <f t="shared" ref="U198:U203" si="168">SUM(S198:T198)</f>
        <v>0</v>
      </c>
      <c r="V198" s="59"/>
      <c r="W198" s="124">
        <f t="shared" ref="W198:Y204" si="169">C198+G198+K198+O198+S198</f>
        <v>0</v>
      </c>
      <c r="X198" s="57">
        <f t="shared" si="169"/>
        <v>0</v>
      </c>
      <c r="Y198" s="84">
        <f t="shared" si="169"/>
        <v>0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C185*0.35</f>
        <v>0</v>
      </c>
      <c r="D199" s="56">
        <v>0</v>
      </c>
      <c r="E199" s="56">
        <f t="shared" si="164"/>
        <v>0</v>
      </c>
      <c r="F199" s="58"/>
      <c r="G199" s="55">
        <f>C199*1.05</f>
        <v>0</v>
      </c>
      <c r="H199" s="57">
        <f>D199*1.05</f>
        <v>0</v>
      </c>
      <c r="I199" s="57">
        <f t="shared" si="165"/>
        <v>0</v>
      </c>
      <c r="J199" s="58"/>
      <c r="K199" s="55">
        <f>G199*1.05</f>
        <v>0</v>
      </c>
      <c r="L199" s="57">
        <f>H199*1.05</f>
        <v>0</v>
      </c>
      <c r="M199" s="57">
        <f t="shared" si="166"/>
        <v>0</v>
      </c>
      <c r="N199" s="58"/>
      <c r="O199" s="55">
        <f>K199*1.05</f>
        <v>0</v>
      </c>
      <c r="P199" s="57">
        <f>L199*1.05</f>
        <v>0</v>
      </c>
      <c r="Q199" s="57">
        <f t="shared" si="167"/>
        <v>0</v>
      </c>
      <c r="R199" s="58"/>
      <c r="S199" s="55">
        <f>O199*1.05</f>
        <v>0</v>
      </c>
      <c r="T199" s="57">
        <f>P199*1.05</f>
        <v>0</v>
      </c>
      <c r="U199" s="57">
        <f t="shared" si="168"/>
        <v>0</v>
      </c>
      <c r="V199" s="59"/>
      <c r="W199" s="124">
        <f t="shared" si="169"/>
        <v>0</v>
      </c>
      <c r="X199" s="57">
        <f t="shared" si="169"/>
        <v>0</v>
      </c>
      <c r="Y199" s="84">
        <f t="shared" si="169"/>
        <v>0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61" customFormat="1" x14ac:dyDescent="0.25">
      <c r="A200" s="3">
        <v>0.36099999999999999</v>
      </c>
      <c r="B200" s="52" t="s">
        <v>52</v>
      </c>
      <c r="C200" s="124">
        <v>0</v>
      </c>
      <c r="D200" s="56">
        <v>0</v>
      </c>
      <c r="E200" s="56">
        <f t="shared" si="164"/>
        <v>0</v>
      </c>
      <c r="F200" s="58"/>
      <c r="G200" s="55">
        <f>C200*1.05</f>
        <v>0</v>
      </c>
      <c r="H200" s="57">
        <f>D200*1.05</f>
        <v>0</v>
      </c>
      <c r="I200" s="57">
        <f t="shared" si="165"/>
        <v>0</v>
      </c>
      <c r="J200" s="58"/>
      <c r="K200" s="55">
        <f>G200*1.05</f>
        <v>0</v>
      </c>
      <c r="L200" s="57">
        <f>H200*1.05</f>
        <v>0</v>
      </c>
      <c r="M200" s="57">
        <f t="shared" si="166"/>
        <v>0</v>
      </c>
      <c r="N200" s="58"/>
      <c r="O200" s="55">
        <f>K200*1.05</f>
        <v>0</v>
      </c>
      <c r="P200" s="57">
        <f>L200*1.05</f>
        <v>0</v>
      </c>
      <c r="Q200" s="57">
        <f t="shared" si="167"/>
        <v>0</v>
      </c>
      <c r="R200" s="58"/>
      <c r="S200" s="55">
        <f>O200*1.05</f>
        <v>0</v>
      </c>
      <c r="T200" s="57">
        <f>P200*1.05</f>
        <v>0</v>
      </c>
      <c r="U200" s="57">
        <f t="shared" si="168"/>
        <v>0</v>
      </c>
      <c r="V200" s="59"/>
      <c r="W200" s="124">
        <f t="shared" si="169"/>
        <v>0</v>
      </c>
      <c r="X200" s="57">
        <f t="shared" si="169"/>
        <v>0</v>
      </c>
      <c r="Y200" s="84">
        <f t="shared" si="169"/>
        <v>0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61" customFormat="1" x14ac:dyDescent="0.25">
      <c r="A201" s="50">
        <v>0.34899999999999998</v>
      </c>
      <c r="B201" s="52" t="s">
        <v>109</v>
      </c>
      <c r="C201" s="124">
        <f>C189*0.43</f>
        <v>0</v>
      </c>
      <c r="D201" s="56">
        <v>0</v>
      </c>
      <c r="E201" s="56">
        <f t="shared" si="164"/>
        <v>0</v>
      </c>
      <c r="F201" s="58"/>
      <c r="G201" s="55">
        <f>C201*1.1</f>
        <v>0</v>
      </c>
      <c r="H201" s="57">
        <f>D201*1.1</f>
        <v>0</v>
      </c>
      <c r="I201" s="57">
        <f t="shared" si="165"/>
        <v>0</v>
      </c>
      <c r="J201" s="58"/>
      <c r="K201" s="55">
        <f>G201*1.1</f>
        <v>0</v>
      </c>
      <c r="L201" s="57">
        <f>H201*1.1</f>
        <v>0</v>
      </c>
      <c r="M201" s="57">
        <f t="shared" si="166"/>
        <v>0</v>
      </c>
      <c r="N201" s="58"/>
      <c r="O201" s="55">
        <f>K201*1.1</f>
        <v>0</v>
      </c>
      <c r="P201" s="57">
        <f>L201*1.1</f>
        <v>0</v>
      </c>
      <c r="Q201" s="57">
        <f t="shared" si="167"/>
        <v>0</v>
      </c>
      <c r="R201" s="58"/>
      <c r="S201" s="55">
        <f>O201*1.1</f>
        <v>0</v>
      </c>
      <c r="T201" s="57">
        <f>P201*1.1</f>
        <v>0</v>
      </c>
      <c r="U201" s="57">
        <f t="shared" si="168"/>
        <v>0</v>
      </c>
      <c r="V201" s="59"/>
      <c r="W201" s="124">
        <f t="shared" si="169"/>
        <v>0</v>
      </c>
      <c r="X201" s="57">
        <f t="shared" si="169"/>
        <v>0</v>
      </c>
      <c r="Y201" s="84">
        <f t="shared" si="169"/>
        <v>0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f>C190*0.089</f>
        <v>0</v>
      </c>
      <c r="D202" s="56">
        <v>0</v>
      </c>
      <c r="E202" s="56">
        <f t="shared" si="164"/>
        <v>0</v>
      </c>
      <c r="F202" s="58"/>
      <c r="G202" s="55">
        <f>C202*1.05</f>
        <v>0</v>
      </c>
      <c r="H202" s="57">
        <f>D202*1.05</f>
        <v>0</v>
      </c>
      <c r="I202" s="57">
        <f t="shared" si="165"/>
        <v>0</v>
      </c>
      <c r="J202" s="58"/>
      <c r="K202" s="55">
        <f>G202*1.05</f>
        <v>0</v>
      </c>
      <c r="L202" s="57">
        <f>H202*1.05</f>
        <v>0</v>
      </c>
      <c r="M202" s="57">
        <f t="shared" si="166"/>
        <v>0</v>
      </c>
      <c r="N202" s="58"/>
      <c r="O202" s="55">
        <f>K202*1.05</f>
        <v>0</v>
      </c>
      <c r="P202" s="57">
        <f>L202*1.05</f>
        <v>0</v>
      </c>
      <c r="Q202" s="57">
        <f t="shared" si="167"/>
        <v>0</v>
      </c>
      <c r="R202" s="58"/>
      <c r="S202" s="55">
        <f>O202*1.05</f>
        <v>0</v>
      </c>
      <c r="T202" s="57">
        <f>P202*1.05</f>
        <v>0</v>
      </c>
      <c r="U202" s="57">
        <f t="shared" si="168"/>
        <v>0</v>
      </c>
      <c r="V202" s="59"/>
      <c r="W202" s="124">
        <f t="shared" si="169"/>
        <v>0</v>
      </c>
      <c r="X202" s="57">
        <f t="shared" si="169"/>
        <v>0</v>
      </c>
      <c r="Y202" s="84">
        <f t="shared" si="169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f>C191*0.089</f>
        <v>0</v>
      </c>
      <c r="D203" s="56">
        <v>0</v>
      </c>
      <c r="E203" s="56">
        <f t="shared" si="164"/>
        <v>0</v>
      </c>
      <c r="F203" s="58"/>
      <c r="G203" s="55">
        <f>C203*1.05</f>
        <v>0</v>
      </c>
      <c r="H203" s="57">
        <f>D203*1.05</f>
        <v>0</v>
      </c>
      <c r="I203" s="57">
        <f t="shared" si="165"/>
        <v>0</v>
      </c>
      <c r="J203" s="58"/>
      <c r="K203" s="55">
        <f>G203*1.05</f>
        <v>0</v>
      </c>
      <c r="L203" s="57">
        <f>H203*1.05</f>
        <v>0</v>
      </c>
      <c r="M203" s="57">
        <f t="shared" si="166"/>
        <v>0</v>
      </c>
      <c r="N203" s="58"/>
      <c r="O203" s="55">
        <f>K203*1.05</f>
        <v>0</v>
      </c>
      <c r="P203" s="57">
        <f>L203*1.05</f>
        <v>0</v>
      </c>
      <c r="Q203" s="57">
        <f t="shared" si="167"/>
        <v>0</v>
      </c>
      <c r="R203" s="58"/>
      <c r="S203" s="55">
        <f>O203*1.05</f>
        <v>0</v>
      </c>
      <c r="T203" s="57">
        <f>P203*1.05</f>
        <v>0</v>
      </c>
      <c r="U203" s="57">
        <f t="shared" si="168"/>
        <v>0</v>
      </c>
      <c r="V203" s="59"/>
      <c r="W203" s="124">
        <f t="shared" si="169"/>
        <v>0</v>
      </c>
      <c r="X203" s="57">
        <f t="shared" si="169"/>
        <v>0</v>
      </c>
      <c r="Y203" s="84">
        <f t="shared" si="169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0</v>
      </c>
      <c r="D204" s="125">
        <f>SUM(D198:D203)</f>
        <v>0</v>
      </c>
      <c r="E204" s="125">
        <f>SUM(E198:E203)</f>
        <v>0</v>
      </c>
      <c r="F204" s="81"/>
      <c r="G204" s="79">
        <f>SUM(G198:G203)</f>
        <v>0</v>
      </c>
      <c r="H204" s="80">
        <f>SUM(H198:H203)</f>
        <v>0</v>
      </c>
      <c r="I204" s="80">
        <f>SUM(I198:I203)</f>
        <v>0</v>
      </c>
      <c r="J204" s="81"/>
      <c r="K204" s="79">
        <f>SUM(K198:K203)</f>
        <v>0</v>
      </c>
      <c r="L204" s="80">
        <f>SUM(L198:L203)</f>
        <v>0</v>
      </c>
      <c r="M204" s="80">
        <f>SUM(M198:M203)</f>
        <v>0</v>
      </c>
      <c r="N204" s="81"/>
      <c r="O204" s="79">
        <f>SUM(O198:O203)</f>
        <v>0</v>
      </c>
      <c r="P204" s="80">
        <f>SUM(P198:P203)</f>
        <v>0</v>
      </c>
      <c r="Q204" s="80">
        <f>SUM(Q198:Q203)</f>
        <v>0</v>
      </c>
      <c r="R204" s="81"/>
      <c r="S204" s="79">
        <f>SUM(S198:S203)</f>
        <v>0</v>
      </c>
      <c r="T204" s="80">
        <f>SUM(T198:T203)</f>
        <v>0</v>
      </c>
      <c r="U204" s="80">
        <f>SUM(U198:U203)</f>
        <v>0</v>
      </c>
      <c r="V204" s="82"/>
      <c r="W204" s="228">
        <f t="shared" si="169"/>
        <v>0</v>
      </c>
      <c r="X204" s="80">
        <f t="shared" si="169"/>
        <v>0</v>
      </c>
      <c r="Y204" s="80">
        <f t="shared" si="169"/>
        <v>0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170">C204+C196</f>
        <v>0</v>
      </c>
      <c r="D205" s="107">
        <f t="shared" si="170"/>
        <v>0</v>
      </c>
      <c r="E205" s="107">
        <f t="shared" si="170"/>
        <v>0</v>
      </c>
      <c r="F205" s="107">
        <f t="shared" si="170"/>
        <v>0</v>
      </c>
      <c r="G205" s="107">
        <f t="shared" si="170"/>
        <v>0</v>
      </c>
      <c r="H205" s="107">
        <f t="shared" si="170"/>
        <v>0</v>
      </c>
      <c r="I205" s="107">
        <f t="shared" si="170"/>
        <v>0</v>
      </c>
      <c r="J205" s="107">
        <f t="shared" si="170"/>
        <v>0</v>
      </c>
      <c r="K205" s="107">
        <f t="shared" si="170"/>
        <v>0</v>
      </c>
      <c r="L205" s="107">
        <f t="shared" si="170"/>
        <v>0</v>
      </c>
      <c r="M205" s="107">
        <f t="shared" si="170"/>
        <v>0</v>
      </c>
      <c r="N205" s="107">
        <f t="shared" si="170"/>
        <v>0</v>
      </c>
      <c r="O205" s="107">
        <f t="shared" si="170"/>
        <v>0</v>
      </c>
      <c r="P205" s="107">
        <f t="shared" si="170"/>
        <v>0</v>
      </c>
      <c r="Q205" s="107">
        <f t="shared" si="170"/>
        <v>0</v>
      </c>
      <c r="R205" s="107">
        <f t="shared" si="170"/>
        <v>0</v>
      </c>
      <c r="S205" s="107">
        <f t="shared" si="170"/>
        <v>0</v>
      </c>
      <c r="T205" s="107">
        <f t="shared" si="170"/>
        <v>0</v>
      </c>
      <c r="U205" s="107">
        <f t="shared" si="170"/>
        <v>0</v>
      </c>
      <c r="V205" s="107">
        <f t="shared" si="170"/>
        <v>0</v>
      </c>
      <c r="W205" s="107">
        <f t="shared" si="170"/>
        <v>0</v>
      </c>
      <c r="X205" s="107">
        <f t="shared" si="170"/>
        <v>0</v>
      </c>
      <c r="Y205" s="107">
        <f t="shared" si="170"/>
        <v>0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52"/>
      <c r="C207" s="55">
        <v>0</v>
      </c>
      <c r="D207" s="57">
        <v>0</v>
      </c>
      <c r="E207" s="57">
        <f t="shared" ref="E207:E216" si="171">SUM(C207:D207)</f>
        <v>0</v>
      </c>
      <c r="F207" s="58"/>
      <c r="G207" s="55">
        <v>0</v>
      </c>
      <c r="H207" s="57">
        <v>0</v>
      </c>
      <c r="I207" s="57">
        <f t="shared" ref="I207:I216" si="172">SUM(G207:H207)</f>
        <v>0</v>
      </c>
      <c r="J207" s="58"/>
      <c r="K207" s="55">
        <v>0</v>
      </c>
      <c r="L207" s="57">
        <v>0</v>
      </c>
      <c r="M207" s="57">
        <f t="shared" ref="M207:M216" si="173">SUM(K207:L207)</f>
        <v>0</v>
      </c>
      <c r="N207" s="58"/>
      <c r="O207" s="55">
        <v>0</v>
      </c>
      <c r="P207" s="57">
        <v>0</v>
      </c>
      <c r="Q207" s="57">
        <f t="shared" ref="Q207:Q216" si="174">SUM(O207:P207)</f>
        <v>0</v>
      </c>
      <c r="R207" s="58"/>
      <c r="S207" s="55">
        <v>0</v>
      </c>
      <c r="T207" s="57">
        <v>0</v>
      </c>
      <c r="U207" s="57">
        <f t="shared" ref="U207:U216" si="175">SUM(S207:T207)</f>
        <v>0</v>
      </c>
      <c r="V207" s="59"/>
      <c r="W207" s="124">
        <f t="shared" ref="W207:W217" si="176">C207+G207+K207+O207+S207</f>
        <v>0</v>
      </c>
      <c r="X207" s="57">
        <f t="shared" ref="X207:X217" si="177">D207+H207+L207+P207+T207</f>
        <v>0</v>
      </c>
      <c r="Y207" s="84">
        <f t="shared" ref="Y207:Y217" si="178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A208" s="52"/>
      <c r="B208" s="52"/>
      <c r="C208" s="124">
        <v>0</v>
      </c>
      <c r="D208" s="56">
        <v>0</v>
      </c>
      <c r="E208" s="56">
        <f t="shared" si="171"/>
        <v>0</v>
      </c>
      <c r="F208" s="58"/>
      <c r="G208" s="55">
        <v>0</v>
      </c>
      <c r="H208" s="57">
        <v>0</v>
      </c>
      <c r="I208" s="57">
        <f t="shared" si="172"/>
        <v>0</v>
      </c>
      <c r="J208" s="58"/>
      <c r="K208" s="55">
        <v>0</v>
      </c>
      <c r="L208" s="57">
        <v>0</v>
      </c>
      <c r="M208" s="57">
        <f t="shared" si="173"/>
        <v>0</v>
      </c>
      <c r="N208" s="58"/>
      <c r="O208" s="55">
        <v>0</v>
      </c>
      <c r="P208" s="57">
        <v>0</v>
      </c>
      <c r="Q208" s="57">
        <f t="shared" si="174"/>
        <v>0</v>
      </c>
      <c r="R208" s="58"/>
      <c r="S208" s="55">
        <v>0</v>
      </c>
      <c r="T208" s="57">
        <v>0</v>
      </c>
      <c r="U208" s="57">
        <f t="shared" si="175"/>
        <v>0</v>
      </c>
      <c r="V208" s="59"/>
      <c r="W208" s="124">
        <f t="shared" si="176"/>
        <v>0</v>
      </c>
      <c r="X208" s="57">
        <f t="shared" si="177"/>
        <v>0</v>
      </c>
      <c r="Y208" s="84">
        <f t="shared" si="178"/>
        <v>0</v>
      </c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s="61" customFormat="1" x14ac:dyDescent="0.25">
      <c r="A209" s="52"/>
      <c r="B209" s="52"/>
      <c r="C209" s="124">
        <v>0</v>
      </c>
      <c r="D209" s="56">
        <v>0</v>
      </c>
      <c r="E209" s="56">
        <f t="shared" si="171"/>
        <v>0</v>
      </c>
      <c r="F209" s="58"/>
      <c r="G209" s="55">
        <v>0</v>
      </c>
      <c r="H209" s="57">
        <v>0</v>
      </c>
      <c r="I209" s="57">
        <f t="shared" si="172"/>
        <v>0</v>
      </c>
      <c r="J209" s="58"/>
      <c r="K209" s="55">
        <v>0</v>
      </c>
      <c r="L209" s="57">
        <v>0</v>
      </c>
      <c r="M209" s="57">
        <f t="shared" si="173"/>
        <v>0</v>
      </c>
      <c r="N209" s="58"/>
      <c r="O209" s="55">
        <v>0</v>
      </c>
      <c r="P209" s="57">
        <v>0</v>
      </c>
      <c r="Q209" s="57">
        <f t="shared" si="174"/>
        <v>0</v>
      </c>
      <c r="R209" s="58"/>
      <c r="S209" s="55">
        <v>0</v>
      </c>
      <c r="T209" s="57">
        <v>0</v>
      </c>
      <c r="U209" s="57">
        <f t="shared" si="175"/>
        <v>0</v>
      </c>
      <c r="V209" s="59"/>
      <c r="W209" s="124">
        <f t="shared" si="176"/>
        <v>0</v>
      </c>
      <c r="X209" s="57">
        <f t="shared" si="177"/>
        <v>0</v>
      </c>
      <c r="Y209" s="84">
        <f t="shared" si="178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52"/>
      <c r="B210" s="52"/>
      <c r="C210" s="124">
        <v>0</v>
      </c>
      <c r="D210" s="56">
        <v>0</v>
      </c>
      <c r="E210" s="56">
        <f t="shared" si="171"/>
        <v>0</v>
      </c>
      <c r="F210" s="58"/>
      <c r="G210" s="55">
        <v>0</v>
      </c>
      <c r="H210" s="57">
        <v>0</v>
      </c>
      <c r="I210" s="57">
        <f t="shared" si="172"/>
        <v>0</v>
      </c>
      <c r="J210" s="58"/>
      <c r="K210" s="55">
        <v>0</v>
      </c>
      <c r="L210" s="57">
        <v>0</v>
      </c>
      <c r="M210" s="57">
        <f t="shared" si="173"/>
        <v>0</v>
      </c>
      <c r="N210" s="58"/>
      <c r="O210" s="55">
        <v>0</v>
      </c>
      <c r="P210" s="57">
        <v>0</v>
      </c>
      <c r="Q210" s="57">
        <f t="shared" si="174"/>
        <v>0</v>
      </c>
      <c r="R210" s="58"/>
      <c r="S210" s="55">
        <v>0</v>
      </c>
      <c r="T210" s="57">
        <v>0</v>
      </c>
      <c r="U210" s="57">
        <f t="shared" si="175"/>
        <v>0</v>
      </c>
      <c r="V210" s="59"/>
      <c r="W210" s="124">
        <f t="shared" si="176"/>
        <v>0</v>
      </c>
      <c r="X210" s="57">
        <f t="shared" si="177"/>
        <v>0</v>
      </c>
      <c r="Y210" s="84">
        <f t="shared" si="178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52"/>
      <c r="B211" s="52"/>
      <c r="C211" s="124">
        <v>0</v>
      </c>
      <c r="D211" s="56">
        <v>0</v>
      </c>
      <c r="E211" s="56">
        <f t="shared" si="171"/>
        <v>0</v>
      </c>
      <c r="F211" s="58"/>
      <c r="G211" s="55">
        <v>0</v>
      </c>
      <c r="H211" s="57">
        <v>0</v>
      </c>
      <c r="I211" s="57">
        <f t="shared" si="172"/>
        <v>0</v>
      </c>
      <c r="J211" s="58"/>
      <c r="K211" s="55">
        <v>0</v>
      </c>
      <c r="L211" s="57">
        <v>0</v>
      </c>
      <c r="M211" s="57">
        <f t="shared" si="173"/>
        <v>0</v>
      </c>
      <c r="N211" s="58"/>
      <c r="O211" s="55">
        <v>0</v>
      </c>
      <c r="P211" s="57">
        <v>0</v>
      </c>
      <c r="Q211" s="57">
        <f t="shared" si="174"/>
        <v>0</v>
      </c>
      <c r="R211" s="58"/>
      <c r="S211" s="55">
        <v>0</v>
      </c>
      <c r="T211" s="57">
        <v>0</v>
      </c>
      <c r="U211" s="57">
        <f t="shared" si="175"/>
        <v>0</v>
      </c>
      <c r="V211" s="59"/>
      <c r="W211" s="124">
        <f t="shared" si="176"/>
        <v>0</v>
      </c>
      <c r="X211" s="57">
        <f t="shared" si="177"/>
        <v>0</v>
      </c>
      <c r="Y211" s="84">
        <f t="shared" si="178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52"/>
      <c r="B212" s="52"/>
      <c r="C212" s="124">
        <v>0</v>
      </c>
      <c r="D212" s="56">
        <v>0</v>
      </c>
      <c r="E212" s="56">
        <f t="shared" si="171"/>
        <v>0</v>
      </c>
      <c r="F212" s="58"/>
      <c r="G212" s="55">
        <v>0</v>
      </c>
      <c r="H212" s="57">
        <v>0</v>
      </c>
      <c r="I212" s="57">
        <f t="shared" si="172"/>
        <v>0</v>
      </c>
      <c r="J212" s="58"/>
      <c r="K212" s="55">
        <v>0</v>
      </c>
      <c r="L212" s="57">
        <v>0</v>
      </c>
      <c r="M212" s="57">
        <f t="shared" si="173"/>
        <v>0</v>
      </c>
      <c r="N212" s="58"/>
      <c r="O212" s="55">
        <v>0</v>
      </c>
      <c r="P212" s="57">
        <v>0</v>
      </c>
      <c r="Q212" s="57">
        <f t="shared" si="174"/>
        <v>0</v>
      </c>
      <c r="R212" s="58"/>
      <c r="S212" s="55">
        <v>0</v>
      </c>
      <c r="T212" s="57">
        <v>0</v>
      </c>
      <c r="U212" s="57">
        <f t="shared" si="175"/>
        <v>0</v>
      </c>
      <c r="V212" s="59"/>
      <c r="W212" s="124">
        <f t="shared" si="176"/>
        <v>0</v>
      </c>
      <c r="X212" s="57">
        <f t="shared" si="177"/>
        <v>0</v>
      </c>
      <c r="Y212" s="84">
        <f t="shared" si="178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171"/>
        <v>0</v>
      </c>
      <c r="F213" s="58"/>
      <c r="G213" s="55">
        <v>0</v>
      </c>
      <c r="H213" s="57">
        <v>0</v>
      </c>
      <c r="I213" s="57">
        <f t="shared" si="172"/>
        <v>0</v>
      </c>
      <c r="J213" s="58"/>
      <c r="K213" s="55">
        <v>0</v>
      </c>
      <c r="L213" s="57">
        <v>0</v>
      </c>
      <c r="M213" s="57">
        <f t="shared" si="173"/>
        <v>0</v>
      </c>
      <c r="N213" s="58"/>
      <c r="O213" s="55">
        <v>0</v>
      </c>
      <c r="P213" s="57">
        <v>0</v>
      </c>
      <c r="Q213" s="57">
        <f t="shared" si="174"/>
        <v>0</v>
      </c>
      <c r="R213" s="58"/>
      <c r="S213" s="55">
        <v>0</v>
      </c>
      <c r="T213" s="57">
        <v>0</v>
      </c>
      <c r="U213" s="57">
        <f t="shared" si="175"/>
        <v>0</v>
      </c>
      <c r="V213" s="59"/>
      <c r="W213" s="124">
        <f t="shared" si="176"/>
        <v>0</v>
      </c>
      <c r="X213" s="57">
        <f t="shared" si="177"/>
        <v>0</v>
      </c>
      <c r="Y213" s="84">
        <f t="shared" si="178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171"/>
        <v>0</v>
      </c>
      <c r="F214" s="58"/>
      <c r="G214" s="55">
        <v>0</v>
      </c>
      <c r="H214" s="57">
        <v>0</v>
      </c>
      <c r="I214" s="57">
        <f t="shared" si="172"/>
        <v>0</v>
      </c>
      <c r="J214" s="58"/>
      <c r="K214" s="55">
        <v>0</v>
      </c>
      <c r="L214" s="57">
        <v>0</v>
      </c>
      <c r="M214" s="57">
        <f t="shared" si="173"/>
        <v>0</v>
      </c>
      <c r="N214" s="58"/>
      <c r="O214" s="55">
        <v>0</v>
      </c>
      <c r="P214" s="57">
        <v>0</v>
      </c>
      <c r="Q214" s="57">
        <f t="shared" si="174"/>
        <v>0</v>
      </c>
      <c r="R214" s="58"/>
      <c r="S214" s="55">
        <v>0</v>
      </c>
      <c r="T214" s="57">
        <v>0</v>
      </c>
      <c r="U214" s="57">
        <f t="shared" si="175"/>
        <v>0</v>
      </c>
      <c r="V214" s="59"/>
      <c r="W214" s="124">
        <f t="shared" si="176"/>
        <v>0</v>
      </c>
      <c r="X214" s="57">
        <f t="shared" si="177"/>
        <v>0</v>
      </c>
      <c r="Y214" s="84">
        <f t="shared" si="178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171"/>
        <v>0</v>
      </c>
      <c r="F215" s="58"/>
      <c r="G215" s="55">
        <v>0</v>
      </c>
      <c r="H215" s="57">
        <v>0</v>
      </c>
      <c r="I215" s="57">
        <f t="shared" si="172"/>
        <v>0</v>
      </c>
      <c r="J215" s="58"/>
      <c r="K215" s="55">
        <v>0</v>
      </c>
      <c r="L215" s="57">
        <v>0</v>
      </c>
      <c r="M215" s="57">
        <f t="shared" si="173"/>
        <v>0</v>
      </c>
      <c r="N215" s="58"/>
      <c r="O215" s="55">
        <v>0</v>
      </c>
      <c r="P215" s="57">
        <v>0</v>
      </c>
      <c r="Q215" s="57">
        <f t="shared" si="174"/>
        <v>0</v>
      </c>
      <c r="R215" s="58"/>
      <c r="S215" s="55">
        <v>0</v>
      </c>
      <c r="T215" s="57">
        <v>0</v>
      </c>
      <c r="U215" s="57">
        <f t="shared" si="175"/>
        <v>0</v>
      </c>
      <c r="V215" s="59"/>
      <c r="W215" s="124">
        <f t="shared" si="176"/>
        <v>0</v>
      </c>
      <c r="X215" s="57">
        <f t="shared" si="177"/>
        <v>0</v>
      </c>
      <c r="Y215" s="84">
        <f t="shared" si="178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171"/>
        <v>0</v>
      </c>
      <c r="F216" s="58"/>
      <c r="G216" s="55">
        <v>0</v>
      </c>
      <c r="H216" s="57">
        <v>0</v>
      </c>
      <c r="I216" s="57">
        <f t="shared" si="172"/>
        <v>0</v>
      </c>
      <c r="J216" s="58"/>
      <c r="K216" s="55">
        <v>0</v>
      </c>
      <c r="L216" s="57">
        <v>0</v>
      </c>
      <c r="M216" s="57">
        <f t="shared" si="173"/>
        <v>0</v>
      </c>
      <c r="N216" s="58"/>
      <c r="O216" s="55">
        <v>0</v>
      </c>
      <c r="P216" s="57">
        <v>0</v>
      </c>
      <c r="Q216" s="57">
        <f t="shared" si="174"/>
        <v>0</v>
      </c>
      <c r="R216" s="58"/>
      <c r="S216" s="55">
        <v>0</v>
      </c>
      <c r="T216" s="57">
        <v>0</v>
      </c>
      <c r="U216" s="57">
        <f t="shared" si="175"/>
        <v>0</v>
      </c>
      <c r="V216" s="59"/>
      <c r="W216" s="124">
        <f t="shared" si="176"/>
        <v>0</v>
      </c>
      <c r="X216" s="57">
        <f t="shared" si="177"/>
        <v>0</v>
      </c>
      <c r="Y216" s="84">
        <f t="shared" si="178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0</v>
      </c>
      <c r="H217" s="125">
        <f>SUM(H207:H216)</f>
        <v>0</v>
      </c>
      <c r="I217" s="125">
        <f>SUM(I207:I216)</f>
        <v>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176"/>
        <v>0</v>
      </c>
      <c r="X217" s="80">
        <f t="shared" si="177"/>
        <v>0</v>
      </c>
      <c r="Y217" s="80">
        <f t="shared" si="178"/>
        <v>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2"/>
      <c r="B219" s="52"/>
      <c r="C219" s="124">
        <v>0</v>
      </c>
      <c r="D219" s="56">
        <v>0</v>
      </c>
      <c r="E219" s="56">
        <f t="shared" ref="E219:E224" si="179">SUM(C219:D219)</f>
        <v>0</v>
      </c>
      <c r="F219" s="58"/>
      <c r="G219" s="55">
        <v>0</v>
      </c>
      <c r="H219" s="57">
        <v>0</v>
      </c>
      <c r="I219" s="57">
        <f t="shared" ref="I219:I224" si="180">SUM(G219:H219)</f>
        <v>0</v>
      </c>
      <c r="J219" s="58"/>
      <c r="K219" s="55">
        <v>0</v>
      </c>
      <c r="L219" s="57">
        <v>0</v>
      </c>
      <c r="M219" s="57">
        <f t="shared" ref="M219:M224" si="181">SUM(K219:L219)</f>
        <v>0</v>
      </c>
      <c r="N219" s="58"/>
      <c r="O219" s="55">
        <v>0</v>
      </c>
      <c r="P219" s="57">
        <v>0</v>
      </c>
      <c r="Q219" s="57">
        <f t="shared" ref="Q219:Q224" si="182">SUM(O219:P219)</f>
        <v>0</v>
      </c>
      <c r="R219" s="58"/>
      <c r="S219" s="55">
        <v>0</v>
      </c>
      <c r="T219" s="57">
        <v>0</v>
      </c>
      <c r="U219" s="57">
        <f t="shared" ref="U219:U224" si="183">SUM(S219:T219)</f>
        <v>0</v>
      </c>
      <c r="V219" s="59"/>
      <c r="W219" s="124">
        <f t="shared" ref="W219:Y225" si="184">C219+G219+K219+O219+S219</f>
        <v>0</v>
      </c>
      <c r="X219" s="57">
        <f t="shared" si="184"/>
        <v>0</v>
      </c>
      <c r="Y219" s="84">
        <f t="shared" si="184"/>
        <v>0</v>
      </c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</row>
    <row r="220" spans="1:77" s="61" customFormat="1" x14ac:dyDescent="0.25">
      <c r="B220" s="61" t="s">
        <v>121</v>
      </c>
      <c r="C220" s="55">
        <f>(20*250)+2500</f>
        <v>7500</v>
      </c>
      <c r="D220" s="57">
        <v>0</v>
      </c>
      <c r="E220" s="57">
        <f t="shared" si="179"/>
        <v>7500</v>
      </c>
      <c r="F220" s="58"/>
      <c r="G220" s="55">
        <f>C220+2000</f>
        <v>9500</v>
      </c>
      <c r="H220" s="57">
        <v>0</v>
      </c>
      <c r="I220" s="57">
        <f t="shared" si="180"/>
        <v>9500</v>
      </c>
      <c r="J220" s="58"/>
      <c r="K220" s="55">
        <f>G220*0</f>
        <v>0</v>
      </c>
      <c r="L220" s="57">
        <v>0</v>
      </c>
      <c r="M220" s="57">
        <f t="shared" si="181"/>
        <v>0</v>
      </c>
      <c r="N220" s="58"/>
      <c r="O220" s="55">
        <f>K220+5000+3000</f>
        <v>8000</v>
      </c>
      <c r="P220" s="57">
        <v>0</v>
      </c>
      <c r="Q220" s="57">
        <f t="shared" si="182"/>
        <v>8000</v>
      </c>
      <c r="R220" s="58"/>
      <c r="S220" s="55">
        <f>O220*0</f>
        <v>0</v>
      </c>
      <c r="T220" s="57">
        <v>0</v>
      </c>
      <c r="U220" s="57">
        <f t="shared" si="183"/>
        <v>0</v>
      </c>
      <c r="V220" s="59"/>
      <c r="W220" s="124">
        <f t="shared" si="184"/>
        <v>25000</v>
      </c>
      <c r="X220" s="57">
        <f t="shared" si="184"/>
        <v>0</v>
      </c>
      <c r="Y220" s="202">
        <f t="shared" si="184"/>
        <v>25000</v>
      </c>
    </row>
    <row r="221" spans="1:77" s="61" customFormat="1" x14ac:dyDescent="0.25">
      <c r="A221" s="52"/>
      <c r="B221" s="52" t="s">
        <v>197</v>
      </c>
      <c r="C221" s="124">
        <v>4000</v>
      </c>
      <c r="D221" s="56">
        <v>0</v>
      </c>
      <c r="E221" s="56">
        <f t="shared" si="179"/>
        <v>4000</v>
      </c>
      <c r="F221" s="58"/>
      <c r="G221" s="55">
        <v>0</v>
      </c>
      <c r="H221" s="57">
        <v>0</v>
      </c>
      <c r="I221" s="57">
        <f t="shared" si="180"/>
        <v>0</v>
      </c>
      <c r="J221" s="58"/>
      <c r="K221" s="55">
        <v>4000</v>
      </c>
      <c r="L221" s="57">
        <v>0</v>
      </c>
      <c r="M221" s="57">
        <f t="shared" si="181"/>
        <v>4000</v>
      </c>
      <c r="N221" s="58"/>
      <c r="O221" s="55">
        <v>0</v>
      </c>
      <c r="P221" s="57">
        <v>0</v>
      </c>
      <c r="Q221" s="57">
        <f t="shared" si="182"/>
        <v>0</v>
      </c>
      <c r="R221" s="58"/>
      <c r="S221" s="55">
        <v>0</v>
      </c>
      <c r="T221" s="57">
        <v>0</v>
      </c>
      <c r="U221" s="57">
        <f t="shared" si="183"/>
        <v>0</v>
      </c>
      <c r="V221" s="59"/>
      <c r="W221" s="124">
        <f t="shared" si="184"/>
        <v>8000</v>
      </c>
      <c r="X221" s="57">
        <f t="shared" si="184"/>
        <v>0</v>
      </c>
      <c r="Y221" s="84">
        <f t="shared" si="184"/>
        <v>8000</v>
      </c>
    </row>
    <row r="222" spans="1:77" s="61" customFormat="1" x14ac:dyDescent="0.25">
      <c r="A222" s="52"/>
      <c r="B222" s="52"/>
      <c r="C222" s="124">
        <v>0</v>
      </c>
      <c r="D222" s="56">
        <v>0</v>
      </c>
      <c r="E222" s="56">
        <f t="shared" si="179"/>
        <v>0</v>
      </c>
      <c r="F222" s="58"/>
      <c r="G222" s="55">
        <v>0</v>
      </c>
      <c r="H222" s="57">
        <v>0</v>
      </c>
      <c r="I222" s="57">
        <f t="shared" si="180"/>
        <v>0</v>
      </c>
      <c r="J222" s="58"/>
      <c r="K222" s="55">
        <v>0</v>
      </c>
      <c r="L222" s="57">
        <v>0</v>
      </c>
      <c r="M222" s="57">
        <f t="shared" si="181"/>
        <v>0</v>
      </c>
      <c r="N222" s="58"/>
      <c r="O222" s="55">
        <v>0</v>
      </c>
      <c r="P222" s="57">
        <v>0</v>
      </c>
      <c r="Q222" s="57">
        <f t="shared" si="182"/>
        <v>0</v>
      </c>
      <c r="R222" s="58"/>
      <c r="S222" s="55">
        <v>0</v>
      </c>
      <c r="T222" s="57">
        <v>0</v>
      </c>
      <c r="U222" s="57">
        <f t="shared" si="183"/>
        <v>0</v>
      </c>
      <c r="V222" s="59"/>
      <c r="W222" s="124">
        <f t="shared" si="184"/>
        <v>0</v>
      </c>
      <c r="X222" s="57">
        <f t="shared" si="184"/>
        <v>0</v>
      </c>
      <c r="Y222" s="84">
        <f t="shared" si="184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179"/>
        <v>0</v>
      </c>
      <c r="F223" s="58"/>
      <c r="G223" s="55">
        <v>0</v>
      </c>
      <c r="H223" s="57">
        <v>0</v>
      </c>
      <c r="I223" s="57">
        <f t="shared" si="180"/>
        <v>0</v>
      </c>
      <c r="J223" s="58"/>
      <c r="K223" s="55">
        <v>0</v>
      </c>
      <c r="L223" s="57">
        <v>0</v>
      </c>
      <c r="M223" s="57">
        <f t="shared" si="181"/>
        <v>0</v>
      </c>
      <c r="N223" s="58"/>
      <c r="O223" s="55">
        <v>0</v>
      </c>
      <c r="P223" s="57">
        <v>0</v>
      </c>
      <c r="Q223" s="57">
        <f t="shared" si="182"/>
        <v>0</v>
      </c>
      <c r="R223" s="58"/>
      <c r="S223" s="55">
        <v>0</v>
      </c>
      <c r="T223" s="57">
        <v>0</v>
      </c>
      <c r="U223" s="57">
        <f t="shared" si="183"/>
        <v>0</v>
      </c>
      <c r="V223" s="59"/>
      <c r="W223" s="124">
        <f t="shared" si="184"/>
        <v>0</v>
      </c>
      <c r="X223" s="57">
        <f t="shared" si="184"/>
        <v>0</v>
      </c>
      <c r="Y223" s="84">
        <f t="shared" si="184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179"/>
        <v>0</v>
      </c>
      <c r="F224" s="58"/>
      <c r="G224" s="55">
        <v>0</v>
      </c>
      <c r="H224" s="57">
        <v>0</v>
      </c>
      <c r="I224" s="57">
        <f t="shared" si="180"/>
        <v>0</v>
      </c>
      <c r="J224" s="58"/>
      <c r="K224" s="55">
        <v>0</v>
      </c>
      <c r="L224" s="57">
        <v>0</v>
      </c>
      <c r="M224" s="57">
        <f t="shared" si="181"/>
        <v>0</v>
      </c>
      <c r="N224" s="58"/>
      <c r="O224" s="55">
        <v>0</v>
      </c>
      <c r="P224" s="57">
        <v>0</v>
      </c>
      <c r="Q224" s="57">
        <f t="shared" si="182"/>
        <v>0</v>
      </c>
      <c r="R224" s="58"/>
      <c r="S224" s="55">
        <v>0</v>
      </c>
      <c r="T224" s="57">
        <v>0</v>
      </c>
      <c r="U224" s="57">
        <f t="shared" si="183"/>
        <v>0</v>
      </c>
      <c r="V224" s="59"/>
      <c r="W224" s="124">
        <f t="shared" si="184"/>
        <v>0</v>
      </c>
      <c r="X224" s="57">
        <f t="shared" si="184"/>
        <v>0</v>
      </c>
      <c r="Y224" s="84">
        <f t="shared" si="184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11500</v>
      </c>
      <c r="D225" s="125">
        <f>SUM(D219:D224)</f>
        <v>0</v>
      </c>
      <c r="E225" s="125">
        <f>SUM(E219:E224)</f>
        <v>11500</v>
      </c>
      <c r="F225" s="81"/>
      <c r="G225" s="79">
        <f>SUM(G219:G224)</f>
        <v>9500</v>
      </c>
      <c r="H225" s="80">
        <f>SUM(H219:H224)</f>
        <v>0</v>
      </c>
      <c r="I225" s="80">
        <f>SUM(I219:I224)</f>
        <v>9500</v>
      </c>
      <c r="J225" s="81"/>
      <c r="K225" s="79">
        <f>SUM(K219:K224)</f>
        <v>4000</v>
      </c>
      <c r="L225" s="80">
        <f>SUM(L219:L224)</f>
        <v>0</v>
      </c>
      <c r="M225" s="80">
        <f>SUM(M219:M224)</f>
        <v>4000</v>
      </c>
      <c r="N225" s="81"/>
      <c r="O225" s="79">
        <f>SUM(O219:O224)</f>
        <v>8000</v>
      </c>
      <c r="P225" s="80">
        <f>SUM(P219:P224)</f>
        <v>0</v>
      </c>
      <c r="Q225" s="80">
        <f>SUM(Q219:Q224)</f>
        <v>8000</v>
      </c>
      <c r="R225" s="81"/>
      <c r="S225" s="79">
        <f>SUM(S219:S224)</f>
        <v>0</v>
      </c>
      <c r="T225" s="80">
        <f>SUM(T219:T224)</f>
        <v>0</v>
      </c>
      <c r="U225" s="80">
        <f>SUM(U219:U224)</f>
        <v>0</v>
      </c>
      <c r="V225" s="82"/>
      <c r="W225" s="228">
        <f t="shared" si="184"/>
        <v>33000</v>
      </c>
      <c r="X225" s="80">
        <f t="shared" si="184"/>
        <v>0</v>
      </c>
      <c r="Y225" s="80">
        <f t="shared" si="184"/>
        <v>33000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/>
      <c r="B227" s="54"/>
      <c r="C227" s="124">
        <v>0</v>
      </c>
      <c r="D227" s="56">
        <v>0</v>
      </c>
      <c r="E227" s="56">
        <f>SUM(C227:D227)</f>
        <v>0</v>
      </c>
      <c r="F227" s="58"/>
      <c r="G227" s="55">
        <v>0</v>
      </c>
      <c r="H227" s="56">
        <v>0</v>
      </c>
      <c r="I227" s="56">
        <f>SUM(G227:H227)</f>
        <v>0</v>
      </c>
      <c r="J227" s="58"/>
      <c r="K227" s="55">
        <v>0</v>
      </c>
      <c r="L227" s="56">
        <v>0</v>
      </c>
      <c r="M227" s="56">
        <f>SUM(K227:L227)</f>
        <v>0</v>
      </c>
      <c r="N227" s="58"/>
      <c r="O227" s="55">
        <v>0</v>
      </c>
      <c r="P227" s="56">
        <v>0</v>
      </c>
      <c r="Q227" s="56">
        <f>SUM(O227:P227)</f>
        <v>0</v>
      </c>
      <c r="R227" s="58"/>
      <c r="S227" s="55">
        <v>0</v>
      </c>
      <c r="T227" s="56">
        <v>0</v>
      </c>
      <c r="U227" s="56">
        <f>SUM(S227:T227)</f>
        <v>0</v>
      </c>
      <c r="V227" s="59"/>
      <c r="W227" s="124">
        <f t="shared" ref="W227:Y231" si="185">C227+G227+K227+O227+S227</f>
        <v>0</v>
      </c>
      <c r="X227" s="57">
        <f t="shared" si="185"/>
        <v>0</v>
      </c>
      <c r="Y227" s="84">
        <f t="shared" si="185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/>
      <c r="B228" s="54"/>
      <c r="C228" s="124">
        <v>0</v>
      </c>
      <c r="D228" s="56">
        <v>0</v>
      </c>
      <c r="E228" s="56">
        <f>SUM(C228:D228)</f>
        <v>0</v>
      </c>
      <c r="F228" s="58"/>
      <c r="G228" s="55">
        <v>0</v>
      </c>
      <c r="H228" s="56">
        <v>0</v>
      </c>
      <c r="I228" s="56">
        <f>SUM(G228:H228)</f>
        <v>0</v>
      </c>
      <c r="J228" s="58"/>
      <c r="K228" s="55">
        <v>0</v>
      </c>
      <c r="L228" s="56">
        <v>0</v>
      </c>
      <c r="M228" s="56">
        <f>SUM(K228:L228)</f>
        <v>0</v>
      </c>
      <c r="N228" s="58"/>
      <c r="O228" s="55">
        <v>0</v>
      </c>
      <c r="P228" s="56">
        <v>0</v>
      </c>
      <c r="Q228" s="56">
        <f>SUM(O228:P228)</f>
        <v>0</v>
      </c>
      <c r="R228" s="58"/>
      <c r="S228" s="55">
        <v>0</v>
      </c>
      <c r="T228" s="56">
        <v>0</v>
      </c>
      <c r="U228" s="56">
        <f>SUM(S228:T228)</f>
        <v>0</v>
      </c>
      <c r="V228" s="59"/>
      <c r="W228" s="124">
        <f t="shared" si="185"/>
        <v>0</v>
      </c>
      <c r="X228" s="57">
        <f t="shared" si="185"/>
        <v>0</v>
      </c>
      <c r="Y228" s="84">
        <f t="shared" si="185"/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54"/>
      <c r="C229" s="124">
        <v>0</v>
      </c>
      <c r="D229" s="56">
        <v>0</v>
      </c>
      <c r="E229" s="56">
        <f>SUM(C229:D229)</f>
        <v>0</v>
      </c>
      <c r="F229" s="58"/>
      <c r="G229" s="55">
        <v>0</v>
      </c>
      <c r="H229" s="56">
        <v>0</v>
      </c>
      <c r="I229" s="56">
        <f>SUM(G229:H229)</f>
        <v>0</v>
      </c>
      <c r="J229" s="58"/>
      <c r="K229" s="55">
        <v>0</v>
      </c>
      <c r="L229" s="56">
        <v>0</v>
      </c>
      <c r="M229" s="56">
        <f>SUM(K229:L229)</f>
        <v>0</v>
      </c>
      <c r="N229" s="58"/>
      <c r="O229" s="55">
        <v>0</v>
      </c>
      <c r="P229" s="56">
        <v>0</v>
      </c>
      <c r="Q229" s="56">
        <f>SUM(O229:P229)</f>
        <v>0</v>
      </c>
      <c r="R229" s="58"/>
      <c r="S229" s="55">
        <v>0</v>
      </c>
      <c r="T229" s="56">
        <v>0</v>
      </c>
      <c r="U229" s="56">
        <f>SUM(S229:T229)</f>
        <v>0</v>
      </c>
      <c r="V229" s="59"/>
      <c r="W229" s="124">
        <f t="shared" si="185"/>
        <v>0</v>
      </c>
      <c r="X229" s="57">
        <f t="shared" si="185"/>
        <v>0</v>
      </c>
      <c r="Y229" s="84">
        <f t="shared" si="185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61" customFormat="1" x14ac:dyDescent="0.25">
      <c r="A230" s="54"/>
      <c r="B230" s="54"/>
      <c r="C230" s="124">
        <v>0</v>
      </c>
      <c r="D230" s="56">
        <v>0</v>
      </c>
      <c r="E230" s="56">
        <f>SUM(C230:D230)</f>
        <v>0</v>
      </c>
      <c r="F230" s="58"/>
      <c r="G230" s="55">
        <v>0</v>
      </c>
      <c r="H230" s="56">
        <v>0</v>
      </c>
      <c r="I230" s="56">
        <f>SUM(G230:H230)</f>
        <v>0</v>
      </c>
      <c r="J230" s="58"/>
      <c r="K230" s="55">
        <v>0</v>
      </c>
      <c r="L230" s="56">
        <v>0</v>
      </c>
      <c r="M230" s="56">
        <f>SUM(K230:L230)</f>
        <v>0</v>
      </c>
      <c r="N230" s="58"/>
      <c r="O230" s="55">
        <v>0</v>
      </c>
      <c r="P230" s="56">
        <v>0</v>
      </c>
      <c r="Q230" s="56">
        <f>SUM(O230:P230)</f>
        <v>0</v>
      </c>
      <c r="R230" s="58"/>
      <c r="S230" s="55">
        <v>0</v>
      </c>
      <c r="T230" s="56">
        <v>0</v>
      </c>
      <c r="U230" s="56">
        <f>SUM(S230:T230)</f>
        <v>0</v>
      </c>
      <c r="V230" s="59"/>
      <c r="W230" s="124">
        <f t="shared" si="185"/>
        <v>0</v>
      </c>
      <c r="X230" s="57">
        <f t="shared" si="185"/>
        <v>0</v>
      </c>
      <c r="Y230" s="84">
        <f t="shared" si="185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0</v>
      </c>
      <c r="H231" s="80">
        <f>SUM(H227:H230)</f>
        <v>0</v>
      </c>
      <c r="I231" s="80">
        <f>SUM(I227:I230)</f>
        <v>0</v>
      </c>
      <c r="J231" s="81"/>
      <c r="K231" s="79">
        <f>SUM(K227:K230)</f>
        <v>0</v>
      </c>
      <c r="L231" s="80">
        <f>SUM(L227:L230)</f>
        <v>0</v>
      </c>
      <c r="M231" s="80">
        <f>SUM(M227:M230)</f>
        <v>0</v>
      </c>
      <c r="N231" s="81"/>
      <c r="O231" s="79">
        <f>SUM(O227:O230)</f>
        <v>0</v>
      </c>
      <c r="P231" s="80">
        <f>SUM(P227:P230)</f>
        <v>0</v>
      </c>
      <c r="Q231" s="80">
        <f>SUM(Q227:Q230)</f>
        <v>0</v>
      </c>
      <c r="R231" s="81"/>
      <c r="S231" s="79">
        <f>SUM(S227:S230)</f>
        <v>0</v>
      </c>
      <c r="T231" s="125">
        <f>SUM(T227:T230)</f>
        <v>0</v>
      </c>
      <c r="U231" s="125">
        <f>SUM(U227:U230)</f>
        <v>0</v>
      </c>
      <c r="V231" s="82"/>
      <c r="W231" s="228">
        <f t="shared" si="185"/>
        <v>0</v>
      </c>
      <c r="X231" s="80">
        <f t="shared" si="185"/>
        <v>0</v>
      </c>
      <c r="Y231" s="80">
        <f t="shared" si="185"/>
        <v>0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2"/>
      <c r="B233" s="61" t="s">
        <v>57</v>
      </c>
      <c r="C233" s="124">
        <v>0</v>
      </c>
      <c r="D233" s="56">
        <v>0</v>
      </c>
      <c r="E233" s="56">
        <f t="shared" ref="E233:E244" si="186">SUM(C233:D233)</f>
        <v>0</v>
      </c>
      <c r="F233" s="58"/>
      <c r="G233" s="55">
        <v>0</v>
      </c>
      <c r="H233" s="57">
        <v>0</v>
      </c>
      <c r="I233" s="57">
        <f t="shared" ref="I233:I244" si="187">SUM(G233:H233)</f>
        <v>0</v>
      </c>
      <c r="J233" s="58"/>
      <c r="K233" s="55">
        <v>0</v>
      </c>
      <c r="L233" s="57">
        <v>0</v>
      </c>
      <c r="M233" s="57">
        <f t="shared" ref="M233:M244" si="188">SUM(K233:L233)</f>
        <v>0</v>
      </c>
      <c r="N233" s="58"/>
      <c r="O233" s="55">
        <v>0</v>
      </c>
      <c r="P233" s="57">
        <v>0</v>
      </c>
      <c r="Q233" s="57">
        <f t="shared" ref="Q233:Q244" si="189">SUM(O233:P233)</f>
        <v>0</v>
      </c>
      <c r="R233" s="58"/>
      <c r="S233" s="55">
        <v>0</v>
      </c>
      <c r="T233" s="57">
        <v>0</v>
      </c>
      <c r="U233" s="57">
        <f t="shared" ref="U233:U244" si="190">SUM(S233:T233)</f>
        <v>0</v>
      </c>
      <c r="V233" s="59"/>
      <c r="W233" s="124">
        <f t="shared" ref="W233:W245" si="191">C233+G233+K233+O233+S233</f>
        <v>0</v>
      </c>
      <c r="X233" s="57">
        <f t="shared" ref="X233:X245" si="192">D233+H233+L233+P233+T233</f>
        <v>0</v>
      </c>
      <c r="Y233" s="84">
        <f t="shared" ref="Y233:Y245" si="193">E233+I233+M233+Q233+U233</f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</row>
    <row r="234" spans="1:77" s="61" customFormat="1" x14ac:dyDescent="0.25">
      <c r="A234" s="52"/>
      <c r="B234" s="61" t="s">
        <v>57</v>
      </c>
      <c r="C234" s="124">
        <v>0</v>
      </c>
      <c r="D234" s="56">
        <v>0</v>
      </c>
      <c r="E234" s="56">
        <f t="shared" si="186"/>
        <v>0</v>
      </c>
      <c r="F234" s="58"/>
      <c r="G234" s="55">
        <v>0</v>
      </c>
      <c r="H234" s="57">
        <v>0</v>
      </c>
      <c r="I234" s="57">
        <f t="shared" si="187"/>
        <v>0</v>
      </c>
      <c r="J234" s="58"/>
      <c r="K234" s="55">
        <v>0</v>
      </c>
      <c r="L234" s="57">
        <v>0</v>
      </c>
      <c r="M234" s="57">
        <f t="shared" si="188"/>
        <v>0</v>
      </c>
      <c r="N234" s="58"/>
      <c r="O234" s="55">
        <v>0</v>
      </c>
      <c r="P234" s="57">
        <v>0</v>
      </c>
      <c r="Q234" s="57">
        <f t="shared" si="189"/>
        <v>0</v>
      </c>
      <c r="R234" s="58"/>
      <c r="S234" s="55">
        <v>0</v>
      </c>
      <c r="T234" s="57">
        <v>0</v>
      </c>
      <c r="U234" s="57">
        <f t="shared" si="190"/>
        <v>0</v>
      </c>
      <c r="V234" s="59"/>
      <c r="W234" s="124">
        <f t="shared" si="191"/>
        <v>0</v>
      </c>
      <c r="X234" s="57">
        <f t="shared" si="192"/>
        <v>0</v>
      </c>
      <c r="Y234" s="84">
        <f t="shared" si="193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</row>
    <row r="235" spans="1:77" s="61" customFormat="1" x14ac:dyDescent="0.25">
      <c r="A235" s="52"/>
      <c r="B235" s="61" t="s">
        <v>57</v>
      </c>
      <c r="C235" s="124">
        <v>0</v>
      </c>
      <c r="D235" s="56">
        <v>0</v>
      </c>
      <c r="E235" s="56">
        <f t="shared" si="186"/>
        <v>0</v>
      </c>
      <c r="F235" s="58"/>
      <c r="G235" s="55">
        <v>0</v>
      </c>
      <c r="H235" s="57">
        <v>0</v>
      </c>
      <c r="I235" s="57">
        <f t="shared" si="187"/>
        <v>0</v>
      </c>
      <c r="J235" s="58"/>
      <c r="K235" s="55">
        <v>0</v>
      </c>
      <c r="L235" s="57">
        <v>0</v>
      </c>
      <c r="M235" s="57">
        <f t="shared" si="188"/>
        <v>0</v>
      </c>
      <c r="N235" s="58"/>
      <c r="O235" s="55">
        <v>0</v>
      </c>
      <c r="P235" s="57">
        <v>0</v>
      </c>
      <c r="Q235" s="57">
        <f t="shared" si="189"/>
        <v>0</v>
      </c>
      <c r="R235" s="58"/>
      <c r="S235" s="55">
        <v>0</v>
      </c>
      <c r="T235" s="57">
        <v>0</v>
      </c>
      <c r="U235" s="57">
        <f t="shared" si="190"/>
        <v>0</v>
      </c>
      <c r="V235" s="59"/>
      <c r="W235" s="124">
        <f t="shared" si="191"/>
        <v>0</v>
      </c>
      <c r="X235" s="57">
        <f t="shared" si="192"/>
        <v>0</v>
      </c>
      <c r="Y235" s="84">
        <f t="shared" si="193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</row>
    <row r="236" spans="1:77" s="61" customFormat="1" x14ac:dyDescent="0.25">
      <c r="A236" s="52"/>
      <c r="B236" s="61" t="s">
        <v>57</v>
      </c>
      <c r="C236" s="124">
        <v>0</v>
      </c>
      <c r="D236" s="56">
        <v>0</v>
      </c>
      <c r="E236" s="56">
        <f t="shared" si="186"/>
        <v>0</v>
      </c>
      <c r="F236" s="58"/>
      <c r="G236" s="55">
        <v>0</v>
      </c>
      <c r="H236" s="57">
        <v>0</v>
      </c>
      <c r="I236" s="57">
        <f t="shared" si="187"/>
        <v>0</v>
      </c>
      <c r="J236" s="58"/>
      <c r="K236" s="55">
        <v>0</v>
      </c>
      <c r="L236" s="57">
        <v>0</v>
      </c>
      <c r="M236" s="57">
        <f t="shared" si="188"/>
        <v>0</v>
      </c>
      <c r="N236" s="58"/>
      <c r="O236" s="55">
        <v>0</v>
      </c>
      <c r="P236" s="57">
        <v>0</v>
      </c>
      <c r="Q236" s="57">
        <f t="shared" si="189"/>
        <v>0</v>
      </c>
      <c r="R236" s="58"/>
      <c r="S236" s="55">
        <v>0</v>
      </c>
      <c r="T236" s="57">
        <v>0</v>
      </c>
      <c r="U236" s="57">
        <f t="shared" si="190"/>
        <v>0</v>
      </c>
      <c r="V236" s="59"/>
      <c r="W236" s="124">
        <f t="shared" si="191"/>
        <v>0</v>
      </c>
      <c r="X236" s="57">
        <f t="shared" si="192"/>
        <v>0</v>
      </c>
      <c r="Y236" s="84">
        <f t="shared" si="193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</row>
    <row r="237" spans="1:77" s="61" customFormat="1" x14ac:dyDescent="0.25">
      <c r="A237" s="52"/>
      <c r="B237" s="52"/>
      <c r="C237" s="124">
        <v>0</v>
      </c>
      <c r="D237" s="56">
        <v>0</v>
      </c>
      <c r="E237" s="56">
        <f t="shared" si="186"/>
        <v>0</v>
      </c>
      <c r="F237" s="58"/>
      <c r="G237" s="55">
        <v>0</v>
      </c>
      <c r="H237" s="57">
        <v>0</v>
      </c>
      <c r="I237" s="57">
        <f t="shared" si="187"/>
        <v>0</v>
      </c>
      <c r="J237" s="58"/>
      <c r="K237" s="55">
        <v>0</v>
      </c>
      <c r="L237" s="57">
        <v>0</v>
      </c>
      <c r="M237" s="57">
        <f t="shared" si="188"/>
        <v>0</v>
      </c>
      <c r="N237" s="58"/>
      <c r="O237" s="55">
        <v>0</v>
      </c>
      <c r="P237" s="57">
        <v>0</v>
      </c>
      <c r="Q237" s="57">
        <f t="shared" si="189"/>
        <v>0</v>
      </c>
      <c r="R237" s="58"/>
      <c r="S237" s="55">
        <v>0</v>
      </c>
      <c r="T237" s="57">
        <v>0</v>
      </c>
      <c r="U237" s="57">
        <f t="shared" si="190"/>
        <v>0</v>
      </c>
      <c r="V237" s="59"/>
      <c r="W237" s="124">
        <f t="shared" si="191"/>
        <v>0</v>
      </c>
      <c r="X237" s="57">
        <f t="shared" si="192"/>
        <v>0</v>
      </c>
      <c r="Y237" s="84">
        <f t="shared" si="193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</row>
    <row r="238" spans="1:77" s="61" customFormat="1" x14ac:dyDescent="0.25">
      <c r="A238" s="52"/>
      <c r="B238" s="52"/>
      <c r="C238" s="124">
        <v>0</v>
      </c>
      <c r="D238" s="56">
        <v>0</v>
      </c>
      <c r="E238" s="56">
        <f t="shared" si="186"/>
        <v>0</v>
      </c>
      <c r="F238" s="58"/>
      <c r="G238" s="55">
        <v>0</v>
      </c>
      <c r="H238" s="57">
        <v>0</v>
      </c>
      <c r="I238" s="57">
        <f t="shared" si="187"/>
        <v>0</v>
      </c>
      <c r="J238" s="58"/>
      <c r="K238" s="55">
        <v>0</v>
      </c>
      <c r="L238" s="57">
        <v>0</v>
      </c>
      <c r="M238" s="57">
        <f t="shared" si="188"/>
        <v>0</v>
      </c>
      <c r="N238" s="58"/>
      <c r="O238" s="55">
        <v>0</v>
      </c>
      <c r="P238" s="57">
        <v>0</v>
      </c>
      <c r="Q238" s="57">
        <f t="shared" si="189"/>
        <v>0</v>
      </c>
      <c r="R238" s="58"/>
      <c r="S238" s="55">
        <v>0</v>
      </c>
      <c r="T238" s="57">
        <v>0</v>
      </c>
      <c r="U238" s="57">
        <f t="shared" si="190"/>
        <v>0</v>
      </c>
      <c r="V238" s="59"/>
      <c r="W238" s="124">
        <f t="shared" si="191"/>
        <v>0</v>
      </c>
      <c r="X238" s="57">
        <f t="shared" si="192"/>
        <v>0</v>
      </c>
      <c r="Y238" s="84">
        <f t="shared" si="193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</row>
    <row r="239" spans="1:77" s="61" customFormat="1" x14ac:dyDescent="0.25">
      <c r="A239" s="52"/>
      <c r="B239" s="52"/>
      <c r="C239" s="124">
        <v>0</v>
      </c>
      <c r="D239" s="56">
        <v>0</v>
      </c>
      <c r="E239" s="56">
        <f t="shared" si="186"/>
        <v>0</v>
      </c>
      <c r="F239" s="58"/>
      <c r="G239" s="55">
        <v>0</v>
      </c>
      <c r="H239" s="57">
        <v>0</v>
      </c>
      <c r="I239" s="57">
        <f t="shared" si="187"/>
        <v>0</v>
      </c>
      <c r="J239" s="58"/>
      <c r="K239" s="55">
        <v>0</v>
      </c>
      <c r="L239" s="57">
        <v>0</v>
      </c>
      <c r="M239" s="57">
        <f t="shared" si="188"/>
        <v>0</v>
      </c>
      <c r="N239" s="58"/>
      <c r="O239" s="55">
        <v>0</v>
      </c>
      <c r="P239" s="57">
        <v>0</v>
      </c>
      <c r="Q239" s="57">
        <f t="shared" si="189"/>
        <v>0</v>
      </c>
      <c r="R239" s="58"/>
      <c r="S239" s="55">
        <v>0</v>
      </c>
      <c r="T239" s="57">
        <v>0</v>
      </c>
      <c r="U239" s="57">
        <f t="shared" si="190"/>
        <v>0</v>
      </c>
      <c r="V239" s="59"/>
      <c r="W239" s="124">
        <f t="shared" si="191"/>
        <v>0</v>
      </c>
      <c r="X239" s="57">
        <f t="shared" si="192"/>
        <v>0</v>
      </c>
      <c r="Y239" s="84">
        <f t="shared" si="193"/>
        <v>0</v>
      </c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</row>
    <row r="240" spans="1:77" s="61" customFormat="1" x14ac:dyDescent="0.25">
      <c r="A240" s="52"/>
      <c r="B240" s="52"/>
      <c r="C240" s="124">
        <v>0</v>
      </c>
      <c r="D240" s="56">
        <v>0</v>
      </c>
      <c r="E240" s="56">
        <f t="shared" si="186"/>
        <v>0</v>
      </c>
      <c r="F240" s="58"/>
      <c r="G240" s="55">
        <v>0</v>
      </c>
      <c r="H240" s="57">
        <v>0</v>
      </c>
      <c r="I240" s="57">
        <f t="shared" si="187"/>
        <v>0</v>
      </c>
      <c r="J240" s="58"/>
      <c r="K240" s="55">
        <v>0</v>
      </c>
      <c r="L240" s="57">
        <v>0</v>
      </c>
      <c r="M240" s="57">
        <f t="shared" si="188"/>
        <v>0</v>
      </c>
      <c r="N240" s="58"/>
      <c r="O240" s="55">
        <v>0</v>
      </c>
      <c r="P240" s="57">
        <v>0</v>
      </c>
      <c r="Q240" s="57">
        <f t="shared" si="189"/>
        <v>0</v>
      </c>
      <c r="R240" s="58"/>
      <c r="S240" s="55">
        <v>0</v>
      </c>
      <c r="T240" s="57">
        <v>0</v>
      </c>
      <c r="U240" s="57">
        <f t="shared" si="190"/>
        <v>0</v>
      </c>
      <c r="V240" s="59"/>
      <c r="W240" s="124">
        <f t="shared" si="191"/>
        <v>0</v>
      </c>
      <c r="X240" s="57">
        <f t="shared" si="192"/>
        <v>0</v>
      </c>
      <c r="Y240" s="84">
        <f t="shared" si="193"/>
        <v>0</v>
      </c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186"/>
        <v>0</v>
      </c>
      <c r="F241" s="58"/>
      <c r="G241" s="55">
        <v>0</v>
      </c>
      <c r="H241" s="57">
        <v>0</v>
      </c>
      <c r="I241" s="57">
        <f t="shared" si="187"/>
        <v>0</v>
      </c>
      <c r="J241" s="58"/>
      <c r="K241" s="55">
        <v>0</v>
      </c>
      <c r="L241" s="57">
        <v>0</v>
      </c>
      <c r="M241" s="57">
        <f t="shared" si="188"/>
        <v>0</v>
      </c>
      <c r="N241" s="58"/>
      <c r="O241" s="55">
        <v>0</v>
      </c>
      <c r="P241" s="57">
        <v>0</v>
      </c>
      <c r="Q241" s="57">
        <f t="shared" si="189"/>
        <v>0</v>
      </c>
      <c r="R241" s="58"/>
      <c r="S241" s="55">
        <v>0</v>
      </c>
      <c r="T241" s="57">
        <v>0</v>
      </c>
      <c r="U241" s="57">
        <f t="shared" si="190"/>
        <v>0</v>
      </c>
      <c r="V241" s="59"/>
      <c r="W241" s="124">
        <f t="shared" si="191"/>
        <v>0</v>
      </c>
      <c r="X241" s="57">
        <f t="shared" si="192"/>
        <v>0</v>
      </c>
      <c r="Y241" s="84">
        <f t="shared" si="193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186"/>
        <v>0</v>
      </c>
      <c r="F242" s="58"/>
      <c r="G242" s="55">
        <v>0</v>
      </c>
      <c r="H242" s="57">
        <v>0</v>
      </c>
      <c r="I242" s="57">
        <f t="shared" si="187"/>
        <v>0</v>
      </c>
      <c r="J242" s="58"/>
      <c r="K242" s="55">
        <v>0</v>
      </c>
      <c r="L242" s="57">
        <v>0</v>
      </c>
      <c r="M242" s="57">
        <f t="shared" si="188"/>
        <v>0</v>
      </c>
      <c r="N242" s="58"/>
      <c r="O242" s="55">
        <v>0</v>
      </c>
      <c r="P242" s="57">
        <v>0</v>
      </c>
      <c r="Q242" s="57">
        <f t="shared" si="189"/>
        <v>0</v>
      </c>
      <c r="R242" s="58"/>
      <c r="S242" s="55">
        <v>0</v>
      </c>
      <c r="T242" s="57">
        <v>0</v>
      </c>
      <c r="U242" s="57">
        <f t="shared" si="190"/>
        <v>0</v>
      </c>
      <c r="V242" s="59"/>
      <c r="W242" s="124">
        <f t="shared" si="191"/>
        <v>0</v>
      </c>
      <c r="X242" s="57">
        <f t="shared" si="192"/>
        <v>0</v>
      </c>
      <c r="Y242" s="84">
        <f t="shared" si="193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186"/>
        <v>0</v>
      </c>
      <c r="F243" s="58"/>
      <c r="G243" s="55">
        <v>0</v>
      </c>
      <c r="H243" s="57">
        <v>0</v>
      </c>
      <c r="I243" s="57">
        <f t="shared" si="187"/>
        <v>0</v>
      </c>
      <c r="J243" s="58"/>
      <c r="K243" s="55">
        <v>0</v>
      </c>
      <c r="L243" s="57">
        <v>0</v>
      </c>
      <c r="M243" s="57">
        <f t="shared" si="188"/>
        <v>0</v>
      </c>
      <c r="N243" s="58"/>
      <c r="O243" s="55">
        <v>0</v>
      </c>
      <c r="P243" s="57">
        <v>0</v>
      </c>
      <c r="Q243" s="57">
        <f t="shared" si="189"/>
        <v>0</v>
      </c>
      <c r="R243" s="58"/>
      <c r="S243" s="55">
        <v>0</v>
      </c>
      <c r="T243" s="57">
        <v>0</v>
      </c>
      <c r="U243" s="57">
        <f t="shared" si="190"/>
        <v>0</v>
      </c>
      <c r="V243" s="59"/>
      <c r="W243" s="124">
        <f t="shared" si="191"/>
        <v>0</v>
      </c>
      <c r="X243" s="57">
        <f t="shared" si="192"/>
        <v>0</v>
      </c>
      <c r="Y243" s="84">
        <f t="shared" si="193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186"/>
        <v>0</v>
      </c>
      <c r="F244" s="58"/>
      <c r="G244" s="55">
        <v>0</v>
      </c>
      <c r="H244" s="57">
        <v>0</v>
      </c>
      <c r="I244" s="57">
        <f t="shared" si="187"/>
        <v>0</v>
      </c>
      <c r="J244" s="58"/>
      <c r="K244" s="55">
        <v>0</v>
      </c>
      <c r="L244" s="57">
        <v>0</v>
      </c>
      <c r="M244" s="57">
        <f t="shared" si="188"/>
        <v>0</v>
      </c>
      <c r="N244" s="58"/>
      <c r="O244" s="55">
        <v>0</v>
      </c>
      <c r="P244" s="57">
        <v>0</v>
      </c>
      <c r="Q244" s="57">
        <f t="shared" si="189"/>
        <v>0</v>
      </c>
      <c r="R244" s="58"/>
      <c r="S244" s="55">
        <v>0</v>
      </c>
      <c r="T244" s="57">
        <v>0</v>
      </c>
      <c r="U244" s="57">
        <f t="shared" si="190"/>
        <v>0</v>
      </c>
      <c r="V244" s="59"/>
      <c r="W244" s="124">
        <f t="shared" si="191"/>
        <v>0</v>
      </c>
      <c r="X244" s="57">
        <f t="shared" si="192"/>
        <v>0</v>
      </c>
      <c r="Y244" s="84">
        <f t="shared" si="193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0</v>
      </c>
      <c r="D245" s="153">
        <f>SUM(D233:D244)</f>
        <v>0</v>
      </c>
      <c r="E245" s="153">
        <f>SUM(E233:E244)</f>
        <v>0</v>
      </c>
      <c r="F245" s="154"/>
      <c r="G245" s="152">
        <f>SUM(G233:G244)</f>
        <v>0</v>
      </c>
      <c r="H245" s="155">
        <f>SUM(H233:H244)</f>
        <v>0</v>
      </c>
      <c r="I245" s="155">
        <f>SUM(I233:I244)</f>
        <v>0</v>
      </c>
      <c r="J245" s="154"/>
      <c r="K245" s="152">
        <f>SUM(K233:K244)</f>
        <v>0</v>
      </c>
      <c r="L245" s="155">
        <f>SUM(L233:L244)</f>
        <v>0</v>
      </c>
      <c r="M245" s="155">
        <f>SUM(M233:M244)</f>
        <v>0</v>
      </c>
      <c r="N245" s="154"/>
      <c r="O245" s="152">
        <f>SUM(O233:O244)</f>
        <v>0</v>
      </c>
      <c r="P245" s="155">
        <f>SUM(P233:P244)</f>
        <v>0</v>
      </c>
      <c r="Q245" s="155">
        <f>SUM(Q233:Q244)</f>
        <v>0</v>
      </c>
      <c r="R245" s="154"/>
      <c r="S245" s="152">
        <f>SUM(S233:S244)</f>
        <v>0</v>
      </c>
      <c r="T245" s="155">
        <f>SUM(T233:T244)</f>
        <v>0</v>
      </c>
      <c r="U245" s="155">
        <f>SUM(U233:U244)</f>
        <v>0</v>
      </c>
      <c r="V245" s="82"/>
      <c r="W245" s="228">
        <f t="shared" si="191"/>
        <v>0</v>
      </c>
      <c r="X245" s="80">
        <f t="shared" si="192"/>
        <v>0</v>
      </c>
      <c r="Y245" s="80">
        <f t="shared" si="193"/>
        <v>0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>SUM(C205+C217+C225+C231+C245)</f>
        <v>11500</v>
      </c>
      <c r="D246" s="111">
        <f t="shared" ref="D246:Y246" si="194">SUM(D205+D217+D225+D231+D245)</f>
        <v>0</v>
      </c>
      <c r="E246" s="111">
        <f t="shared" si="194"/>
        <v>11500</v>
      </c>
      <c r="F246" s="111">
        <f t="shared" si="194"/>
        <v>0</v>
      </c>
      <c r="G246" s="111">
        <f t="shared" si="194"/>
        <v>9500</v>
      </c>
      <c r="H246" s="111">
        <f t="shared" si="194"/>
        <v>0</v>
      </c>
      <c r="I246" s="111">
        <f t="shared" si="194"/>
        <v>9500</v>
      </c>
      <c r="J246" s="111">
        <f t="shared" si="194"/>
        <v>0</v>
      </c>
      <c r="K246" s="111">
        <f t="shared" si="194"/>
        <v>4000</v>
      </c>
      <c r="L246" s="111">
        <f t="shared" si="194"/>
        <v>0</v>
      </c>
      <c r="M246" s="111">
        <f t="shared" si="194"/>
        <v>4000</v>
      </c>
      <c r="N246" s="111">
        <f t="shared" si="194"/>
        <v>0</v>
      </c>
      <c r="O246" s="111">
        <f t="shared" si="194"/>
        <v>8000</v>
      </c>
      <c r="P246" s="111">
        <f t="shared" si="194"/>
        <v>0</v>
      </c>
      <c r="Q246" s="111">
        <f t="shared" si="194"/>
        <v>8000</v>
      </c>
      <c r="R246" s="111">
        <f t="shared" si="194"/>
        <v>0</v>
      </c>
      <c r="S246" s="111">
        <f t="shared" si="194"/>
        <v>0</v>
      </c>
      <c r="T246" s="111">
        <f t="shared" si="194"/>
        <v>0</v>
      </c>
      <c r="U246" s="111">
        <f t="shared" si="194"/>
        <v>0</v>
      </c>
      <c r="V246" s="111">
        <f t="shared" si="194"/>
        <v>0</v>
      </c>
      <c r="W246" s="111">
        <f t="shared" si="194"/>
        <v>33000</v>
      </c>
      <c r="X246" s="111">
        <f t="shared" si="194"/>
        <v>0</v>
      </c>
      <c r="Y246" s="111">
        <f t="shared" si="194"/>
        <v>33000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(C205+C225+C245)*0.42</f>
        <v>4830</v>
      </c>
      <c r="D247" s="111">
        <v>0</v>
      </c>
      <c r="E247" s="111">
        <f>C247</f>
        <v>4830</v>
      </c>
      <c r="F247" s="111">
        <f>F196*0.47</f>
        <v>0</v>
      </c>
      <c r="G247" s="111">
        <f>(G205+G225+G245)*0.42</f>
        <v>3990</v>
      </c>
      <c r="H247" s="111">
        <v>0</v>
      </c>
      <c r="I247" s="111">
        <f>G247</f>
        <v>3990</v>
      </c>
      <c r="J247" s="111">
        <f>J196*0.47</f>
        <v>0</v>
      </c>
      <c r="K247" s="111">
        <f>(K205+K225+K245)*0.42</f>
        <v>1680</v>
      </c>
      <c r="L247" s="111">
        <v>0</v>
      </c>
      <c r="M247" s="111">
        <f>K247</f>
        <v>1680</v>
      </c>
      <c r="N247" s="111">
        <f>N196*0.47</f>
        <v>0</v>
      </c>
      <c r="O247" s="111">
        <f>(O205+O225+O245)*0.42</f>
        <v>3360</v>
      </c>
      <c r="P247" s="111">
        <v>0</v>
      </c>
      <c r="Q247" s="111">
        <f>O247</f>
        <v>3360</v>
      </c>
      <c r="R247" s="111">
        <f>R196*0.47</f>
        <v>0</v>
      </c>
      <c r="S247" s="111">
        <f>(S205+S225+S245)*0.42</f>
        <v>0</v>
      </c>
      <c r="T247" s="111">
        <v>0</v>
      </c>
      <c r="U247" s="111">
        <f>S247</f>
        <v>0</v>
      </c>
      <c r="V247" s="111">
        <f>V196*0.47</f>
        <v>0</v>
      </c>
      <c r="W247" s="111">
        <f>(W205+W225+W245)*0.42</f>
        <v>13860</v>
      </c>
      <c r="X247" s="111">
        <v>0</v>
      </c>
      <c r="Y247" s="111">
        <f>W247</f>
        <v>13860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16330</v>
      </c>
      <c r="D248" s="111">
        <f t="shared" ref="D248:Y248" si="195">SUM(D246:D247)</f>
        <v>0</v>
      </c>
      <c r="E248" s="111">
        <f t="shared" si="195"/>
        <v>16330</v>
      </c>
      <c r="F248" s="111">
        <f t="shared" si="195"/>
        <v>0</v>
      </c>
      <c r="G248" s="111">
        <f t="shared" si="195"/>
        <v>13490</v>
      </c>
      <c r="H248" s="111">
        <f t="shared" si="195"/>
        <v>0</v>
      </c>
      <c r="I248" s="111">
        <f t="shared" si="195"/>
        <v>13490</v>
      </c>
      <c r="J248" s="111">
        <f t="shared" si="195"/>
        <v>0</v>
      </c>
      <c r="K248" s="111">
        <f t="shared" si="195"/>
        <v>5680</v>
      </c>
      <c r="L248" s="111">
        <f t="shared" si="195"/>
        <v>0</v>
      </c>
      <c r="M248" s="111">
        <f t="shared" si="195"/>
        <v>5680</v>
      </c>
      <c r="N248" s="111">
        <f t="shared" si="195"/>
        <v>0</v>
      </c>
      <c r="O248" s="111">
        <f t="shared" si="195"/>
        <v>11360</v>
      </c>
      <c r="P248" s="111">
        <f t="shared" si="195"/>
        <v>0</v>
      </c>
      <c r="Q248" s="111">
        <f t="shared" si="195"/>
        <v>11360</v>
      </c>
      <c r="R248" s="111">
        <f t="shared" si="195"/>
        <v>0</v>
      </c>
      <c r="S248" s="111">
        <f t="shared" si="195"/>
        <v>0</v>
      </c>
      <c r="T248" s="111">
        <f t="shared" si="195"/>
        <v>0</v>
      </c>
      <c r="U248" s="111">
        <f t="shared" si="195"/>
        <v>0</v>
      </c>
      <c r="V248" s="111">
        <f t="shared" si="195"/>
        <v>0</v>
      </c>
      <c r="W248" s="111">
        <f t="shared" si="195"/>
        <v>46860</v>
      </c>
      <c r="X248" s="111">
        <f t="shared" si="195"/>
        <v>0</v>
      </c>
      <c r="Y248" s="111">
        <f t="shared" si="195"/>
        <v>46860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3" customFormat="1" x14ac:dyDescent="0.25">
      <c r="C249" s="14"/>
      <c r="D249" s="14"/>
      <c r="E249" s="14"/>
      <c r="F249" s="14"/>
      <c r="G249" s="14"/>
      <c r="H249" s="14"/>
      <c r="I249" s="14"/>
      <c r="J249" s="14"/>
      <c r="K249" s="14"/>
      <c r="M249" s="14"/>
      <c r="N249" s="14"/>
      <c r="O249" s="14"/>
      <c r="Q249" s="14"/>
      <c r="R249" s="14"/>
      <c r="S249" s="14"/>
      <c r="U249" s="14"/>
      <c r="V249" s="16"/>
      <c r="W249" s="14"/>
      <c r="X249" s="14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169" customFormat="1" x14ac:dyDescent="0.25">
      <c r="A252" s="170" t="s">
        <v>57</v>
      </c>
      <c r="B252" s="169" t="s">
        <v>57</v>
      </c>
      <c r="C252" s="172">
        <v>0</v>
      </c>
      <c r="D252" s="173">
        <v>0</v>
      </c>
      <c r="E252" s="173">
        <f t="shared" ref="E252:E255" si="196">SUM(C252:D252)</f>
        <v>0</v>
      </c>
      <c r="F252" s="175"/>
      <c r="G252" s="172">
        <f>C252*1.03</f>
        <v>0</v>
      </c>
      <c r="H252" s="173">
        <f>D252*1.03</f>
        <v>0</v>
      </c>
      <c r="I252" s="173">
        <f t="shared" ref="I252:I255" si="197">SUM(G252:H252)</f>
        <v>0</v>
      </c>
      <c r="J252" s="175"/>
      <c r="K252" s="172">
        <f>G252*1.03</f>
        <v>0</v>
      </c>
      <c r="L252" s="173">
        <f>H252*1.03</f>
        <v>0</v>
      </c>
      <c r="M252" s="173">
        <f t="shared" ref="M252:M255" si="198">SUM(K252:L252)</f>
        <v>0</v>
      </c>
      <c r="N252" s="175"/>
      <c r="O252" s="172">
        <f>K252*1.03</f>
        <v>0</v>
      </c>
      <c r="P252" s="173">
        <f>L252*1.03</f>
        <v>0</v>
      </c>
      <c r="Q252" s="173">
        <f t="shared" ref="Q252:Q255" si="199">SUM(O252:P252)</f>
        <v>0</v>
      </c>
      <c r="R252" s="175"/>
      <c r="S252" s="172">
        <f>O252*1.03</f>
        <v>0</v>
      </c>
      <c r="T252" s="173">
        <f>P252*1.03</f>
        <v>0</v>
      </c>
      <c r="U252" s="173">
        <f t="shared" ref="U252:U255" si="200">SUM(S252:T252)</f>
        <v>0</v>
      </c>
      <c r="V252" s="176"/>
      <c r="W252" s="227">
        <f>C252+G252+K252+O252+S252</f>
        <v>0</v>
      </c>
      <c r="X252" s="173">
        <f t="shared" ref="X252:Y256" si="201">D252+H252+L252+P252+T252</f>
        <v>0</v>
      </c>
      <c r="Y252" s="177">
        <f t="shared" si="201"/>
        <v>0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si="196"/>
        <v>0</v>
      </c>
      <c r="F253" s="175"/>
      <c r="G253" s="172">
        <f t="shared" ref="G253:H255" si="202">C253*1.03</f>
        <v>0</v>
      </c>
      <c r="H253" s="173">
        <f t="shared" si="202"/>
        <v>0</v>
      </c>
      <c r="I253" s="173">
        <f t="shared" si="197"/>
        <v>0</v>
      </c>
      <c r="J253" s="175"/>
      <c r="K253" s="172">
        <f t="shared" ref="K253:L255" si="203">G253*1.03</f>
        <v>0</v>
      </c>
      <c r="L253" s="173">
        <f t="shared" si="203"/>
        <v>0</v>
      </c>
      <c r="M253" s="173">
        <f t="shared" si="198"/>
        <v>0</v>
      </c>
      <c r="N253" s="175"/>
      <c r="O253" s="172">
        <f t="shared" ref="O253:P255" si="204">K253*1.03</f>
        <v>0</v>
      </c>
      <c r="P253" s="173">
        <f t="shared" si="204"/>
        <v>0</v>
      </c>
      <c r="Q253" s="173">
        <f t="shared" si="199"/>
        <v>0</v>
      </c>
      <c r="R253" s="175"/>
      <c r="S253" s="172">
        <f t="shared" ref="S253:T255" si="205">O253*1.03</f>
        <v>0</v>
      </c>
      <c r="T253" s="173">
        <f t="shared" si="205"/>
        <v>0</v>
      </c>
      <c r="U253" s="173">
        <f t="shared" si="200"/>
        <v>0</v>
      </c>
      <c r="V253" s="176"/>
      <c r="W253" s="227">
        <f t="shared" ref="W253:W256" si="206">C253+G253+K253+O253+S253</f>
        <v>0</v>
      </c>
      <c r="X253" s="173">
        <f t="shared" si="201"/>
        <v>0</v>
      </c>
      <c r="Y253" s="177">
        <f t="shared" si="201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196"/>
        <v>0</v>
      </c>
      <c r="F254" s="175"/>
      <c r="G254" s="172">
        <f t="shared" si="202"/>
        <v>0</v>
      </c>
      <c r="H254" s="173">
        <f t="shared" si="202"/>
        <v>0</v>
      </c>
      <c r="I254" s="173">
        <f t="shared" si="197"/>
        <v>0</v>
      </c>
      <c r="J254" s="175"/>
      <c r="K254" s="172">
        <f t="shared" si="203"/>
        <v>0</v>
      </c>
      <c r="L254" s="173">
        <f t="shared" si="203"/>
        <v>0</v>
      </c>
      <c r="M254" s="173">
        <f t="shared" si="198"/>
        <v>0</v>
      </c>
      <c r="N254" s="175"/>
      <c r="O254" s="172">
        <f t="shared" si="204"/>
        <v>0</v>
      </c>
      <c r="P254" s="173">
        <f t="shared" si="204"/>
        <v>0</v>
      </c>
      <c r="Q254" s="173">
        <f t="shared" si="199"/>
        <v>0</v>
      </c>
      <c r="R254" s="175"/>
      <c r="S254" s="172">
        <f t="shared" si="205"/>
        <v>0</v>
      </c>
      <c r="T254" s="173">
        <f t="shared" si="205"/>
        <v>0</v>
      </c>
      <c r="U254" s="173">
        <f t="shared" si="200"/>
        <v>0</v>
      </c>
      <c r="V254" s="176"/>
      <c r="W254" s="227">
        <f t="shared" si="206"/>
        <v>0</v>
      </c>
      <c r="X254" s="173">
        <f t="shared" si="201"/>
        <v>0</v>
      </c>
      <c r="Y254" s="177">
        <f t="shared" si="201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196"/>
        <v>0</v>
      </c>
      <c r="F255" s="175"/>
      <c r="G255" s="172">
        <f t="shared" si="202"/>
        <v>0</v>
      </c>
      <c r="H255" s="173">
        <f t="shared" si="202"/>
        <v>0</v>
      </c>
      <c r="I255" s="173">
        <f t="shared" si="197"/>
        <v>0</v>
      </c>
      <c r="J255" s="175"/>
      <c r="K255" s="172">
        <f t="shared" si="203"/>
        <v>0</v>
      </c>
      <c r="L255" s="173">
        <f t="shared" si="203"/>
        <v>0</v>
      </c>
      <c r="M255" s="173">
        <f t="shared" si="198"/>
        <v>0</v>
      </c>
      <c r="N255" s="175"/>
      <c r="O255" s="172">
        <f t="shared" si="204"/>
        <v>0</v>
      </c>
      <c r="P255" s="173">
        <f t="shared" si="204"/>
        <v>0</v>
      </c>
      <c r="Q255" s="173">
        <f t="shared" si="199"/>
        <v>0</v>
      </c>
      <c r="R255" s="175"/>
      <c r="S255" s="172">
        <f t="shared" si="205"/>
        <v>0</v>
      </c>
      <c r="T255" s="173">
        <f t="shared" si="205"/>
        <v>0</v>
      </c>
      <c r="U255" s="173">
        <f t="shared" si="200"/>
        <v>0</v>
      </c>
      <c r="V255" s="176"/>
      <c r="W255" s="227">
        <f t="shared" si="206"/>
        <v>0</v>
      </c>
      <c r="X255" s="173">
        <f t="shared" si="201"/>
        <v>0</v>
      </c>
      <c r="Y255" s="177">
        <f t="shared" si="201"/>
        <v>0</v>
      </c>
    </row>
    <row r="256" spans="1:77" s="83" customFormat="1" x14ac:dyDescent="0.25">
      <c r="A256" s="78"/>
      <c r="B256" s="78" t="s">
        <v>9</v>
      </c>
      <c r="C256" s="228">
        <f>SUM(C252:C255)</f>
        <v>0</v>
      </c>
      <c r="D256" s="125">
        <f>SUM(D252:D255)</f>
        <v>0</v>
      </c>
      <c r="E256" s="125">
        <f>SUM(E252:E255)</f>
        <v>0</v>
      </c>
      <c r="F256" s="81"/>
      <c r="G256" s="79">
        <f>SUM(G252:G255)</f>
        <v>0</v>
      </c>
      <c r="H256" s="80">
        <f>SUM(H252:H255)</f>
        <v>0</v>
      </c>
      <c r="I256" s="80">
        <f>SUM(I252:I255)</f>
        <v>0</v>
      </c>
      <c r="J256" s="81"/>
      <c r="K256" s="79">
        <f>SUM(K252:K255)</f>
        <v>0</v>
      </c>
      <c r="L256" s="80">
        <f>SUM(L252:L255)</f>
        <v>0</v>
      </c>
      <c r="M256" s="80">
        <f>SUM(M252:M255)</f>
        <v>0</v>
      </c>
      <c r="N256" s="81"/>
      <c r="O256" s="79">
        <f>SUM(O252:O255)</f>
        <v>0</v>
      </c>
      <c r="P256" s="80">
        <f>SUM(P252:P255)</f>
        <v>0</v>
      </c>
      <c r="Q256" s="80">
        <f>SUM(Q252:Q255)</f>
        <v>0</v>
      </c>
      <c r="R256" s="81"/>
      <c r="S256" s="79">
        <f>SUM(S252:S255)</f>
        <v>0</v>
      </c>
      <c r="T256" s="80">
        <f>SUM(T252:T255)</f>
        <v>0</v>
      </c>
      <c r="U256" s="80">
        <f>SUM(U252:U255)</f>
        <v>0</v>
      </c>
      <c r="V256" s="82"/>
      <c r="W256" s="228">
        <f t="shared" si="206"/>
        <v>0</v>
      </c>
      <c r="X256" s="80">
        <f t="shared" si="201"/>
        <v>0</v>
      </c>
      <c r="Y256" s="80">
        <f t="shared" si="201"/>
        <v>0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:L261" si="207">G258*1.03</f>
        <v>0</v>
      </c>
      <c r="L258" s="57">
        <f t="shared" si="207"/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Y262" si="208">C258+G258+K258+O258+S258</f>
        <v>0</v>
      </c>
      <c r="X258" s="57">
        <f t="shared" si="208"/>
        <v>0</v>
      </c>
      <c r="Y258" s="57">
        <f t="shared" ref="Y258:Y261" si="209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24">
        <v>0</v>
      </c>
      <c r="D259" s="56">
        <v>0</v>
      </c>
      <c r="E259" s="56">
        <f t="shared" ref="E259:E261" si="210">SUM(C259:D259)</f>
        <v>0</v>
      </c>
      <c r="F259" s="58"/>
      <c r="G259" s="55">
        <f t="shared" ref="G259:H261" si="211">C259*1.03</f>
        <v>0</v>
      </c>
      <c r="H259" s="57">
        <f t="shared" si="211"/>
        <v>0</v>
      </c>
      <c r="I259" s="57">
        <f t="shared" ref="I259:I261" si="212">SUM(G259:H259)</f>
        <v>0</v>
      </c>
      <c r="J259" s="58"/>
      <c r="K259" s="55">
        <f t="shared" si="207"/>
        <v>0</v>
      </c>
      <c r="L259" s="57">
        <f t="shared" si="207"/>
        <v>0</v>
      </c>
      <c r="M259" s="57">
        <f t="shared" ref="M259:M261" si="213">SUM(K259:L259)</f>
        <v>0</v>
      </c>
      <c r="N259" s="58"/>
      <c r="O259" s="55">
        <f t="shared" ref="O259:P261" si="214">K259*1.03</f>
        <v>0</v>
      </c>
      <c r="P259" s="57">
        <f t="shared" si="214"/>
        <v>0</v>
      </c>
      <c r="Q259" s="57">
        <f t="shared" ref="Q259:Q261" si="215">SUM(O259:P259)</f>
        <v>0</v>
      </c>
      <c r="R259" s="58"/>
      <c r="S259" s="55">
        <f t="shared" ref="S259:T261" si="216">O259*1.03</f>
        <v>0</v>
      </c>
      <c r="T259" s="57">
        <f t="shared" si="216"/>
        <v>0</v>
      </c>
      <c r="U259" s="57">
        <f t="shared" ref="U259:U261" si="217">SUM(S259:T259)</f>
        <v>0</v>
      </c>
      <c r="V259" s="59"/>
      <c r="W259" s="124">
        <f t="shared" si="208"/>
        <v>0</v>
      </c>
      <c r="X259" s="57">
        <f t="shared" si="208"/>
        <v>0</v>
      </c>
      <c r="Y259" s="57">
        <f t="shared" si="209"/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si="210"/>
        <v>0</v>
      </c>
      <c r="F260" s="58"/>
      <c r="G260" s="55">
        <f t="shared" si="211"/>
        <v>0</v>
      </c>
      <c r="H260" s="57">
        <f t="shared" si="211"/>
        <v>0</v>
      </c>
      <c r="I260" s="57">
        <f t="shared" si="212"/>
        <v>0</v>
      </c>
      <c r="J260" s="58"/>
      <c r="K260" s="55">
        <f t="shared" si="207"/>
        <v>0</v>
      </c>
      <c r="L260" s="57">
        <f t="shared" si="207"/>
        <v>0</v>
      </c>
      <c r="M260" s="57">
        <f t="shared" si="213"/>
        <v>0</v>
      </c>
      <c r="N260" s="58"/>
      <c r="O260" s="55">
        <f t="shared" si="214"/>
        <v>0</v>
      </c>
      <c r="P260" s="57">
        <f t="shared" si="214"/>
        <v>0</v>
      </c>
      <c r="Q260" s="57">
        <f t="shared" si="215"/>
        <v>0</v>
      </c>
      <c r="R260" s="58"/>
      <c r="S260" s="55">
        <f t="shared" si="216"/>
        <v>0</v>
      </c>
      <c r="T260" s="57">
        <f t="shared" si="216"/>
        <v>0</v>
      </c>
      <c r="U260" s="57">
        <f t="shared" si="217"/>
        <v>0</v>
      </c>
      <c r="V260" s="59"/>
      <c r="W260" s="124">
        <f t="shared" si="208"/>
        <v>0</v>
      </c>
      <c r="X260" s="57">
        <f t="shared" si="208"/>
        <v>0</v>
      </c>
      <c r="Y260" s="57">
        <f t="shared" si="209"/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210"/>
        <v>0</v>
      </c>
      <c r="F261" s="58"/>
      <c r="G261" s="55">
        <f t="shared" si="211"/>
        <v>0</v>
      </c>
      <c r="H261" s="57">
        <f t="shared" si="211"/>
        <v>0</v>
      </c>
      <c r="I261" s="57">
        <f t="shared" si="212"/>
        <v>0</v>
      </c>
      <c r="J261" s="58"/>
      <c r="K261" s="55">
        <f t="shared" si="207"/>
        <v>0</v>
      </c>
      <c r="L261" s="57">
        <f t="shared" si="207"/>
        <v>0</v>
      </c>
      <c r="M261" s="57">
        <f t="shared" si="213"/>
        <v>0</v>
      </c>
      <c r="N261" s="58"/>
      <c r="O261" s="55">
        <f t="shared" si="214"/>
        <v>0</v>
      </c>
      <c r="P261" s="57">
        <f t="shared" si="214"/>
        <v>0</v>
      </c>
      <c r="Q261" s="57">
        <f t="shared" si="215"/>
        <v>0</v>
      </c>
      <c r="R261" s="58"/>
      <c r="S261" s="55">
        <f t="shared" si="216"/>
        <v>0</v>
      </c>
      <c r="T261" s="57">
        <f t="shared" si="216"/>
        <v>0</v>
      </c>
      <c r="U261" s="57">
        <f t="shared" si="217"/>
        <v>0</v>
      </c>
      <c r="V261" s="59"/>
      <c r="W261" s="124">
        <f t="shared" si="208"/>
        <v>0</v>
      </c>
      <c r="X261" s="57">
        <f t="shared" si="208"/>
        <v>0</v>
      </c>
      <c r="Y261" s="57">
        <f t="shared" si="209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208"/>
        <v>0</v>
      </c>
      <c r="X262" s="80">
        <f t="shared" si="208"/>
        <v>0</v>
      </c>
      <c r="Y262" s="80">
        <f t="shared" si="208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218">C262+C256</f>
        <v>0</v>
      </c>
      <c r="D263" s="242">
        <f t="shared" si="218"/>
        <v>0</v>
      </c>
      <c r="E263" s="242">
        <f t="shared" si="218"/>
        <v>0</v>
      </c>
      <c r="F263" s="242">
        <f t="shared" si="218"/>
        <v>0</v>
      </c>
      <c r="G263" s="242">
        <f t="shared" si="218"/>
        <v>0</v>
      </c>
      <c r="H263" s="242">
        <f t="shared" si="218"/>
        <v>0</v>
      </c>
      <c r="I263" s="242">
        <f t="shared" si="218"/>
        <v>0</v>
      </c>
      <c r="J263" s="242">
        <f t="shared" si="218"/>
        <v>0</v>
      </c>
      <c r="K263" s="242">
        <f t="shared" si="218"/>
        <v>0</v>
      </c>
      <c r="L263" s="242">
        <f t="shared" si="218"/>
        <v>0</v>
      </c>
      <c r="M263" s="242">
        <f t="shared" si="218"/>
        <v>0</v>
      </c>
      <c r="N263" s="242">
        <f t="shared" si="218"/>
        <v>0</v>
      </c>
      <c r="O263" s="242">
        <f t="shared" si="218"/>
        <v>0</v>
      </c>
      <c r="P263" s="242">
        <f t="shared" si="218"/>
        <v>0</v>
      </c>
      <c r="Q263" s="242">
        <f t="shared" si="218"/>
        <v>0</v>
      </c>
      <c r="R263" s="242">
        <f t="shared" si="218"/>
        <v>0</v>
      </c>
      <c r="S263" s="242">
        <f t="shared" si="218"/>
        <v>0</v>
      </c>
      <c r="T263" s="242">
        <f t="shared" si="218"/>
        <v>0</v>
      </c>
      <c r="U263" s="242">
        <f t="shared" si="218"/>
        <v>0</v>
      </c>
      <c r="V263" s="242">
        <f t="shared" si="218"/>
        <v>0</v>
      </c>
      <c r="W263" s="242">
        <f t="shared" si="218"/>
        <v>0</v>
      </c>
      <c r="X263" s="242">
        <f t="shared" si="218"/>
        <v>0</v>
      </c>
      <c r="Y263" s="243">
        <f>E263+I263+M263+Q263+U263</f>
        <v>0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56">
        <f t="shared" ref="E265:E267" si="219">SUM(C265:D265)</f>
        <v>0</v>
      </c>
      <c r="F265" s="58"/>
      <c r="G265" s="124">
        <f>G258*A265*1.03*1.03</f>
        <v>0</v>
      </c>
      <c r="H265" s="56">
        <f>H258*A265*1.03</f>
        <v>0</v>
      </c>
      <c r="I265" s="57">
        <f t="shared" ref="I265:I267" si="220">SUM(G265:H265)</f>
        <v>0</v>
      </c>
      <c r="J265" s="58"/>
      <c r="K265" s="124">
        <f>K258*A265*1.03*1.03*1.03</f>
        <v>0</v>
      </c>
      <c r="L265" s="56">
        <f>L258*A265*1.03*1.03</f>
        <v>0</v>
      </c>
      <c r="M265" s="57">
        <f t="shared" ref="M265:M267" si="221">SUM(K265:L265)</f>
        <v>0</v>
      </c>
      <c r="N265" s="58"/>
      <c r="O265" s="124">
        <f>O258*A265*1.03*1.03*1.03*1.03</f>
        <v>0</v>
      </c>
      <c r="P265" s="56">
        <f>P258*A265*1.03*1.03*1.03</f>
        <v>0</v>
      </c>
      <c r="Q265" s="57">
        <f t="shared" ref="Q265:Q267" si="222">SUM(O265:P265)</f>
        <v>0</v>
      </c>
      <c r="R265" s="58"/>
      <c r="S265" s="124">
        <f>S258*A265*1.03*1.03*1.03*1.03*1.03</f>
        <v>0</v>
      </c>
      <c r="T265" s="56">
        <f>T258*A265*1.03*1.03*1.03*1.03</f>
        <v>0</v>
      </c>
      <c r="U265" s="57">
        <f t="shared" ref="U265:U267" si="223">SUM(S265:T265)</f>
        <v>0</v>
      </c>
      <c r="V265" s="59"/>
      <c r="W265" s="124">
        <f t="shared" ref="W265:Y268" si="224">C265+G265+K265+O265+S265</f>
        <v>0</v>
      </c>
      <c r="X265" s="57">
        <f t="shared" si="224"/>
        <v>0</v>
      </c>
      <c r="Y265" s="84">
        <f t="shared" si="224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0</v>
      </c>
      <c r="D266" s="56">
        <f>D256*A266*1.03</f>
        <v>0</v>
      </c>
      <c r="E266" s="56">
        <f t="shared" si="219"/>
        <v>0</v>
      </c>
      <c r="F266" s="58"/>
      <c r="G266" s="124">
        <f>G256*A266*1.03*1.03</f>
        <v>0</v>
      </c>
      <c r="H266" s="56">
        <f>H256*A266*1.03*1.03</f>
        <v>0</v>
      </c>
      <c r="I266" s="57">
        <f t="shared" si="220"/>
        <v>0</v>
      </c>
      <c r="J266" s="58"/>
      <c r="K266" s="124">
        <f>K260*A266*1.03*1.03</f>
        <v>0</v>
      </c>
      <c r="L266" s="56">
        <f>L260*A266*1.03*1.03</f>
        <v>0</v>
      </c>
      <c r="M266" s="57">
        <f t="shared" si="221"/>
        <v>0</v>
      </c>
      <c r="N266" s="58"/>
      <c r="O266" s="124">
        <f>O260*A266*1.03*1.03*1.03</f>
        <v>0</v>
      </c>
      <c r="P266" s="56">
        <f>P260*A266*1.03*1.03*1.03</f>
        <v>0</v>
      </c>
      <c r="Q266" s="57">
        <f t="shared" si="222"/>
        <v>0</v>
      </c>
      <c r="R266" s="58"/>
      <c r="S266" s="124">
        <f>S260*A266*1.03*1.03*1.03*1.03</f>
        <v>0</v>
      </c>
      <c r="T266" s="56">
        <f>T260*A266*1.03*1.03*1.03*1.03</f>
        <v>0</v>
      </c>
      <c r="U266" s="57">
        <f t="shared" si="223"/>
        <v>0</v>
      </c>
      <c r="V266" s="59"/>
      <c r="W266" s="124">
        <f t="shared" si="224"/>
        <v>0</v>
      </c>
      <c r="X266" s="57">
        <f t="shared" si="224"/>
        <v>0</v>
      </c>
      <c r="Y266" s="84">
        <f t="shared" si="224"/>
        <v>0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56">
        <f t="shared" si="219"/>
        <v>0</v>
      </c>
      <c r="F267" s="58"/>
      <c r="G267" s="55">
        <f>C267*1.05</f>
        <v>0</v>
      </c>
      <c r="H267" s="57">
        <f>D267*1.05</f>
        <v>0</v>
      </c>
      <c r="I267" s="57">
        <f t="shared" si="220"/>
        <v>0</v>
      </c>
      <c r="J267" s="58"/>
      <c r="K267" s="55">
        <f>K256*A266*1.03*1.03*1.03</f>
        <v>0</v>
      </c>
      <c r="L267" s="56">
        <f>L256*A266*1.03*1.03*1.03</f>
        <v>0</v>
      </c>
      <c r="M267" s="57">
        <f t="shared" si="221"/>
        <v>0</v>
      </c>
      <c r="N267" s="58"/>
      <c r="O267" s="55">
        <f>O256*A266*1.03*1.03*1.03*1.03</f>
        <v>0</v>
      </c>
      <c r="P267" s="56">
        <f>P256*A266*1.03*1.03*1.03*1.03</f>
        <v>0</v>
      </c>
      <c r="Q267" s="57">
        <f t="shared" si="222"/>
        <v>0</v>
      </c>
      <c r="R267" s="58"/>
      <c r="S267" s="55">
        <f>S256*A266*1.03*1.03*1.03*1.03*1.03</f>
        <v>0</v>
      </c>
      <c r="T267" s="56">
        <f>T256*A266*1.03*1.03*1.03*1.03*1.03</f>
        <v>0</v>
      </c>
      <c r="U267" s="57">
        <f t="shared" si="223"/>
        <v>0</v>
      </c>
      <c r="V267" s="59"/>
      <c r="W267" s="124">
        <f t="shared" si="224"/>
        <v>0</v>
      </c>
      <c r="X267" s="57">
        <f t="shared" si="224"/>
        <v>0</v>
      </c>
      <c r="Y267" s="84">
        <f t="shared" si="224"/>
        <v>0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0</v>
      </c>
      <c r="D268" s="125">
        <f>SUM(D265:D267)</f>
        <v>0</v>
      </c>
      <c r="E268" s="125">
        <f>SUM(E265:E267)</f>
        <v>0</v>
      </c>
      <c r="F268" s="81"/>
      <c r="G268" s="79">
        <f>SUM(G265:G267)</f>
        <v>0</v>
      </c>
      <c r="H268" s="80">
        <f>SUM(H265:H267)</f>
        <v>0</v>
      </c>
      <c r="I268" s="80">
        <f>SUM(I265:I267)</f>
        <v>0</v>
      </c>
      <c r="J268" s="81"/>
      <c r="K268" s="79">
        <f>SUM(K265:K267)</f>
        <v>0</v>
      </c>
      <c r="L268" s="80">
        <f>SUM(L265:L267)</f>
        <v>0</v>
      </c>
      <c r="M268" s="80">
        <f>SUM(M265:M267)</f>
        <v>0</v>
      </c>
      <c r="N268" s="81"/>
      <c r="O268" s="79">
        <f>SUM(O265:O267)</f>
        <v>0</v>
      </c>
      <c r="P268" s="80">
        <f>SUM(P265:P267)</f>
        <v>0</v>
      </c>
      <c r="Q268" s="80">
        <f>SUM(Q265:Q267)</f>
        <v>0</v>
      </c>
      <c r="R268" s="81"/>
      <c r="S268" s="79">
        <f>SUM(S265:S267)</f>
        <v>0</v>
      </c>
      <c r="T268" s="80">
        <f>SUM(T265:T267)</f>
        <v>0</v>
      </c>
      <c r="U268" s="80">
        <f>SUM(U265:U267)</f>
        <v>0</v>
      </c>
      <c r="V268" s="82"/>
      <c r="W268" s="228">
        <f t="shared" si="224"/>
        <v>0</v>
      </c>
      <c r="X268" s="80">
        <f t="shared" si="224"/>
        <v>0</v>
      </c>
      <c r="Y268" s="80">
        <f t="shared" si="224"/>
        <v>0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225">C268+C263</f>
        <v>0</v>
      </c>
      <c r="D269" s="242">
        <f t="shared" si="225"/>
        <v>0</v>
      </c>
      <c r="E269" s="242">
        <f t="shared" si="225"/>
        <v>0</v>
      </c>
      <c r="F269" s="242">
        <f t="shared" si="225"/>
        <v>0</v>
      </c>
      <c r="G269" s="242">
        <f t="shared" si="225"/>
        <v>0</v>
      </c>
      <c r="H269" s="242">
        <f t="shared" si="225"/>
        <v>0</v>
      </c>
      <c r="I269" s="242">
        <f t="shared" si="225"/>
        <v>0</v>
      </c>
      <c r="J269" s="242">
        <f t="shared" si="225"/>
        <v>0</v>
      </c>
      <c r="K269" s="242">
        <f t="shared" si="225"/>
        <v>0</v>
      </c>
      <c r="L269" s="242">
        <f t="shared" si="225"/>
        <v>0</v>
      </c>
      <c r="M269" s="242">
        <f t="shared" si="225"/>
        <v>0</v>
      </c>
      <c r="N269" s="242">
        <f t="shared" si="225"/>
        <v>0</v>
      </c>
      <c r="O269" s="242">
        <f t="shared" si="225"/>
        <v>0</v>
      </c>
      <c r="P269" s="242">
        <f t="shared" si="225"/>
        <v>0</v>
      </c>
      <c r="Q269" s="242">
        <f t="shared" si="225"/>
        <v>0</v>
      </c>
      <c r="R269" s="242">
        <f t="shared" si="225"/>
        <v>0</v>
      </c>
      <c r="S269" s="242">
        <f t="shared" si="225"/>
        <v>0</v>
      </c>
      <c r="T269" s="242">
        <f t="shared" si="225"/>
        <v>0</v>
      </c>
      <c r="U269" s="242">
        <f t="shared" si="225"/>
        <v>0</v>
      </c>
      <c r="V269" s="242">
        <f t="shared" si="225"/>
        <v>0</v>
      </c>
      <c r="W269" s="242">
        <f t="shared" si="225"/>
        <v>0</v>
      </c>
      <c r="X269" s="242">
        <f t="shared" si="225"/>
        <v>0</v>
      </c>
      <c r="Y269" s="242">
        <f t="shared" si="225"/>
        <v>0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226">SUM(C271:D271)</f>
        <v>0</v>
      </c>
      <c r="F271" s="58"/>
      <c r="G271" s="55">
        <v>0</v>
      </c>
      <c r="H271" s="57">
        <v>0</v>
      </c>
      <c r="I271" s="57">
        <f t="shared" ref="I271:I273" si="227">SUM(G271:H271)</f>
        <v>0</v>
      </c>
      <c r="J271" s="58"/>
      <c r="K271" s="55">
        <v>0</v>
      </c>
      <c r="L271" s="57">
        <v>0</v>
      </c>
      <c r="M271" s="57">
        <f t="shared" ref="M271:M273" si="228">SUM(K271:L271)</f>
        <v>0</v>
      </c>
      <c r="N271" s="58"/>
      <c r="O271" s="55">
        <v>0</v>
      </c>
      <c r="P271" s="57">
        <v>0</v>
      </c>
      <c r="Q271" s="57">
        <f t="shared" ref="Q271:Q273" si="229">SUM(O271:P271)</f>
        <v>0</v>
      </c>
      <c r="R271" s="58"/>
      <c r="S271" s="55">
        <v>0</v>
      </c>
      <c r="T271" s="57">
        <v>0</v>
      </c>
      <c r="U271" s="57">
        <f t="shared" ref="U271:U273" si="230">SUM(S271:T271)</f>
        <v>0</v>
      </c>
      <c r="V271" s="59"/>
      <c r="W271" s="124">
        <f t="shared" ref="W271:Y274" si="231">C271+G271+K271+O271+S271</f>
        <v>0</v>
      </c>
      <c r="X271" s="57">
        <f t="shared" si="231"/>
        <v>0</v>
      </c>
      <c r="Y271" s="84">
        <f t="shared" si="231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226"/>
        <v>0</v>
      </c>
      <c r="F272" s="58"/>
      <c r="G272" s="55">
        <v>0</v>
      </c>
      <c r="H272" s="57">
        <v>0</v>
      </c>
      <c r="I272" s="57">
        <f t="shared" si="227"/>
        <v>0</v>
      </c>
      <c r="J272" s="58"/>
      <c r="K272" s="55">
        <v>0</v>
      </c>
      <c r="L272" s="57">
        <v>0</v>
      </c>
      <c r="M272" s="57">
        <f t="shared" si="228"/>
        <v>0</v>
      </c>
      <c r="N272" s="58"/>
      <c r="O272" s="55">
        <f>K272</f>
        <v>0</v>
      </c>
      <c r="P272" s="57">
        <v>0</v>
      </c>
      <c r="Q272" s="57">
        <f t="shared" si="229"/>
        <v>0</v>
      </c>
      <c r="R272" s="58"/>
      <c r="S272" s="55">
        <f>O272</f>
        <v>0</v>
      </c>
      <c r="T272" s="57">
        <v>0</v>
      </c>
      <c r="U272" s="57">
        <f t="shared" si="230"/>
        <v>0</v>
      </c>
      <c r="V272" s="59"/>
      <c r="W272" s="124">
        <f t="shared" si="231"/>
        <v>0</v>
      </c>
      <c r="X272" s="57">
        <f t="shared" si="231"/>
        <v>0</v>
      </c>
      <c r="Y272" s="84">
        <f t="shared" si="231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226"/>
        <v>0</v>
      </c>
      <c r="F273" s="58"/>
      <c r="G273" s="55">
        <v>0</v>
      </c>
      <c r="H273" s="57">
        <v>0</v>
      </c>
      <c r="I273" s="57">
        <f t="shared" si="227"/>
        <v>0</v>
      </c>
      <c r="J273" s="58"/>
      <c r="K273" s="55">
        <f>G273</f>
        <v>0</v>
      </c>
      <c r="L273" s="57">
        <v>0</v>
      </c>
      <c r="M273" s="57">
        <f t="shared" si="228"/>
        <v>0</v>
      </c>
      <c r="N273" s="58"/>
      <c r="O273" s="55">
        <v>0</v>
      </c>
      <c r="P273" s="57">
        <v>0</v>
      </c>
      <c r="Q273" s="57">
        <f t="shared" si="229"/>
        <v>0</v>
      </c>
      <c r="R273" s="58"/>
      <c r="S273" s="55">
        <f>O273</f>
        <v>0</v>
      </c>
      <c r="T273" s="57">
        <v>0</v>
      </c>
      <c r="U273" s="57">
        <f t="shared" si="230"/>
        <v>0</v>
      </c>
      <c r="V273" s="59"/>
      <c r="W273" s="124">
        <f t="shared" si="231"/>
        <v>0</v>
      </c>
      <c r="X273" s="57">
        <f t="shared" si="231"/>
        <v>0</v>
      </c>
      <c r="Y273" s="84">
        <f t="shared" si="231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231"/>
        <v>0</v>
      </c>
      <c r="X274" s="80">
        <f t="shared" si="231"/>
        <v>0</v>
      </c>
      <c r="Y274" s="80">
        <f t="shared" si="231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144</v>
      </c>
      <c r="C276" s="124">
        <f>12*800*0.5*0</f>
        <v>0</v>
      </c>
      <c r="D276" s="56">
        <f>12*800*0.5*0</f>
        <v>0</v>
      </c>
      <c r="E276" s="56">
        <f t="shared" ref="E276:E278" si="232">SUM(C276:D276)</f>
        <v>0</v>
      </c>
      <c r="F276" s="58"/>
      <c r="G276" s="55">
        <f>C276</f>
        <v>0</v>
      </c>
      <c r="H276" s="57">
        <f>D276</f>
        <v>0</v>
      </c>
      <c r="I276" s="57">
        <f t="shared" ref="I276:I278" si="233">SUM(G276:H276)</f>
        <v>0</v>
      </c>
      <c r="J276" s="58"/>
      <c r="K276" s="55">
        <f>G276</f>
        <v>0</v>
      </c>
      <c r="L276" s="57">
        <f>H276</f>
        <v>0</v>
      </c>
      <c r="M276" s="57">
        <f t="shared" ref="M276:M278" si="234">SUM(K276:L276)</f>
        <v>0</v>
      </c>
      <c r="N276" s="58"/>
      <c r="O276" s="55">
        <f>K276</f>
        <v>0</v>
      </c>
      <c r="P276" s="57">
        <f>L276</f>
        <v>0</v>
      </c>
      <c r="Q276" s="57">
        <f t="shared" ref="Q276:Q278" si="235">SUM(O276:P276)</f>
        <v>0</v>
      </c>
      <c r="R276" s="58"/>
      <c r="S276" s="55">
        <f>O276</f>
        <v>0</v>
      </c>
      <c r="T276" s="57">
        <f>P276</f>
        <v>0</v>
      </c>
      <c r="U276" s="57">
        <f t="shared" ref="U276:U278" si="236">SUM(S276:T276)</f>
        <v>0</v>
      </c>
      <c r="V276" s="59"/>
      <c r="W276" s="124">
        <f t="shared" ref="W276:Y279" si="237">C276+G276+K276+O276+S276</f>
        <v>0</v>
      </c>
      <c r="X276" s="57">
        <f t="shared" si="237"/>
        <v>0</v>
      </c>
      <c r="Y276" s="84">
        <f t="shared" si="237"/>
        <v>0</v>
      </c>
    </row>
    <row r="277" spans="1:77" s="61" customFormat="1" x14ac:dyDescent="0.25">
      <c r="A277" s="203"/>
      <c r="B277" s="52" t="s">
        <v>57</v>
      </c>
      <c r="C277" s="124">
        <f>2000*5*0.5*0</f>
        <v>0</v>
      </c>
      <c r="D277" s="56">
        <f>2000*5*0.5*0</f>
        <v>0</v>
      </c>
      <c r="E277" s="56">
        <f t="shared" si="232"/>
        <v>0</v>
      </c>
      <c r="F277" s="58"/>
      <c r="G277" s="55">
        <f>C277</f>
        <v>0</v>
      </c>
      <c r="H277" s="57">
        <f>D277</f>
        <v>0</v>
      </c>
      <c r="I277" s="57">
        <f t="shared" si="233"/>
        <v>0</v>
      </c>
      <c r="J277" s="58"/>
      <c r="K277" s="55">
        <f>G277</f>
        <v>0</v>
      </c>
      <c r="L277" s="57">
        <f>H277</f>
        <v>0</v>
      </c>
      <c r="M277" s="57">
        <f t="shared" si="234"/>
        <v>0</v>
      </c>
      <c r="N277" s="58"/>
      <c r="O277" s="55">
        <f>K277</f>
        <v>0</v>
      </c>
      <c r="P277" s="57">
        <f>L277</f>
        <v>0</v>
      </c>
      <c r="Q277" s="57">
        <f t="shared" si="235"/>
        <v>0</v>
      </c>
      <c r="R277" s="58"/>
      <c r="S277" s="55">
        <f>O277</f>
        <v>0</v>
      </c>
      <c r="T277" s="57">
        <f>P277</f>
        <v>0</v>
      </c>
      <c r="U277" s="57">
        <f t="shared" si="236"/>
        <v>0</v>
      </c>
      <c r="V277" s="59"/>
      <c r="W277" s="124">
        <f t="shared" si="237"/>
        <v>0</v>
      </c>
      <c r="X277" s="57">
        <f t="shared" si="237"/>
        <v>0</v>
      </c>
      <c r="Y277" s="84">
        <f t="shared" si="237"/>
        <v>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si="232"/>
        <v>0</v>
      </c>
      <c r="F278" s="58"/>
      <c r="G278" s="55">
        <v>0</v>
      </c>
      <c r="H278" s="57">
        <v>0</v>
      </c>
      <c r="I278" s="57">
        <f t="shared" si="233"/>
        <v>0</v>
      </c>
      <c r="J278" s="58"/>
      <c r="K278" s="55">
        <v>0</v>
      </c>
      <c r="L278" s="57">
        <v>0</v>
      </c>
      <c r="M278" s="57">
        <f t="shared" si="234"/>
        <v>0</v>
      </c>
      <c r="N278" s="58"/>
      <c r="O278" s="55">
        <v>0</v>
      </c>
      <c r="P278" s="57">
        <v>0</v>
      </c>
      <c r="Q278" s="57">
        <f t="shared" si="235"/>
        <v>0</v>
      </c>
      <c r="R278" s="58"/>
      <c r="S278" s="55">
        <v>0</v>
      </c>
      <c r="T278" s="57">
        <v>0</v>
      </c>
      <c r="U278" s="57">
        <f t="shared" si="236"/>
        <v>0</v>
      </c>
      <c r="V278" s="59"/>
      <c r="W278" s="124">
        <f t="shared" si="237"/>
        <v>0</v>
      </c>
      <c r="X278" s="57">
        <f t="shared" si="237"/>
        <v>0</v>
      </c>
      <c r="Y278" s="84">
        <f t="shared" si="237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0</v>
      </c>
      <c r="D279" s="125">
        <f>SUM(D276:D278)</f>
        <v>0</v>
      </c>
      <c r="E279" s="125">
        <f>SUM(E276:E278)</f>
        <v>0</v>
      </c>
      <c r="F279" s="81"/>
      <c r="G279" s="79">
        <f>SUM(G276:G278)</f>
        <v>0</v>
      </c>
      <c r="H279" s="80">
        <f>SUM(H276:H278)</f>
        <v>0</v>
      </c>
      <c r="I279" s="80">
        <f>SUM(I276:I278)</f>
        <v>0</v>
      </c>
      <c r="J279" s="81"/>
      <c r="K279" s="79">
        <f>SUM(K276:K278)</f>
        <v>0</v>
      </c>
      <c r="L279" s="80">
        <f>SUM(L276:L278)</f>
        <v>0</v>
      </c>
      <c r="M279" s="80">
        <f>SUM(M276:M278)</f>
        <v>0</v>
      </c>
      <c r="N279" s="81"/>
      <c r="O279" s="79">
        <f>SUM(O276:O278)</f>
        <v>0</v>
      </c>
      <c r="P279" s="80">
        <f>SUM(P276:P278)</f>
        <v>0</v>
      </c>
      <c r="Q279" s="80">
        <f>SUM(Q276:Q278)</f>
        <v>0</v>
      </c>
      <c r="R279" s="81"/>
      <c r="S279" s="79">
        <f>SUM(S276:S278)</f>
        <v>0</v>
      </c>
      <c r="T279" s="80">
        <f>SUM(T276:T278)</f>
        <v>0</v>
      </c>
      <c r="U279" s="80">
        <f>SUM(U276:U278)</f>
        <v>0</v>
      </c>
      <c r="V279" s="82"/>
      <c r="W279" s="228">
        <f t="shared" si="237"/>
        <v>0</v>
      </c>
      <c r="X279" s="80">
        <f t="shared" si="237"/>
        <v>0</v>
      </c>
      <c r="Y279" s="80">
        <f t="shared" si="237"/>
        <v>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Y283" si="238">C281+G281+K281+O281+S281</f>
        <v>0</v>
      </c>
      <c r="X281" s="57">
        <f t="shared" si="238"/>
        <v>0</v>
      </c>
      <c r="Y281" s="84">
        <f t="shared" si="238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238"/>
        <v>0</v>
      </c>
      <c r="X282" s="56">
        <f t="shared" si="238"/>
        <v>0</v>
      </c>
      <c r="Y282" s="85">
        <f t="shared" si="238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238"/>
        <v>0</v>
      </c>
      <c r="X283" s="80">
        <f t="shared" si="238"/>
        <v>0</v>
      </c>
      <c r="Y283" s="80">
        <f t="shared" si="238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169" customFormat="1" x14ac:dyDescent="0.25">
      <c r="B285" s="169" t="s">
        <v>116</v>
      </c>
      <c r="C285" s="172">
        <v>0</v>
      </c>
      <c r="D285" s="174">
        <v>0</v>
      </c>
      <c r="E285" s="173">
        <f t="shared" ref="E285" si="239">SUM(C285:D285)</f>
        <v>0</v>
      </c>
      <c r="F285" s="175"/>
      <c r="G285" s="172">
        <f>C285</f>
        <v>0</v>
      </c>
      <c r="H285" s="174">
        <v>0</v>
      </c>
      <c r="I285" s="173">
        <f t="shared" ref="I285" si="240">SUM(G285:H285)</f>
        <v>0</v>
      </c>
      <c r="J285" s="175"/>
      <c r="K285" s="172">
        <f>G285</f>
        <v>0</v>
      </c>
      <c r="L285" s="174">
        <v>0</v>
      </c>
      <c r="M285" s="173">
        <f t="shared" ref="M285" si="241">SUM(K285:L285)</f>
        <v>0</v>
      </c>
      <c r="N285" s="175"/>
      <c r="O285" s="172">
        <f>K285</f>
        <v>0</v>
      </c>
      <c r="P285" s="174">
        <v>0</v>
      </c>
      <c r="Q285" s="174">
        <f t="shared" ref="Q285" si="242">SUM(O285:P285)</f>
        <v>0</v>
      </c>
      <c r="R285" s="175"/>
      <c r="S285" s="172">
        <f>O285</f>
        <v>0</v>
      </c>
      <c r="T285" s="174">
        <v>0</v>
      </c>
      <c r="U285" s="173">
        <f t="shared" ref="U285" si="243">SUM(S285:T285)</f>
        <v>0</v>
      </c>
      <c r="V285" s="176"/>
      <c r="W285" s="227">
        <f t="shared" ref="W285:Y289" si="244">C285+G285+K285+O285+S285</f>
        <v>0</v>
      </c>
      <c r="X285" s="173">
        <f t="shared" si="244"/>
        <v>0</v>
      </c>
      <c r="Y285" s="186">
        <f t="shared" si="244"/>
        <v>0</v>
      </c>
    </row>
    <row r="286" spans="1:77" s="61" customFormat="1" x14ac:dyDescent="0.25">
      <c r="A286" s="203"/>
      <c r="B286" s="54" t="s">
        <v>57</v>
      </c>
      <c r="C286" s="124">
        <v>0</v>
      </c>
      <c r="D286" s="56">
        <v>0</v>
      </c>
      <c r="E286" s="56">
        <f t="shared" ref="E286:E288" si="245">SUM(C286:D286)</f>
        <v>0</v>
      </c>
      <c r="F286" s="58"/>
      <c r="G286" s="55">
        <v>0</v>
      </c>
      <c r="H286" s="57">
        <v>0</v>
      </c>
      <c r="I286" s="57">
        <f t="shared" ref="I286:I288" si="246">SUM(G286:H286)</f>
        <v>0</v>
      </c>
      <c r="J286" s="58"/>
      <c r="K286" s="55">
        <v>0</v>
      </c>
      <c r="L286" s="56">
        <v>0</v>
      </c>
      <c r="M286" s="57">
        <f t="shared" ref="M286:M288" si="247">SUM(K286:L286)</f>
        <v>0</v>
      </c>
      <c r="N286" s="58"/>
      <c r="O286" s="55">
        <v>0</v>
      </c>
      <c r="P286" s="57">
        <v>0</v>
      </c>
      <c r="Q286" s="57">
        <f t="shared" ref="Q286:Q288" si="248">SUM(O286:P286)</f>
        <v>0</v>
      </c>
      <c r="R286" s="58"/>
      <c r="S286" s="55">
        <v>0</v>
      </c>
      <c r="T286" s="56">
        <v>0</v>
      </c>
      <c r="U286" s="57">
        <f t="shared" ref="U286:U288" si="249">SUM(S286:T286)</f>
        <v>0</v>
      </c>
      <c r="V286" s="59"/>
      <c r="W286" s="124">
        <f t="shared" si="244"/>
        <v>0</v>
      </c>
      <c r="X286" s="57">
        <f t="shared" si="244"/>
        <v>0</v>
      </c>
      <c r="Y286" s="84">
        <f t="shared" si="244"/>
        <v>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si="245"/>
        <v>0</v>
      </c>
      <c r="F287" s="58"/>
      <c r="G287" s="55">
        <v>0</v>
      </c>
      <c r="H287" s="57"/>
      <c r="I287" s="57">
        <f t="shared" si="246"/>
        <v>0</v>
      </c>
      <c r="J287" s="58"/>
      <c r="K287" s="55">
        <v>0</v>
      </c>
      <c r="L287" s="56">
        <v>0</v>
      </c>
      <c r="M287" s="57">
        <f t="shared" si="247"/>
        <v>0</v>
      </c>
      <c r="N287" s="58"/>
      <c r="O287" s="55">
        <v>0</v>
      </c>
      <c r="P287" s="56">
        <v>0</v>
      </c>
      <c r="Q287" s="56">
        <f t="shared" si="248"/>
        <v>0</v>
      </c>
      <c r="R287" s="58"/>
      <c r="S287" s="55">
        <v>0</v>
      </c>
      <c r="T287" s="56">
        <v>0</v>
      </c>
      <c r="U287" s="57">
        <f t="shared" si="249"/>
        <v>0</v>
      </c>
      <c r="V287" s="59"/>
      <c r="W287" s="124">
        <f t="shared" si="244"/>
        <v>0</v>
      </c>
      <c r="X287" s="57">
        <f t="shared" si="244"/>
        <v>0</v>
      </c>
      <c r="Y287" s="84">
        <f t="shared" si="244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245"/>
        <v>0</v>
      </c>
      <c r="F288" s="58"/>
      <c r="G288" s="55">
        <v>0</v>
      </c>
      <c r="H288" s="57">
        <v>0</v>
      </c>
      <c r="I288" s="57">
        <f t="shared" si="246"/>
        <v>0</v>
      </c>
      <c r="J288" s="58"/>
      <c r="K288" s="55">
        <v>0</v>
      </c>
      <c r="L288" s="57">
        <v>0</v>
      </c>
      <c r="M288" s="57">
        <f t="shared" si="247"/>
        <v>0</v>
      </c>
      <c r="N288" s="58"/>
      <c r="O288" s="55">
        <v>0</v>
      </c>
      <c r="P288" s="57">
        <v>0</v>
      </c>
      <c r="Q288" s="57">
        <f t="shared" si="248"/>
        <v>0</v>
      </c>
      <c r="R288" s="58"/>
      <c r="S288" s="55">
        <v>0</v>
      </c>
      <c r="T288" s="57">
        <v>0</v>
      </c>
      <c r="U288" s="57">
        <f t="shared" si="249"/>
        <v>0</v>
      </c>
      <c r="V288" s="59"/>
      <c r="W288" s="124">
        <f t="shared" si="244"/>
        <v>0</v>
      </c>
      <c r="X288" s="57">
        <f t="shared" si="244"/>
        <v>0</v>
      </c>
      <c r="Y288" s="84">
        <f t="shared" si="244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0</v>
      </c>
      <c r="D289" s="153">
        <f>SUM(D285:D288)</f>
        <v>0</v>
      </c>
      <c r="E289" s="153">
        <f>SUM(E285:E288)</f>
        <v>0</v>
      </c>
      <c r="F289" s="154"/>
      <c r="G289" s="152">
        <f>SUM(G285:G288)</f>
        <v>0</v>
      </c>
      <c r="H289" s="155">
        <f>SUM(H285:H288)</f>
        <v>0</v>
      </c>
      <c r="I289" s="155">
        <f>SUM(I285:I288)</f>
        <v>0</v>
      </c>
      <c r="J289" s="154"/>
      <c r="K289" s="152">
        <f>SUM(K285:K288)</f>
        <v>0</v>
      </c>
      <c r="L289" s="155">
        <f>SUM(L285:L288)</f>
        <v>0</v>
      </c>
      <c r="M289" s="155">
        <f>SUM(M285:M288)</f>
        <v>0</v>
      </c>
      <c r="N289" s="154"/>
      <c r="O289" s="152">
        <f>SUM(O285:O288)</f>
        <v>0</v>
      </c>
      <c r="P289" s="155">
        <f>SUM(P285:P288)</f>
        <v>0</v>
      </c>
      <c r="Q289" s="155">
        <f>SUM(Q285:Q288)</f>
        <v>0</v>
      </c>
      <c r="R289" s="154"/>
      <c r="S289" s="152">
        <f>SUM(S285:S288)</f>
        <v>0</v>
      </c>
      <c r="T289" s="155">
        <f>SUM(T285:T288)</f>
        <v>0</v>
      </c>
      <c r="U289" s="155">
        <f>SUM(U285:U288)</f>
        <v>0</v>
      </c>
      <c r="V289" s="82"/>
      <c r="W289" s="228">
        <f t="shared" si="244"/>
        <v>0</v>
      </c>
      <c r="X289" s="80">
        <f t="shared" si="244"/>
        <v>0</v>
      </c>
      <c r="Y289" s="80">
        <f t="shared" si="244"/>
        <v>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250">SUM(C269+C274+C279+C283+C289)</f>
        <v>0</v>
      </c>
      <c r="D290" s="246">
        <f t="shared" si="250"/>
        <v>0</v>
      </c>
      <c r="E290" s="246">
        <f t="shared" si="250"/>
        <v>0</v>
      </c>
      <c r="F290" s="246">
        <f t="shared" si="250"/>
        <v>0</v>
      </c>
      <c r="G290" s="246">
        <f t="shared" si="250"/>
        <v>0</v>
      </c>
      <c r="H290" s="246">
        <f t="shared" si="250"/>
        <v>0</v>
      </c>
      <c r="I290" s="246">
        <f t="shared" si="250"/>
        <v>0</v>
      </c>
      <c r="J290" s="246">
        <f t="shared" si="250"/>
        <v>0</v>
      </c>
      <c r="K290" s="246">
        <f t="shared" si="250"/>
        <v>0</v>
      </c>
      <c r="L290" s="246">
        <f t="shared" si="250"/>
        <v>0</v>
      </c>
      <c r="M290" s="246">
        <f t="shared" si="250"/>
        <v>0</v>
      </c>
      <c r="N290" s="246">
        <f t="shared" si="250"/>
        <v>0</v>
      </c>
      <c r="O290" s="246">
        <f t="shared" si="250"/>
        <v>0</v>
      </c>
      <c r="P290" s="246">
        <f t="shared" si="250"/>
        <v>0</v>
      </c>
      <c r="Q290" s="246">
        <f t="shared" si="250"/>
        <v>0</v>
      </c>
      <c r="R290" s="246">
        <f t="shared" si="250"/>
        <v>0</v>
      </c>
      <c r="S290" s="246">
        <f t="shared" si="250"/>
        <v>0</v>
      </c>
      <c r="T290" s="246">
        <f t="shared" si="250"/>
        <v>0</v>
      </c>
      <c r="U290" s="246">
        <f t="shared" si="250"/>
        <v>0</v>
      </c>
      <c r="V290" s="246">
        <f t="shared" si="250"/>
        <v>0</v>
      </c>
      <c r="W290" s="246">
        <f t="shared" si="250"/>
        <v>0</v>
      </c>
      <c r="X290" s="246">
        <f t="shared" si="250"/>
        <v>0</v>
      </c>
      <c r="Y290" s="246">
        <f t="shared" si="250"/>
        <v>0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0</v>
      </c>
      <c r="D291" s="246">
        <v>0</v>
      </c>
      <c r="E291" s="246">
        <f>C291</f>
        <v>0</v>
      </c>
      <c r="F291" s="246">
        <f>F263*0.47</f>
        <v>0</v>
      </c>
      <c r="G291" s="246">
        <f>((G263)*0.56)</f>
        <v>0</v>
      </c>
      <c r="H291" s="246">
        <v>0</v>
      </c>
      <c r="I291" s="246">
        <f>G291</f>
        <v>0</v>
      </c>
      <c r="J291" s="246">
        <f>J263*0.47</f>
        <v>0</v>
      </c>
      <c r="K291" s="246">
        <f>((K263)*0.56)</f>
        <v>0</v>
      </c>
      <c r="L291" s="246">
        <v>0</v>
      </c>
      <c r="M291" s="246">
        <f>K291</f>
        <v>0</v>
      </c>
      <c r="N291" s="246">
        <f>N263*0.47</f>
        <v>0</v>
      </c>
      <c r="O291" s="246">
        <f>((O263)*0.56)</f>
        <v>0</v>
      </c>
      <c r="P291" s="246">
        <v>0</v>
      </c>
      <c r="Q291" s="246">
        <f>O291</f>
        <v>0</v>
      </c>
      <c r="R291" s="246">
        <f>R263*0.47</f>
        <v>0</v>
      </c>
      <c r="S291" s="246">
        <f>((S263)*0.56)</f>
        <v>0</v>
      </c>
      <c r="T291" s="246">
        <v>0</v>
      </c>
      <c r="U291" s="246">
        <f>S291</f>
        <v>0</v>
      </c>
      <c r="V291" s="246">
        <f>V263*0.47</f>
        <v>0</v>
      </c>
      <c r="W291" s="246">
        <f>((W263)*0.56)</f>
        <v>0</v>
      </c>
      <c r="X291" s="246">
        <v>0</v>
      </c>
      <c r="Y291" s="246">
        <f>W291</f>
        <v>0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0</v>
      </c>
      <c r="D292" s="246">
        <f t="shared" ref="D292:Y292" si="251">SUM(D290:D291)</f>
        <v>0</v>
      </c>
      <c r="E292" s="246">
        <f t="shared" si="251"/>
        <v>0</v>
      </c>
      <c r="F292" s="246">
        <f t="shared" si="251"/>
        <v>0</v>
      </c>
      <c r="G292" s="246">
        <f t="shared" si="251"/>
        <v>0</v>
      </c>
      <c r="H292" s="246">
        <f t="shared" si="251"/>
        <v>0</v>
      </c>
      <c r="I292" s="246">
        <f t="shared" si="251"/>
        <v>0</v>
      </c>
      <c r="J292" s="246">
        <f t="shared" si="251"/>
        <v>0</v>
      </c>
      <c r="K292" s="246">
        <f t="shared" si="251"/>
        <v>0</v>
      </c>
      <c r="L292" s="246">
        <f t="shared" si="251"/>
        <v>0</v>
      </c>
      <c r="M292" s="246">
        <f t="shared" si="251"/>
        <v>0</v>
      </c>
      <c r="N292" s="246">
        <f t="shared" si="251"/>
        <v>0</v>
      </c>
      <c r="O292" s="246">
        <f t="shared" si="251"/>
        <v>0</v>
      </c>
      <c r="P292" s="246">
        <f t="shared" si="251"/>
        <v>0</v>
      </c>
      <c r="Q292" s="246">
        <f t="shared" si="251"/>
        <v>0</v>
      </c>
      <c r="R292" s="246">
        <f t="shared" si="251"/>
        <v>0</v>
      </c>
      <c r="S292" s="246">
        <f t="shared" si="251"/>
        <v>0</v>
      </c>
      <c r="T292" s="246">
        <f t="shared" si="251"/>
        <v>0</v>
      </c>
      <c r="U292" s="246">
        <f t="shared" si="251"/>
        <v>0</v>
      </c>
      <c r="V292" s="246">
        <f t="shared" si="251"/>
        <v>0</v>
      </c>
      <c r="W292" s="246">
        <f t="shared" si="251"/>
        <v>0</v>
      </c>
      <c r="X292" s="246">
        <f t="shared" si="251"/>
        <v>0</v>
      </c>
      <c r="Y292" s="246">
        <f t="shared" si="251"/>
        <v>0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169" customFormat="1" x14ac:dyDescent="0.25">
      <c r="A296" s="170" t="s">
        <v>57</v>
      </c>
      <c r="B296" s="169" t="s">
        <v>57</v>
      </c>
      <c r="C296" s="172">
        <v>0</v>
      </c>
      <c r="D296" s="173">
        <v>0</v>
      </c>
      <c r="E296" s="173">
        <f t="shared" ref="E296:E299" si="252">SUM(C296:D296)</f>
        <v>0</v>
      </c>
      <c r="F296" s="175"/>
      <c r="G296" s="172">
        <f>C296*1.03</f>
        <v>0</v>
      </c>
      <c r="H296" s="173">
        <f>D296*1.03</f>
        <v>0</v>
      </c>
      <c r="I296" s="173">
        <f t="shared" ref="I296:I299" si="253">SUM(G296:H296)</f>
        <v>0</v>
      </c>
      <c r="J296" s="175"/>
      <c r="K296" s="172">
        <f>G296*1.03</f>
        <v>0</v>
      </c>
      <c r="L296" s="173">
        <f>H296*1.03</f>
        <v>0</v>
      </c>
      <c r="M296" s="173">
        <f t="shared" ref="M296:M299" si="254">SUM(K296:L296)</f>
        <v>0</v>
      </c>
      <c r="N296" s="175"/>
      <c r="O296" s="172">
        <f>K296*1.03</f>
        <v>0</v>
      </c>
      <c r="P296" s="173">
        <f>L296*1.03</f>
        <v>0</v>
      </c>
      <c r="Q296" s="173">
        <f t="shared" ref="Q296:Q299" si="255">SUM(O296:P296)</f>
        <v>0</v>
      </c>
      <c r="R296" s="175"/>
      <c r="S296" s="172">
        <f>O296*1.03</f>
        <v>0</v>
      </c>
      <c r="T296" s="173">
        <f>P296*1.03</f>
        <v>0</v>
      </c>
      <c r="U296" s="173">
        <f t="shared" ref="U296:U299" si="256">SUM(S296:T296)</f>
        <v>0</v>
      </c>
      <c r="V296" s="176"/>
      <c r="W296" s="227">
        <f>C296+G296+K296+O296+S296</f>
        <v>0</v>
      </c>
      <c r="X296" s="173">
        <f t="shared" ref="X296:Y300" si="257">D296+H296+L296+P296+T296</f>
        <v>0</v>
      </c>
      <c r="Y296" s="177">
        <f t="shared" si="257"/>
        <v>0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si="252"/>
        <v>0</v>
      </c>
      <c r="F297" s="175"/>
      <c r="G297" s="172">
        <f t="shared" ref="G297:H299" si="258">C297*1.03</f>
        <v>0</v>
      </c>
      <c r="H297" s="173">
        <f t="shared" si="258"/>
        <v>0</v>
      </c>
      <c r="I297" s="173">
        <f t="shared" si="253"/>
        <v>0</v>
      </c>
      <c r="J297" s="175"/>
      <c r="K297" s="172">
        <f t="shared" ref="K297:L299" si="259">G297*1.03</f>
        <v>0</v>
      </c>
      <c r="L297" s="173">
        <f t="shared" si="259"/>
        <v>0</v>
      </c>
      <c r="M297" s="173">
        <f t="shared" si="254"/>
        <v>0</v>
      </c>
      <c r="N297" s="175"/>
      <c r="O297" s="172">
        <f t="shared" ref="O297:P299" si="260">K297*1.03</f>
        <v>0</v>
      </c>
      <c r="P297" s="173">
        <f t="shared" si="260"/>
        <v>0</v>
      </c>
      <c r="Q297" s="173">
        <f t="shared" si="255"/>
        <v>0</v>
      </c>
      <c r="R297" s="175"/>
      <c r="S297" s="172">
        <f t="shared" ref="S297:T299" si="261">O297*1.03</f>
        <v>0</v>
      </c>
      <c r="T297" s="173">
        <f t="shared" si="261"/>
        <v>0</v>
      </c>
      <c r="U297" s="173">
        <f t="shared" si="256"/>
        <v>0</v>
      </c>
      <c r="V297" s="176"/>
      <c r="W297" s="227">
        <f t="shared" ref="W297:W300" si="262">C297+G297+K297+O297+S297</f>
        <v>0</v>
      </c>
      <c r="X297" s="173">
        <f t="shared" si="257"/>
        <v>0</v>
      </c>
      <c r="Y297" s="177">
        <f t="shared" si="257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252"/>
        <v>0</v>
      </c>
      <c r="F298" s="175"/>
      <c r="G298" s="172">
        <f t="shared" si="258"/>
        <v>0</v>
      </c>
      <c r="H298" s="173">
        <f t="shared" si="258"/>
        <v>0</v>
      </c>
      <c r="I298" s="173">
        <f t="shared" si="253"/>
        <v>0</v>
      </c>
      <c r="J298" s="175"/>
      <c r="K298" s="172">
        <f t="shared" si="259"/>
        <v>0</v>
      </c>
      <c r="L298" s="173">
        <f t="shared" si="259"/>
        <v>0</v>
      </c>
      <c r="M298" s="173">
        <f t="shared" si="254"/>
        <v>0</v>
      </c>
      <c r="N298" s="175"/>
      <c r="O298" s="172">
        <f t="shared" si="260"/>
        <v>0</v>
      </c>
      <c r="P298" s="173">
        <f t="shared" si="260"/>
        <v>0</v>
      </c>
      <c r="Q298" s="173">
        <f t="shared" si="255"/>
        <v>0</v>
      </c>
      <c r="R298" s="175"/>
      <c r="S298" s="172">
        <f t="shared" si="261"/>
        <v>0</v>
      </c>
      <c r="T298" s="173">
        <f t="shared" si="261"/>
        <v>0</v>
      </c>
      <c r="U298" s="173">
        <f t="shared" si="256"/>
        <v>0</v>
      </c>
      <c r="V298" s="176"/>
      <c r="W298" s="227">
        <f t="shared" si="262"/>
        <v>0</v>
      </c>
      <c r="X298" s="173">
        <f t="shared" si="257"/>
        <v>0</v>
      </c>
      <c r="Y298" s="177">
        <f t="shared" si="257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252"/>
        <v>0</v>
      </c>
      <c r="F299" s="175"/>
      <c r="G299" s="172">
        <f t="shared" si="258"/>
        <v>0</v>
      </c>
      <c r="H299" s="173">
        <f t="shared" si="258"/>
        <v>0</v>
      </c>
      <c r="I299" s="173">
        <f t="shared" si="253"/>
        <v>0</v>
      </c>
      <c r="J299" s="175"/>
      <c r="K299" s="172">
        <f t="shared" si="259"/>
        <v>0</v>
      </c>
      <c r="L299" s="173">
        <f t="shared" si="259"/>
        <v>0</v>
      </c>
      <c r="M299" s="173">
        <f t="shared" si="254"/>
        <v>0</v>
      </c>
      <c r="N299" s="175"/>
      <c r="O299" s="172">
        <f t="shared" si="260"/>
        <v>0</v>
      </c>
      <c r="P299" s="173">
        <f t="shared" si="260"/>
        <v>0</v>
      </c>
      <c r="Q299" s="173">
        <f t="shared" si="255"/>
        <v>0</v>
      </c>
      <c r="R299" s="175"/>
      <c r="S299" s="172">
        <f t="shared" si="261"/>
        <v>0</v>
      </c>
      <c r="T299" s="173">
        <f t="shared" si="261"/>
        <v>0</v>
      </c>
      <c r="U299" s="173">
        <f t="shared" si="256"/>
        <v>0</v>
      </c>
      <c r="V299" s="176"/>
      <c r="W299" s="227">
        <f t="shared" si="262"/>
        <v>0</v>
      </c>
      <c r="X299" s="173">
        <f t="shared" si="257"/>
        <v>0</v>
      </c>
      <c r="Y299" s="177">
        <f t="shared" si="257"/>
        <v>0</v>
      </c>
    </row>
    <row r="300" spans="1:77" s="83" customFormat="1" x14ac:dyDescent="0.25">
      <c r="A300" s="78"/>
      <c r="B300" s="78" t="s">
        <v>9</v>
      </c>
      <c r="C300" s="228">
        <f>SUM(C296:C299)</f>
        <v>0</v>
      </c>
      <c r="D300" s="125">
        <f>SUM(D296:D299)</f>
        <v>0</v>
      </c>
      <c r="E300" s="125">
        <f>SUM(E296:E299)</f>
        <v>0</v>
      </c>
      <c r="F300" s="81"/>
      <c r="G300" s="79">
        <f>SUM(G296:G299)</f>
        <v>0</v>
      </c>
      <c r="H300" s="80">
        <f>SUM(H296:H299)</f>
        <v>0</v>
      </c>
      <c r="I300" s="80">
        <f>SUM(I296:I299)</f>
        <v>0</v>
      </c>
      <c r="J300" s="81"/>
      <c r="K300" s="79">
        <f>SUM(K296:K299)</f>
        <v>0</v>
      </c>
      <c r="L300" s="80">
        <f>SUM(L296:L299)</f>
        <v>0</v>
      </c>
      <c r="M300" s="80">
        <f>SUM(M296:M299)</f>
        <v>0</v>
      </c>
      <c r="N300" s="81"/>
      <c r="O300" s="79">
        <f>SUM(O296:O299)</f>
        <v>0</v>
      </c>
      <c r="P300" s="80">
        <f>SUM(P296:P299)</f>
        <v>0</v>
      </c>
      <c r="Q300" s="80">
        <f>SUM(Q296:Q299)</f>
        <v>0</v>
      </c>
      <c r="R300" s="81"/>
      <c r="S300" s="79">
        <f>SUM(S296:S299)</f>
        <v>0</v>
      </c>
      <c r="T300" s="80">
        <f>SUM(T296:T299)</f>
        <v>0</v>
      </c>
      <c r="U300" s="80">
        <f>SUM(U296:U299)</f>
        <v>0</v>
      </c>
      <c r="V300" s="82"/>
      <c r="W300" s="228">
        <f t="shared" si="262"/>
        <v>0</v>
      </c>
      <c r="X300" s="80">
        <f t="shared" si="257"/>
        <v>0</v>
      </c>
      <c r="Y300" s="80">
        <f t="shared" si="257"/>
        <v>0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L305" si="263">G302*1.03</f>
        <v>0</v>
      </c>
      <c r="L302" s="57">
        <f t="shared" si="263"/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Y306" si="264">C302+G302+K302+O302+S302</f>
        <v>0</v>
      </c>
      <c r="X302" s="57">
        <f t="shared" si="264"/>
        <v>0</v>
      </c>
      <c r="Y302" s="57">
        <f t="shared" ref="Y302:Y305" si="265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266">SUM(C303:D303)</f>
        <v>0</v>
      </c>
      <c r="F303" s="58"/>
      <c r="G303" s="55">
        <f t="shared" ref="G303:H305" si="267">C303*1.03</f>
        <v>0</v>
      </c>
      <c r="H303" s="57">
        <f t="shared" si="267"/>
        <v>0</v>
      </c>
      <c r="I303" s="57">
        <f t="shared" ref="I303:I305" si="268">SUM(G303:H303)</f>
        <v>0</v>
      </c>
      <c r="J303" s="58"/>
      <c r="K303" s="55">
        <f t="shared" si="263"/>
        <v>0</v>
      </c>
      <c r="L303" s="57">
        <f t="shared" si="263"/>
        <v>0</v>
      </c>
      <c r="M303" s="57">
        <f t="shared" ref="M303:M305" si="269">SUM(K303:L303)</f>
        <v>0</v>
      </c>
      <c r="N303" s="58"/>
      <c r="O303" s="55">
        <f t="shared" ref="O303:P305" si="270">K303*1.03</f>
        <v>0</v>
      </c>
      <c r="P303" s="57">
        <f t="shared" si="270"/>
        <v>0</v>
      </c>
      <c r="Q303" s="57">
        <f t="shared" ref="Q303:Q305" si="271">SUM(O303:P303)</f>
        <v>0</v>
      </c>
      <c r="R303" s="58"/>
      <c r="S303" s="55">
        <f t="shared" ref="S303:T305" si="272">O303*1.03</f>
        <v>0</v>
      </c>
      <c r="T303" s="57">
        <f t="shared" si="272"/>
        <v>0</v>
      </c>
      <c r="U303" s="57">
        <f t="shared" ref="U303:U305" si="273">SUM(S303:T303)</f>
        <v>0</v>
      </c>
      <c r="V303" s="59"/>
      <c r="W303" s="124">
        <f t="shared" si="264"/>
        <v>0</v>
      </c>
      <c r="X303" s="57">
        <f t="shared" si="264"/>
        <v>0</v>
      </c>
      <c r="Y303" s="57">
        <f t="shared" si="265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266"/>
        <v>0</v>
      </c>
      <c r="F304" s="58"/>
      <c r="G304" s="55">
        <f t="shared" si="267"/>
        <v>0</v>
      </c>
      <c r="H304" s="57">
        <f t="shared" si="267"/>
        <v>0</v>
      </c>
      <c r="I304" s="57">
        <f t="shared" si="268"/>
        <v>0</v>
      </c>
      <c r="J304" s="58"/>
      <c r="K304" s="55">
        <f t="shared" si="263"/>
        <v>0</v>
      </c>
      <c r="L304" s="57">
        <f t="shared" si="263"/>
        <v>0</v>
      </c>
      <c r="M304" s="57">
        <f t="shared" si="269"/>
        <v>0</v>
      </c>
      <c r="N304" s="58"/>
      <c r="O304" s="55">
        <f t="shared" si="270"/>
        <v>0</v>
      </c>
      <c r="P304" s="57">
        <f t="shared" si="270"/>
        <v>0</v>
      </c>
      <c r="Q304" s="57">
        <f t="shared" si="271"/>
        <v>0</v>
      </c>
      <c r="R304" s="58"/>
      <c r="S304" s="55">
        <f t="shared" si="272"/>
        <v>0</v>
      </c>
      <c r="T304" s="57">
        <f t="shared" si="272"/>
        <v>0</v>
      </c>
      <c r="U304" s="57">
        <f t="shared" si="273"/>
        <v>0</v>
      </c>
      <c r="V304" s="59"/>
      <c r="W304" s="124">
        <f t="shared" si="264"/>
        <v>0</v>
      </c>
      <c r="X304" s="57">
        <f t="shared" si="264"/>
        <v>0</v>
      </c>
      <c r="Y304" s="57">
        <f t="shared" si="265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266"/>
        <v>0</v>
      </c>
      <c r="F305" s="58"/>
      <c r="G305" s="55">
        <f t="shared" si="267"/>
        <v>0</v>
      </c>
      <c r="H305" s="57">
        <f t="shared" si="267"/>
        <v>0</v>
      </c>
      <c r="I305" s="57">
        <f t="shared" si="268"/>
        <v>0</v>
      </c>
      <c r="J305" s="58"/>
      <c r="K305" s="55">
        <f t="shared" si="263"/>
        <v>0</v>
      </c>
      <c r="L305" s="57">
        <f t="shared" si="263"/>
        <v>0</v>
      </c>
      <c r="M305" s="57">
        <f t="shared" si="269"/>
        <v>0</v>
      </c>
      <c r="N305" s="58"/>
      <c r="O305" s="55">
        <f t="shared" si="270"/>
        <v>0</v>
      </c>
      <c r="P305" s="57">
        <f t="shared" si="270"/>
        <v>0</v>
      </c>
      <c r="Q305" s="57">
        <f t="shared" si="271"/>
        <v>0</v>
      </c>
      <c r="R305" s="58"/>
      <c r="S305" s="55">
        <f t="shared" si="272"/>
        <v>0</v>
      </c>
      <c r="T305" s="57">
        <f t="shared" si="272"/>
        <v>0</v>
      </c>
      <c r="U305" s="57">
        <f t="shared" si="273"/>
        <v>0</v>
      </c>
      <c r="V305" s="59"/>
      <c r="W305" s="124">
        <f t="shared" si="264"/>
        <v>0</v>
      </c>
      <c r="X305" s="57">
        <f t="shared" si="264"/>
        <v>0</v>
      </c>
      <c r="Y305" s="57">
        <f t="shared" si="265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264"/>
        <v>0</v>
      </c>
      <c r="X306" s="80">
        <f t="shared" si="264"/>
        <v>0</v>
      </c>
      <c r="Y306" s="80">
        <f t="shared" si="264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274">C306+C300</f>
        <v>0</v>
      </c>
      <c r="D307" s="248">
        <f t="shared" si="274"/>
        <v>0</v>
      </c>
      <c r="E307" s="248">
        <f t="shared" si="274"/>
        <v>0</v>
      </c>
      <c r="F307" s="248">
        <f t="shared" si="274"/>
        <v>0</v>
      </c>
      <c r="G307" s="248">
        <f t="shared" si="274"/>
        <v>0</v>
      </c>
      <c r="H307" s="248">
        <f t="shared" si="274"/>
        <v>0</v>
      </c>
      <c r="I307" s="248">
        <f t="shared" si="274"/>
        <v>0</v>
      </c>
      <c r="J307" s="248">
        <f t="shared" si="274"/>
        <v>0</v>
      </c>
      <c r="K307" s="248">
        <f t="shared" si="274"/>
        <v>0</v>
      </c>
      <c r="L307" s="248">
        <f t="shared" si="274"/>
        <v>0</v>
      </c>
      <c r="M307" s="248">
        <f t="shared" si="274"/>
        <v>0</v>
      </c>
      <c r="N307" s="248">
        <f t="shared" si="274"/>
        <v>0</v>
      </c>
      <c r="O307" s="248">
        <f t="shared" si="274"/>
        <v>0</v>
      </c>
      <c r="P307" s="248">
        <f t="shared" si="274"/>
        <v>0</v>
      </c>
      <c r="Q307" s="248">
        <f t="shared" si="274"/>
        <v>0</v>
      </c>
      <c r="R307" s="248">
        <f t="shared" si="274"/>
        <v>0</v>
      </c>
      <c r="S307" s="248">
        <f t="shared" si="274"/>
        <v>0</v>
      </c>
      <c r="T307" s="248">
        <f t="shared" si="274"/>
        <v>0</v>
      </c>
      <c r="U307" s="248">
        <f t="shared" si="274"/>
        <v>0</v>
      </c>
      <c r="V307" s="248">
        <f t="shared" si="274"/>
        <v>0</v>
      </c>
      <c r="W307" s="248">
        <f t="shared" si="274"/>
        <v>0</v>
      </c>
      <c r="X307" s="248">
        <f t="shared" si="274"/>
        <v>0</v>
      </c>
      <c r="Y307" s="249">
        <f>E307+I307+M307+Q307+U307</f>
        <v>0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275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276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277">SUM(K309:L309)</f>
        <v>0</v>
      </c>
      <c r="N309" s="58"/>
      <c r="O309" s="124">
        <f>O302*A309*1.03*1.03*1.03*1.03</f>
        <v>0</v>
      </c>
      <c r="P309" s="56">
        <f>P302*A309*1.03*1.03*1.03</f>
        <v>0</v>
      </c>
      <c r="Q309" s="57">
        <f t="shared" ref="Q309:Q311" si="278">SUM(O309:P309)</f>
        <v>0</v>
      </c>
      <c r="R309" s="58"/>
      <c r="S309" s="124">
        <f>S302*A309*1.03*1.03*1.03*1.03*1.03</f>
        <v>0</v>
      </c>
      <c r="T309" s="56">
        <f>T302*A309*1.03*1.03*1.03*1.03</f>
        <v>0</v>
      </c>
      <c r="U309" s="57">
        <f t="shared" ref="U309:U311" si="279">SUM(S309:T309)</f>
        <v>0</v>
      </c>
      <c r="V309" s="59"/>
      <c r="W309" s="124">
        <f t="shared" ref="W309:Y312" si="280">C309+G309+K309+O309+S309</f>
        <v>0</v>
      </c>
      <c r="X309" s="57">
        <f t="shared" si="280"/>
        <v>0</v>
      </c>
      <c r="Y309" s="84">
        <f t="shared" si="280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0.54779999999999995</v>
      </c>
      <c r="B310" s="52" t="s">
        <v>109</v>
      </c>
      <c r="C310" s="124">
        <f>C300*(A310*1.03)</f>
        <v>0</v>
      </c>
      <c r="D310" s="56">
        <f>D300*A310*1.03</f>
        <v>0</v>
      </c>
      <c r="E310" s="56">
        <f t="shared" si="275"/>
        <v>0</v>
      </c>
      <c r="F310" s="58"/>
      <c r="G310" s="124">
        <f>G300*A310*1.03*1.03</f>
        <v>0</v>
      </c>
      <c r="H310" s="56">
        <f>H300*A310*1.03*1.03</f>
        <v>0</v>
      </c>
      <c r="I310" s="57">
        <f t="shared" si="276"/>
        <v>0</v>
      </c>
      <c r="J310" s="58"/>
      <c r="K310" s="124">
        <f>K304*A310*1.03*1.03</f>
        <v>0</v>
      </c>
      <c r="L310" s="56">
        <f>L304*A310*1.03*1.03</f>
        <v>0</v>
      </c>
      <c r="M310" s="57">
        <f t="shared" si="277"/>
        <v>0</v>
      </c>
      <c r="N310" s="58"/>
      <c r="O310" s="124">
        <f>O304*A310*1.03*1.03*1.03</f>
        <v>0</v>
      </c>
      <c r="P310" s="56">
        <f>P304*A310*1.03*1.03*1.03</f>
        <v>0</v>
      </c>
      <c r="Q310" s="57">
        <f t="shared" si="278"/>
        <v>0</v>
      </c>
      <c r="R310" s="58"/>
      <c r="S310" s="124">
        <f>S304*A310*1.03*1.03*1.03*1.03</f>
        <v>0</v>
      </c>
      <c r="T310" s="56">
        <f>T304*A310*1.03*1.03*1.03*1.03</f>
        <v>0</v>
      </c>
      <c r="U310" s="57">
        <f t="shared" si="279"/>
        <v>0</v>
      </c>
      <c r="V310" s="59"/>
      <c r="W310" s="124">
        <f t="shared" si="280"/>
        <v>0</v>
      </c>
      <c r="X310" s="57">
        <f t="shared" si="280"/>
        <v>0</v>
      </c>
      <c r="Y310" s="84">
        <f t="shared" si="280"/>
        <v>0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275"/>
        <v>0</v>
      </c>
      <c r="F311" s="58"/>
      <c r="G311" s="55">
        <f>C311*1.05</f>
        <v>0</v>
      </c>
      <c r="H311" s="57">
        <f>D311*1.05</f>
        <v>0</v>
      </c>
      <c r="I311" s="57">
        <f t="shared" si="276"/>
        <v>0</v>
      </c>
      <c r="J311" s="58"/>
      <c r="K311" s="55">
        <f>K300*A310*1.03*1.03*1.03</f>
        <v>0</v>
      </c>
      <c r="L311" s="56">
        <f>L300*A310*1.03*1.03*1.03</f>
        <v>0</v>
      </c>
      <c r="M311" s="57">
        <f t="shared" si="277"/>
        <v>0</v>
      </c>
      <c r="N311" s="58"/>
      <c r="O311" s="55">
        <f>O300*A310*1.03*1.03*1.03*1.03</f>
        <v>0</v>
      </c>
      <c r="P311" s="56">
        <f>P300*A310*1.03*1.03*1.03*1.03</f>
        <v>0</v>
      </c>
      <c r="Q311" s="57">
        <f t="shared" si="278"/>
        <v>0</v>
      </c>
      <c r="R311" s="58"/>
      <c r="S311" s="55">
        <f>S300*A310*1.03*1.03*1.03*1.03*1.03</f>
        <v>0</v>
      </c>
      <c r="T311" s="56">
        <f>T300*A310*1.03*1.03*1.03*1.03*1.03</f>
        <v>0</v>
      </c>
      <c r="U311" s="57">
        <f t="shared" si="279"/>
        <v>0</v>
      </c>
      <c r="V311" s="59"/>
      <c r="W311" s="124">
        <f t="shared" si="280"/>
        <v>0</v>
      </c>
      <c r="X311" s="57">
        <f t="shared" si="280"/>
        <v>0</v>
      </c>
      <c r="Y311" s="84">
        <f t="shared" si="280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0</v>
      </c>
      <c r="D312" s="125">
        <f>SUM(D309:D311)</f>
        <v>0</v>
      </c>
      <c r="E312" s="125">
        <f>SUM(E309:E311)</f>
        <v>0</v>
      </c>
      <c r="F312" s="81"/>
      <c r="G312" s="79">
        <f>SUM(G309:G311)</f>
        <v>0</v>
      </c>
      <c r="H312" s="80">
        <f>SUM(H309:H311)</f>
        <v>0</v>
      </c>
      <c r="I312" s="80">
        <f>SUM(I309:I311)</f>
        <v>0</v>
      </c>
      <c r="J312" s="81"/>
      <c r="K312" s="79">
        <f>SUM(K309:K311)</f>
        <v>0</v>
      </c>
      <c r="L312" s="80">
        <f>SUM(L309:L311)</f>
        <v>0</v>
      </c>
      <c r="M312" s="80">
        <f>SUM(M309:M311)</f>
        <v>0</v>
      </c>
      <c r="N312" s="81"/>
      <c r="O312" s="79">
        <f>SUM(O309:O311)</f>
        <v>0</v>
      </c>
      <c r="P312" s="80">
        <f>SUM(P309:P311)</f>
        <v>0</v>
      </c>
      <c r="Q312" s="80">
        <f>SUM(Q309:Q311)</f>
        <v>0</v>
      </c>
      <c r="R312" s="81"/>
      <c r="S312" s="79">
        <f>SUM(S309:S311)</f>
        <v>0</v>
      </c>
      <c r="T312" s="80">
        <f>SUM(T309:T311)</f>
        <v>0</v>
      </c>
      <c r="U312" s="80">
        <f>SUM(U309:U311)</f>
        <v>0</v>
      </c>
      <c r="V312" s="82"/>
      <c r="W312" s="228">
        <f t="shared" si="280"/>
        <v>0</v>
      </c>
      <c r="X312" s="80">
        <f t="shared" si="280"/>
        <v>0</v>
      </c>
      <c r="Y312" s="80">
        <f t="shared" si="280"/>
        <v>0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281">C312+C307</f>
        <v>0</v>
      </c>
      <c r="D313" s="248">
        <f t="shared" si="281"/>
        <v>0</v>
      </c>
      <c r="E313" s="248">
        <f t="shared" si="281"/>
        <v>0</v>
      </c>
      <c r="F313" s="248">
        <f t="shared" si="281"/>
        <v>0</v>
      </c>
      <c r="G313" s="248">
        <f t="shared" si="281"/>
        <v>0</v>
      </c>
      <c r="H313" s="248">
        <f t="shared" si="281"/>
        <v>0</v>
      </c>
      <c r="I313" s="248">
        <f t="shared" si="281"/>
        <v>0</v>
      </c>
      <c r="J313" s="248">
        <f t="shared" si="281"/>
        <v>0</v>
      </c>
      <c r="K313" s="248">
        <f t="shared" si="281"/>
        <v>0</v>
      </c>
      <c r="L313" s="248">
        <f t="shared" si="281"/>
        <v>0</v>
      </c>
      <c r="M313" s="248">
        <f t="shared" si="281"/>
        <v>0</v>
      </c>
      <c r="N313" s="248">
        <f t="shared" si="281"/>
        <v>0</v>
      </c>
      <c r="O313" s="248">
        <f t="shared" si="281"/>
        <v>0</v>
      </c>
      <c r="P313" s="248">
        <f t="shared" si="281"/>
        <v>0</v>
      </c>
      <c r="Q313" s="248">
        <f t="shared" si="281"/>
        <v>0</v>
      </c>
      <c r="R313" s="248">
        <f t="shared" si="281"/>
        <v>0</v>
      </c>
      <c r="S313" s="248">
        <f t="shared" si="281"/>
        <v>0</v>
      </c>
      <c r="T313" s="248">
        <f t="shared" si="281"/>
        <v>0</v>
      </c>
      <c r="U313" s="248">
        <f t="shared" si="281"/>
        <v>0</v>
      </c>
      <c r="V313" s="248">
        <f t="shared" si="281"/>
        <v>0</v>
      </c>
      <c r="W313" s="248">
        <f t="shared" si="281"/>
        <v>0</v>
      </c>
      <c r="X313" s="248">
        <f t="shared" si="281"/>
        <v>0</v>
      </c>
      <c r="Y313" s="248">
        <f t="shared" si="281"/>
        <v>0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282">SUM(C315:D315)</f>
        <v>0</v>
      </c>
      <c r="F315" s="58"/>
      <c r="G315" s="55">
        <v>0</v>
      </c>
      <c r="H315" s="57">
        <v>0</v>
      </c>
      <c r="I315" s="57">
        <f t="shared" ref="I315:I317" si="283">SUM(G315:H315)</f>
        <v>0</v>
      </c>
      <c r="J315" s="58"/>
      <c r="K315" s="55">
        <v>0</v>
      </c>
      <c r="L315" s="57">
        <v>0</v>
      </c>
      <c r="M315" s="57">
        <f t="shared" ref="M315:M317" si="284">SUM(K315:L315)</f>
        <v>0</v>
      </c>
      <c r="N315" s="58"/>
      <c r="O315" s="55">
        <v>0</v>
      </c>
      <c r="P315" s="57">
        <v>0</v>
      </c>
      <c r="Q315" s="57">
        <f t="shared" ref="Q315:Q317" si="285">SUM(O315:P315)</f>
        <v>0</v>
      </c>
      <c r="R315" s="58"/>
      <c r="S315" s="55">
        <v>0</v>
      </c>
      <c r="T315" s="57">
        <v>0</v>
      </c>
      <c r="U315" s="57">
        <f t="shared" ref="U315:U317" si="286">SUM(S315:T315)</f>
        <v>0</v>
      </c>
      <c r="V315" s="59"/>
      <c r="W315" s="124">
        <f t="shared" ref="W315:Y318" si="287">C315+G315+K315+O315+S315</f>
        <v>0</v>
      </c>
      <c r="X315" s="57">
        <f t="shared" si="287"/>
        <v>0</v>
      </c>
      <c r="Y315" s="84">
        <f t="shared" si="287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282"/>
        <v>0</v>
      </c>
      <c r="F316" s="58"/>
      <c r="G316" s="55">
        <v>0</v>
      </c>
      <c r="H316" s="57">
        <v>0</v>
      </c>
      <c r="I316" s="57">
        <f t="shared" si="283"/>
        <v>0</v>
      </c>
      <c r="J316" s="58"/>
      <c r="K316" s="55">
        <v>0</v>
      </c>
      <c r="L316" s="57">
        <v>0</v>
      </c>
      <c r="M316" s="57">
        <f t="shared" si="284"/>
        <v>0</v>
      </c>
      <c r="N316" s="58"/>
      <c r="O316" s="55">
        <f>K316</f>
        <v>0</v>
      </c>
      <c r="P316" s="57">
        <v>0</v>
      </c>
      <c r="Q316" s="57">
        <f t="shared" si="285"/>
        <v>0</v>
      </c>
      <c r="R316" s="58"/>
      <c r="S316" s="55">
        <f>O316</f>
        <v>0</v>
      </c>
      <c r="T316" s="57">
        <v>0</v>
      </c>
      <c r="U316" s="57">
        <f t="shared" si="286"/>
        <v>0</v>
      </c>
      <c r="V316" s="59"/>
      <c r="W316" s="124">
        <f t="shared" si="287"/>
        <v>0</v>
      </c>
      <c r="X316" s="57">
        <f t="shared" si="287"/>
        <v>0</v>
      </c>
      <c r="Y316" s="84">
        <f t="shared" si="287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282"/>
        <v>0</v>
      </c>
      <c r="F317" s="58"/>
      <c r="G317" s="55">
        <v>0</v>
      </c>
      <c r="H317" s="57">
        <v>0</v>
      </c>
      <c r="I317" s="57">
        <f t="shared" si="283"/>
        <v>0</v>
      </c>
      <c r="J317" s="58"/>
      <c r="K317" s="55">
        <f>G317</f>
        <v>0</v>
      </c>
      <c r="L317" s="57">
        <v>0</v>
      </c>
      <c r="M317" s="57">
        <f t="shared" si="284"/>
        <v>0</v>
      </c>
      <c r="N317" s="58"/>
      <c r="O317" s="55">
        <v>0</v>
      </c>
      <c r="P317" s="57">
        <v>0</v>
      </c>
      <c r="Q317" s="57">
        <f t="shared" si="285"/>
        <v>0</v>
      </c>
      <c r="R317" s="58"/>
      <c r="S317" s="55">
        <f>O317</f>
        <v>0</v>
      </c>
      <c r="T317" s="57">
        <v>0</v>
      </c>
      <c r="U317" s="57">
        <f t="shared" si="286"/>
        <v>0</v>
      </c>
      <c r="V317" s="59"/>
      <c r="W317" s="124">
        <f t="shared" si="287"/>
        <v>0</v>
      </c>
      <c r="X317" s="57">
        <f t="shared" si="287"/>
        <v>0</v>
      </c>
      <c r="Y317" s="84">
        <f t="shared" si="287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287"/>
        <v>0</v>
      </c>
      <c r="X318" s="80">
        <f t="shared" si="287"/>
        <v>0</v>
      </c>
      <c r="Y318" s="80">
        <f t="shared" si="287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144</v>
      </c>
      <c r="C320" s="124">
        <f>12*800*0.5*0</f>
        <v>0</v>
      </c>
      <c r="D320" s="56">
        <f>12*800*0.5*0</f>
        <v>0</v>
      </c>
      <c r="E320" s="56">
        <f t="shared" ref="E320:E322" si="288">SUM(C320:D320)</f>
        <v>0</v>
      </c>
      <c r="F320" s="58"/>
      <c r="G320" s="55">
        <f>C320</f>
        <v>0</v>
      </c>
      <c r="H320" s="57">
        <f>D320</f>
        <v>0</v>
      </c>
      <c r="I320" s="57">
        <f t="shared" ref="I320:I322" si="289">SUM(G320:H320)</f>
        <v>0</v>
      </c>
      <c r="J320" s="58"/>
      <c r="K320" s="55">
        <f>G320</f>
        <v>0</v>
      </c>
      <c r="L320" s="57">
        <f>H320</f>
        <v>0</v>
      </c>
      <c r="M320" s="57">
        <f t="shared" ref="M320:M322" si="290">SUM(K320:L320)</f>
        <v>0</v>
      </c>
      <c r="N320" s="58"/>
      <c r="O320" s="55">
        <f>K320</f>
        <v>0</v>
      </c>
      <c r="P320" s="57">
        <f>L320</f>
        <v>0</v>
      </c>
      <c r="Q320" s="57">
        <f t="shared" ref="Q320:Q322" si="291">SUM(O320:P320)</f>
        <v>0</v>
      </c>
      <c r="R320" s="58"/>
      <c r="S320" s="55">
        <f>O320</f>
        <v>0</v>
      </c>
      <c r="T320" s="57">
        <f>P320</f>
        <v>0</v>
      </c>
      <c r="U320" s="57">
        <f t="shared" ref="U320:U322" si="292">SUM(S320:T320)</f>
        <v>0</v>
      </c>
      <c r="V320" s="59"/>
      <c r="W320" s="124">
        <f t="shared" ref="W320:Y323" si="293">C320+G320+K320+O320+S320</f>
        <v>0</v>
      </c>
      <c r="X320" s="57">
        <f t="shared" si="293"/>
        <v>0</v>
      </c>
      <c r="Y320" s="84">
        <f t="shared" si="293"/>
        <v>0</v>
      </c>
    </row>
    <row r="321" spans="1:77" s="61" customFormat="1" x14ac:dyDescent="0.25">
      <c r="A321" s="203"/>
      <c r="B321" s="52" t="s">
        <v>57</v>
      </c>
      <c r="C321" s="124">
        <f>2000*5*0.5*0</f>
        <v>0</v>
      </c>
      <c r="D321" s="56">
        <f>2000*5*0.5*0</f>
        <v>0</v>
      </c>
      <c r="E321" s="56">
        <f t="shared" si="288"/>
        <v>0</v>
      </c>
      <c r="F321" s="58"/>
      <c r="G321" s="55">
        <f>C321</f>
        <v>0</v>
      </c>
      <c r="H321" s="57">
        <f>D321</f>
        <v>0</v>
      </c>
      <c r="I321" s="57">
        <f t="shared" si="289"/>
        <v>0</v>
      </c>
      <c r="J321" s="58"/>
      <c r="K321" s="55">
        <f>G321</f>
        <v>0</v>
      </c>
      <c r="L321" s="57">
        <f>H321</f>
        <v>0</v>
      </c>
      <c r="M321" s="57">
        <f t="shared" si="290"/>
        <v>0</v>
      </c>
      <c r="N321" s="58"/>
      <c r="O321" s="55">
        <f>K321</f>
        <v>0</v>
      </c>
      <c r="P321" s="57">
        <f>L321</f>
        <v>0</v>
      </c>
      <c r="Q321" s="57">
        <f t="shared" si="291"/>
        <v>0</v>
      </c>
      <c r="R321" s="58"/>
      <c r="S321" s="55">
        <f>O321</f>
        <v>0</v>
      </c>
      <c r="T321" s="57">
        <f>P321</f>
        <v>0</v>
      </c>
      <c r="U321" s="57">
        <f t="shared" si="292"/>
        <v>0</v>
      </c>
      <c r="V321" s="59"/>
      <c r="W321" s="124">
        <f t="shared" si="293"/>
        <v>0</v>
      </c>
      <c r="X321" s="57">
        <f t="shared" si="293"/>
        <v>0</v>
      </c>
      <c r="Y321" s="84">
        <f t="shared" si="293"/>
        <v>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si="288"/>
        <v>0</v>
      </c>
      <c r="F322" s="58"/>
      <c r="G322" s="55">
        <v>0</v>
      </c>
      <c r="H322" s="57">
        <v>0</v>
      </c>
      <c r="I322" s="57">
        <f t="shared" si="289"/>
        <v>0</v>
      </c>
      <c r="J322" s="58"/>
      <c r="K322" s="55">
        <v>0</v>
      </c>
      <c r="L322" s="57">
        <v>0</v>
      </c>
      <c r="M322" s="57">
        <f t="shared" si="290"/>
        <v>0</v>
      </c>
      <c r="N322" s="58"/>
      <c r="O322" s="55">
        <v>0</v>
      </c>
      <c r="P322" s="57">
        <v>0</v>
      </c>
      <c r="Q322" s="57">
        <f t="shared" si="291"/>
        <v>0</v>
      </c>
      <c r="R322" s="58"/>
      <c r="S322" s="55">
        <v>0</v>
      </c>
      <c r="T322" s="57">
        <v>0</v>
      </c>
      <c r="U322" s="57">
        <f t="shared" si="292"/>
        <v>0</v>
      </c>
      <c r="V322" s="59"/>
      <c r="W322" s="124">
        <f t="shared" si="293"/>
        <v>0</v>
      </c>
      <c r="X322" s="57">
        <f t="shared" si="293"/>
        <v>0</v>
      </c>
      <c r="Y322" s="84">
        <f t="shared" si="293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0</v>
      </c>
      <c r="D323" s="125">
        <f>SUM(D320:D322)</f>
        <v>0</v>
      </c>
      <c r="E323" s="125">
        <f>SUM(E320:E322)</f>
        <v>0</v>
      </c>
      <c r="F323" s="81"/>
      <c r="G323" s="79">
        <f>SUM(G320:G322)</f>
        <v>0</v>
      </c>
      <c r="H323" s="80">
        <f>SUM(H320:H322)</f>
        <v>0</v>
      </c>
      <c r="I323" s="80">
        <f>SUM(I320:I322)</f>
        <v>0</v>
      </c>
      <c r="J323" s="81"/>
      <c r="K323" s="79">
        <f>SUM(K320:K322)</f>
        <v>0</v>
      </c>
      <c r="L323" s="80">
        <f>SUM(L320:L322)</f>
        <v>0</v>
      </c>
      <c r="M323" s="80">
        <f>SUM(M320:M322)</f>
        <v>0</v>
      </c>
      <c r="N323" s="81"/>
      <c r="O323" s="79">
        <f>SUM(O320:O322)</f>
        <v>0</v>
      </c>
      <c r="P323" s="80">
        <f>SUM(P320:P322)</f>
        <v>0</v>
      </c>
      <c r="Q323" s="80">
        <f>SUM(Q320:Q322)</f>
        <v>0</v>
      </c>
      <c r="R323" s="81"/>
      <c r="S323" s="79">
        <f>SUM(S320:S322)</f>
        <v>0</v>
      </c>
      <c r="T323" s="80">
        <f>SUM(T320:T322)</f>
        <v>0</v>
      </c>
      <c r="U323" s="80">
        <f>SUM(U320:U322)</f>
        <v>0</v>
      </c>
      <c r="V323" s="82"/>
      <c r="W323" s="228">
        <f t="shared" si="293"/>
        <v>0</v>
      </c>
      <c r="X323" s="80">
        <f t="shared" si="293"/>
        <v>0</v>
      </c>
      <c r="Y323" s="80">
        <f t="shared" si="293"/>
        <v>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Y327" si="294">C325+G325+K325+O325+S325</f>
        <v>0</v>
      </c>
      <c r="X325" s="57">
        <f t="shared" si="294"/>
        <v>0</v>
      </c>
      <c r="Y325" s="84">
        <f t="shared" si="294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294"/>
        <v>0</v>
      </c>
      <c r="X326" s="56">
        <f t="shared" si="294"/>
        <v>0</v>
      </c>
      <c r="Y326" s="85">
        <f t="shared" si="294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294"/>
        <v>0</v>
      </c>
      <c r="X327" s="80">
        <f t="shared" si="294"/>
        <v>0</v>
      </c>
      <c r="Y327" s="80">
        <f t="shared" si="294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169" customFormat="1" x14ac:dyDescent="0.25">
      <c r="B329" s="169" t="s">
        <v>116</v>
      </c>
      <c r="C329" s="172">
        <v>0</v>
      </c>
      <c r="D329" s="174">
        <v>0</v>
      </c>
      <c r="E329" s="173">
        <f t="shared" ref="E329" si="295">SUM(C329:D329)</f>
        <v>0</v>
      </c>
      <c r="F329" s="175"/>
      <c r="G329" s="172">
        <f>C329</f>
        <v>0</v>
      </c>
      <c r="H329" s="174">
        <v>0</v>
      </c>
      <c r="I329" s="173">
        <f t="shared" ref="I329" si="296">SUM(G329:H329)</f>
        <v>0</v>
      </c>
      <c r="J329" s="175"/>
      <c r="K329" s="172">
        <f>G329</f>
        <v>0</v>
      </c>
      <c r="L329" s="174">
        <v>0</v>
      </c>
      <c r="M329" s="173">
        <f t="shared" ref="M329" si="297">SUM(K329:L329)</f>
        <v>0</v>
      </c>
      <c r="N329" s="175"/>
      <c r="O329" s="172">
        <f>K329</f>
        <v>0</v>
      </c>
      <c r="P329" s="174">
        <v>0</v>
      </c>
      <c r="Q329" s="174">
        <f t="shared" ref="Q329" si="298">SUM(O329:P329)</f>
        <v>0</v>
      </c>
      <c r="R329" s="175"/>
      <c r="S329" s="172">
        <f>O329</f>
        <v>0</v>
      </c>
      <c r="T329" s="174">
        <v>0</v>
      </c>
      <c r="U329" s="173">
        <f t="shared" ref="U329" si="299">SUM(S329:T329)</f>
        <v>0</v>
      </c>
      <c r="V329" s="176"/>
      <c r="W329" s="227">
        <f t="shared" ref="W329:Y333" si="300">C329+G329+K329+O329+S329</f>
        <v>0</v>
      </c>
      <c r="X329" s="173">
        <f t="shared" si="300"/>
        <v>0</v>
      </c>
      <c r="Y329" s="186">
        <f t="shared" si="300"/>
        <v>0</v>
      </c>
    </row>
    <row r="330" spans="1:77" s="61" customFormat="1" x14ac:dyDescent="0.25">
      <c r="A330" s="203"/>
      <c r="B330" s="54" t="s">
        <v>57</v>
      </c>
      <c r="C330" s="124">
        <v>0</v>
      </c>
      <c r="D330" s="56">
        <v>0</v>
      </c>
      <c r="E330" s="56">
        <f t="shared" ref="E330:E332" si="301">SUM(C330:D330)</f>
        <v>0</v>
      </c>
      <c r="F330" s="58"/>
      <c r="G330" s="55">
        <v>0</v>
      </c>
      <c r="H330" s="57">
        <v>0</v>
      </c>
      <c r="I330" s="57">
        <f t="shared" ref="I330:I332" si="302">SUM(G330:H330)</f>
        <v>0</v>
      </c>
      <c r="J330" s="58"/>
      <c r="K330" s="55">
        <v>0</v>
      </c>
      <c r="L330" s="56">
        <v>0</v>
      </c>
      <c r="M330" s="57">
        <f t="shared" ref="M330:M332" si="303">SUM(K330:L330)</f>
        <v>0</v>
      </c>
      <c r="N330" s="58"/>
      <c r="O330" s="55">
        <v>0</v>
      </c>
      <c r="P330" s="57">
        <v>0</v>
      </c>
      <c r="Q330" s="57">
        <f t="shared" ref="Q330:Q332" si="304">SUM(O330:P330)</f>
        <v>0</v>
      </c>
      <c r="R330" s="58"/>
      <c r="S330" s="55">
        <v>0</v>
      </c>
      <c r="T330" s="56">
        <v>0</v>
      </c>
      <c r="U330" s="57">
        <f t="shared" ref="U330:U332" si="305">SUM(S330:T330)</f>
        <v>0</v>
      </c>
      <c r="V330" s="59"/>
      <c r="W330" s="124">
        <f t="shared" si="300"/>
        <v>0</v>
      </c>
      <c r="X330" s="57">
        <f t="shared" si="300"/>
        <v>0</v>
      </c>
      <c r="Y330" s="84">
        <f t="shared" si="300"/>
        <v>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si="301"/>
        <v>0</v>
      </c>
      <c r="F331" s="58"/>
      <c r="G331" s="55">
        <v>0</v>
      </c>
      <c r="H331" s="57"/>
      <c r="I331" s="57">
        <f t="shared" si="302"/>
        <v>0</v>
      </c>
      <c r="J331" s="58"/>
      <c r="K331" s="55">
        <v>0</v>
      </c>
      <c r="L331" s="56">
        <v>0</v>
      </c>
      <c r="M331" s="57">
        <f t="shared" si="303"/>
        <v>0</v>
      </c>
      <c r="N331" s="58"/>
      <c r="O331" s="55">
        <v>0</v>
      </c>
      <c r="P331" s="56">
        <v>0</v>
      </c>
      <c r="Q331" s="56">
        <f t="shared" si="304"/>
        <v>0</v>
      </c>
      <c r="R331" s="58"/>
      <c r="S331" s="55">
        <v>0</v>
      </c>
      <c r="T331" s="56">
        <v>0</v>
      </c>
      <c r="U331" s="57">
        <f t="shared" si="305"/>
        <v>0</v>
      </c>
      <c r="V331" s="59"/>
      <c r="W331" s="124">
        <f t="shared" si="300"/>
        <v>0</v>
      </c>
      <c r="X331" s="57">
        <f t="shared" si="300"/>
        <v>0</v>
      </c>
      <c r="Y331" s="84">
        <f t="shared" si="300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301"/>
        <v>0</v>
      </c>
      <c r="F332" s="58"/>
      <c r="G332" s="55">
        <v>0</v>
      </c>
      <c r="H332" s="57">
        <v>0</v>
      </c>
      <c r="I332" s="57">
        <f t="shared" si="302"/>
        <v>0</v>
      </c>
      <c r="J332" s="58"/>
      <c r="K332" s="55">
        <v>0</v>
      </c>
      <c r="L332" s="57">
        <v>0</v>
      </c>
      <c r="M332" s="57">
        <f t="shared" si="303"/>
        <v>0</v>
      </c>
      <c r="N332" s="58"/>
      <c r="O332" s="55">
        <v>0</v>
      </c>
      <c r="P332" s="57">
        <v>0</v>
      </c>
      <c r="Q332" s="57">
        <f t="shared" si="304"/>
        <v>0</v>
      </c>
      <c r="R332" s="58"/>
      <c r="S332" s="55">
        <v>0</v>
      </c>
      <c r="T332" s="57">
        <v>0</v>
      </c>
      <c r="U332" s="57">
        <f t="shared" si="305"/>
        <v>0</v>
      </c>
      <c r="V332" s="59"/>
      <c r="W332" s="124">
        <f t="shared" si="300"/>
        <v>0</v>
      </c>
      <c r="X332" s="57">
        <f t="shared" si="300"/>
        <v>0</v>
      </c>
      <c r="Y332" s="84">
        <f t="shared" si="300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0</v>
      </c>
      <c r="D333" s="153">
        <f>SUM(D329:D332)</f>
        <v>0</v>
      </c>
      <c r="E333" s="153">
        <f>SUM(E329:E332)</f>
        <v>0</v>
      </c>
      <c r="F333" s="154"/>
      <c r="G333" s="152">
        <f>SUM(G329:G332)</f>
        <v>0</v>
      </c>
      <c r="H333" s="155">
        <f>SUM(H329:H332)</f>
        <v>0</v>
      </c>
      <c r="I333" s="155">
        <f>SUM(I329:I332)</f>
        <v>0</v>
      </c>
      <c r="J333" s="154"/>
      <c r="K333" s="152">
        <f>SUM(K329:K332)</f>
        <v>0</v>
      </c>
      <c r="L333" s="155">
        <f>SUM(L329:L332)</f>
        <v>0</v>
      </c>
      <c r="M333" s="155">
        <f>SUM(M329:M332)</f>
        <v>0</v>
      </c>
      <c r="N333" s="154"/>
      <c r="O333" s="152">
        <f>SUM(O329:O332)</f>
        <v>0</v>
      </c>
      <c r="P333" s="155">
        <f>SUM(P329:P332)</f>
        <v>0</v>
      </c>
      <c r="Q333" s="155">
        <f>SUM(Q329:Q332)</f>
        <v>0</v>
      </c>
      <c r="R333" s="154"/>
      <c r="S333" s="152">
        <f>SUM(S329:S332)</f>
        <v>0</v>
      </c>
      <c r="T333" s="155">
        <f>SUM(T329:T332)</f>
        <v>0</v>
      </c>
      <c r="U333" s="155">
        <f>SUM(U329:U332)</f>
        <v>0</v>
      </c>
      <c r="V333" s="82"/>
      <c r="W333" s="228">
        <f t="shared" si="300"/>
        <v>0</v>
      </c>
      <c r="X333" s="80">
        <f t="shared" si="300"/>
        <v>0</v>
      </c>
      <c r="Y333" s="80">
        <f t="shared" si="300"/>
        <v>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306">SUM(C313+C318+C323+C327+C333)</f>
        <v>0</v>
      </c>
      <c r="D334" s="251">
        <f t="shared" si="306"/>
        <v>0</v>
      </c>
      <c r="E334" s="251">
        <f t="shared" si="306"/>
        <v>0</v>
      </c>
      <c r="F334" s="251">
        <f t="shared" si="306"/>
        <v>0</v>
      </c>
      <c r="G334" s="251">
        <f t="shared" si="306"/>
        <v>0</v>
      </c>
      <c r="H334" s="251">
        <f t="shared" si="306"/>
        <v>0</v>
      </c>
      <c r="I334" s="251">
        <f t="shared" si="306"/>
        <v>0</v>
      </c>
      <c r="J334" s="251">
        <f t="shared" si="306"/>
        <v>0</v>
      </c>
      <c r="K334" s="251">
        <f t="shared" si="306"/>
        <v>0</v>
      </c>
      <c r="L334" s="251">
        <f t="shared" si="306"/>
        <v>0</v>
      </c>
      <c r="M334" s="251">
        <f t="shared" si="306"/>
        <v>0</v>
      </c>
      <c r="N334" s="251">
        <f t="shared" si="306"/>
        <v>0</v>
      </c>
      <c r="O334" s="251">
        <f t="shared" si="306"/>
        <v>0</v>
      </c>
      <c r="P334" s="251">
        <f t="shared" si="306"/>
        <v>0</v>
      </c>
      <c r="Q334" s="251">
        <f t="shared" si="306"/>
        <v>0</v>
      </c>
      <c r="R334" s="251">
        <f t="shared" si="306"/>
        <v>0</v>
      </c>
      <c r="S334" s="251">
        <f t="shared" si="306"/>
        <v>0</v>
      </c>
      <c r="T334" s="251">
        <f t="shared" si="306"/>
        <v>0</v>
      </c>
      <c r="U334" s="251">
        <f t="shared" si="306"/>
        <v>0</v>
      </c>
      <c r="V334" s="251">
        <f t="shared" si="306"/>
        <v>0</v>
      </c>
      <c r="W334" s="251">
        <f t="shared" si="306"/>
        <v>0</v>
      </c>
      <c r="X334" s="251">
        <f t="shared" si="306"/>
        <v>0</v>
      </c>
      <c r="Y334" s="251">
        <f t="shared" si="306"/>
        <v>0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((C307)*0.56)</f>
        <v>0</v>
      </c>
      <c r="D335" s="251">
        <v>0</v>
      </c>
      <c r="E335" s="251">
        <f>C335</f>
        <v>0</v>
      </c>
      <c r="F335" s="251">
        <f>F307*0.47</f>
        <v>0</v>
      </c>
      <c r="G335" s="251">
        <f>((G307)*0.56)</f>
        <v>0</v>
      </c>
      <c r="H335" s="251">
        <v>0</v>
      </c>
      <c r="I335" s="251">
        <f>G335</f>
        <v>0</v>
      </c>
      <c r="J335" s="251">
        <f>J307*0.47</f>
        <v>0</v>
      </c>
      <c r="K335" s="251">
        <f>((K307)*0.56)</f>
        <v>0</v>
      </c>
      <c r="L335" s="251">
        <v>0</v>
      </c>
      <c r="M335" s="251">
        <f>K335</f>
        <v>0</v>
      </c>
      <c r="N335" s="251">
        <f>N307*0.47</f>
        <v>0</v>
      </c>
      <c r="O335" s="251">
        <f>((O307)*0.56)</f>
        <v>0</v>
      </c>
      <c r="P335" s="251">
        <v>0</v>
      </c>
      <c r="Q335" s="251">
        <f>O335</f>
        <v>0</v>
      </c>
      <c r="R335" s="251">
        <f>R307*0.47</f>
        <v>0</v>
      </c>
      <c r="S335" s="251">
        <f>((S307)*0.56)</f>
        <v>0</v>
      </c>
      <c r="T335" s="251">
        <v>0</v>
      </c>
      <c r="U335" s="251">
        <f>S335</f>
        <v>0</v>
      </c>
      <c r="V335" s="251">
        <f>V307*0.47</f>
        <v>0</v>
      </c>
      <c r="W335" s="251">
        <f>((W307)*0.56)</f>
        <v>0</v>
      </c>
      <c r="X335" s="251">
        <v>0</v>
      </c>
      <c r="Y335" s="251">
        <f>W335</f>
        <v>0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0</v>
      </c>
      <c r="D336" s="251">
        <f t="shared" ref="D336:Y336" si="307">SUM(D334:D335)</f>
        <v>0</v>
      </c>
      <c r="E336" s="251">
        <f t="shared" si="307"/>
        <v>0</v>
      </c>
      <c r="F336" s="251">
        <f t="shared" si="307"/>
        <v>0</v>
      </c>
      <c r="G336" s="251">
        <f t="shared" si="307"/>
        <v>0</v>
      </c>
      <c r="H336" s="251">
        <f t="shared" si="307"/>
        <v>0</v>
      </c>
      <c r="I336" s="251">
        <f t="shared" si="307"/>
        <v>0</v>
      </c>
      <c r="J336" s="251">
        <f t="shared" si="307"/>
        <v>0</v>
      </c>
      <c r="K336" s="251">
        <f t="shared" si="307"/>
        <v>0</v>
      </c>
      <c r="L336" s="251">
        <f t="shared" si="307"/>
        <v>0</v>
      </c>
      <c r="M336" s="251">
        <f t="shared" si="307"/>
        <v>0</v>
      </c>
      <c r="N336" s="251">
        <f t="shared" si="307"/>
        <v>0</v>
      </c>
      <c r="O336" s="251">
        <f t="shared" si="307"/>
        <v>0</v>
      </c>
      <c r="P336" s="251">
        <f t="shared" si="307"/>
        <v>0</v>
      </c>
      <c r="Q336" s="251">
        <f t="shared" si="307"/>
        <v>0</v>
      </c>
      <c r="R336" s="251">
        <f t="shared" si="307"/>
        <v>0</v>
      </c>
      <c r="S336" s="251">
        <f t="shared" si="307"/>
        <v>0</v>
      </c>
      <c r="T336" s="251">
        <f t="shared" si="307"/>
        <v>0</v>
      </c>
      <c r="U336" s="251">
        <f t="shared" si="307"/>
        <v>0</v>
      </c>
      <c r="V336" s="251">
        <f t="shared" si="307"/>
        <v>0</v>
      </c>
      <c r="W336" s="251">
        <f t="shared" si="307"/>
        <v>0</v>
      </c>
      <c r="X336" s="251">
        <f t="shared" si="307"/>
        <v>0</v>
      </c>
      <c r="Y336" s="251">
        <f t="shared" si="307"/>
        <v>0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49737.5</v>
      </c>
      <c r="D339" s="121">
        <f t="shared" ref="D339:X339" si="308">D248+D176+D88+D292+D336</f>
        <v>125000</v>
      </c>
      <c r="E339" s="121">
        <f t="shared" si="308"/>
        <v>174737.5</v>
      </c>
      <c r="F339" s="121">
        <f t="shared" si="308"/>
        <v>0</v>
      </c>
      <c r="G339" s="121">
        <f t="shared" si="308"/>
        <v>48587.5</v>
      </c>
      <c r="H339" s="121">
        <f t="shared" si="308"/>
        <v>100000</v>
      </c>
      <c r="I339" s="121">
        <f t="shared" si="308"/>
        <v>148587.5</v>
      </c>
      <c r="J339" s="121">
        <f t="shared" si="308"/>
        <v>0</v>
      </c>
      <c r="K339" s="121">
        <f t="shared" si="308"/>
        <v>17300</v>
      </c>
      <c r="L339" s="121">
        <f t="shared" si="308"/>
        <v>20000</v>
      </c>
      <c r="M339" s="121">
        <f t="shared" si="308"/>
        <v>37300</v>
      </c>
      <c r="N339" s="121">
        <f t="shared" si="308"/>
        <v>0</v>
      </c>
      <c r="O339" s="121">
        <f t="shared" si="308"/>
        <v>42100</v>
      </c>
      <c r="P339" s="121">
        <f t="shared" si="308"/>
        <v>80000</v>
      </c>
      <c r="Q339" s="121">
        <f t="shared" si="308"/>
        <v>122100</v>
      </c>
      <c r="R339" s="121">
        <f t="shared" si="308"/>
        <v>0</v>
      </c>
      <c r="S339" s="121">
        <f t="shared" si="308"/>
        <v>0</v>
      </c>
      <c r="T339" s="121">
        <f t="shared" si="308"/>
        <v>17500</v>
      </c>
      <c r="U339" s="121">
        <f t="shared" si="308"/>
        <v>17500</v>
      </c>
      <c r="V339" s="121">
        <f t="shared" si="308"/>
        <v>0</v>
      </c>
      <c r="W339" s="121">
        <f t="shared" si="308"/>
        <v>157725</v>
      </c>
      <c r="X339" s="121">
        <f t="shared" si="308"/>
        <v>342500</v>
      </c>
      <c r="Y339" s="121">
        <f>Y248+Y176+Y88+Y292+Y336</f>
        <v>500225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4" customFormat="1" x14ac:dyDescent="0.25">
      <c r="V340" s="45"/>
      <c r="W340" s="47"/>
      <c r="X340" s="47"/>
      <c r="Y340" s="46"/>
    </row>
    <row r="341" spans="1:77" s="4" customFormat="1" x14ac:dyDescent="0.25">
      <c r="V341" s="45"/>
      <c r="W341" s="47"/>
      <c r="X341" s="47"/>
      <c r="Y341" s="46"/>
    </row>
    <row r="342" spans="1:77" s="4" customFormat="1" x14ac:dyDescent="0.25">
      <c r="V342" s="45"/>
      <c r="W342" s="47"/>
      <c r="X342" s="47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12"/>
      <c r="X348" s="12"/>
      <c r="Y348" s="46"/>
    </row>
    <row r="349" spans="1:77" s="4" customFormat="1" x14ac:dyDescent="0.25">
      <c r="V349" s="45"/>
      <c r="W349" s="12"/>
      <c r="X349" s="12"/>
      <c r="Y349" s="46"/>
    </row>
    <row r="350" spans="1:77" s="4" customFormat="1" x14ac:dyDescent="0.25">
      <c r="V350" s="45"/>
      <c r="W350" s="12"/>
      <c r="X350" s="12"/>
      <c r="Y350" s="46"/>
    </row>
    <row r="351" spans="1:77" s="4" customFormat="1" x14ac:dyDescent="0.25">
      <c r="V351" s="45"/>
      <c r="W351" s="12"/>
      <c r="X351" s="12"/>
      <c r="Y351" s="46"/>
    </row>
    <row r="352" spans="1:77" s="4" customFormat="1" x14ac:dyDescent="0.25">
      <c r="V352" s="45"/>
      <c r="W352" s="12"/>
      <c r="X352" s="12"/>
      <c r="Y352" s="46"/>
    </row>
    <row r="353" spans="22:25" s="4" customFormat="1" x14ac:dyDescent="0.25">
      <c r="V353" s="45"/>
      <c r="W353" s="12"/>
      <c r="X353" s="12"/>
      <c r="Y353" s="46"/>
    </row>
    <row r="354" spans="22:25" s="4" customFormat="1" x14ac:dyDescent="0.25">
      <c r="V354" s="45"/>
      <c r="W354" s="12"/>
      <c r="X354" s="12"/>
      <c r="Y354" s="46"/>
    </row>
    <row r="355" spans="22:25" s="4" customFormat="1" x14ac:dyDescent="0.25">
      <c r="V355" s="45"/>
      <c r="W355" s="12"/>
      <c r="X355" s="12"/>
      <c r="Y355" s="46"/>
    </row>
    <row r="356" spans="22:25" s="4" customFormat="1" x14ac:dyDescent="0.25">
      <c r="V356" s="45"/>
      <c r="W356" s="12"/>
      <c r="X356" s="12"/>
      <c r="Y356" s="46"/>
    </row>
    <row r="357" spans="22:25" s="4" customFormat="1" x14ac:dyDescent="0.25">
      <c r="V357" s="45"/>
      <c r="W357" s="12"/>
      <c r="X357" s="12"/>
      <c r="Y357" s="46"/>
    </row>
    <row r="358" spans="22:25" s="4" customFormat="1" x14ac:dyDescent="0.25">
      <c r="V358" s="45"/>
      <c r="W358" s="12"/>
      <c r="X358" s="12"/>
      <c r="Y358" s="46"/>
    </row>
    <row r="359" spans="22:25" s="4" customFormat="1" x14ac:dyDescent="0.25">
      <c r="V359" s="45"/>
      <c r="W359" s="12"/>
      <c r="X359" s="12"/>
      <c r="Y359" s="46"/>
    </row>
    <row r="360" spans="22:25" s="4" customFormat="1" x14ac:dyDescent="0.25">
      <c r="V360" s="45"/>
      <c r="W360" s="12"/>
      <c r="X360" s="12"/>
      <c r="Y360" s="46"/>
    </row>
    <row r="361" spans="22:25" s="4" customFormat="1" x14ac:dyDescent="0.25">
      <c r="V361" s="45"/>
      <c r="W361" s="12"/>
      <c r="X361" s="12"/>
      <c r="Y361" s="46"/>
    </row>
    <row r="362" spans="22:25" s="4" customFormat="1" x14ac:dyDescent="0.25">
      <c r="V362" s="45"/>
      <c r="W362" s="12"/>
      <c r="X362" s="12"/>
      <c r="Y362" s="46"/>
    </row>
    <row r="363" spans="22:25" s="4" customFormat="1" x14ac:dyDescent="0.25">
      <c r="V363" s="45"/>
      <c r="W363" s="12"/>
      <c r="X363" s="12"/>
      <c r="Y363" s="46"/>
    </row>
    <row r="364" spans="22:25" s="4" customFormat="1" x14ac:dyDescent="0.25">
      <c r="V364" s="45"/>
      <c r="W364" s="12"/>
      <c r="X364" s="12"/>
      <c r="Y364" s="46"/>
    </row>
    <row r="365" spans="22:25" s="4" customFormat="1" x14ac:dyDescent="0.25">
      <c r="V365" s="45"/>
      <c r="W365" s="12"/>
      <c r="X365" s="12"/>
      <c r="Y365" s="46"/>
    </row>
    <row r="366" spans="22:25" s="4" customFormat="1" x14ac:dyDescent="0.25">
      <c r="V366" s="45"/>
      <c r="W366" s="12"/>
      <c r="X366" s="12"/>
      <c r="Y366" s="46"/>
    </row>
    <row r="367" spans="22:25" s="4" customFormat="1" x14ac:dyDescent="0.25">
      <c r="V367" s="45"/>
      <c r="W367" s="12"/>
      <c r="X367" s="12"/>
      <c r="Y367" s="46"/>
    </row>
    <row r="368" spans="22:25" s="4" customFormat="1" x14ac:dyDescent="0.25">
      <c r="V368" s="45"/>
      <c r="W368" s="12"/>
      <c r="X368" s="12"/>
      <c r="Y368" s="46"/>
    </row>
    <row r="369" spans="22:25" s="4" customFormat="1" x14ac:dyDescent="0.25">
      <c r="V369" s="45"/>
      <c r="W369" s="12"/>
      <c r="X369" s="12"/>
      <c r="Y369" s="46"/>
    </row>
    <row r="370" spans="22:25" s="4" customFormat="1" x14ac:dyDescent="0.25">
      <c r="V370" s="45"/>
      <c r="W370" s="12"/>
      <c r="X370" s="12"/>
      <c r="Y370" s="46"/>
    </row>
    <row r="371" spans="22:25" s="4" customFormat="1" x14ac:dyDescent="0.25">
      <c r="V371" s="45"/>
      <c r="W371" s="12"/>
      <c r="X371" s="12"/>
      <c r="Y371" s="46"/>
    </row>
    <row r="372" spans="22:25" s="4" customFormat="1" x14ac:dyDescent="0.25">
      <c r="V372" s="45"/>
      <c r="W372" s="12"/>
      <c r="X372" s="12"/>
      <c r="Y372" s="46"/>
    </row>
    <row r="373" spans="22:25" s="4" customFormat="1" x14ac:dyDescent="0.25">
      <c r="V373" s="45"/>
      <c r="W373" s="12"/>
      <c r="X373" s="12"/>
      <c r="Y373" s="46"/>
    </row>
    <row r="374" spans="22:25" s="4" customFormat="1" x14ac:dyDescent="0.25">
      <c r="V374" s="45"/>
      <c r="W374" s="12"/>
      <c r="X374" s="12"/>
      <c r="Y374" s="46"/>
    </row>
    <row r="375" spans="22:25" s="4" customFormat="1" x14ac:dyDescent="0.25">
      <c r="V375" s="45"/>
      <c r="W375" s="12"/>
      <c r="X375" s="12"/>
      <c r="Y375" s="46"/>
    </row>
    <row r="376" spans="22:25" s="4" customFormat="1" x14ac:dyDescent="0.25">
      <c r="V376" s="45"/>
      <c r="W376" s="12"/>
      <c r="X376" s="12"/>
      <c r="Y376" s="46"/>
    </row>
    <row r="377" spans="22:25" s="4" customFormat="1" x14ac:dyDescent="0.25">
      <c r="V377" s="45"/>
      <c r="W377" s="12"/>
      <c r="X377" s="12"/>
      <c r="Y377" s="46"/>
    </row>
    <row r="378" spans="22:25" s="4" customFormat="1" x14ac:dyDescent="0.25">
      <c r="V378" s="45"/>
      <c r="W378" s="12"/>
      <c r="X378" s="12"/>
      <c r="Y378" s="46"/>
    </row>
    <row r="379" spans="22:25" s="4" customFormat="1" x14ac:dyDescent="0.25">
      <c r="V379" s="45"/>
      <c r="W379" s="12"/>
      <c r="X379" s="12"/>
      <c r="Y379" s="46"/>
    </row>
    <row r="380" spans="22:25" s="4" customFormat="1" x14ac:dyDescent="0.25">
      <c r="V380" s="45"/>
      <c r="W380" s="12"/>
      <c r="X380" s="12"/>
      <c r="Y380" s="46"/>
    </row>
    <row r="381" spans="22:25" s="4" customFormat="1" x14ac:dyDescent="0.25">
      <c r="V381" s="45"/>
      <c r="W381" s="12"/>
      <c r="X381" s="12"/>
      <c r="Y381" s="46"/>
    </row>
    <row r="382" spans="22:25" s="4" customFormat="1" x14ac:dyDescent="0.25">
      <c r="V382" s="45"/>
      <c r="W382" s="12"/>
      <c r="X382" s="12"/>
      <c r="Y382" s="46"/>
    </row>
    <row r="383" spans="22:25" s="4" customFormat="1" x14ac:dyDescent="0.25">
      <c r="V383" s="45"/>
      <c r="W383" s="12"/>
      <c r="X383" s="12"/>
      <c r="Y383" s="46"/>
    </row>
    <row r="384" spans="22:25" s="4" customFormat="1" x14ac:dyDescent="0.25">
      <c r="V384" s="45"/>
      <c r="W384" s="12"/>
      <c r="X384" s="12"/>
      <c r="Y384" s="46"/>
    </row>
    <row r="385" spans="22:25" s="4" customFormat="1" x14ac:dyDescent="0.25">
      <c r="V385" s="45"/>
      <c r="W385" s="12"/>
      <c r="X385" s="12"/>
      <c r="Y385" s="46"/>
    </row>
    <row r="386" spans="22:25" s="4" customFormat="1" x14ac:dyDescent="0.25">
      <c r="V386" s="45"/>
      <c r="W386" s="12"/>
      <c r="X386" s="12"/>
      <c r="Y386" s="46"/>
    </row>
    <row r="387" spans="22:25" s="4" customFormat="1" x14ac:dyDescent="0.25">
      <c r="V387" s="45"/>
      <c r="W387" s="12"/>
      <c r="X387" s="12"/>
      <c r="Y387" s="46"/>
    </row>
    <row r="388" spans="22:25" s="4" customFormat="1" x14ac:dyDescent="0.25">
      <c r="V388" s="45"/>
      <c r="W388" s="12"/>
      <c r="X388" s="12"/>
      <c r="Y388" s="46"/>
    </row>
    <row r="389" spans="22:25" s="4" customFormat="1" x14ac:dyDescent="0.25">
      <c r="V389" s="45"/>
      <c r="W389" s="12"/>
      <c r="X389" s="12"/>
      <c r="Y389" s="46"/>
    </row>
    <row r="390" spans="22:25" s="4" customFormat="1" x14ac:dyDescent="0.25">
      <c r="V390" s="45"/>
      <c r="W390" s="12"/>
      <c r="X390" s="12"/>
      <c r="Y390" s="46"/>
    </row>
    <row r="391" spans="22:25" s="4" customFormat="1" x14ac:dyDescent="0.25">
      <c r="V391" s="45"/>
      <c r="W391" s="12"/>
      <c r="X391" s="12"/>
      <c r="Y391" s="46"/>
    </row>
    <row r="392" spans="22:25" s="4" customFormat="1" x14ac:dyDescent="0.25">
      <c r="V392" s="45"/>
      <c r="W392" s="12"/>
      <c r="X392" s="12"/>
      <c r="Y392" s="46"/>
    </row>
    <row r="393" spans="22:25" s="4" customFormat="1" x14ac:dyDescent="0.25">
      <c r="V393" s="45"/>
      <c r="W393" s="12"/>
      <c r="X393" s="12"/>
      <c r="Y393" s="46"/>
    </row>
    <row r="394" spans="22:25" s="4" customFormat="1" x14ac:dyDescent="0.25">
      <c r="V394" s="45"/>
      <c r="W394" s="12"/>
      <c r="X394" s="12"/>
      <c r="Y394" s="46"/>
    </row>
    <row r="395" spans="22:25" s="4" customFormat="1" x14ac:dyDescent="0.25">
      <c r="V395" s="45"/>
      <c r="W395" s="12"/>
      <c r="X395" s="12"/>
      <c r="Y395" s="46"/>
    </row>
    <row r="396" spans="22:25" s="4" customFormat="1" x14ac:dyDescent="0.25">
      <c r="V396" s="45"/>
      <c r="W396" s="12"/>
      <c r="X396" s="12"/>
      <c r="Y396" s="46"/>
    </row>
    <row r="397" spans="22:25" s="4" customFormat="1" x14ac:dyDescent="0.25">
      <c r="V397" s="45"/>
      <c r="W397" s="12"/>
      <c r="X397" s="12"/>
      <c r="Y397" s="46"/>
    </row>
    <row r="398" spans="22:25" s="4" customFormat="1" x14ac:dyDescent="0.25">
      <c r="V398" s="45"/>
      <c r="W398" s="12"/>
      <c r="X398" s="12"/>
      <c r="Y398" s="46"/>
    </row>
    <row r="399" spans="22:25" s="4" customFormat="1" x14ac:dyDescent="0.25">
      <c r="V399" s="45"/>
      <c r="W399" s="12"/>
      <c r="X399" s="12"/>
      <c r="Y399" s="46"/>
    </row>
    <row r="400" spans="22:25" s="4" customFormat="1" x14ac:dyDescent="0.25">
      <c r="V400" s="45"/>
      <c r="W400" s="12"/>
      <c r="X400" s="12"/>
      <c r="Y400" s="46"/>
    </row>
    <row r="401" spans="22:25" s="4" customFormat="1" x14ac:dyDescent="0.25">
      <c r="V401" s="45"/>
      <c r="W401" s="12"/>
      <c r="X401" s="12"/>
      <c r="Y401" s="46"/>
    </row>
    <row r="402" spans="22:25" s="4" customFormat="1" x14ac:dyDescent="0.25">
      <c r="V402" s="45"/>
      <c r="W402" s="12"/>
      <c r="X402" s="12"/>
      <c r="Y402" s="46"/>
    </row>
    <row r="403" spans="22:25" s="4" customFormat="1" x14ac:dyDescent="0.25">
      <c r="V403" s="45"/>
      <c r="W403" s="12"/>
      <c r="X403" s="12"/>
      <c r="Y403" s="46"/>
    </row>
    <row r="404" spans="22:25" s="4" customFormat="1" x14ac:dyDescent="0.25">
      <c r="V404" s="45"/>
      <c r="W404" s="12"/>
      <c r="X404" s="12"/>
      <c r="Y404" s="46"/>
    </row>
    <row r="405" spans="22:25" s="4" customFormat="1" x14ac:dyDescent="0.25">
      <c r="V405" s="45"/>
      <c r="W405" s="12"/>
      <c r="X405" s="12"/>
      <c r="Y405" s="46"/>
    </row>
    <row r="406" spans="22:25" s="4" customFormat="1" x14ac:dyDescent="0.25">
      <c r="V406" s="45"/>
      <c r="W406" s="12"/>
      <c r="X406" s="12"/>
      <c r="Y406" s="46"/>
    </row>
    <row r="407" spans="22:25" s="4" customFormat="1" x14ac:dyDescent="0.25">
      <c r="V407" s="45"/>
      <c r="W407" s="12"/>
      <c r="X407" s="12"/>
      <c r="Y407" s="46"/>
    </row>
    <row r="408" spans="22:25" s="4" customFormat="1" x14ac:dyDescent="0.25">
      <c r="V408" s="45"/>
      <c r="W408" s="12"/>
      <c r="X408" s="12"/>
      <c r="Y408" s="46"/>
    </row>
    <row r="409" spans="22:25" s="4" customFormat="1" x14ac:dyDescent="0.25">
      <c r="V409" s="45"/>
      <c r="W409" s="12"/>
      <c r="X409" s="12"/>
      <c r="Y409" s="46"/>
    </row>
    <row r="410" spans="22:25" s="4" customFormat="1" x14ac:dyDescent="0.25">
      <c r="V410" s="45"/>
      <c r="W410" s="12"/>
      <c r="X410" s="12"/>
      <c r="Y410" s="46"/>
    </row>
    <row r="411" spans="22:25" s="4" customFormat="1" x14ac:dyDescent="0.25">
      <c r="V411" s="45"/>
      <c r="W411" s="12"/>
      <c r="X411" s="12"/>
      <c r="Y411" s="46"/>
    </row>
    <row r="412" spans="22:25" s="4" customFormat="1" x14ac:dyDescent="0.25">
      <c r="V412" s="45"/>
      <c r="W412" s="12"/>
      <c r="X412" s="12"/>
      <c r="Y412" s="46"/>
    </row>
    <row r="413" spans="22:25" s="4" customFormat="1" x14ac:dyDescent="0.25">
      <c r="V413" s="45"/>
      <c r="W413" s="12"/>
      <c r="X413" s="12"/>
      <c r="Y413" s="46"/>
    </row>
    <row r="414" spans="22:25" s="4" customFormat="1" x14ac:dyDescent="0.25">
      <c r="V414" s="45"/>
      <c r="W414" s="12"/>
      <c r="X414" s="12"/>
      <c r="Y414" s="46"/>
    </row>
    <row r="415" spans="22:25" s="4" customFormat="1" x14ac:dyDescent="0.25">
      <c r="V415" s="45"/>
      <c r="W415" s="12"/>
      <c r="X415" s="12"/>
      <c r="Y415" s="46"/>
    </row>
    <row r="416" spans="22:25" s="4" customFormat="1" x14ac:dyDescent="0.25">
      <c r="V416" s="45"/>
      <c r="W416" s="12"/>
      <c r="X416" s="12"/>
      <c r="Y416" s="46"/>
    </row>
    <row r="417" spans="22:25" s="4" customFormat="1" x14ac:dyDescent="0.25">
      <c r="V417" s="45"/>
      <c r="W417" s="12"/>
      <c r="X417" s="12"/>
      <c r="Y417" s="46"/>
    </row>
    <row r="418" spans="22:25" s="4" customFormat="1" x14ac:dyDescent="0.25">
      <c r="V418" s="45"/>
      <c r="W418" s="12"/>
      <c r="X418" s="12"/>
      <c r="Y418" s="46"/>
    </row>
    <row r="419" spans="22:25" s="4" customFormat="1" x14ac:dyDescent="0.25">
      <c r="V419" s="45"/>
      <c r="W419" s="12"/>
      <c r="X419" s="12"/>
      <c r="Y419" s="46"/>
    </row>
    <row r="420" spans="22:25" s="4" customFormat="1" x14ac:dyDescent="0.25">
      <c r="V420" s="45"/>
      <c r="W420" s="12"/>
      <c r="X420" s="12"/>
      <c r="Y420" s="46"/>
    </row>
    <row r="421" spans="22:25" s="4" customFormat="1" x14ac:dyDescent="0.25">
      <c r="V421" s="45"/>
      <c r="W421" s="12"/>
      <c r="X421" s="12"/>
      <c r="Y421" s="46"/>
    </row>
    <row r="422" spans="22:25" s="4" customFormat="1" x14ac:dyDescent="0.25">
      <c r="V422" s="45"/>
      <c r="W422" s="12"/>
      <c r="X422" s="12"/>
      <c r="Y422" s="46"/>
    </row>
    <row r="423" spans="22:25" s="4" customFormat="1" x14ac:dyDescent="0.25">
      <c r="V423" s="45"/>
      <c r="W423" s="12"/>
      <c r="X423" s="12"/>
      <c r="Y423" s="46"/>
    </row>
    <row r="424" spans="22:25" s="4" customFormat="1" x14ac:dyDescent="0.25">
      <c r="V424" s="45"/>
      <c r="W424" s="12"/>
      <c r="X424" s="12"/>
      <c r="Y424" s="46"/>
    </row>
    <row r="425" spans="22:25" s="4" customFormat="1" x14ac:dyDescent="0.25">
      <c r="V425" s="45"/>
      <c r="W425" s="12"/>
      <c r="X425" s="12"/>
      <c r="Y425" s="46"/>
    </row>
    <row r="426" spans="22:25" s="4" customFormat="1" x14ac:dyDescent="0.25">
      <c r="V426" s="45"/>
      <c r="W426" s="12"/>
      <c r="X426" s="12"/>
      <c r="Y426" s="46"/>
    </row>
    <row r="427" spans="22:25" s="4" customFormat="1" x14ac:dyDescent="0.25">
      <c r="V427" s="45"/>
      <c r="W427" s="12"/>
      <c r="X427" s="12"/>
      <c r="Y427" s="46"/>
    </row>
    <row r="428" spans="22:25" s="4" customFormat="1" x14ac:dyDescent="0.25">
      <c r="V428" s="45"/>
      <c r="W428" s="12"/>
      <c r="X428" s="12"/>
      <c r="Y428" s="46"/>
    </row>
    <row r="429" spans="22:25" s="4" customFormat="1" x14ac:dyDescent="0.25">
      <c r="V429" s="45"/>
      <c r="W429" s="12"/>
      <c r="X429" s="12"/>
      <c r="Y429" s="46"/>
    </row>
    <row r="430" spans="22:25" s="4" customFormat="1" x14ac:dyDescent="0.25">
      <c r="V430" s="45"/>
      <c r="W430" s="12"/>
      <c r="X430" s="12"/>
      <c r="Y430" s="46"/>
    </row>
    <row r="431" spans="22:25" s="4" customFormat="1" x14ac:dyDescent="0.25">
      <c r="V431" s="45"/>
      <c r="W431" s="12"/>
      <c r="X431" s="12"/>
      <c r="Y431" s="46"/>
    </row>
    <row r="432" spans="22:25" s="4" customFormat="1" x14ac:dyDescent="0.25">
      <c r="V432" s="45"/>
      <c r="W432" s="12"/>
      <c r="X432" s="12"/>
      <c r="Y432" s="46"/>
    </row>
    <row r="433" spans="22:25" s="4" customFormat="1" x14ac:dyDescent="0.25">
      <c r="V433" s="45"/>
      <c r="W433" s="12"/>
      <c r="X433" s="12"/>
      <c r="Y433" s="46"/>
    </row>
    <row r="434" spans="22:25" s="4" customFormat="1" x14ac:dyDescent="0.25">
      <c r="V434" s="45"/>
      <c r="W434" s="12"/>
      <c r="X434" s="12"/>
      <c r="Y434" s="46"/>
    </row>
    <row r="435" spans="22:25" s="4" customFormat="1" x14ac:dyDescent="0.25">
      <c r="V435" s="45"/>
      <c r="W435" s="12"/>
      <c r="X435" s="12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</sheetData>
  <sheetProtection sort="0"/>
  <mergeCells count="13">
    <mergeCell ref="A250:Y250"/>
    <mergeCell ref="A294:Y294"/>
    <mergeCell ref="A178:Y178"/>
    <mergeCell ref="A4:Y4"/>
    <mergeCell ref="A90:Y90"/>
    <mergeCell ref="A1:Y1"/>
    <mergeCell ref="A2:B2"/>
    <mergeCell ref="C2:E2"/>
    <mergeCell ref="G2:I2"/>
    <mergeCell ref="K2:M2"/>
    <mergeCell ref="O2:Q2"/>
    <mergeCell ref="S2:U2"/>
    <mergeCell ref="W2:Y2"/>
  </mergeCells>
  <pageMargins left="0.7" right="0.7" top="0.75" bottom="0.75" header="0.3" footer="0.3"/>
  <pageSetup orientation="portrait" r:id="rId1"/>
  <ignoredErrors>
    <ignoredError sqref="G201:H201 K201:L201 O201:P201 S201:T201" 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Y540"/>
  <sheetViews>
    <sheetView view="pageBreakPreview" zoomScale="80" zoomScaleNormal="80" zoomScaleSheetLayoutView="80" zoomScalePageLayoutView="80" workbookViewId="0">
      <pane xSplit="2" ySplit="5" topLeftCell="C141" activePane="bottomRight" state="frozen"/>
      <selection pane="topRight" activeCell="C1" sqref="C1"/>
      <selection pane="bottomLeft" activeCell="A6" sqref="A6"/>
      <selection pane="bottomRight" activeCell="C181" sqref="C181"/>
    </sheetView>
  </sheetViews>
  <sheetFormatPr defaultColWidth="8.88671875" defaultRowHeight="13.2" x14ac:dyDescent="0.25"/>
  <cols>
    <col min="1" max="1" width="10.109375" style="7" customWidth="1"/>
    <col min="2" max="2" width="53.88671875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4.664062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4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25" s="61" customFormat="1" x14ac:dyDescent="0.25">
      <c r="A1" s="316" t="s">
        <v>102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25" s="61" customFormat="1" x14ac:dyDescent="0.25">
      <c r="A2" s="331">
        <v>44778</v>
      </c>
      <c r="B2" s="332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25" s="72" customFormat="1" ht="26.4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25" s="88" customFormat="1" ht="18" customHeight="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25" s="77" customFormat="1" ht="15" customHeigh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25" s="61" customFormat="1" x14ac:dyDescent="0.25">
      <c r="A6" s="53"/>
      <c r="B6" s="195" t="s">
        <v>72</v>
      </c>
      <c r="C6" s="55">
        <f>(140478*1.03)*0.2806</f>
        <v>40600.670603999999</v>
      </c>
      <c r="D6" s="56">
        <f>(137716.8*1.03)*(0.2682-0.1)</f>
        <v>23858.884732799997</v>
      </c>
      <c r="E6" s="57">
        <f t="shared" ref="E6:E7" si="0">SUM(C6:D6)</f>
        <v>64459.555336799996</v>
      </c>
      <c r="F6" s="58"/>
      <c r="G6" s="55">
        <f>C6*1.03</f>
        <v>41818.690722120002</v>
      </c>
      <c r="H6" s="57">
        <f>D6*1.03</f>
        <v>24574.651274783999</v>
      </c>
      <c r="I6" s="57">
        <f t="shared" ref="I6:I7" si="1">SUM(G6:H6)</f>
        <v>66393.341996903997</v>
      </c>
      <c r="J6" s="58"/>
      <c r="K6" s="55">
        <f>G6*1.03</f>
        <v>43073.2514437836</v>
      </c>
      <c r="L6" s="57">
        <f>H6*1.03</f>
        <v>25311.890813027519</v>
      </c>
      <c r="M6" s="57">
        <f t="shared" ref="M6:M7" si="2">SUM(K6:L6)</f>
        <v>68385.142256811116</v>
      </c>
      <c r="N6" s="58"/>
      <c r="O6" s="55">
        <f>K6*1.03</f>
        <v>44365.448987097108</v>
      </c>
      <c r="P6" s="57">
        <f>L6*1.03</f>
        <v>26071.247537418345</v>
      </c>
      <c r="Q6" s="57">
        <f t="shared" ref="Q6:Q7" si="3">SUM(O6:P6)</f>
        <v>70436.696524515457</v>
      </c>
      <c r="R6" s="58"/>
      <c r="S6" s="55">
        <f>O6*1.03</f>
        <v>45696.412456710023</v>
      </c>
      <c r="T6" s="57">
        <f>P6*1.03</f>
        <v>26853.384963540895</v>
      </c>
      <c r="U6" s="57">
        <f t="shared" ref="U6:U14" si="4">SUM(S6:T6)</f>
        <v>72549.797420250921</v>
      </c>
      <c r="V6" s="59"/>
      <c r="W6" s="124">
        <f t="shared" ref="W6:W15" si="5">C6+G6+K6+O6+S6</f>
        <v>215554.47421371075</v>
      </c>
      <c r="X6" s="196">
        <f t="shared" ref="X6:X15" si="6">D6+H6+L6+P6+T6</f>
        <v>126670.05932157076</v>
      </c>
      <c r="Y6" s="197">
        <f t="shared" ref="Y6:Y15" si="7">E6+I6+M6+Q6+U6</f>
        <v>342224.53353528155</v>
      </c>
    </row>
    <row r="7" spans="1:25" s="61" customFormat="1" x14ac:dyDescent="0.25">
      <c r="A7" s="192" t="s">
        <v>57</v>
      </c>
      <c r="B7" s="195" t="s">
        <v>105</v>
      </c>
      <c r="C7" s="55">
        <f>((140478*1.03)/9)*0.5</f>
        <v>8038.4633333333331</v>
      </c>
      <c r="D7" s="57">
        <f>C7</f>
        <v>8038.4633333333331</v>
      </c>
      <c r="E7" s="57">
        <f t="shared" si="0"/>
        <v>16076.926666666666</v>
      </c>
      <c r="F7" s="58"/>
      <c r="G7" s="55">
        <f>C7*1.03</f>
        <v>8279.6172333333325</v>
      </c>
      <c r="H7" s="57">
        <f>D7*1.03</f>
        <v>8279.6172333333325</v>
      </c>
      <c r="I7" s="57">
        <f t="shared" si="1"/>
        <v>16559.234466666665</v>
      </c>
      <c r="J7" s="58"/>
      <c r="K7" s="55">
        <f>G7*1.03</f>
        <v>8528.0057503333319</v>
      </c>
      <c r="L7" s="57">
        <f>H7*1.03</f>
        <v>8528.0057503333319</v>
      </c>
      <c r="M7" s="57">
        <f t="shared" si="2"/>
        <v>17056.011500666664</v>
      </c>
      <c r="N7" s="58"/>
      <c r="O7" s="55">
        <f>K7*1.03</f>
        <v>8783.8459228433312</v>
      </c>
      <c r="P7" s="57">
        <f>L7*1.03</f>
        <v>8783.8459228433312</v>
      </c>
      <c r="Q7" s="57">
        <f t="shared" si="3"/>
        <v>17567.691845686662</v>
      </c>
      <c r="R7" s="58"/>
      <c r="S7" s="55">
        <f>O7*1.03</f>
        <v>9047.3613005286315</v>
      </c>
      <c r="T7" s="57">
        <f>P7*1.03</f>
        <v>9047.3613005286315</v>
      </c>
      <c r="U7" s="57">
        <f t="shared" si="4"/>
        <v>18094.722601057263</v>
      </c>
      <c r="V7" s="59"/>
      <c r="W7" s="124">
        <f t="shared" si="5"/>
        <v>42677.29354037196</v>
      </c>
      <c r="X7" s="57">
        <f t="shared" si="6"/>
        <v>42677.29354037196</v>
      </c>
      <c r="Y7" s="60">
        <f t="shared" si="7"/>
        <v>85354.587080743921</v>
      </c>
    </row>
    <row r="8" spans="1:25" s="61" customFormat="1" x14ac:dyDescent="0.25">
      <c r="A8" s="192" t="s">
        <v>57</v>
      </c>
      <c r="B8" s="52" t="s">
        <v>114</v>
      </c>
      <c r="C8" s="124">
        <f>((123676.8*1.03)/1560)*(173.33*2)</f>
        <v>28307.700944000004</v>
      </c>
      <c r="D8" s="56">
        <f>((123676.8*1.03)/1560)*(173.33*2)*0</f>
        <v>0</v>
      </c>
      <c r="E8" s="56">
        <f t="shared" ref="E8" si="8">SUM(C8:D8)</f>
        <v>28307.700944000004</v>
      </c>
      <c r="F8" s="58"/>
      <c r="G8" s="55">
        <f t="shared" ref="G8" si="9">C8*1.03</f>
        <v>29156.931972320006</v>
      </c>
      <c r="H8" s="57">
        <f>D8*1.03</f>
        <v>0</v>
      </c>
      <c r="I8" s="57">
        <f t="shared" ref="I8" si="10">SUM(G8:H8)</f>
        <v>29156.931972320006</v>
      </c>
      <c r="J8" s="58"/>
      <c r="K8" s="55">
        <f t="shared" ref="K8" si="11">G8*1.03</f>
        <v>30031.639931489608</v>
      </c>
      <c r="L8" s="57">
        <f>H8*1.03</f>
        <v>0</v>
      </c>
      <c r="M8" s="57">
        <f t="shared" ref="M8" si="12">SUM(K8:L8)</f>
        <v>30031.639931489608</v>
      </c>
      <c r="N8" s="58"/>
      <c r="O8" s="55">
        <f t="shared" ref="O8" si="13">K8*1.03</f>
        <v>30932.589129434298</v>
      </c>
      <c r="P8" s="57">
        <f>L8*1.03</f>
        <v>0</v>
      </c>
      <c r="Q8" s="57">
        <f t="shared" ref="Q8" si="14">SUM(O8:P8)</f>
        <v>30932.589129434298</v>
      </c>
      <c r="R8" s="58"/>
      <c r="S8" s="55">
        <f t="shared" ref="S8" si="15">O8*1.03</f>
        <v>31860.566803317328</v>
      </c>
      <c r="T8" s="57">
        <f t="shared" ref="T8" si="16">P8*1.03</f>
        <v>0</v>
      </c>
      <c r="U8" s="57">
        <f t="shared" ref="U8" si="17">SUM(S8:T8)</f>
        <v>31860.566803317328</v>
      </c>
      <c r="V8" s="59"/>
      <c r="W8" s="124">
        <f t="shared" ref="W8" si="18">C8+G8+K8+O8+S8</f>
        <v>150289.42878056125</v>
      </c>
      <c r="X8" s="57">
        <f t="shared" ref="X8" si="19">D8+H8+L8+P8+T8</f>
        <v>0</v>
      </c>
      <c r="Y8" s="60">
        <f t="shared" ref="Y8" si="20">E8+I8+M8+Q8+U8</f>
        <v>150289.42878056125</v>
      </c>
    </row>
    <row r="9" spans="1:25" s="61" customFormat="1" x14ac:dyDescent="0.25">
      <c r="A9" s="53"/>
      <c r="B9" s="54" t="s">
        <v>57</v>
      </c>
      <c r="C9" s="124">
        <v>0</v>
      </c>
      <c r="D9" s="56">
        <v>0</v>
      </c>
      <c r="E9" s="56">
        <f t="shared" ref="E9:E14" si="21">SUM(C9:D9)</f>
        <v>0</v>
      </c>
      <c r="F9" s="58"/>
      <c r="G9" s="55">
        <f t="shared" ref="G9:G14" si="22">C9*1.03</f>
        <v>0</v>
      </c>
      <c r="H9" s="57">
        <f t="shared" ref="H9:H14" si="23">D9*1.03</f>
        <v>0</v>
      </c>
      <c r="I9" s="57">
        <f t="shared" ref="I9:I14" si="24">SUM(G9:H9)</f>
        <v>0</v>
      </c>
      <c r="J9" s="58"/>
      <c r="K9" s="55">
        <f t="shared" ref="K9:K14" si="25">G9*1.03</f>
        <v>0</v>
      </c>
      <c r="L9" s="57">
        <f t="shared" ref="L9:L14" si="26">H9*1.03</f>
        <v>0</v>
      </c>
      <c r="M9" s="57">
        <f t="shared" ref="M9:M14" si="27">SUM(K9:L9)</f>
        <v>0</v>
      </c>
      <c r="N9" s="58"/>
      <c r="O9" s="55">
        <f t="shared" ref="O9:O14" si="28">K9*1.03</f>
        <v>0</v>
      </c>
      <c r="P9" s="57">
        <f t="shared" ref="P9:P14" si="29">L9*1.03</f>
        <v>0</v>
      </c>
      <c r="Q9" s="57">
        <f t="shared" ref="Q9:Q14" si="30">SUM(O9:P9)</f>
        <v>0</v>
      </c>
      <c r="R9" s="58"/>
      <c r="S9" s="55">
        <f t="shared" ref="S9:S14" si="31">O9*1.03</f>
        <v>0</v>
      </c>
      <c r="T9" s="57">
        <f t="shared" ref="T9:T14" si="32">P9*1.03</f>
        <v>0</v>
      </c>
      <c r="U9" s="57">
        <f t="shared" si="4"/>
        <v>0</v>
      </c>
      <c r="V9" s="59"/>
      <c r="W9" s="124">
        <f t="shared" si="5"/>
        <v>0</v>
      </c>
      <c r="X9" s="57">
        <f t="shared" si="6"/>
        <v>0</v>
      </c>
      <c r="Y9" s="60">
        <f t="shared" si="7"/>
        <v>0</v>
      </c>
    </row>
    <row r="10" spans="1:25" s="86" customFormat="1" x14ac:dyDescent="0.25">
      <c r="A10" s="54"/>
      <c r="B10" s="195" t="s">
        <v>74</v>
      </c>
      <c r="C10" s="124">
        <f>(115731*1.03)*0.5</f>
        <v>59601.465000000004</v>
      </c>
      <c r="D10" s="56">
        <f>(115731*1.03)*(0.5-0.1)</f>
        <v>47681.172000000006</v>
      </c>
      <c r="E10" s="56">
        <f>SUM(C10:D10)</f>
        <v>107282.63700000002</v>
      </c>
      <c r="F10" s="58"/>
      <c r="G10" s="55">
        <f t="shared" si="22"/>
        <v>61389.508950000003</v>
      </c>
      <c r="H10" s="57">
        <f t="shared" si="23"/>
        <v>49111.607160000007</v>
      </c>
      <c r="I10" s="56">
        <f>SUM(G10:H10)</f>
        <v>110501.11611</v>
      </c>
      <c r="J10" s="58"/>
      <c r="K10" s="55">
        <f t="shared" si="25"/>
        <v>63231.194218500008</v>
      </c>
      <c r="L10" s="57">
        <f t="shared" si="26"/>
        <v>50584.955374800011</v>
      </c>
      <c r="M10" s="56">
        <f>SUM(K10:L10)</f>
        <v>113816.14959330001</v>
      </c>
      <c r="N10" s="58"/>
      <c r="O10" s="55">
        <f t="shared" si="28"/>
        <v>65128.130045055012</v>
      </c>
      <c r="P10" s="57">
        <f t="shared" si="29"/>
        <v>52102.504036044011</v>
      </c>
      <c r="Q10" s="56">
        <f>SUM(O10:P10)</f>
        <v>117230.63408109902</v>
      </c>
      <c r="R10" s="58"/>
      <c r="S10" s="55">
        <f t="shared" si="31"/>
        <v>67081.973946406666</v>
      </c>
      <c r="T10" s="57">
        <f t="shared" si="32"/>
        <v>53665.579157125336</v>
      </c>
      <c r="U10" s="56">
        <f>SUM(S10:T10)</f>
        <v>120747.553103532</v>
      </c>
      <c r="V10" s="59"/>
      <c r="W10" s="124">
        <f t="shared" si="5"/>
        <v>316432.27215996169</v>
      </c>
      <c r="X10" s="196">
        <f t="shared" si="6"/>
        <v>253145.81772796938</v>
      </c>
      <c r="Y10" s="194">
        <f t="shared" si="7"/>
        <v>569578.08988793101</v>
      </c>
    </row>
    <row r="11" spans="1:25" s="61" customFormat="1" x14ac:dyDescent="0.25">
      <c r="A11" s="53"/>
      <c r="B11" s="54"/>
      <c r="C11" s="124">
        <v>0</v>
      </c>
      <c r="D11" s="56">
        <v>0</v>
      </c>
      <c r="E11" s="56">
        <f t="shared" si="21"/>
        <v>0</v>
      </c>
      <c r="F11" s="58"/>
      <c r="G11" s="55">
        <f t="shared" si="22"/>
        <v>0</v>
      </c>
      <c r="H11" s="57">
        <f t="shared" si="23"/>
        <v>0</v>
      </c>
      <c r="I11" s="57">
        <f t="shared" si="24"/>
        <v>0</v>
      </c>
      <c r="J11" s="58"/>
      <c r="K11" s="55">
        <f t="shared" si="25"/>
        <v>0</v>
      </c>
      <c r="L11" s="57">
        <f t="shared" si="26"/>
        <v>0</v>
      </c>
      <c r="M11" s="57">
        <f t="shared" si="27"/>
        <v>0</v>
      </c>
      <c r="N11" s="58"/>
      <c r="O11" s="55">
        <f t="shared" si="28"/>
        <v>0</v>
      </c>
      <c r="P11" s="57">
        <f t="shared" si="29"/>
        <v>0</v>
      </c>
      <c r="Q11" s="57">
        <f t="shared" si="30"/>
        <v>0</v>
      </c>
      <c r="R11" s="58"/>
      <c r="S11" s="55">
        <f t="shared" si="31"/>
        <v>0</v>
      </c>
      <c r="T11" s="57">
        <f t="shared" si="32"/>
        <v>0</v>
      </c>
      <c r="U11" s="57">
        <f t="shared" si="4"/>
        <v>0</v>
      </c>
      <c r="V11" s="59"/>
      <c r="W11" s="124">
        <f t="shared" si="5"/>
        <v>0</v>
      </c>
      <c r="X11" s="57">
        <f t="shared" si="6"/>
        <v>0</v>
      </c>
      <c r="Y11" s="60">
        <f t="shared" si="7"/>
        <v>0</v>
      </c>
    </row>
    <row r="12" spans="1:25" s="61" customFormat="1" x14ac:dyDescent="0.25">
      <c r="A12" s="52"/>
      <c r="B12" s="54"/>
      <c r="C12" s="124">
        <v>0</v>
      </c>
      <c r="D12" s="56">
        <v>0</v>
      </c>
      <c r="E12" s="56">
        <f t="shared" si="21"/>
        <v>0</v>
      </c>
      <c r="F12" s="58"/>
      <c r="G12" s="55">
        <f t="shared" si="22"/>
        <v>0</v>
      </c>
      <c r="H12" s="57">
        <f t="shared" si="23"/>
        <v>0</v>
      </c>
      <c r="I12" s="57">
        <f t="shared" si="24"/>
        <v>0</v>
      </c>
      <c r="J12" s="58"/>
      <c r="K12" s="55">
        <f t="shared" si="25"/>
        <v>0</v>
      </c>
      <c r="L12" s="57">
        <f t="shared" si="26"/>
        <v>0</v>
      </c>
      <c r="M12" s="57">
        <f t="shared" si="27"/>
        <v>0</v>
      </c>
      <c r="N12" s="58"/>
      <c r="O12" s="55">
        <f t="shared" si="28"/>
        <v>0</v>
      </c>
      <c r="P12" s="57">
        <f t="shared" si="29"/>
        <v>0</v>
      </c>
      <c r="Q12" s="57">
        <f t="shared" si="30"/>
        <v>0</v>
      </c>
      <c r="R12" s="58"/>
      <c r="S12" s="55">
        <f t="shared" si="31"/>
        <v>0</v>
      </c>
      <c r="T12" s="57">
        <f t="shared" si="32"/>
        <v>0</v>
      </c>
      <c r="U12" s="57">
        <f t="shared" si="4"/>
        <v>0</v>
      </c>
      <c r="V12" s="59"/>
      <c r="W12" s="124">
        <f t="shared" si="5"/>
        <v>0</v>
      </c>
      <c r="X12" s="57">
        <f t="shared" si="6"/>
        <v>0</v>
      </c>
      <c r="Y12" s="84">
        <f t="shared" si="7"/>
        <v>0</v>
      </c>
    </row>
    <row r="13" spans="1:25" s="61" customFormat="1" x14ac:dyDescent="0.25">
      <c r="A13" s="52"/>
      <c r="B13" s="54"/>
      <c r="C13" s="124">
        <v>0</v>
      </c>
      <c r="D13" s="56">
        <v>0</v>
      </c>
      <c r="E13" s="56">
        <f t="shared" si="21"/>
        <v>0</v>
      </c>
      <c r="F13" s="58"/>
      <c r="G13" s="55">
        <f t="shared" si="22"/>
        <v>0</v>
      </c>
      <c r="H13" s="57">
        <f t="shared" si="23"/>
        <v>0</v>
      </c>
      <c r="I13" s="57">
        <f t="shared" si="24"/>
        <v>0</v>
      </c>
      <c r="J13" s="58"/>
      <c r="K13" s="55">
        <f t="shared" si="25"/>
        <v>0</v>
      </c>
      <c r="L13" s="57">
        <f t="shared" si="26"/>
        <v>0</v>
      </c>
      <c r="M13" s="57">
        <f t="shared" si="27"/>
        <v>0</v>
      </c>
      <c r="N13" s="58"/>
      <c r="O13" s="55">
        <f t="shared" si="28"/>
        <v>0</v>
      </c>
      <c r="P13" s="57">
        <f t="shared" si="29"/>
        <v>0</v>
      </c>
      <c r="Q13" s="57">
        <f t="shared" si="30"/>
        <v>0</v>
      </c>
      <c r="R13" s="58"/>
      <c r="S13" s="55">
        <f t="shared" si="31"/>
        <v>0</v>
      </c>
      <c r="T13" s="57">
        <f t="shared" si="32"/>
        <v>0</v>
      </c>
      <c r="U13" s="57">
        <f t="shared" si="4"/>
        <v>0</v>
      </c>
      <c r="V13" s="59"/>
      <c r="W13" s="124">
        <f t="shared" si="5"/>
        <v>0</v>
      </c>
      <c r="X13" s="57">
        <f t="shared" si="6"/>
        <v>0</v>
      </c>
      <c r="Y13" s="84">
        <f t="shared" si="7"/>
        <v>0</v>
      </c>
    </row>
    <row r="14" spans="1:25" s="61" customFormat="1" x14ac:dyDescent="0.25">
      <c r="A14" s="52"/>
      <c r="B14" s="54"/>
      <c r="C14" s="124">
        <v>0</v>
      </c>
      <c r="D14" s="56">
        <v>0</v>
      </c>
      <c r="E14" s="56">
        <f t="shared" si="21"/>
        <v>0</v>
      </c>
      <c r="F14" s="58"/>
      <c r="G14" s="55">
        <f t="shared" si="22"/>
        <v>0</v>
      </c>
      <c r="H14" s="57">
        <f t="shared" si="23"/>
        <v>0</v>
      </c>
      <c r="I14" s="57">
        <f t="shared" si="24"/>
        <v>0</v>
      </c>
      <c r="J14" s="58"/>
      <c r="K14" s="55">
        <f t="shared" si="25"/>
        <v>0</v>
      </c>
      <c r="L14" s="57">
        <f t="shared" si="26"/>
        <v>0</v>
      </c>
      <c r="M14" s="57">
        <f t="shared" si="27"/>
        <v>0</v>
      </c>
      <c r="N14" s="58"/>
      <c r="O14" s="55">
        <f t="shared" si="28"/>
        <v>0</v>
      </c>
      <c r="P14" s="57">
        <f t="shared" si="29"/>
        <v>0</v>
      </c>
      <c r="Q14" s="57">
        <f t="shared" si="30"/>
        <v>0</v>
      </c>
      <c r="R14" s="58"/>
      <c r="S14" s="55">
        <f t="shared" si="31"/>
        <v>0</v>
      </c>
      <c r="T14" s="57">
        <f t="shared" si="32"/>
        <v>0</v>
      </c>
      <c r="U14" s="57">
        <f t="shared" si="4"/>
        <v>0</v>
      </c>
      <c r="V14" s="59"/>
      <c r="W14" s="124">
        <f t="shared" si="5"/>
        <v>0</v>
      </c>
      <c r="X14" s="57">
        <f t="shared" si="6"/>
        <v>0</v>
      </c>
      <c r="Y14" s="84">
        <f t="shared" si="7"/>
        <v>0</v>
      </c>
    </row>
    <row r="15" spans="1:25" s="83" customFormat="1" x14ac:dyDescent="0.25">
      <c r="A15" s="78"/>
      <c r="B15" s="78" t="s">
        <v>9</v>
      </c>
      <c r="C15" s="228">
        <f>SUM(C6:C14)</f>
        <v>136548.29988133334</v>
      </c>
      <c r="D15" s="125">
        <f>SUM(D6:D14)</f>
        <v>79578.520066133337</v>
      </c>
      <c r="E15" s="125">
        <f>SUM(E6:E14)</f>
        <v>216126.81994746669</v>
      </c>
      <c r="F15" s="81"/>
      <c r="G15" s="79">
        <f>SUM(G6:G14)</f>
        <v>140644.74887777335</v>
      </c>
      <c r="H15" s="80">
        <f>SUM(H6:H14)</f>
        <v>81965.87566811734</v>
      </c>
      <c r="I15" s="80">
        <f>SUM(I6:I14)</f>
        <v>222610.62454589066</v>
      </c>
      <c r="J15" s="81"/>
      <c r="K15" s="79">
        <f>SUM(K6:K14)</f>
        <v>144864.09134410653</v>
      </c>
      <c r="L15" s="80">
        <f>SUM(L6:L14)</f>
        <v>84424.851938160864</v>
      </c>
      <c r="M15" s="80">
        <f>SUM(M6:M14)</f>
        <v>229288.9432822674</v>
      </c>
      <c r="N15" s="81"/>
      <c r="O15" s="79">
        <f>SUM(O6:O14)</f>
        <v>149210.01408442974</v>
      </c>
      <c r="P15" s="80">
        <f>SUM(P6:P14)</f>
        <v>86957.59749630568</v>
      </c>
      <c r="Q15" s="80">
        <f>SUM(Q6:Q14)</f>
        <v>236167.61158073545</v>
      </c>
      <c r="R15" s="81"/>
      <c r="S15" s="79">
        <f>SUM(S6:S14)</f>
        <v>153686.31450696266</v>
      </c>
      <c r="T15" s="80">
        <f>SUM(T6:T14)</f>
        <v>89566.325421194866</v>
      </c>
      <c r="U15" s="80">
        <f>SUM(U6:U14)</f>
        <v>243252.6399281575</v>
      </c>
      <c r="V15" s="82"/>
      <c r="W15" s="228">
        <f t="shared" si="5"/>
        <v>724953.46869460563</v>
      </c>
      <c r="X15" s="80">
        <f t="shared" si="6"/>
        <v>422493.1705899121</v>
      </c>
      <c r="Y15" s="80">
        <f t="shared" si="7"/>
        <v>1147446.6392845176</v>
      </c>
    </row>
    <row r="16" spans="1:25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61" customFormat="1" x14ac:dyDescent="0.25">
      <c r="A17" s="52"/>
      <c r="B17" s="195" t="s">
        <v>57</v>
      </c>
      <c r="C17" s="124">
        <f>(65083.2*1.03)*0.268*0</f>
        <v>0</v>
      </c>
      <c r="D17" s="57">
        <f>(65083.2*1.03)*0.2514*0</f>
        <v>0</v>
      </c>
      <c r="E17" s="57">
        <f>SUM(C17:D17)</f>
        <v>0</v>
      </c>
      <c r="F17" s="58"/>
      <c r="G17" s="55">
        <f>C17*1.03</f>
        <v>0</v>
      </c>
      <c r="H17" s="57">
        <f>D17*1.03</f>
        <v>0</v>
      </c>
      <c r="I17" s="57">
        <f>SUM(G17:H17)</f>
        <v>0</v>
      </c>
      <c r="J17" s="58"/>
      <c r="K17" s="55">
        <f>G17*1.03</f>
        <v>0</v>
      </c>
      <c r="L17" s="57">
        <f>H17*1.03</f>
        <v>0</v>
      </c>
      <c r="M17" s="57">
        <f>SUM(K17:L17)</f>
        <v>0</v>
      </c>
      <c r="N17" s="58"/>
      <c r="O17" s="55">
        <f>K17*1.03</f>
        <v>0</v>
      </c>
      <c r="P17" s="57">
        <f>L17*1.03</f>
        <v>0</v>
      </c>
      <c r="Q17" s="57">
        <f>SUM(O17:P17)</f>
        <v>0</v>
      </c>
      <c r="R17" s="58"/>
      <c r="S17" s="55">
        <f>O17*1.03</f>
        <v>0</v>
      </c>
      <c r="T17" s="57">
        <f>P17*1.03</f>
        <v>0</v>
      </c>
      <c r="U17" s="57">
        <f>SUM(S17:T17)</f>
        <v>0</v>
      </c>
      <c r="V17" s="59"/>
      <c r="W17" s="124">
        <f t="shared" ref="W17:Y20" si="33">C17+G17+K17+O17+S17</f>
        <v>0</v>
      </c>
      <c r="X17" s="196">
        <f t="shared" si="33"/>
        <v>0</v>
      </c>
      <c r="Y17" s="194">
        <f t="shared" si="33"/>
        <v>0</v>
      </c>
    </row>
    <row r="18" spans="1:77" s="61" customFormat="1" x14ac:dyDescent="0.25">
      <c r="A18" s="87"/>
      <c r="B18" s="195" t="s">
        <v>73</v>
      </c>
      <c r="C18" s="55">
        <f>(79809.6*1.03)*0.5</f>
        <v>41101.944000000003</v>
      </c>
      <c r="D18" s="56">
        <f>(79809.6*1.03)*(0.5-0.1)</f>
        <v>32881.555200000003</v>
      </c>
      <c r="E18" s="57">
        <f>SUM(C18:D18)</f>
        <v>73983.499200000006</v>
      </c>
      <c r="F18" s="58"/>
      <c r="G18" s="55">
        <f t="shared" ref="G18:H20" si="34">C18*1.03</f>
        <v>42335.002320000007</v>
      </c>
      <c r="H18" s="57">
        <f t="shared" si="34"/>
        <v>33868.001856000003</v>
      </c>
      <c r="I18" s="57">
        <f>SUM(G18:H18)</f>
        <v>76203.004176000017</v>
      </c>
      <c r="J18" s="58"/>
      <c r="K18" s="55">
        <f t="shared" ref="K18:L20" si="35">G18*1.03</f>
        <v>43605.052389600009</v>
      </c>
      <c r="L18" s="57">
        <f t="shared" si="35"/>
        <v>34884.041911680004</v>
      </c>
      <c r="M18" s="57">
        <f>SUM(K18:L18)</f>
        <v>78489.094301280013</v>
      </c>
      <c r="N18" s="58"/>
      <c r="O18" s="55">
        <f t="shared" ref="O18:P20" si="36">K18*1.03</f>
        <v>44913.203961288011</v>
      </c>
      <c r="P18" s="57">
        <f t="shared" si="36"/>
        <v>35930.563169030407</v>
      </c>
      <c r="Q18" s="57">
        <f>SUM(O18:P18)</f>
        <v>80843.767130318418</v>
      </c>
      <c r="R18" s="58"/>
      <c r="S18" s="55">
        <f t="shared" ref="S18:T20" si="37">O18*1.03</f>
        <v>46260.600080126649</v>
      </c>
      <c r="T18" s="57">
        <f t="shared" si="37"/>
        <v>37008.480064101321</v>
      </c>
      <c r="U18" s="57">
        <f>SUM(S18:T18)</f>
        <v>83269.080144227977</v>
      </c>
      <c r="V18" s="59"/>
      <c r="W18" s="124">
        <f t="shared" si="33"/>
        <v>218215.80275101471</v>
      </c>
      <c r="X18" s="196">
        <f t="shared" si="33"/>
        <v>174572.64220081174</v>
      </c>
      <c r="Y18" s="194">
        <f t="shared" si="33"/>
        <v>392788.44495182647</v>
      </c>
    </row>
    <row r="19" spans="1:77" s="86" customFormat="1" x14ac:dyDescent="0.25">
      <c r="A19" s="54"/>
      <c r="B19" s="195" t="s">
        <v>74</v>
      </c>
      <c r="C19" s="124">
        <f>(115731*1.03)*0.5*0</f>
        <v>0</v>
      </c>
      <c r="D19" s="56">
        <f>(115731*1.03)*(0.5-0.1)*0</f>
        <v>0</v>
      </c>
      <c r="E19" s="56">
        <f>SUM(C19:D19)</f>
        <v>0</v>
      </c>
      <c r="F19" s="58"/>
      <c r="G19" s="55">
        <f t="shared" si="34"/>
        <v>0</v>
      </c>
      <c r="H19" s="57">
        <f t="shared" si="34"/>
        <v>0</v>
      </c>
      <c r="I19" s="56">
        <f>SUM(G19:H19)</f>
        <v>0</v>
      </c>
      <c r="J19" s="58"/>
      <c r="K19" s="55">
        <f t="shared" si="35"/>
        <v>0</v>
      </c>
      <c r="L19" s="57">
        <f t="shared" si="35"/>
        <v>0</v>
      </c>
      <c r="M19" s="56">
        <f>SUM(K19:L19)</f>
        <v>0</v>
      </c>
      <c r="N19" s="58"/>
      <c r="O19" s="55">
        <f t="shared" si="36"/>
        <v>0</v>
      </c>
      <c r="P19" s="57">
        <f t="shared" si="36"/>
        <v>0</v>
      </c>
      <c r="Q19" s="56">
        <f>SUM(O19:P19)</f>
        <v>0</v>
      </c>
      <c r="R19" s="58"/>
      <c r="S19" s="55">
        <f t="shared" si="37"/>
        <v>0</v>
      </c>
      <c r="T19" s="57">
        <f t="shared" si="37"/>
        <v>0</v>
      </c>
      <c r="U19" s="56">
        <f>SUM(S19:T19)</f>
        <v>0</v>
      </c>
      <c r="V19" s="59"/>
      <c r="W19" s="124">
        <f t="shared" si="33"/>
        <v>0</v>
      </c>
      <c r="X19" s="196">
        <f t="shared" si="33"/>
        <v>0</v>
      </c>
      <c r="Y19" s="194">
        <f t="shared" si="33"/>
        <v>0</v>
      </c>
    </row>
    <row r="20" spans="1:77" s="61" customFormat="1" x14ac:dyDescent="0.25">
      <c r="A20" s="87"/>
      <c r="B20" s="54" t="s">
        <v>135</v>
      </c>
      <c r="C20" s="55">
        <f>(47840*1.03)*0.5</f>
        <v>24637.600000000002</v>
      </c>
      <c r="D20" s="56">
        <f>(47840*1.03)*(0.5-0.1)</f>
        <v>19710.080000000002</v>
      </c>
      <c r="E20" s="57">
        <f>SUM(C20:D20)</f>
        <v>44347.680000000008</v>
      </c>
      <c r="F20" s="58"/>
      <c r="G20" s="55">
        <f t="shared" si="34"/>
        <v>25376.728000000003</v>
      </c>
      <c r="H20" s="57">
        <f t="shared" si="34"/>
        <v>20301.382400000002</v>
      </c>
      <c r="I20" s="57">
        <f>SUM(G20:H20)</f>
        <v>45678.110400000005</v>
      </c>
      <c r="J20" s="58"/>
      <c r="K20" s="55">
        <f t="shared" si="35"/>
        <v>26138.029840000003</v>
      </c>
      <c r="L20" s="57">
        <f t="shared" si="35"/>
        <v>20910.423872000003</v>
      </c>
      <c r="M20" s="57">
        <f>SUM(K20:L20)</f>
        <v>47048.453712000002</v>
      </c>
      <c r="N20" s="58"/>
      <c r="O20" s="55">
        <f t="shared" si="36"/>
        <v>26922.170735200005</v>
      </c>
      <c r="P20" s="57">
        <f t="shared" si="36"/>
        <v>21537.736588160005</v>
      </c>
      <c r="Q20" s="57">
        <f>SUM(O20:P20)</f>
        <v>48459.907323360007</v>
      </c>
      <c r="R20" s="58"/>
      <c r="S20" s="55">
        <f t="shared" si="37"/>
        <v>27729.835857256006</v>
      </c>
      <c r="T20" s="57">
        <f t="shared" si="37"/>
        <v>22183.868685804806</v>
      </c>
      <c r="U20" s="57">
        <f>SUM(S20:T20)</f>
        <v>49913.704543060812</v>
      </c>
      <c r="V20" s="59"/>
      <c r="W20" s="124">
        <f t="shared" si="33"/>
        <v>130804.36443245603</v>
      </c>
      <c r="X20" s="57">
        <f t="shared" si="33"/>
        <v>104643.49154596482</v>
      </c>
      <c r="Y20" s="84">
        <f t="shared" si="33"/>
        <v>235447.85597842082</v>
      </c>
    </row>
    <row r="21" spans="1:77" s="61" customFormat="1" x14ac:dyDescent="0.25">
      <c r="A21" s="87"/>
      <c r="B21" s="54"/>
      <c r="C21" s="124">
        <v>0</v>
      </c>
      <c r="D21" s="56"/>
      <c r="E21" s="56"/>
      <c r="F21" s="58"/>
      <c r="G21" s="55">
        <f t="shared" ref="G21:H25" si="38">C21*1.03</f>
        <v>0</v>
      </c>
      <c r="H21" s="57">
        <f t="shared" si="38"/>
        <v>0</v>
      </c>
      <c r="I21" s="57"/>
      <c r="J21" s="58"/>
      <c r="K21" s="55">
        <f t="shared" ref="K21:L25" si="39">G21*1.03</f>
        <v>0</v>
      </c>
      <c r="L21" s="57">
        <f t="shared" si="39"/>
        <v>0</v>
      </c>
      <c r="M21" s="57"/>
      <c r="N21" s="58"/>
      <c r="O21" s="55">
        <f t="shared" ref="O21:O25" si="40">K21*1.03</f>
        <v>0</v>
      </c>
      <c r="P21" s="57">
        <f t="shared" ref="P21:P25" si="41">L21*1.03</f>
        <v>0</v>
      </c>
      <c r="Q21" s="57"/>
      <c r="R21" s="58"/>
      <c r="S21" s="55">
        <f t="shared" ref="S21:S25" si="42">O21*1.03</f>
        <v>0</v>
      </c>
      <c r="T21" s="57">
        <f t="shared" ref="T21:T25" si="43">P21*1.03</f>
        <v>0</v>
      </c>
      <c r="U21" s="57"/>
      <c r="V21" s="59"/>
      <c r="W21" s="124"/>
      <c r="X21" s="57"/>
      <c r="Y21" s="84"/>
    </row>
    <row r="22" spans="1:77" s="61" customFormat="1" x14ac:dyDescent="0.25">
      <c r="A22" s="87"/>
      <c r="B22" s="54"/>
      <c r="C22" s="124">
        <v>0</v>
      </c>
      <c r="D22" s="56"/>
      <c r="E22" s="56"/>
      <c r="F22" s="58"/>
      <c r="G22" s="55">
        <f t="shared" si="38"/>
        <v>0</v>
      </c>
      <c r="H22" s="57">
        <f t="shared" si="38"/>
        <v>0</v>
      </c>
      <c r="I22" s="57"/>
      <c r="J22" s="58"/>
      <c r="K22" s="55">
        <f t="shared" si="39"/>
        <v>0</v>
      </c>
      <c r="L22" s="57">
        <f t="shared" si="39"/>
        <v>0</v>
      </c>
      <c r="M22" s="57"/>
      <c r="N22" s="58"/>
      <c r="O22" s="55">
        <f t="shared" si="40"/>
        <v>0</v>
      </c>
      <c r="P22" s="57">
        <f t="shared" si="41"/>
        <v>0</v>
      </c>
      <c r="Q22" s="57"/>
      <c r="R22" s="58"/>
      <c r="S22" s="55">
        <f t="shared" si="42"/>
        <v>0</v>
      </c>
      <c r="T22" s="57">
        <f t="shared" si="43"/>
        <v>0</v>
      </c>
      <c r="U22" s="57"/>
      <c r="V22" s="59"/>
      <c r="W22" s="124"/>
      <c r="X22" s="57"/>
      <c r="Y22" s="84"/>
    </row>
    <row r="23" spans="1:77" s="61" customFormat="1" x14ac:dyDescent="0.25">
      <c r="A23" s="52"/>
      <c r="B23" s="54"/>
      <c r="C23" s="124">
        <v>0</v>
      </c>
      <c r="D23" s="56">
        <v>0</v>
      </c>
      <c r="E23" s="56">
        <f>SUM(C23:D23)</f>
        <v>0</v>
      </c>
      <c r="F23" s="58"/>
      <c r="G23" s="55">
        <f t="shared" si="38"/>
        <v>0</v>
      </c>
      <c r="H23" s="57">
        <f t="shared" si="38"/>
        <v>0</v>
      </c>
      <c r="I23" s="57">
        <f>SUM(G23:H23)</f>
        <v>0</v>
      </c>
      <c r="J23" s="58"/>
      <c r="K23" s="55">
        <f t="shared" si="39"/>
        <v>0</v>
      </c>
      <c r="L23" s="57">
        <f t="shared" si="39"/>
        <v>0</v>
      </c>
      <c r="M23" s="57">
        <f>SUM(K23:L23)</f>
        <v>0</v>
      </c>
      <c r="N23" s="58"/>
      <c r="O23" s="55">
        <f t="shared" si="40"/>
        <v>0</v>
      </c>
      <c r="P23" s="57">
        <f t="shared" si="41"/>
        <v>0</v>
      </c>
      <c r="Q23" s="57">
        <f>SUM(O23:P23)</f>
        <v>0</v>
      </c>
      <c r="R23" s="58"/>
      <c r="S23" s="55">
        <f t="shared" si="42"/>
        <v>0</v>
      </c>
      <c r="T23" s="57">
        <f t="shared" si="43"/>
        <v>0</v>
      </c>
      <c r="U23" s="57">
        <f>SUM(S23:T23)</f>
        <v>0</v>
      </c>
      <c r="V23" s="59"/>
      <c r="W23" s="124">
        <f t="shared" ref="W23:Y26" si="44">C23+G23+K23+O23+S23</f>
        <v>0</v>
      </c>
      <c r="X23" s="57">
        <f t="shared" si="44"/>
        <v>0</v>
      </c>
      <c r="Y23" s="84">
        <f t="shared" si="44"/>
        <v>0</v>
      </c>
    </row>
    <row r="24" spans="1:77" s="61" customFormat="1" x14ac:dyDescent="0.25">
      <c r="A24" s="52"/>
      <c r="B24" s="54"/>
      <c r="C24" s="124">
        <v>0</v>
      </c>
      <c r="D24" s="56">
        <v>0</v>
      </c>
      <c r="E24" s="56">
        <f>SUM(C24:D24)</f>
        <v>0</v>
      </c>
      <c r="F24" s="58"/>
      <c r="G24" s="55">
        <f t="shared" si="38"/>
        <v>0</v>
      </c>
      <c r="H24" s="57">
        <f t="shared" si="38"/>
        <v>0</v>
      </c>
      <c r="I24" s="57">
        <f>SUM(G24:H24)</f>
        <v>0</v>
      </c>
      <c r="J24" s="58"/>
      <c r="K24" s="55">
        <f t="shared" si="39"/>
        <v>0</v>
      </c>
      <c r="L24" s="57">
        <f t="shared" si="39"/>
        <v>0</v>
      </c>
      <c r="M24" s="57">
        <f>SUM(K24:L24)</f>
        <v>0</v>
      </c>
      <c r="N24" s="58"/>
      <c r="O24" s="55">
        <f t="shared" si="40"/>
        <v>0</v>
      </c>
      <c r="P24" s="57">
        <f t="shared" si="41"/>
        <v>0</v>
      </c>
      <c r="Q24" s="57">
        <f>SUM(O24:P24)</f>
        <v>0</v>
      </c>
      <c r="R24" s="58"/>
      <c r="S24" s="55">
        <f t="shared" si="42"/>
        <v>0</v>
      </c>
      <c r="T24" s="57">
        <f t="shared" si="43"/>
        <v>0</v>
      </c>
      <c r="U24" s="57">
        <f>SUM(S24:T24)</f>
        <v>0</v>
      </c>
      <c r="V24" s="59"/>
      <c r="W24" s="124">
        <f t="shared" si="44"/>
        <v>0</v>
      </c>
      <c r="X24" s="57">
        <f t="shared" si="44"/>
        <v>0</v>
      </c>
      <c r="Y24" s="84">
        <f t="shared" si="44"/>
        <v>0</v>
      </c>
    </row>
    <row r="25" spans="1:77" s="61" customFormat="1" x14ac:dyDescent="0.25">
      <c r="A25" s="52"/>
      <c r="B25" s="54"/>
      <c r="C25" s="124">
        <v>0</v>
      </c>
      <c r="D25" s="56">
        <v>0</v>
      </c>
      <c r="E25" s="56">
        <f>SUM(C25:D25)</f>
        <v>0</v>
      </c>
      <c r="F25" s="58"/>
      <c r="G25" s="55">
        <f t="shared" si="38"/>
        <v>0</v>
      </c>
      <c r="H25" s="57">
        <f t="shared" si="38"/>
        <v>0</v>
      </c>
      <c r="I25" s="57">
        <f>SUM(G25:H25)</f>
        <v>0</v>
      </c>
      <c r="J25" s="58"/>
      <c r="K25" s="55">
        <f t="shared" si="39"/>
        <v>0</v>
      </c>
      <c r="L25" s="57">
        <f t="shared" si="39"/>
        <v>0</v>
      </c>
      <c r="M25" s="57">
        <f>SUM(K25:L25)</f>
        <v>0</v>
      </c>
      <c r="N25" s="58"/>
      <c r="O25" s="55">
        <f t="shared" si="40"/>
        <v>0</v>
      </c>
      <c r="P25" s="57">
        <f t="shared" si="41"/>
        <v>0</v>
      </c>
      <c r="Q25" s="57">
        <f>SUM(O25:P25)</f>
        <v>0</v>
      </c>
      <c r="R25" s="58"/>
      <c r="S25" s="55">
        <f t="shared" si="42"/>
        <v>0</v>
      </c>
      <c r="T25" s="57">
        <f t="shared" si="43"/>
        <v>0</v>
      </c>
      <c r="U25" s="57">
        <f>SUM(S25:T25)</f>
        <v>0</v>
      </c>
      <c r="V25" s="59"/>
      <c r="W25" s="124">
        <f t="shared" si="44"/>
        <v>0</v>
      </c>
      <c r="X25" s="57">
        <f t="shared" si="44"/>
        <v>0</v>
      </c>
      <c r="Y25" s="84">
        <f t="shared" si="44"/>
        <v>0</v>
      </c>
    </row>
    <row r="26" spans="1:77" s="83" customFormat="1" x14ac:dyDescent="0.25">
      <c r="A26" s="78"/>
      <c r="B26" s="78" t="s">
        <v>9</v>
      </c>
      <c r="C26" s="228">
        <f>SUM(C17:C25)</f>
        <v>65739.544000000009</v>
      </c>
      <c r="D26" s="125">
        <f>SUM(D17:D25)</f>
        <v>52591.635200000004</v>
      </c>
      <c r="E26" s="125">
        <f>SUM(E17:E25)</f>
        <v>118331.17920000001</v>
      </c>
      <c r="F26" s="81"/>
      <c r="G26" s="79">
        <f>SUM(G17:G25)</f>
        <v>67711.730320000002</v>
      </c>
      <c r="H26" s="80">
        <f>SUM(H17:H25)</f>
        <v>54169.384256000005</v>
      </c>
      <c r="I26" s="80">
        <f>SUM(I17:I25)</f>
        <v>121881.11457600002</v>
      </c>
      <c r="J26" s="81"/>
      <c r="K26" s="79">
        <f>SUM(K17:K25)</f>
        <v>69743.082229600011</v>
      </c>
      <c r="L26" s="80">
        <f>SUM(L17:L25)</f>
        <v>55794.465783680003</v>
      </c>
      <c r="M26" s="80">
        <f>SUM(M17:M25)</f>
        <v>125537.54801328001</v>
      </c>
      <c r="N26" s="81"/>
      <c r="O26" s="79">
        <f>SUM(O17:O25)</f>
        <v>71835.374696488012</v>
      </c>
      <c r="P26" s="80">
        <f>SUM(P17:P25)</f>
        <v>57468.299757190412</v>
      </c>
      <c r="Q26" s="80">
        <f>SUM(Q17:Q25)</f>
        <v>129303.67445367842</v>
      </c>
      <c r="R26" s="81"/>
      <c r="S26" s="79">
        <f>SUM(S17:S25)</f>
        <v>73990.435937382659</v>
      </c>
      <c r="T26" s="80">
        <f>SUM(T17:T25)</f>
        <v>59192.34874990613</v>
      </c>
      <c r="U26" s="80">
        <f>SUM(U17:U25)</f>
        <v>133182.7846872888</v>
      </c>
      <c r="V26" s="82"/>
      <c r="W26" s="228">
        <f t="shared" si="44"/>
        <v>349020.16718347068</v>
      </c>
      <c r="X26" s="80">
        <f t="shared" si="44"/>
        <v>279216.13374677656</v>
      </c>
      <c r="Y26" s="80">
        <f t="shared" si="44"/>
        <v>628236.30093024729</v>
      </c>
    </row>
    <row r="27" spans="1:77" s="92" customFormat="1" x14ac:dyDescent="0.25">
      <c r="A27" s="89" t="s">
        <v>16</v>
      </c>
      <c r="B27" s="89"/>
      <c r="C27" s="90">
        <f t="shared" ref="C27:Y27" si="45">C26+C15</f>
        <v>202287.84388133336</v>
      </c>
      <c r="D27" s="90">
        <f>D26+D15</f>
        <v>132170.15526613334</v>
      </c>
      <c r="E27" s="90">
        <f t="shared" si="45"/>
        <v>334457.99914746673</v>
      </c>
      <c r="F27" s="90">
        <f t="shared" si="45"/>
        <v>0</v>
      </c>
      <c r="G27" s="90">
        <f t="shared" si="45"/>
        <v>208356.47919777335</v>
      </c>
      <c r="H27" s="90">
        <f t="shared" si="45"/>
        <v>136135.25992411736</v>
      </c>
      <c r="I27" s="90">
        <f t="shared" si="45"/>
        <v>344491.73912189069</v>
      </c>
      <c r="J27" s="90">
        <f t="shared" si="45"/>
        <v>0</v>
      </c>
      <c r="K27" s="90">
        <f t="shared" si="45"/>
        <v>214607.17357370653</v>
      </c>
      <c r="L27" s="90">
        <f t="shared" si="45"/>
        <v>140219.31772184087</v>
      </c>
      <c r="M27" s="90">
        <f t="shared" si="45"/>
        <v>354826.4912955474</v>
      </c>
      <c r="N27" s="90">
        <f t="shared" si="45"/>
        <v>0</v>
      </c>
      <c r="O27" s="90">
        <f t="shared" si="45"/>
        <v>221045.38878091774</v>
      </c>
      <c r="P27" s="90">
        <f t="shared" si="45"/>
        <v>144425.89725349611</v>
      </c>
      <c r="Q27" s="90">
        <f t="shared" si="45"/>
        <v>365471.28603441385</v>
      </c>
      <c r="R27" s="90">
        <f t="shared" si="45"/>
        <v>0</v>
      </c>
      <c r="S27" s="90">
        <f t="shared" si="45"/>
        <v>227676.75044434532</v>
      </c>
      <c r="T27" s="90">
        <f t="shared" si="45"/>
        <v>148758.67417110101</v>
      </c>
      <c r="U27" s="90">
        <f t="shared" si="45"/>
        <v>376435.4246154463</v>
      </c>
      <c r="V27" s="90">
        <f t="shared" si="45"/>
        <v>0</v>
      </c>
      <c r="W27" s="90">
        <f t="shared" si="45"/>
        <v>1073973.6358780763</v>
      </c>
      <c r="X27" s="90">
        <f t="shared" si="45"/>
        <v>701709.30433668871</v>
      </c>
      <c r="Y27" s="90">
        <f t="shared" si="45"/>
        <v>1775682.9402147648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>
        <v>0</v>
      </c>
      <c r="D29" s="56">
        <v>0</v>
      </c>
      <c r="E29" s="56">
        <f t="shared" ref="E29:E35" si="46">SUM(C29:D29)</f>
        <v>0</v>
      </c>
      <c r="F29" s="58"/>
      <c r="G29" s="55">
        <v>0</v>
      </c>
      <c r="H29" s="57">
        <v>0</v>
      </c>
      <c r="I29" s="57">
        <f t="shared" ref="I29:I35" si="47">SUM(G29:H29)</f>
        <v>0</v>
      </c>
      <c r="J29" s="58"/>
      <c r="K29" s="55">
        <v>0</v>
      </c>
      <c r="L29" s="57">
        <v>0</v>
      </c>
      <c r="M29" s="57">
        <f t="shared" ref="M29:M35" si="48">SUM(K29:L29)</f>
        <v>0</v>
      </c>
      <c r="N29" s="58"/>
      <c r="O29" s="55">
        <v>0</v>
      </c>
      <c r="P29" s="57">
        <v>0</v>
      </c>
      <c r="Q29" s="57">
        <f t="shared" ref="Q29:Q35" si="49">SUM(O29:P29)</f>
        <v>0</v>
      </c>
      <c r="R29" s="58"/>
      <c r="S29" s="55">
        <v>0</v>
      </c>
      <c r="T29" s="57">
        <v>0</v>
      </c>
      <c r="U29" s="57">
        <f t="shared" ref="U29:U35" si="50">SUM(S29:T29)</f>
        <v>0</v>
      </c>
      <c r="V29" s="59"/>
      <c r="W29" s="124">
        <v>0</v>
      </c>
      <c r="X29" s="57">
        <v>0</v>
      </c>
      <c r="Y29" s="84">
        <f t="shared" ref="Y29:Y36" si="51">E29+I29+M29+Q29+U29</f>
        <v>0</v>
      </c>
    </row>
    <row r="30" spans="1:77" s="61" customFormat="1" x14ac:dyDescent="0.25">
      <c r="A30" s="234">
        <v>3.5999999999999997E-2</v>
      </c>
      <c r="B30" s="54" t="s">
        <v>40</v>
      </c>
      <c r="C30" s="124">
        <v>0</v>
      </c>
      <c r="D30" s="56">
        <v>0</v>
      </c>
      <c r="E30" s="56">
        <f t="shared" si="46"/>
        <v>0</v>
      </c>
      <c r="F30" s="58"/>
      <c r="G30" s="55">
        <f>C30*1.03</f>
        <v>0</v>
      </c>
      <c r="H30" s="57">
        <f>D30*1.03</f>
        <v>0</v>
      </c>
      <c r="I30" s="57">
        <f t="shared" si="47"/>
        <v>0</v>
      </c>
      <c r="J30" s="58"/>
      <c r="K30" s="55">
        <f>(G30*1.03)*1.03</f>
        <v>0</v>
      </c>
      <c r="L30" s="57">
        <f>H30*1.03*1.03</f>
        <v>0</v>
      </c>
      <c r="M30" s="57">
        <f t="shared" si="48"/>
        <v>0</v>
      </c>
      <c r="N30" s="58"/>
      <c r="O30" s="55">
        <f>K30*1.03*1.03*1.03</f>
        <v>0</v>
      </c>
      <c r="P30" s="57">
        <f>L30*1.03*1.03*1.03</f>
        <v>0</v>
      </c>
      <c r="Q30" s="57">
        <f t="shared" si="49"/>
        <v>0</v>
      </c>
      <c r="R30" s="58"/>
      <c r="S30" s="55">
        <f>O30*1.03*1.03*1.03*1.03</f>
        <v>0</v>
      </c>
      <c r="T30" s="57">
        <f>P30*1.03*1.03*1.03*1.03</f>
        <v>0</v>
      </c>
      <c r="U30" s="57">
        <f t="shared" si="50"/>
        <v>0</v>
      </c>
      <c r="V30" s="59"/>
      <c r="W30" s="124">
        <f t="shared" ref="W30:X36" si="52">C30+G30+K30+O30+S30</f>
        <v>0</v>
      </c>
      <c r="X30" s="57">
        <f t="shared" si="52"/>
        <v>0</v>
      </c>
      <c r="Y30" s="84">
        <f t="shared" si="51"/>
        <v>0</v>
      </c>
    </row>
    <row r="31" spans="1:77" s="61" customFormat="1" x14ac:dyDescent="0.25">
      <c r="A31" s="234">
        <v>8.6999999999999994E-2</v>
      </c>
      <c r="B31" s="54" t="s">
        <v>51</v>
      </c>
      <c r="C31" s="124">
        <v>0</v>
      </c>
      <c r="D31" s="56">
        <v>0</v>
      </c>
      <c r="E31" s="56">
        <f t="shared" si="46"/>
        <v>0</v>
      </c>
      <c r="F31" s="58"/>
      <c r="G31" s="55">
        <f>C31*1.03</f>
        <v>0</v>
      </c>
      <c r="H31" s="57">
        <f>D31*1.03</f>
        <v>0</v>
      </c>
      <c r="I31" s="57">
        <f t="shared" si="47"/>
        <v>0</v>
      </c>
      <c r="J31" s="58"/>
      <c r="K31" s="55">
        <f>(G31*1.03)*1.03</f>
        <v>0</v>
      </c>
      <c r="L31" s="57">
        <f>H31*1.03*1.03</f>
        <v>0</v>
      </c>
      <c r="M31" s="57">
        <f t="shared" si="48"/>
        <v>0</v>
      </c>
      <c r="N31" s="58"/>
      <c r="O31" s="55">
        <f>K31*1.03*1.03*1.03</f>
        <v>0</v>
      </c>
      <c r="P31" s="57">
        <f>L31*1.03*1.03*1.03</f>
        <v>0</v>
      </c>
      <c r="Q31" s="57">
        <f t="shared" si="49"/>
        <v>0</v>
      </c>
      <c r="R31" s="58"/>
      <c r="S31" s="55">
        <f>O31*1.03*1.03*1.03*1.03</f>
        <v>0</v>
      </c>
      <c r="T31" s="57">
        <f>P31*1.03*1.03*1.03*1.03</f>
        <v>0</v>
      </c>
      <c r="U31" s="57">
        <f t="shared" si="50"/>
        <v>0</v>
      </c>
      <c r="V31" s="59"/>
      <c r="W31" s="124">
        <f t="shared" si="52"/>
        <v>0</v>
      </c>
      <c r="X31" s="57">
        <f t="shared" si="52"/>
        <v>0</v>
      </c>
      <c r="Y31" s="84">
        <f t="shared" si="51"/>
        <v>0</v>
      </c>
    </row>
    <row r="32" spans="1:77" s="61" customFormat="1" x14ac:dyDescent="0.25">
      <c r="A32" s="234">
        <v>0.30099999999999999</v>
      </c>
      <c r="B32" s="195" t="s">
        <v>52</v>
      </c>
      <c r="C32" s="124">
        <f>(C6+C7+C8)*A32</f>
        <v>23160.997299281335</v>
      </c>
      <c r="D32" s="56">
        <f>(D6+D7)*A32</f>
        <v>9601.1017679061315</v>
      </c>
      <c r="E32" s="56">
        <f t="shared" si="46"/>
        <v>32762.099067187468</v>
      </c>
      <c r="F32" s="58"/>
      <c r="G32" s="55">
        <f>(G6+G7+G8)*A32*1.03</f>
        <v>24571.502034807567</v>
      </c>
      <c r="H32" s="57">
        <f>(H6+H7)*A32*1.03</f>
        <v>10185.808865571616</v>
      </c>
      <c r="I32" s="57">
        <f t="shared" si="47"/>
        <v>34757.310900379183</v>
      </c>
      <c r="J32" s="58"/>
      <c r="K32" s="55">
        <f>((K6+K7+K8)*A32*1.03*1.03)</f>
        <v>26067.906508727348</v>
      </c>
      <c r="L32" s="57">
        <f>(L6+L7)*A32*1.03*1.03</f>
        <v>10806.124625484928</v>
      </c>
      <c r="M32" s="57">
        <f t="shared" si="48"/>
        <v>36874.031134212273</v>
      </c>
      <c r="N32" s="58"/>
      <c r="O32" s="55">
        <f>(O6+O7+O8)*A32*1.03*1.03*1.03</f>
        <v>27655.442015108849</v>
      </c>
      <c r="P32" s="57">
        <f>(P6+P7)*A32*1.03*1.03*1.03</f>
        <v>11464.21761517696</v>
      </c>
      <c r="Q32" s="57">
        <f t="shared" si="49"/>
        <v>39119.659630285809</v>
      </c>
      <c r="R32" s="58"/>
      <c r="S32" s="55">
        <f>(S6+S7+S8)*A32*1.03*1.03*1.03*1.03</f>
        <v>29339.658433828976</v>
      </c>
      <c r="T32" s="57">
        <f>(T6+T7)*A32*1.03*1.03*1.03*1.03</f>
        <v>12162.38846794124</v>
      </c>
      <c r="U32" s="57">
        <f t="shared" si="50"/>
        <v>41502.046901770213</v>
      </c>
      <c r="V32" s="59"/>
      <c r="W32" s="124">
        <f>C32+G32+K32+O32+S32</f>
        <v>130795.50629175408</v>
      </c>
      <c r="X32" s="196">
        <f t="shared" si="52"/>
        <v>54219.641342080882</v>
      </c>
      <c r="Y32" s="194">
        <f t="shared" si="51"/>
        <v>185015.14763383497</v>
      </c>
    </row>
    <row r="33" spans="1:77" s="61" customFormat="1" x14ac:dyDescent="0.25">
      <c r="A33" s="234">
        <v>0.42</v>
      </c>
      <c r="B33" s="195" t="s">
        <v>53</v>
      </c>
      <c r="C33" s="124">
        <f>(C26+C10)*A33</f>
        <v>52643.223780000008</v>
      </c>
      <c r="D33" s="56">
        <f>(D26+D10)*A33</f>
        <v>42114.579024000006</v>
      </c>
      <c r="E33" s="56">
        <f t="shared" si="46"/>
        <v>94757.802804000006</v>
      </c>
      <c r="F33" s="58"/>
      <c r="G33" s="55">
        <f>(G26+G10)*A33*1.03</f>
        <v>55849.196108201999</v>
      </c>
      <c r="H33" s="57">
        <f>((H26+H10)*A33)*1.03</f>
        <v>44679.356886561596</v>
      </c>
      <c r="I33" s="57">
        <f t="shared" si="47"/>
        <v>100528.5529947636</v>
      </c>
      <c r="J33" s="58"/>
      <c r="K33" s="55">
        <f>(K26+K10)*A33*1.03*1.03</f>
        <v>59250.412151191515</v>
      </c>
      <c r="L33" s="57">
        <f>(L26+L10)*A33*1.03*1.03</f>
        <v>47400.329720953217</v>
      </c>
      <c r="M33" s="57">
        <f t="shared" si="48"/>
        <v>106650.74187214473</v>
      </c>
      <c r="N33" s="58"/>
      <c r="O33" s="55">
        <f>(O10+O26)*A33*1.03*1.03*1.03</f>
        <v>62858.762251199078</v>
      </c>
      <c r="P33" s="57">
        <f>(P26+P10)*A33*1.03*1.03*1.03</f>
        <v>50287.009800959277</v>
      </c>
      <c r="Q33" s="57">
        <f t="shared" si="49"/>
        <v>113145.77205215835</v>
      </c>
      <c r="R33" s="58"/>
      <c r="S33" s="55">
        <f>(S10+S26)*A33*1.03*1.03*1.03*1.03</f>
        <v>66686.860872297097</v>
      </c>
      <c r="T33" s="57">
        <f>(T26+T10)*A33*1.03*1.03*1.03*1.03</f>
        <v>53349.488697837704</v>
      </c>
      <c r="U33" s="57">
        <f t="shared" si="50"/>
        <v>120036.3495701348</v>
      </c>
      <c r="V33" s="59"/>
      <c r="W33" s="124">
        <f t="shared" si="52"/>
        <v>297288.45516288973</v>
      </c>
      <c r="X33" s="196">
        <f t="shared" si="52"/>
        <v>237830.76413031179</v>
      </c>
      <c r="Y33" s="194">
        <f t="shared" si="51"/>
        <v>535119.21929320146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46"/>
        <v>0</v>
      </c>
      <c r="F34" s="58"/>
      <c r="G34" s="55">
        <f>C34*1.03</f>
        <v>0</v>
      </c>
      <c r="H34" s="57">
        <f>D34*1.03</f>
        <v>0</v>
      </c>
      <c r="I34" s="57">
        <f t="shared" si="47"/>
        <v>0</v>
      </c>
      <c r="J34" s="58"/>
      <c r="K34" s="55">
        <f>(G34*1.03)*1.03</f>
        <v>0</v>
      </c>
      <c r="L34" s="57">
        <f>H34*1.03*1.03</f>
        <v>0</v>
      </c>
      <c r="M34" s="57">
        <f t="shared" si="48"/>
        <v>0</v>
      </c>
      <c r="N34" s="58"/>
      <c r="O34" s="55">
        <f>K34*1.03*1.03*1.03</f>
        <v>0</v>
      </c>
      <c r="P34" s="57">
        <f>L34*1.03*1.03*1.03</f>
        <v>0</v>
      </c>
      <c r="Q34" s="57">
        <f t="shared" si="49"/>
        <v>0</v>
      </c>
      <c r="R34" s="58"/>
      <c r="S34" s="55">
        <f>O34*1.03*1.03*1.03*1.03</f>
        <v>0</v>
      </c>
      <c r="T34" s="57">
        <f>P34*1.03*1.03*1.03*1.03</f>
        <v>0</v>
      </c>
      <c r="U34" s="57">
        <f t="shared" si="50"/>
        <v>0</v>
      </c>
      <c r="V34" s="59"/>
      <c r="W34" s="124">
        <f t="shared" si="52"/>
        <v>0</v>
      </c>
      <c r="X34" s="57">
        <f t="shared" si="52"/>
        <v>0</v>
      </c>
      <c r="Y34" s="84">
        <f t="shared" si="51"/>
        <v>0</v>
      </c>
    </row>
    <row r="35" spans="1:77" s="61" customFormat="1" x14ac:dyDescent="0.25">
      <c r="A35" s="6"/>
      <c r="B35" s="52"/>
      <c r="C35" s="124">
        <v>0</v>
      </c>
      <c r="D35" s="56">
        <v>0</v>
      </c>
      <c r="E35" s="56">
        <f t="shared" si="46"/>
        <v>0</v>
      </c>
      <c r="F35" s="58"/>
      <c r="G35" s="55">
        <f>C35*1.03</f>
        <v>0</v>
      </c>
      <c r="H35" s="57">
        <f>D35*1.03</f>
        <v>0</v>
      </c>
      <c r="I35" s="57">
        <f t="shared" si="47"/>
        <v>0</v>
      </c>
      <c r="J35" s="58"/>
      <c r="K35" s="55">
        <f>(G35*1.03)*1.03</f>
        <v>0</v>
      </c>
      <c r="L35" s="57">
        <f>H35*1.03*1.03</f>
        <v>0</v>
      </c>
      <c r="M35" s="57">
        <f t="shared" si="48"/>
        <v>0</v>
      </c>
      <c r="N35" s="58"/>
      <c r="O35" s="55">
        <f>K35*1.03*1.03*1.03</f>
        <v>0</v>
      </c>
      <c r="P35" s="57">
        <f>L35*1.03*1.03*1.03</f>
        <v>0</v>
      </c>
      <c r="Q35" s="57">
        <f t="shared" si="49"/>
        <v>0</v>
      </c>
      <c r="R35" s="58"/>
      <c r="S35" s="55">
        <f>O35*1.03*1.03*1.03*1.03</f>
        <v>0</v>
      </c>
      <c r="T35" s="57">
        <f>P35*1.03*1.03*1.03*1.03</f>
        <v>0</v>
      </c>
      <c r="U35" s="57">
        <f t="shared" si="50"/>
        <v>0</v>
      </c>
      <c r="V35" s="59"/>
      <c r="W35" s="124">
        <f t="shared" si="52"/>
        <v>0</v>
      </c>
      <c r="X35" s="57">
        <f t="shared" si="52"/>
        <v>0</v>
      </c>
      <c r="Y35" s="84">
        <f t="shared" si="51"/>
        <v>0</v>
      </c>
    </row>
    <row r="36" spans="1:77" s="83" customFormat="1" x14ac:dyDescent="0.25">
      <c r="A36" s="78"/>
      <c r="B36" s="78" t="s">
        <v>9</v>
      </c>
      <c r="C36" s="228">
        <f>SUM(C29:C35)</f>
        <v>75804.221079281342</v>
      </c>
      <c r="D36" s="125">
        <f>SUM(D29:D35)</f>
        <v>51715.680791906139</v>
      </c>
      <c r="E36" s="125">
        <f>SUM(E29:E35)</f>
        <v>127519.90187118747</v>
      </c>
      <c r="F36" s="81"/>
      <c r="G36" s="79">
        <f>SUM(G29:G35)</f>
        <v>80420.698143009562</v>
      </c>
      <c r="H36" s="80">
        <f>SUM(H29:H35)</f>
        <v>54865.165752133209</v>
      </c>
      <c r="I36" s="80">
        <f>SUM(I29:I35)</f>
        <v>135285.86389514277</v>
      </c>
      <c r="J36" s="81"/>
      <c r="K36" s="79">
        <f>SUM(K29:K35)</f>
        <v>85318.318659918863</v>
      </c>
      <c r="L36" s="80">
        <f>SUM(L29:L35)</f>
        <v>58206.454346438142</v>
      </c>
      <c r="M36" s="80">
        <f>SUM(M29:M35)</f>
        <v>143524.77300635702</v>
      </c>
      <c r="N36" s="81"/>
      <c r="O36" s="79">
        <f>SUM(O29:O35)</f>
        <v>90514.204266307934</v>
      </c>
      <c r="P36" s="80">
        <f>SUM(P29:P35)</f>
        <v>61751.227416136237</v>
      </c>
      <c r="Q36" s="80">
        <f>SUM(Q29:Q35)</f>
        <v>152265.43168244418</v>
      </c>
      <c r="R36" s="81"/>
      <c r="S36" s="79">
        <f>SUM(S29:S35)</f>
        <v>96026.51930612608</v>
      </c>
      <c r="T36" s="80">
        <f>SUM(T29:T35)</f>
        <v>65511.877165778948</v>
      </c>
      <c r="U36" s="80">
        <f>SUM(U29:U35)</f>
        <v>161538.396471905</v>
      </c>
      <c r="V36" s="82"/>
      <c r="W36" s="228">
        <f t="shared" si="52"/>
        <v>428083.96145464375</v>
      </c>
      <c r="X36" s="80">
        <f t="shared" si="52"/>
        <v>292050.40547239268</v>
      </c>
      <c r="Y36" s="80">
        <f t="shared" si="51"/>
        <v>720134.36692703655</v>
      </c>
    </row>
    <row r="37" spans="1:77" s="94" customFormat="1" x14ac:dyDescent="0.25">
      <c r="A37" s="89" t="s">
        <v>17</v>
      </c>
      <c r="B37" s="89"/>
      <c r="C37" s="90">
        <f>C36+C27</f>
        <v>278092.06496061472</v>
      </c>
      <c r="D37" s="90">
        <f t="shared" ref="D37:Y37" si="53">D36+D27</f>
        <v>183885.83605803948</v>
      </c>
      <c r="E37" s="90">
        <f t="shared" si="53"/>
        <v>461977.90101865423</v>
      </c>
      <c r="F37" s="90">
        <f t="shared" si="53"/>
        <v>0</v>
      </c>
      <c r="G37" s="90">
        <f t="shared" si="53"/>
        <v>288777.17734078295</v>
      </c>
      <c r="H37" s="90">
        <f t="shared" si="53"/>
        <v>191000.42567625057</v>
      </c>
      <c r="I37" s="90">
        <f t="shared" si="53"/>
        <v>479777.60301703343</v>
      </c>
      <c r="J37" s="90">
        <f t="shared" si="53"/>
        <v>0</v>
      </c>
      <c r="K37" s="90">
        <f t="shared" si="53"/>
        <v>299925.49223362538</v>
      </c>
      <c r="L37" s="90">
        <f t="shared" si="53"/>
        <v>198425.77206827901</v>
      </c>
      <c r="M37" s="90">
        <f t="shared" si="53"/>
        <v>498351.26430190442</v>
      </c>
      <c r="N37" s="90">
        <f t="shared" si="53"/>
        <v>0</v>
      </c>
      <c r="O37" s="90">
        <f t="shared" si="53"/>
        <v>311559.59304722567</v>
      </c>
      <c r="P37" s="90">
        <f t="shared" si="53"/>
        <v>206177.12466963235</v>
      </c>
      <c r="Q37" s="90">
        <f t="shared" si="53"/>
        <v>517736.71771685802</v>
      </c>
      <c r="R37" s="90">
        <f t="shared" si="53"/>
        <v>0</v>
      </c>
      <c r="S37" s="90">
        <f t="shared" si="53"/>
        <v>323703.2697504714</v>
      </c>
      <c r="T37" s="90">
        <f t="shared" si="53"/>
        <v>214270.55133687996</v>
      </c>
      <c r="U37" s="90">
        <f t="shared" si="53"/>
        <v>537973.8210873513</v>
      </c>
      <c r="V37" s="90">
        <f t="shared" si="53"/>
        <v>0</v>
      </c>
      <c r="W37" s="90">
        <f t="shared" si="53"/>
        <v>1502057.5973327202</v>
      </c>
      <c r="X37" s="90">
        <f t="shared" si="53"/>
        <v>993759.7098090814</v>
      </c>
      <c r="Y37" s="90">
        <f t="shared" si="53"/>
        <v>2495817.3071418013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2"/>
      <c r="B39" s="52"/>
      <c r="C39" s="124">
        <v>0</v>
      </c>
      <c r="D39" s="56">
        <v>0</v>
      </c>
      <c r="E39" s="56">
        <f t="shared" ref="E39:E48" si="54">SUM(C39:D39)</f>
        <v>0</v>
      </c>
      <c r="F39" s="58"/>
      <c r="G39" s="55">
        <v>0</v>
      </c>
      <c r="H39" s="57">
        <v>0</v>
      </c>
      <c r="I39" s="57">
        <f t="shared" ref="I39:I48" si="55">SUM(G39:H39)</f>
        <v>0</v>
      </c>
      <c r="J39" s="58"/>
      <c r="K39" s="55">
        <v>0</v>
      </c>
      <c r="L39" s="57">
        <v>0</v>
      </c>
      <c r="M39" s="57">
        <f t="shared" ref="M39:M48" si="56">SUM(K39:L39)</f>
        <v>0</v>
      </c>
      <c r="N39" s="58"/>
      <c r="O39" s="55">
        <v>0</v>
      </c>
      <c r="P39" s="57">
        <v>0</v>
      </c>
      <c r="Q39" s="57">
        <f t="shared" ref="Q39:Q48" si="57">SUM(O39:P39)</f>
        <v>0</v>
      </c>
      <c r="R39" s="58"/>
      <c r="S39" s="55">
        <v>0</v>
      </c>
      <c r="T39" s="57">
        <v>0</v>
      </c>
      <c r="U39" s="57">
        <f t="shared" ref="U39:U48" si="58">SUM(S39:T39)</f>
        <v>0</v>
      </c>
      <c r="V39" s="59"/>
      <c r="W39" s="124">
        <f t="shared" ref="W39:W49" si="59">C39+G39+K39+O39+S39</f>
        <v>0</v>
      </c>
      <c r="X39" s="57">
        <f t="shared" ref="X39:X49" si="60">D39+H39+L39+P39+T39</f>
        <v>0</v>
      </c>
      <c r="Y39" s="84">
        <f t="shared" ref="Y39:Y49" si="61">E39+I39+M39+Q39+U39</f>
        <v>0</v>
      </c>
    </row>
    <row r="40" spans="1:77" s="61" customFormat="1" x14ac:dyDescent="0.25">
      <c r="A40" s="52"/>
      <c r="B40" s="52"/>
      <c r="C40" s="124">
        <v>0</v>
      </c>
      <c r="D40" s="56">
        <v>0</v>
      </c>
      <c r="E40" s="56">
        <f t="shared" si="54"/>
        <v>0</v>
      </c>
      <c r="F40" s="58"/>
      <c r="G40" s="55">
        <v>0</v>
      </c>
      <c r="H40" s="57">
        <v>0</v>
      </c>
      <c r="I40" s="57">
        <f t="shared" si="55"/>
        <v>0</v>
      </c>
      <c r="J40" s="58"/>
      <c r="K40" s="55">
        <v>0</v>
      </c>
      <c r="L40" s="57">
        <v>0</v>
      </c>
      <c r="M40" s="57">
        <f t="shared" si="56"/>
        <v>0</v>
      </c>
      <c r="N40" s="58"/>
      <c r="O40" s="55">
        <v>0</v>
      </c>
      <c r="P40" s="57">
        <v>0</v>
      </c>
      <c r="Q40" s="57">
        <f t="shared" si="57"/>
        <v>0</v>
      </c>
      <c r="R40" s="58"/>
      <c r="S40" s="55">
        <v>0</v>
      </c>
      <c r="T40" s="57">
        <v>0</v>
      </c>
      <c r="U40" s="57">
        <f t="shared" si="58"/>
        <v>0</v>
      </c>
      <c r="V40" s="59"/>
      <c r="W40" s="124">
        <f t="shared" si="59"/>
        <v>0</v>
      </c>
      <c r="X40" s="57">
        <f t="shared" si="60"/>
        <v>0</v>
      </c>
      <c r="Y40" s="84">
        <f t="shared" si="61"/>
        <v>0</v>
      </c>
    </row>
    <row r="41" spans="1:77" s="61" customFormat="1" x14ac:dyDescent="0.25">
      <c r="A41" s="52"/>
      <c r="B41" s="52"/>
      <c r="C41" s="124">
        <v>0</v>
      </c>
      <c r="D41" s="56">
        <v>0</v>
      </c>
      <c r="E41" s="56">
        <f t="shared" si="54"/>
        <v>0</v>
      </c>
      <c r="F41" s="58"/>
      <c r="G41" s="55">
        <v>0</v>
      </c>
      <c r="H41" s="57">
        <v>0</v>
      </c>
      <c r="I41" s="57">
        <f t="shared" si="55"/>
        <v>0</v>
      </c>
      <c r="J41" s="58"/>
      <c r="K41" s="55">
        <v>0</v>
      </c>
      <c r="L41" s="57">
        <v>0</v>
      </c>
      <c r="M41" s="57">
        <f t="shared" si="56"/>
        <v>0</v>
      </c>
      <c r="N41" s="58"/>
      <c r="O41" s="55">
        <v>0</v>
      </c>
      <c r="P41" s="57">
        <v>0</v>
      </c>
      <c r="Q41" s="57">
        <f t="shared" si="57"/>
        <v>0</v>
      </c>
      <c r="R41" s="58"/>
      <c r="S41" s="55">
        <v>0</v>
      </c>
      <c r="T41" s="57">
        <v>0</v>
      </c>
      <c r="U41" s="57">
        <f t="shared" si="58"/>
        <v>0</v>
      </c>
      <c r="V41" s="59"/>
      <c r="W41" s="124">
        <f t="shared" si="59"/>
        <v>0</v>
      </c>
      <c r="X41" s="57">
        <f t="shared" si="60"/>
        <v>0</v>
      </c>
      <c r="Y41" s="84">
        <f t="shared" si="61"/>
        <v>0</v>
      </c>
    </row>
    <row r="42" spans="1:77" s="61" customFormat="1" x14ac:dyDescent="0.25">
      <c r="A42" s="52"/>
      <c r="B42" s="52"/>
      <c r="C42" s="124">
        <v>0</v>
      </c>
      <c r="D42" s="56">
        <v>0</v>
      </c>
      <c r="E42" s="56">
        <f t="shared" si="54"/>
        <v>0</v>
      </c>
      <c r="F42" s="58"/>
      <c r="G42" s="55">
        <v>0</v>
      </c>
      <c r="H42" s="57">
        <v>0</v>
      </c>
      <c r="I42" s="57">
        <f t="shared" si="55"/>
        <v>0</v>
      </c>
      <c r="J42" s="58"/>
      <c r="K42" s="55">
        <v>0</v>
      </c>
      <c r="L42" s="57">
        <v>0</v>
      </c>
      <c r="M42" s="57">
        <f t="shared" si="56"/>
        <v>0</v>
      </c>
      <c r="N42" s="58"/>
      <c r="O42" s="55">
        <v>0</v>
      </c>
      <c r="P42" s="57">
        <v>0</v>
      </c>
      <c r="Q42" s="57">
        <f t="shared" si="57"/>
        <v>0</v>
      </c>
      <c r="R42" s="58"/>
      <c r="S42" s="55">
        <v>0</v>
      </c>
      <c r="T42" s="57">
        <v>0</v>
      </c>
      <c r="U42" s="57">
        <f t="shared" si="58"/>
        <v>0</v>
      </c>
      <c r="V42" s="59"/>
      <c r="W42" s="124">
        <f t="shared" si="59"/>
        <v>0</v>
      </c>
      <c r="X42" s="57">
        <f t="shared" si="60"/>
        <v>0</v>
      </c>
      <c r="Y42" s="84">
        <f t="shared" si="61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54"/>
        <v>0</v>
      </c>
      <c r="F43" s="58"/>
      <c r="G43" s="55">
        <v>0</v>
      </c>
      <c r="H43" s="57">
        <v>0</v>
      </c>
      <c r="I43" s="57">
        <f t="shared" si="55"/>
        <v>0</v>
      </c>
      <c r="J43" s="58"/>
      <c r="K43" s="55">
        <v>0</v>
      </c>
      <c r="L43" s="57">
        <v>0</v>
      </c>
      <c r="M43" s="57">
        <f t="shared" si="56"/>
        <v>0</v>
      </c>
      <c r="N43" s="58"/>
      <c r="O43" s="55">
        <v>0</v>
      </c>
      <c r="P43" s="57">
        <v>0</v>
      </c>
      <c r="Q43" s="57">
        <f t="shared" si="57"/>
        <v>0</v>
      </c>
      <c r="R43" s="58"/>
      <c r="S43" s="55">
        <v>0</v>
      </c>
      <c r="T43" s="57">
        <v>0</v>
      </c>
      <c r="U43" s="57">
        <f t="shared" si="58"/>
        <v>0</v>
      </c>
      <c r="V43" s="59"/>
      <c r="W43" s="124">
        <f t="shared" si="59"/>
        <v>0</v>
      </c>
      <c r="X43" s="57">
        <f t="shared" si="60"/>
        <v>0</v>
      </c>
      <c r="Y43" s="84">
        <f t="shared" si="61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54"/>
        <v>0</v>
      </c>
      <c r="F44" s="58"/>
      <c r="G44" s="55">
        <v>0</v>
      </c>
      <c r="H44" s="57">
        <v>0</v>
      </c>
      <c r="I44" s="57">
        <f t="shared" si="55"/>
        <v>0</v>
      </c>
      <c r="J44" s="58"/>
      <c r="K44" s="55">
        <v>0</v>
      </c>
      <c r="L44" s="57">
        <v>0</v>
      </c>
      <c r="M44" s="57">
        <f t="shared" si="56"/>
        <v>0</v>
      </c>
      <c r="N44" s="58"/>
      <c r="O44" s="55">
        <v>0</v>
      </c>
      <c r="P44" s="57">
        <v>0</v>
      </c>
      <c r="Q44" s="57">
        <f t="shared" si="57"/>
        <v>0</v>
      </c>
      <c r="R44" s="58"/>
      <c r="S44" s="55">
        <v>0</v>
      </c>
      <c r="T44" s="57">
        <v>0</v>
      </c>
      <c r="U44" s="57">
        <f t="shared" si="58"/>
        <v>0</v>
      </c>
      <c r="V44" s="59"/>
      <c r="W44" s="124">
        <f t="shared" si="59"/>
        <v>0</v>
      </c>
      <c r="X44" s="57">
        <f t="shared" si="60"/>
        <v>0</v>
      </c>
      <c r="Y44" s="84">
        <f t="shared" si="61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54"/>
        <v>0</v>
      </c>
      <c r="F45" s="58"/>
      <c r="G45" s="55">
        <v>0</v>
      </c>
      <c r="H45" s="57">
        <v>0</v>
      </c>
      <c r="I45" s="57">
        <f t="shared" si="55"/>
        <v>0</v>
      </c>
      <c r="J45" s="58"/>
      <c r="K45" s="55">
        <v>0</v>
      </c>
      <c r="L45" s="57">
        <v>0</v>
      </c>
      <c r="M45" s="57">
        <f t="shared" si="56"/>
        <v>0</v>
      </c>
      <c r="N45" s="58"/>
      <c r="O45" s="55">
        <v>0</v>
      </c>
      <c r="P45" s="57">
        <v>0</v>
      </c>
      <c r="Q45" s="57">
        <f t="shared" si="57"/>
        <v>0</v>
      </c>
      <c r="R45" s="58"/>
      <c r="S45" s="55">
        <v>0</v>
      </c>
      <c r="T45" s="57">
        <v>0</v>
      </c>
      <c r="U45" s="57">
        <f t="shared" si="58"/>
        <v>0</v>
      </c>
      <c r="V45" s="59"/>
      <c r="W45" s="124">
        <f t="shared" si="59"/>
        <v>0</v>
      </c>
      <c r="X45" s="57">
        <f t="shared" si="60"/>
        <v>0</v>
      </c>
      <c r="Y45" s="84">
        <f t="shared" si="61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54"/>
        <v>0</v>
      </c>
      <c r="F46" s="58"/>
      <c r="G46" s="55">
        <v>0</v>
      </c>
      <c r="H46" s="57">
        <v>0</v>
      </c>
      <c r="I46" s="57">
        <f t="shared" si="55"/>
        <v>0</v>
      </c>
      <c r="J46" s="58"/>
      <c r="K46" s="55">
        <v>0</v>
      </c>
      <c r="L46" s="57">
        <v>0</v>
      </c>
      <c r="M46" s="57">
        <f t="shared" si="56"/>
        <v>0</v>
      </c>
      <c r="N46" s="58"/>
      <c r="O46" s="55">
        <v>0</v>
      </c>
      <c r="P46" s="57">
        <v>0</v>
      </c>
      <c r="Q46" s="57">
        <f t="shared" si="57"/>
        <v>0</v>
      </c>
      <c r="R46" s="58"/>
      <c r="S46" s="55">
        <v>0</v>
      </c>
      <c r="T46" s="57">
        <v>0</v>
      </c>
      <c r="U46" s="57">
        <f t="shared" si="58"/>
        <v>0</v>
      </c>
      <c r="V46" s="59"/>
      <c r="W46" s="124">
        <f t="shared" si="59"/>
        <v>0</v>
      </c>
      <c r="X46" s="57">
        <f t="shared" si="60"/>
        <v>0</v>
      </c>
      <c r="Y46" s="84">
        <f t="shared" si="61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54"/>
        <v>0</v>
      </c>
      <c r="F47" s="58"/>
      <c r="G47" s="55">
        <v>0</v>
      </c>
      <c r="H47" s="57">
        <v>0</v>
      </c>
      <c r="I47" s="57">
        <f t="shared" si="55"/>
        <v>0</v>
      </c>
      <c r="J47" s="58"/>
      <c r="K47" s="55">
        <v>0</v>
      </c>
      <c r="L47" s="57">
        <v>0</v>
      </c>
      <c r="M47" s="57">
        <f t="shared" si="56"/>
        <v>0</v>
      </c>
      <c r="N47" s="58"/>
      <c r="O47" s="55">
        <v>0</v>
      </c>
      <c r="P47" s="57">
        <v>0</v>
      </c>
      <c r="Q47" s="57">
        <f t="shared" si="57"/>
        <v>0</v>
      </c>
      <c r="R47" s="58"/>
      <c r="S47" s="55">
        <v>0</v>
      </c>
      <c r="T47" s="57">
        <v>0</v>
      </c>
      <c r="U47" s="57">
        <f t="shared" si="58"/>
        <v>0</v>
      </c>
      <c r="V47" s="59"/>
      <c r="W47" s="124">
        <f t="shared" si="59"/>
        <v>0</v>
      </c>
      <c r="X47" s="57">
        <f t="shared" si="60"/>
        <v>0</v>
      </c>
      <c r="Y47" s="84">
        <f t="shared" si="61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54"/>
        <v>0</v>
      </c>
      <c r="F48" s="58"/>
      <c r="G48" s="55">
        <v>0</v>
      </c>
      <c r="H48" s="57">
        <v>0</v>
      </c>
      <c r="I48" s="57">
        <f t="shared" si="55"/>
        <v>0</v>
      </c>
      <c r="J48" s="58"/>
      <c r="K48" s="55">
        <v>0</v>
      </c>
      <c r="L48" s="57">
        <v>0</v>
      </c>
      <c r="M48" s="57">
        <f t="shared" si="56"/>
        <v>0</v>
      </c>
      <c r="N48" s="58"/>
      <c r="O48" s="55">
        <v>0</v>
      </c>
      <c r="P48" s="57">
        <v>0</v>
      </c>
      <c r="Q48" s="57">
        <f t="shared" si="57"/>
        <v>0</v>
      </c>
      <c r="R48" s="58"/>
      <c r="S48" s="55">
        <v>0</v>
      </c>
      <c r="T48" s="57">
        <v>0</v>
      </c>
      <c r="U48" s="57">
        <f t="shared" si="58"/>
        <v>0</v>
      </c>
      <c r="V48" s="59"/>
      <c r="W48" s="124">
        <f t="shared" si="59"/>
        <v>0</v>
      </c>
      <c r="X48" s="57">
        <f t="shared" si="60"/>
        <v>0</v>
      </c>
      <c r="Y48" s="84">
        <f t="shared" si="61"/>
        <v>0</v>
      </c>
    </row>
    <row r="49" spans="1:77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0</v>
      </c>
      <c r="E49" s="125">
        <f>SUM(E39:E48)</f>
        <v>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59"/>
        <v>0</v>
      </c>
      <c r="X49" s="80">
        <f t="shared" si="60"/>
        <v>0</v>
      </c>
      <c r="Y49" s="80">
        <f t="shared" si="61"/>
        <v>0</v>
      </c>
    </row>
    <row r="50" spans="1:77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77" s="61" customFormat="1" x14ac:dyDescent="0.25">
      <c r="A51" s="52"/>
      <c r="B51" s="52"/>
      <c r="C51" s="124">
        <v>0</v>
      </c>
      <c r="D51" s="56">
        <v>0</v>
      </c>
      <c r="E51" s="56">
        <f t="shared" ref="E51:E56" si="62">SUM(C51:D51)</f>
        <v>0</v>
      </c>
      <c r="F51" s="58"/>
      <c r="G51" s="55">
        <v>0</v>
      </c>
      <c r="H51" s="57">
        <v>0</v>
      </c>
      <c r="I51" s="57">
        <f t="shared" ref="I51:I56" si="63">SUM(G51:H51)</f>
        <v>0</v>
      </c>
      <c r="J51" s="58"/>
      <c r="K51" s="55">
        <v>0</v>
      </c>
      <c r="L51" s="57">
        <v>0</v>
      </c>
      <c r="M51" s="57">
        <f t="shared" ref="M51:M56" si="64">SUM(K51:L51)</f>
        <v>0</v>
      </c>
      <c r="N51" s="58"/>
      <c r="O51" s="55">
        <v>0</v>
      </c>
      <c r="P51" s="57">
        <v>0</v>
      </c>
      <c r="Q51" s="57">
        <f t="shared" ref="Q51:Q56" si="65">SUM(O51:P51)</f>
        <v>0</v>
      </c>
      <c r="R51" s="58"/>
      <c r="S51" s="55">
        <v>0</v>
      </c>
      <c r="T51" s="57">
        <v>0</v>
      </c>
      <c r="U51" s="57">
        <f t="shared" ref="U51:U56" si="66">SUM(S51:T51)</f>
        <v>0</v>
      </c>
      <c r="V51" s="59"/>
      <c r="W51" s="124">
        <f t="shared" ref="W51:Y57" si="67">C51+G51+K51+O51+S51</f>
        <v>0</v>
      </c>
      <c r="X51" s="57">
        <f t="shared" si="67"/>
        <v>0</v>
      </c>
      <c r="Y51" s="84">
        <f t="shared" si="67"/>
        <v>0</v>
      </c>
    </row>
    <row r="52" spans="1:77" s="61" customFormat="1" x14ac:dyDescent="0.25">
      <c r="A52" s="87"/>
      <c r="B52" s="195" t="s">
        <v>113</v>
      </c>
      <c r="C52" s="124">
        <f>15250+5000-1650-10000-8600</f>
        <v>0</v>
      </c>
      <c r="D52" s="56">
        <f>15000-5000-2000+10000+7000</f>
        <v>25000</v>
      </c>
      <c r="E52" s="56">
        <f t="shared" si="62"/>
        <v>25000</v>
      </c>
      <c r="F52" s="58"/>
      <c r="G52" s="55">
        <f>15000-1600-5000-8400</f>
        <v>0</v>
      </c>
      <c r="H52" s="56">
        <f>8000+5000+8400-1400-2000</f>
        <v>18000</v>
      </c>
      <c r="I52" s="57">
        <f t="shared" si="63"/>
        <v>18000</v>
      </c>
      <c r="J52" s="58"/>
      <c r="K52" s="55">
        <f>G52</f>
        <v>0</v>
      </c>
      <c r="L52" s="56">
        <f>H52</f>
        <v>18000</v>
      </c>
      <c r="M52" s="57">
        <f t="shared" si="64"/>
        <v>18000</v>
      </c>
      <c r="N52" s="58"/>
      <c r="O52" s="55">
        <f>K52</f>
        <v>0</v>
      </c>
      <c r="P52" s="57">
        <f>L52</f>
        <v>18000</v>
      </c>
      <c r="Q52" s="57">
        <f t="shared" si="65"/>
        <v>18000</v>
      </c>
      <c r="R52" s="58"/>
      <c r="S52" s="55">
        <f>O52</f>
        <v>0</v>
      </c>
      <c r="T52" s="57">
        <f>P52-5000+2000</f>
        <v>15000</v>
      </c>
      <c r="U52" s="57">
        <f t="shared" si="66"/>
        <v>15000</v>
      </c>
      <c r="V52" s="59"/>
      <c r="W52" s="124">
        <f t="shared" si="67"/>
        <v>0</v>
      </c>
      <c r="X52" s="196">
        <f t="shared" si="67"/>
        <v>94000</v>
      </c>
      <c r="Y52" s="194">
        <f t="shared" si="67"/>
        <v>94000</v>
      </c>
    </row>
    <row r="53" spans="1:77" s="61" customFormat="1" x14ac:dyDescent="0.25">
      <c r="A53" s="87"/>
      <c r="B53" s="52"/>
      <c r="C53" s="124">
        <v>0</v>
      </c>
      <c r="D53" s="56">
        <v>0</v>
      </c>
      <c r="E53" s="56">
        <f t="shared" si="62"/>
        <v>0</v>
      </c>
      <c r="F53" s="58"/>
      <c r="G53" s="55">
        <v>0</v>
      </c>
      <c r="H53" s="57">
        <v>0</v>
      </c>
      <c r="I53" s="57">
        <f t="shared" si="63"/>
        <v>0</v>
      </c>
      <c r="J53" s="58"/>
      <c r="K53" s="55">
        <v>0</v>
      </c>
      <c r="L53" s="57">
        <v>0</v>
      </c>
      <c r="M53" s="57">
        <f t="shared" si="64"/>
        <v>0</v>
      </c>
      <c r="N53" s="58"/>
      <c r="O53" s="55">
        <v>0</v>
      </c>
      <c r="P53" s="57">
        <v>0</v>
      </c>
      <c r="Q53" s="57">
        <f t="shared" si="65"/>
        <v>0</v>
      </c>
      <c r="R53" s="58"/>
      <c r="S53" s="55">
        <v>0</v>
      </c>
      <c r="T53" s="57">
        <v>0</v>
      </c>
      <c r="U53" s="57">
        <f t="shared" si="66"/>
        <v>0</v>
      </c>
      <c r="V53" s="59"/>
      <c r="W53" s="124">
        <f t="shared" si="67"/>
        <v>0</v>
      </c>
      <c r="X53" s="57">
        <f t="shared" si="67"/>
        <v>0</v>
      </c>
      <c r="Y53" s="84">
        <f t="shared" si="67"/>
        <v>0</v>
      </c>
    </row>
    <row r="54" spans="1:77" s="61" customFormat="1" x14ac:dyDescent="0.25">
      <c r="A54" s="54"/>
      <c r="B54" s="52" t="s">
        <v>126</v>
      </c>
      <c r="C54" s="124">
        <f>4*800</f>
        <v>3200</v>
      </c>
      <c r="D54" s="56">
        <v>0</v>
      </c>
      <c r="E54" s="56">
        <f t="shared" si="62"/>
        <v>3200</v>
      </c>
      <c r="F54" s="58"/>
      <c r="G54" s="55">
        <f>C54</f>
        <v>3200</v>
      </c>
      <c r="H54" s="57">
        <v>0</v>
      </c>
      <c r="I54" s="57">
        <f t="shared" si="63"/>
        <v>3200</v>
      </c>
      <c r="J54" s="58"/>
      <c r="K54" s="55">
        <f>G54</f>
        <v>3200</v>
      </c>
      <c r="L54" s="57">
        <v>0</v>
      </c>
      <c r="M54" s="57">
        <f t="shared" si="64"/>
        <v>3200</v>
      </c>
      <c r="N54" s="58"/>
      <c r="O54" s="55">
        <f>K54</f>
        <v>3200</v>
      </c>
      <c r="P54" s="57">
        <v>0</v>
      </c>
      <c r="Q54" s="57">
        <f t="shared" si="65"/>
        <v>3200</v>
      </c>
      <c r="R54" s="58"/>
      <c r="S54" s="55">
        <f>O54</f>
        <v>3200</v>
      </c>
      <c r="T54" s="57">
        <v>0</v>
      </c>
      <c r="U54" s="57">
        <f t="shared" si="66"/>
        <v>3200</v>
      </c>
      <c r="V54" s="59"/>
      <c r="W54" s="124">
        <f t="shared" si="67"/>
        <v>16000</v>
      </c>
      <c r="X54" s="57">
        <f t="shared" si="67"/>
        <v>0</v>
      </c>
      <c r="Y54" s="84">
        <f t="shared" si="67"/>
        <v>16000</v>
      </c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</row>
    <row r="55" spans="1:77" s="61" customFormat="1" x14ac:dyDescent="0.25">
      <c r="A55" s="52"/>
      <c r="B55" s="52"/>
      <c r="C55" s="124">
        <v>0</v>
      </c>
      <c r="D55" s="56">
        <v>0</v>
      </c>
      <c r="E55" s="56">
        <f t="shared" si="62"/>
        <v>0</v>
      </c>
      <c r="F55" s="58"/>
      <c r="G55" s="55">
        <v>0</v>
      </c>
      <c r="H55" s="57">
        <v>0</v>
      </c>
      <c r="I55" s="57">
        <f t="shared" si="63"/>
        <v>0</v>
      </c>
      <c r="J55" s="58"/>
      <c r="K55" s="55">
        <v>0</v>
      </c>
      <c r="L55" s="57">
        <v>0</v>
      </c>
      <c r="M55" s="57">
        <f t="shared" si="64"/>
        <v>0</v>
      </c>
      <c r="N55" s="58"/>
      <c r="O55" s="55">
        <v>0</v>
      </c>
      <c r="P55" s="57">
        <v>0</v>
      </c>
      <c r="Q55" s="57">
        <f t="shared" si="65"/>
        <v>0</v>
      </c>
      <c r="R55" s="58"/>
      <c r="S55" s="55">
        <v>0</v>
      </c>
      <c r="T55" s="57">
        <v>0</v>
      </c>
      <c r="U55" s="57">
        <f t="shared" si="66"/>
        <v>0</v>
      </c>
      <c r="V55" s="59"/>
      <c r="W55" s="124">
        <f t="shared" si="67"/>
        <v>0</v>
      </c>
      <c r="X55" s="57">
        <f t="shared" si="67"/>
        <v>0</v>
      </c>
      <c r="Y55" s="84">
        <f t="shared" si="67"/>
        <v>0</v>
      </c>
    </row>
    <row r="56" spans="1:77" s="61" customFormat="1" x14ac:dyDescent="0.25">
      <c r="A56" s="52"/>
      <c r="B56" s="52"/>
      <c r="C56" s="124">
        <v>0</v>
      </c>
      <c r="D56" s="56">
        <v>0</v>
      </c>
      <c r="E56" s="56">
        <f t="shared" si="62"/>
        <v>0</v>
      </c>
      <c r="F56" s="58"/>
      <c r="G56" s="55">
        <v>0</v>
      </c>
      <c r="H56" s="57">
        <v>0</v>
      </c>
      <c r="I56" s="57">
        <f t="shared" si="63"/>
        <v>0</v>
      </c>
      <c r="J56" s="58"/>
      <c r="K56" s="55">
        <v>0</v>
      </c>
      <c r="L56" s="57">
        <v>0</v>
      </c>
      <c r="M56" s="57">
        <f t="shared" si="64"/>
        <v>0</v>
      </c>
      <c r="N56" s="58"/>
      <c r="O56" s="55">
        <v>0</v>
      </c>
      <c r="P56" s="57">
        <v>0</v>
      </c>
      <c r="Q56" s="57">
        <f t="shared" si="65"/>
        <v>0</v>
      </c>
      <c r="R56" s="58"/>
      <c r="S56" s="55">
        <v>0</v>
      </c>
      <c r="T56" s="57">
        <v>0</v>
      </c>
      <c r="U56" s="57">
        <f t="shared" si="66"/>
        <v>0</v>
      </c>
      <c r="V56" s="59"/>
      <c r="W56" s="124">
        <f t="shared" si="67"/>
        <v>0</v>
      </c>
      <c r="X56" s="57">
        <f t="shared" si="67"/>
        <v>0</v>
      </c>
      <c r="Y56" s="84">
        <f t="shared" si="67"/>
        <v>0</v>
      </c>
    </row>
    <row r="57" spans="1:77" s="83" customFormat="1" x14ac:dyDescent="0.25">
      <c r="A57" s="78"/>
      <c r="B57" s="78" t="s">
        <v>9</v>
      </c>
      <c r="C57" s="228">
        <f>SUM(C51:C56)</f>
        <v>3200</v>
      </c>
      <c r="D57" s="125">
        <f>SUM(D51:D56)</f>
        <v>25000</v>
      </c>
      <c r="E57" s="125">
        <f>SUM(E51:E56)</f>
        <v>28200</v>
      </c>
      <c r="F57" s="81"/>
      <c r="G57" s="79">
        <f>SUM(G51:G56)</f>
        <v>3200</v>
      </c>
      <c r="H57" s="80">
        <f>SUM(H51:H56)</f>
        <v>18000</v>
      </c>
      <c r="I57" s="80">
        <f>SUM(I51:I56)</f>
        <v>21200</v>
      </c>
      <c r="J57" s="81"/>
      <c r="K57" s="79">
        <f>SUM(K51:K56)</f>
        <v>3200</v>
      </c>
      <c r="L57" s="80">
        <f>SUM(L51:L56)</f>
        <v>18000</v>
      </c>
      <c r="M57" s="80">
        <f>SUM(M51:M56)</f>
        <v>21200</v>
      </c>
      <c r="N57" s="81"/>
      <c r="O57" s="79">
        <f>SUM(O51:O56)</f>
        <v>3200</v>
      </c>
      <c r="P57" s="80">
        <f>SUM(P51:P56)</f>
        <v>18000</v>
      </c>
      <c r="Q57" s="80">
        <f>SUM(Q51:Q56)</f>
        <v>21200</v>
      </c>
      <c r="R57" s="81"/>
      <c r="S57" s="79">
        <f>SUM(S51:S56)</f>
        <v>3200</v>
      </c>
      <c r="T57" s="80">
        <f>SUM(T51:T56)</f>
        <v>15000</v>
      </c>
      <c r="U57" s="80">
        <f>SUM(U51:U56)</f>
        <v>18200</v>
      </c>
      <c r="V57" s="82"/>
      <c r="W57" s="228">
        <f t="shared" si="67"/>
        <v>16000</v>
      </c>
      <c r="X57" s="80">
        <f t="shared" si="67"/>
        <v>94000</v>
      </c>
      <c r="Y57" s="80">
        <f t="shared" si="67"/>
        <v>110000</v>
      </c>
    </row>
    <row r="58" spans="1:77" s="77" customFormat="1" x14ac:dyDescent="0.25">
      <c r="A58" s="74" t="s">
        <v>14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77" s="61" customFormat="1" x14ac:dyDescent="0.25">
      <c r="A59" s="52"/>
      <c r="B59" s="52"/>
      <c r="C59" s="124">
        <v>0</v>
      </c>
      <c r="D59" s="56">
        <v>0</v>
      </c>
      <c r="E59" s="56">
        <f>SUM(C59:D59)</f>
        <v>0</v>
      </c>
      <c r="F59" s="58"/>
      <c r="G59" s="55">
        <v>0</v>
      </c>
      <c r="H59" s="57">
        <v>0</v>
      </c>
      <c r="I59" s="57">
        <f>SUM(G59:H59)</f>
        <v>0</v>
      </c>
      <c r="J59" s="58"/>
      <c r="K59" s="55">
        <v>0</v>
      </c>
      <c r="L59" s="57">
        <v>0</v>
      </c>
      <c r="M59" s="57">
        <f>SUM(K59:L59)</f>
        <v>0</v>
      </c>
      <c r="N59" s="58"/>
      <c r="O59" s="55">
        <v>0</v>
      </c>
      <c r="P59" s="57">
        <v>0</v>
      </c>
      <c r="Q59" s="57">
        <f>SUM(O59:P59)</f>
        <v>0</v>
      </c>
      <c r="R59" s="58"/>
      <c r="S59" s="55">
        <v>0</v>
      </c>
      <c r="T59" s="57">
        <v>0</v>
      </c>
      <c r="U59" s="57">
        <f>SUM(S59:T59)</f>
        <v>0</v>
      </c>
      <c r="V59" s="59"/>
      <c r="W59" s="124">
        <f t="shared" ref="W59:Y63" si="68">C59+G59+K59+O59+S59</f>
        <v>0</v>
      </c>
      <c r="X59" s="57">
        <f t="shared" si="68"/>
        <v>0</v>
      </c>
      <c r="Y59" s="84">
        <f t="shared" si="68"/>
        <v>0</v>
      </c>
    </row>
    <row r="60" spans="1:77" s="61" customFormat="1" x14ac:dyDescent="0.25">
      <c r="A60" s="52"/>
      <c r="B60" s="52"/>
      <c r="C60" s="124">
        <v>0</v>
      </c>
      <c r="D60" s="56">
        <v>0</v>
      </c>
      <c r="E60" s="56">
        <f>SUM(C60:D60)</f>
        <v>0</v>
      </c>
      <c r="F60" s="58"/>
      <c r="G60" s="55">
        <v>0</v>
      </c>
      <c r="H60" s="57">
        <v>0</v>
      </c>
      <c r="I60" s="57">
        <f>SUM(G60:H60)</f>
        <v>0</v>
      </c>
      <c r="J60" s="58"/>
      <c r="K60" s="55">
        <v>0</v>
      </c>
      <c r="L60" s="57">
        <v>0</v>
      </c>
      <c r="M60" s="57">
        <f>SUM(K60:L60)</f>
        <v>0</v>
      </c>
      <c r="N60" s="58"/>
      <c r="O60" s="55">
        <v>0</v>
      </c>
      <c r="P60" s="57">
        <v>0</v>
      </c>
      <c r="Q60" s="57">
        <f>SUM(O60:P60)</f>
        <v>0</v>
      </c>
      <c r="R60" s="58"/>
      <c r="S60" s="55">
        <v>0</v>
      </c>
      <c r="T60" s="57">
        <v>0</v>
      </c>
      <c r="U60" s="57">
        <f>SUM(S60:T60)</f>
        <v>0</v>
      </c>
      <c r="V60" s="59"/>
      <c r="W60" s="124">
        <f t="shared" si="68"/>
        <v>0</v>
      </c>
      <c r="X60" s="57">
        <f t="shared" si="68"/>
        <v>0</v>
      </c>
      <c r="Y60" s="84">
        <f t="shared" si="68"/>
        <v>0</v>
      </c>
    </row>
    <row r="61" spans="1:77" s="61" customFormat="1" x14ac:dyDescent="0.25">
      <c r="A61" s="52"/>
      <c r="B61" s="52"/>
      <c r="C61" s="124">
        <v>0</v>
      </c>
      <c r="D61" s="56">
        <v>0</v>
      </c>
      <c r="E61" s="56">
        <f>SUM(C61:D61)</f>
        <v>0</v>
      </c>
      <c r="F61" s="58"/>
      <c r="G61" s="55">
        <v>0</v>
      </c>
      <c r="H61" s="57">
        <v>0</v>
      </c>
      <c r="I61" s="57">
        <f>SUM(G61:H61)</f>
        <v>0</v>
      </c>
      <c r="J61" s="58"/>
      <c r="K61" s="55">
        <v>0</v>
      </c>
      <c r="L61" s="57">
        <v>0</v>
      </c>
      <c r="M61" s="57">
        <f>SUM(K61:L61)</f>
        <v>0</v>
      </c>
      <c r="N61" s="58"/>
      <c r="O61" s="55">
        <v>0</v>
      </c>
      <c r="P61" s="57">
        <v>0</v>
      </c>
      <c r="Q61" s="57">
        <f>SUM(O61:P61)</f>
        <v>0</v>
      </c>
      <c r="R61" s="58"/>
      <c r="S61" s="55">
        <v>0</v>
      </c>
      <c r="T61" s="57">
        <v>0</v>
      </c>
      <c r="U61" s="57">
        <f>SUM(S61:T61)</f>
        <v>0</v>
      </c>
      <c r="V61" s="59"/>
      <c r="W61" s="124">
        <f t="shared" si="68"/>
        <v>0</v>
      </c>
      <c r="X61" s="57">
        <f t="shared" si="68"/>
        <v>0</v>
      </c>
      <c r="Y61" s="84">
        <f t="shared" si="68"/>
        <v>0</v>
      </c>
    </row>
    <row r="62" spans="1:77" s="61" customFormat="1" x14ac:dyDescent="0.25">
      <c r="A62" s="52"/>
      <c r="B62" s="52"/>
      <c r="C62" s="124">
        <v>0</v>
      </c>
      <c r="D62" s="56">
        <v>0</v>
      </c>
      <c r="E62" s="56">
        <f>SUM(C62:D62)</f>
        <v>0</v>
      </c>
      <c r="F62" s="58"/>
      <c r="G62" s="55">
        <v>0</v>
      </c>
      <c r="H62" s="57">
        <v>0</v>
      </c>
      <c r="I62" s="57">
        <f>SUM(G62:H62)</f>
        <v>0</v>
      </c>
      <c r="J62" s="58"/>
      <c r="K62" s="55">
        <v>0</v>
      </c>
      <c r="L62" s="57">
        <v>0</v>
      </c>
      <c r="M62" s="57">
        <f>SUM(K62:L62)</f>
        <v>0</v>
      </c>
      <c r="N62" s="58"/>
      <c r="O62" s="55">
        <v>0</v>
      </c>
      <c r="P62" s="57">
        <v>0</v>
      </c>
      <c r="Q62" s="57">
        <f>SUM(O62:P62)</f>
        <v>0</v>
      </c>
      <c r="R62" s="58"/>
      <c r="S62" s="55">
        <v>0</v>
      </c>
      <c r="T62" s="57">
        <v>0</v>
      </c>
      <c r="U62" s="57">
        <f>SUM(S62:T62)</f>
        <v>0</v>
      </c>
      <c r="V62" s="59"/>
      <c r="W62" s="124">
        <f t="shared" si="68"/>
        <v>0</v>
      </c>
      <c r="X62" s="57">
        <f t="shared" si="68"/>
        <v>0</v>
      </c>
      <c r="Y62" s="84">
        <f t="shared" si="68"/>
        <v>0</v>
      </c>
    </row>
    <row r="63" spans="1:77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0</v>
      </c>
      <c r="H63" s="125">
        <f>SUM(H59:H62)</f>
        <v>0</v>
      </c>
      <c r="I63" s="125">
        <f>SUM(I59:I62)</f>
        <v>0</v>
      </c>
      <c r="J63" s="81"/>
      <c r="K63" s="79">
        <f>SUM(K59:K62)</f>
        <v>0</v>
      </c>
      <c r="L63" s="125">
        <f>SUM(L59:L62)</f>
        <v>0</v>
      </c>
      <c r="M63" s="125">
        <f>SUM(M59:M62)</f>
        <v>0</v>
      </c>
      <c r="N63" s="81"/>
      <c r="O63" s="79">
        <f>SUM(O59:O62)</f>
        <v>0</v>
      </c>
      <c r="P63" s="125">
        <f>SUM(P59:P62)</f>
        <v>0</v>
      </c>
      <c r="Q63" s="125">
        <f>SUM(Q59:Q62)</f>
        <v>0</v>
      </c>
      <c r="R63" s="81"/>
      <c r="S63" s="79">
        <f>SUM(S59:S62)</f>
        <v>0</v>
      </c>
      <c r="T63" s="125">
        <f>SUM(T59:T62)</f>
        <v>0</v>
      </c>
      <c r="U63" s="125">
        <f>SUM(U59:U62)</f>
        <v>0</v>
      </c>
      <c r="V63" s="82"/>
      <c r="W63" s="228">
        <f t="shared" si="68"/>
        <v>0</v>
      </c>
      <c r="X63" s="80">
        <f t="shared" si="68"/>
        <v>0</v>
      </c>
      <c r="Y63" s="84">
        <f t="shared" si="68"/>
        <v>0</v>
      </c>
    </row>
    <row r="64" spans="1:77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25" s="61" customFormat="1" x14ac:dyDescent="0.25">
      <c r="A65" s="52"/>
      <c r="B65" s="52" t="s">
        <v>57</v>
      </c>
      <c r="C65" s="124">
        <v>0</v>
      </c>
      <c r="D65" s="56">
        <v>0</v>
      </c>
      <c r="E65" s="56">
        <f t="shared" ref="E65:E84" si="69">SUM(C65:D65)</f>
        <v>0</v>
      </c>
      <c r="F65" s="58"/>
      <c r="G65" s="55">
        <v>0</v>
      </c>
      <c r="H65" s="57">
        <v>0</v>
      </c>
      <c r="I65" s="57">
        <f t="shared" ref="I65:I84" si="70">SUM(G65:H65)</f>
        <v>0</v>
      </c>
      <c r="J65" s="58"/>
      <c r="K65" s="55">
        <v>0</v>
      </c>
      <c r="L65" s="57">
        <v>0</v>
      </c>
      <c r="M65" s="57">
        <f t="shared" ref="M65:M84" si="71">SUM(K65:L65)</f>
        <v>0</v>
      </c>
      <c r="N65" s="58"/>
      <c r="O65" s="55">
        <v>0</v>
      </c>
      <c r="P65" s="57">
        <v>0</v>
      </c>
      <c r="Q65" s="57">
        <f t="shared" ref="Q65:Q84" si="72">SUM(O65:P65)</f>
        <v>0</v>
      </c>
      <c r="R65" s="58"/>
      <c r="S65" s="55">
        <v>0</v>
      </c>
      <c r="T65" s="57"/>
      <c r="U65" s="57">
        <f t="shared" ref="U65:U84" si="73">SUM(S65:T65)</f>
        <v>0</v>
      </c>
      <c r="V65" s="59"/>
      <c r="W65" s="124">
        <f t="shared" ref="W65:W80" si="74">C65+G65+K65+O65+S65</f>
        <v>0</v>
      </c>
      <c r="X65" s="57">
        <f t="shared" ref="X65:X80" si="75">D65+H65+L65+P65+T65</f>
        <v>0</v>
      </c>
      <c r="Y65" s="84">
        <f t="shared" ref="Y65:Y80" si="76">E65+I65+M65+Q65+U65</f>
        <v>0</v>
      </c>
    </row>
    <row r="66" spans="1:25" s="61" customFormat="1" x14ac:dyDescent="0.25">
      <c r="A66" s="52"/>
      <c r="B66" s="195" t="s">
        <v>119</v>
      </c>
      <c r="C66" s="124">
        <f>10000-10000</f>
        <v>0</v>
      </c>
      <c r="D66" s="56">
        <f>10000+10000</f>
        <v>20000</v>
      </c>
      <c r="E66" s="56">
        <f t="shared" si="69"/>
        <v>20000</v>
      </c>
      <c r="F66" s="58"/>
      <c r="G66" s="55">
        <f>5000-5000</f>
        <v>0</v>
      </c>
      <c r="H66" s="56">
        <f>10000+5000</f>
        <v>15000</v>
      </c>
      <c r="I66" s="57">
        <f t="shared" si="70"/>
        <v>15000</v>
      </c>
      <c r="J66" s="58"/>
      <c r="K66" s="55">
        <f>G66</f>
        <v>0</v>
      </c>
      <c r="L66" s="56">
        <f>H66</f>
        <v>15000</v>
      </c>
      <c r="M66" s="57">
        <f t="shared" si="71"/>
        <v>15000</v>
      </c>
      <c r="N66" s="58"/>
      <c r="O66" s="55">
        <f>K66</f>
        <v>0</v>
      </c>
      <c r="P66" s="56">
        <f>L66</f>
        <v>15000</v>
      </c>
      <c r="Q66" s="57">
        <f t="shared" si="72"/>
        <v>15000</v>
      </c>
      <c r="R66" s="58"/>
      <c r="S66" s="55">
        <f>O66</f>
        <v>0</v>
      </c>
      <c r="T66" s="56">
        <f>P66-5000</f>
        <v>10000</v>
      </c>
      <c r="U66" s="57">
        <f t="shared" si="73"/>
        <v>10000</v>
      </c>
      <c r="V66" s="59"/>
      <c r="W66" s="124">
        <f t="shared" si="74"/>
        <v>0</v>
      </c>
      <c r="X66" s="196">
        <f t="shared" si="75"/>
        <v>75000</v>
      </c>
      <c r="Y66" s="194">
        <f t="shared" si="76"/>
        <v>75000</v>
      </c>
    </row>
    <row r="67" spans="1:25" s="61" customFormat="1" x14ac:dyDescent="0.25">
      <c r="A67" s="52"/>
      <c r="B67" s="52"/>
      <c r="C67" s="124">
        <v>0</v>
      </c>
      <c r="D67" s="56">
        <v>0</v>
      </c>
      <c r="E67" s="56">
        <f t="shared" si="69"/>
        <v>0</v>
      </c>
      <c r="F67" s="58"/>
      <c r="G67" s="55">
        <v>0</v>
      </c>
      <c r="H67" s="57">
        <v>0</v>
      </c>
      <c r="I67" s="57">
        <f t="shared" si="70"/>
        <v>0</v>
      </c>
      <c r="J67" s="58"/>
      <c r="K67" s="55">
        <v>0</v>
      </c>
      <c r="L67" s="57">
        <v>0</v>
      </c>
      <c r="M67" s="57">
        <f t="shared" si="71"/>
        <v>0</v>
      </c>
      <c r="N67" s="58"/>
      <c r="O67" s="55">
        <v>0</v>
      </c>
      <c r="P67" s="57">
        <v>0</v>
      </c>
      <c r="Q67" s="57">
        <f t="shared" si="72"/>
        <v>0</v>
      </c>
      <c r="R67" s="58"/>
      <c r="S67" s="55">
        <v>0</v>
      </c>
      <c r="T67" s="57">
        <v>0</v>
      </c>
      <c r="U67" s="57">
        <f t="shared" si="73"/>
        <v>0</v>
      </c>
      <c r="V67" s="59"/>
      <c r="W67" s="124">
        <f t="shared" si="74"/>
        <v>0</v>
      </c>
      <c r="X67" s="57">
        <f t="shared" si="75"/>
        <v>0</v>
      </c>
      <c r="Y67" s="84">
        <f t="shared" si="76"/>
        <v>0</v>
      </c>
    </row>
    <row r="68" spans="1:25" s="61" customFormat="1" x14ac:dyDescent="0.25">
      <c r="A68" s="52"/>
      <c r="B68" s="195" t="s">
        <v>57</v>
      </c>
      <c r="C68" s="124">
        <v>0</v>
      </c>
      <c r="D68" s="56">
        <v>0</v>
      </c>
      <c r="E68" s="56">
        <f t="shared" si="69"/>
        <v>0</v>
      </c>
      <c r="F68" s="58"/>
      <c r="G68" s="55">
        <f>C68</f>
        <v>0</v>
      </c>
      <c r="H68" s="57">
        <f>D68</f>
        <v>0</v>
      </c>
      <c r="I68" s="57">
        <f t="shared" si="70"/>
        <v>0</v>
      </c>
      <c r="J68" s="58"/>
      <c r="K68" s="55">
        <f>G68</f>
        <v>0</v>
      </c>
      <c r="L68" s="57">
        <f>H68</f>
        <v>0</v>
      </c>
      <c r="M68" s="57">
        <f t="shared" si="71"/>
        <v>0</v>
      </c>
      <c r="N68" s="58"/>
      <c r="O68" s="55">
        <f>K68</f>
        <v>0</v>
      </c>
      <c r="P68" s="57">
        <f>L68</f>
        <v>0</v>
      </c>
      <c r="Q68" s="57">
        <f t="shared" si="72"/>
        <v>0</v>
      </c>
      <c r="R68" s="58"/>
      <c r="S68" s="55">
        <f>O68</f>
        <v>0</v>
      </c>
      <c r="T68" s="57">
        <f>P68</f>
        <v>0</v>
      </c>
      <c r="U68" s="57">
        <f t="shared" si="73"/>
        <v>0</v>
      </c>
      <c r="V68" s="59"/>
      <c r="W68" s="124">
        <f t="shared" si="74"/>
        <v>0</v>
      </c>
      <c r="X68" s="57">
        <f t="shared" si="75"/>
        <v>0</v>
      </c>
      <c r="Y68" s="84">
        <f t="shared" si="76"/>
        <v>0</v>
      </c>
    </row>
    <row r="69" spans="1:25" s="61" customFormat="1" x14ac:dyDescent="0.25">
      <c r="A69" s="52"/>
      <c r="B69" s="52"/>
      <c r="C69" s="124">
        <v>0</v>
      </c>
      <c r="D69" s="56">
        <v>0</v>
      </c>
      <c r="E69" s="56">
        <f t="shared" si="69"/>
        <v>0</v>
      </c>
      <c r="F69" s="58"/>
      <c r="G69" s="55">
        <v>0</v>
      </c>
      <c r="H69" s="57">
        <v>0</v>
      </c>
      <c r="I69" s="57">
        <f t="shared" si="70"/>
        <v>0</v>
      </c>
      <c r="J69" s="58"/>
      <c r="K69" s="55">
        <v>0</v>
      </c>
      <c r="L69" s="57">
        <v>0</v>
      </c>
      <c r="M69" s="57">
        <f t="shared" si="71"/>
        <v>0</v>
      </c>
      <c r="N69" s="58"/>
      <c r="O69" s="55">
        <v>0</v>
      </c>
      <c r="P69" s="57">
        <v>0</v>
      </c>
      <c r="Q69" s="57">
        <f t="shared" si="72"/>
        <v>0</v>
      </c>
      <c r="R69" s="58"/>
      <c r="S69" s="55">
        <v>0</v>
      </c>
      <c r="T69" s="57">
        <v>0</v>
      </c>
      <c r="U69" s="57">
        <f t="shared" si="73"/>
        <v>0</v>
      </c>
      <c r="V69" s="59"/>
      <c r="W69" s="124">
        <f t="shared" si="74"/>
        <v>0</v>
      </c>
      <c r="X69" s="57">
        <f t="shared" si="75"/>
        <v>0</v>
      </c>
      <c r="Y69" s="84">
        <f t="shared" si="76"/>
        <v>0</v>
      </c>
    </row>
    <row r="70" spans="1:25" s="61" customFormat="1" x14ac:dyDescent="0.25">
      <c r="A70" s="52"/>
      <c r="B70" s="52"/>
      <c r="C70" s="124">
        <v>0</v>
      </c>
      <c r="D70" s="56">
        <v>0</v>
      </c>
      <c r="E70" s="56">
        <f t="shared" si="69"/>
        <v>0</v>
      </c>
      <c r="F70" s="58"/>
      <c r="G70" s="55">
        <v>0</v>
      </c>
      <c r="H70" s="57">
        <v>0</v>
      </c>
      <c r="I70" s="57">
        <f t="shared" si="70"/>
        <v>0</v>
      </c>
      <c r="J70" s="58"/>
      <c r="K70" s="55">
        <v>0</v>
      </c>
      <c r="L70" s="57">
        <v>0</v>
      </c>
      <c r="M70" s="57">
        <f t="shared" si="71"/>
        <v>0</v>
      </c>
      <c r="N70" s="58"/>
      <c r="O70" s="55">
        <v>0</v>
      </c>
      <c r="P70" s="57">
        <v>0</v>
      </c>
      <c r="Q70" s="57">
        <f t="shared" si="72"/>
        <v>0</v>
      </c>
      <c r="R70" s="58"/>
      <c r="S70" s="55">
        <v>0</v>
      </c>
      <c r="T70" s="57">
        <v>0</v>
      </c>
      <c r="U70" s="57">
        <f t="shared" si="73"/>
        <v>0</v>
      </c>
      <c r="V70" s="59"/>
      <c r="W70" s="124">
        <f t="shared" si="74"/>
        <v>0</v>
      </c>
      <c r="X70" s="57">
        <f t="shared" si="75"/>
        <v>0</v>
      </c>
      <c r="Y70" s="84">
        <f t="shared" si="76"/>
        <v>0</v>
      </c>
    </row>
    <row r="71" spans="1:25" s="61" customFormat="1" x14ac:dyDescent="0.25">
      <c r="A71" s="52"/>
      <c r="B71" s="52"/>
      <c r="C71" s="124">
        <v>0</v>
      </c>
      <c r="D71" s="56">
        <v>0</v>
      </c>
      <c r="E71" s="56">
        <f t="shared" si="69"/>
        <v>0</v>
      </c>
      <c r="F71" s="58"/>
      <c r="G71" s="55">
        <v>0</v>
      </c>
      <c r="H71" s="57">
        <v>0</v>
      </c>
      <c r="I71" s="57">
        <f t="shared" si="70"/>
        <v>0</v>
      </c>
      <c r="J71" s="58"/>
      <c r="K71" s="55">
        <v>0</v>
      </c>
      <c r="L71" s="57">
        <v>0</v>
      </c>
      <c r="M71" s="57">
        <f t="shared" si="71"/>
        <v>0</v>
      </c>
      <c r="N71" s="58"/>
      <c r="O71" s="55">
        <v>0</v>
      </c>
      <c r="P71" s="57">
        <v>0</v>
      </c>
      <c r="Q71" s="57">
        <f t="shared" si="72"/>
        <v>0</v>
      </c>
      <c r="R71" s="58"/>
      <c r="S71" s="55">
        <v>0</v>
      </c>
      <c r="T71" s="57">
        <v>0</v>
      </c>
      <c r="U71" s="57">
        <f t="shared" si="73"/>
        <v>0</v>
      </c>
      <c r="V71" s="59"/>
      <c r="W71" s="124">
        <f t="shared" si="74"/>
        <v>0</v>
      </c>
      <c r="X71" s="57">
        <f t="shared" si="75"/>
        <v>0</v>
      </c>
      <c r="Y71" s="84">
        <f t="shared" si="76"/>
        <v>0</v>
      </c>
    </row>
    <row r="72" spans="1:25" s="61" customFormat="1" x14ac:dyDescent="0.25">
      <c r="A72" s="52"/>
      <c r="B72" s="52"/>
      <c r="C72" s="124">
        <v>0</v>
      </c>
      <c r="D72" s="56">
        <v>0</v>
      </c>
      <c r="E72" s="56">
        <f t="shared" si="69"/>
        <v>0</v>
      </c>
      <c r="F72" s="58"/>
      <c r="G72" s="55">
        <v>0</v>
      </c>
      <c r="H72" s="57">
        <v>0</v>
      </c>
      <c r="I72" s="57">
        <f t="shared" si="70"/>
        <v>0</v>
      </c>
      <c r="J72" s="58"/>
      <c r="K72" s="55">
        <v>0</v>
      </c>
      <c r="L72" s="57">
        <v>0</v>
      </c>
      <c r="M72" s="57">
        <f t="shared" si="71"/>
        <v>0</v>
      </c>
      <c r="N72" s="58"/>
      <c r="O72" s="55">
        <v>0</v>
      </c>
      <c r="P72" s="57">
        <v>0</v>
      </c>
      <c r="Q72" s="57">
        <f t="shared" si="72"/>
        <v>0</v>
      </c>
      <c r="R72" s="58"/>
      <c r="S72" s="55">
        <v>0</v>
      </c>
      <c r="T72" s="57">
        <v>0</v>
      </c>
      <c r="U72" s="57">
        <f t="shared" si="73"/>
        <v>0</v>
      </c>
      <c r="V72" s="59"/>
      <c r="W72" s="124">
        <f t="shared" si="74"/>
        <v>0</v>
      </c>
      <c r="X72" s="57">
        <f t="shared" si="75"/>
        <v>0</v>
      </c>
      <c r="Y72" s="84">
        <f t="shared" si="76"/>
        <v>0</v>
      </c>
    </row>
    <row r="73" spans="1:25" s="61" customFormat="1" x14ac:dyDescent="0.25">
      <c r="A73" s="87"/>
      <c r="B73" s="54"/>
      <c r="C73" s="124">
        <v>0</v>
      </c>
      <c r="D73" s="56">
        <v>0</v>
      </c>
      <c r="E73" s="56">
        <f t="shared" si="69"/>
        <v>0</v>
      </c>
      <c r="F73" s="58"/>
      <c r="G73" s="55">
        <v>0</v>
      </c>
      <c r="H73" s="57">
        <v>0</v>
      </c>
      <c r="I73" s="57">
        <f t="shared" si="70"/>
        <v>0</v>
      </c>
      <c r="J73" s="58"/>
      <c r="K73" s="55">
        <v>0</v>
      </c>
      <c r="L73" s="57">
        <v>0</v>
      </c>
      <c r="M73" s="57">
        <f t="shared" si="71"/>
        <v>0</v>
      </c>
      <c r="N73" s="58"/>
      <c r="O73" s="55">
        <v>0</v>
      </c>
      <c r="P73" s="57">
        <v>0</v>
      </c>
      <c r="Q73" s="57">
        <f t="shared" si="72"/>
        <v>0</v>
      </c>
      <c r="R73" s="58"/>
      <c r="S73" s="55">
        <v>0</v>
      </c>
      <c r="T73" s="57">
        <v>0</v>
      </c>
      <c r="U73" s="57">
        <f t="shared" si="73"/>
        <v>0</v>
      </c>
      <c r="V73" s="59"/>
      <c r="W73" s="124">
        <f t="shared" si="74"/>
        <v>0</v>
      </c>
      <c r="X73" s="57">
        <f t="shared" si="75"/>
        <v>0</v>
      </c>
      <c r="Y73" s="84">
        <f t="shared" si="76"/>
        <v>0</v>
      </c>
    </row>
    <row r="74" spans="1:25" s="61" customFormat="1" x14ac:dyDescent="0.25">
      <c r="A74" s="87"/>
      <c r="B74" s="54"/>
      <c r="C74" s="124">
        <v>0</v>
      </c>
      <c r="D74" s="56">
        <v>0</v>
      </c>
      <c r="E74" s="56">
        <f t="shared" si="69"/>
        <v>0</v>
      </c>
      <c r="F74" s="58"/>
      <c r="G74" s="55">
        <v>0</v>
      </c>
      <c r="H74" s="57">
        <v>0</v>
      </c>
      <c r="I74" s="57">
        <f t="shared" si="70"/>
        <v>0</v>
      </c>
      <c r="J74" s="58"/>
      <c r="K74" s="55">
        <v>0</v>
      </c>
      <c r="L74" s="57">
        <v>0</v>
      </c>
      <c r="M74" s="57">
        <f t="shared" si="71"/>
        <v>0</v>
      </c>
      <c r="N74" s="58"/>
      <c r="O74" s="55">
        <v>0</v>
      </c>
      <c r="P74" s="57">
        <v>0</v>
      </c>
      <c r="Q74" s="57">
        <f t="shared" si="72"/>
        <v>0</v>
      </c>
      <c r="R74" s="58"/>
      <c r="S74" s="55">
        <v>0</v>
      </c>
      <c r="T74" s="57">
        <v>0</v>
      </c>
      <c r="U74" s="57">
        <f t="shared" si="73"/>
        <v>0</v>
      </c>
      <c r="V74" s="59"/>
      <c r="W74" s="124">
        <f t="shared" si="74"/>
        <v>0</v>
      </c>
      <c r="X74" s="57">
        <f t="shared" si="75"/>
        <v>0</v>
      </c>
      <c r="Y74" s="84">
        <f t="shared" si="76"/>
        <v>0</v>
      </c>
    </row>
    <row r="75" spans="1:25" s="61" customFormat="1" x14ac:dyDescent="0.25">
      <c r="A75" s="87"/>
      <c r="B75" s="54"/>
      <c r="C75" s="124">
        <v>0</v>
      </c>
      <c r="D75" s="56">
        <v>0</v>
      </c>
      <c r="E75" s="56">
        <f t="shared" si="69"/>
        <v>0</v>
      </c>
      <c r="F75" s="58"/>
      <c r="G75" s="55">
        <v>0</v>
      </c>
      <c r="H75" s="57">
        <v>0</v>
      </c>
      <c r="I75" s="57">
        <f t="shared" si="70"/>
        <v>0</v>
      </c>
      <c r="J75" s="58"/>
      <c r="K75" s="55">
        <v>0</v>
      </c>
      <c r="L75" s="57">
        <v>0</v>
      </c>
      <c r="M75" s="57">
        <f t="shared" si="71"/>
        <v>0</v>
      </c>
      <c r="N75" s="58"/>
      <c r="O75" s="55">
        <v>0</v>
      </c>
      <c r="P75" s="57">
        <v>0</v>
      </c>
      <c r="Q75" s="57">
        <f t="shared" si="72"/>
        <v>0</v>
      </c>
      <c r="R75" s="58"/>
      <c r="S75" s="55">
        <v>0</v>
      </c>
      <c r="T75" s="57">
        <v>0</v>
      </c>
      <c r="U75" s="57">
        <f t="shared" si="73"/>
        <v>0</v>
      </c>
      <c r="V75" s="59"/>
      <c r="W75" s="124">
        <f t="shared" si="74"/>
        <v>0</v>
      </c>
      <c r="X75" s="57">
        <f t="shared" si="75"/>
        <v>0</v>
      </c>
      <c r="Y75" s="84">
        <f t="shared" si="76"/>
        <v>0</v>
      </c>
    </row>
    <row r="76" spans="1:25" s="61" customFormat="1" x14ac:dyDescent="0.25">
      <c r="A76" s="87"/>
      <c r="B76" s="54"/>
      <c r="C76" s="124">
        <v>0</v>
      </c>
      <c r="D76" s="56">
        <v>0</v>
      </c>
      <c r="E76" s="56">
        <f t="shared" si="69"/>
        <v>0</v>
      </c>
      <c r="F76" s="58"/>
      <c r="G76" s="55">
        <v>0</v>
      </c>
      <c r="H76" s="57">
        <v>0</v>
      </c>
      <c r="I76" s="57">
        <f t="shared" si="70"/>
        <v>0</v>
      </c>
      <c r="J76" s="58"/>
      <c r="K76" s="55">
        <v>0</v>
      </c>
      <c r="L76" s="57">
        <v>0</v>
      </c>
      <c r="M76" s="57">
        <f t="shared" si="71"/>
        <v>0</v>
      </c>
      <c r="N76" s="58"/>
      <c r="O76" s="55">
        <v>0</v>
      </c>
      <c r="P76" s="57">
        <v>0</v>
      </c>
      <c r="Q76" s="57">
        <f t="shared" si="72"/>
        <v>0</v>
      </c>
      <c r="R76" s="58"/>
      <c r="S76" s="55">
        <v>0</v>
      </c>
      <c r="T76" s="57">
        <v>0</v>
      </c>
      <c r="U76" s="57">
        <f t="shared" si="73"/>
        <v>0</v>
      </c>
      <c r="V76" s="59"/>
      <c r="W76" s="124">
        <f t="shared" si="74"/>
        <v>0</v>
      </c>
      <c r="X76" s="57">
        <f t="shared" si="75"/>
        <v>0</v>
      </c>
      <c r="Y76" s="84">
        <f t="shared" si="76"/>
        <v>0</v>
      </c>
    </row>
    <row r="77" spans="1:25" s="61" customFormat="1" x14ac:dyDescent="0.25">
      <c r="A77" s="87"/>
      <c r="B77" s="54"/>
      <c r="C77" s="124">
        <v>0</v>
      </c>
      <c r="D77" s="56">
        <v>0</v>
      </c>
      <c r="E77" s="56">
        <f t="shared" si="69"/>
        <v>0</v>
      </c>
      <c r="F77" s="58"/>
      <c r="G77" s="55">
        <v>0</v>
      </c>
      <c r="H77" s="57">
        <v>0</v>
      </c>
      <c r="I77" s="57">
        <f t="shared" si="70"/>
        <v>0</v>
      </c>
      <c r="J77" s="58"/>
      <c r="K77" s="55">
        <v>0</v>
      </c>
      <c r="L77" s="57">
        <v>0</v>
      </c>
      <c r="M77" s="57">
        <f t="shared" si="71"/>
        <v>0</v>
      </c>
      <c r="N77" s="58"/>
      <c r="O77" s="55">
        <v>0</v>
      </c>
      <c r="P77" s="57">
        <v>0</v>
      </c>
      <c r="Q77" s="57">
        <f t="shared" si="72"/>
        <v>0</v>
      </c>
      <c r="R77" s="58"/>
      <c r="S77" s="55">
        <v>0</v>
      </c>
      <c r="T77" s="57">
        <v>0</v>
      </c>
      <c r="U77" s="57">
        <f t="shared" si="73"/>
        <v>0</v>
      </c>
      <c r="V77" s="59"/>
      <c r="W77" s="124">
        <f t="shared" si="74"/>
        <v>0</v>
      </c>
      <c r="X77" s="57">
        <f t="shared" si="75"/>
        <v>0</v>
      </c>
      <c r="Y77" s="84">
        <f t="shared" si="76"/>
        <v>0</v>
      </c>
    </row>
    <row r="78" spans="1:25" s="61" customFormat="1" x14ac:dyDescent="0.25">
      <c r="A78" s="87"/>
      <c r="B78" s="54"/>
      <c r="C78" s="124">
        <v>0</v>
      </c>
      <c r="D78" s="56">
        <v>0</v>
      </c>
      <c r="E78" s="56">
        <f t="shared" si="69"/>
        <v>0</v>
      </c>
      <c r="F78" s="58"/>
      <c r="G78" s="55">
        <v>0</v>
      </c>
      <c r="H78" s="57">
        <v>0</v>
      </c>
      <c r="I78" s="57">
        <f t="shared" si="70"/>
        <v>0</v>
      </c>
      <c r="J78" s="58"/>
      <c r="K78" s="55">
        <v>0</v>
      </c>
      <c r="L78" s="57">
        <v>0</v>
      </c>
      <c r="M78" s="57">
        <f t="shared" si="71"/>
        <v>0</v>
      </c>
      <c r="N78" s="58"/>
      <c r="O78" s="55">
        <v>0</v>
      </c>
      <c r="P78" s="57">
        <v>0</v>
      </c>
      <c r="Q78" s="57">
        <f t="shared" si="72"/>
        <v>0</v>
      </c>
      <c r="R78" s="58"/>
      <c r="S78" s="55">
        <v>0</v>
      </c>
      <c r="T78" s="57">
        <v>0</v>
      </c>
      <c r="U78" s="57">
        <f t="shared" si="73"/>
        <v>0</v>
      </c>
      <c r="V78" s="59"/>
      <c r="W78" s="124">
        <f t="shared" si="74"/>
        <v>0</v>
      </c>
      <c r="X78" s="57">
        <f t="shared" si="75"/>
        <v>0</v>
      </c>
      <c r="Y78" s="84">
        <f t="shared" si="76"/>
        <v>0</v>
      </c>
    </row>
    <row r="79" spans="1:25" s="61" customFormat="1" x14ac:dyDescent="0.25">
      <c r="A79" s="87"/>
      <c r="B79" s="54"/>
      <c r="C79" s="124">
        <v>0</v>
      </c>
      <c r="D79" s="56">
        <v>0</v>
      </c>
      <c r="E79" s="56">
        <f t="shared" si="69"/>
        <v>0</v>
      </c>
      <c r="F79" s="58"/>
      <c r="G79" s="55">
        <v>0</v>
      </c>
      <c r="H79" s="57">
        <v>0</v>
      </c>
      <c r="I79" s="57">
        <f t="shared" si="70"/>
        <v>0</v>
      </c>
      <c r="J79" s="58"/>
      <c r="K79" s="55">
        <v>0</v>
      </c>
      <c r="L79" s="57">
        <v>0</v>
      </c>
      <c r="M79" s="57">
        <f t="shared" si="71"/>
        <v>0</v>
      </c>
      <c r="N79" s="58"/>
      <c r="O79" s="55">
        <v>0</v>
      </c>
      <c r="P79" s="57">
        <v>0</v>
      </c>
      <c r="Q79" s="57">
        <f t="shared" si="72"/>
        <v>0</v>
      </c>
      <c r="R79" s="58"/>
      <c r="S79" s="55">
        <v>0</v>
      </c>
      <c r="T79" s="57">
        <v>0</v>
      </c>
      <c r="U79" s="57">
        <f t="shared" si="73"/>
        <v>0</v>
      </c>
      <c r="V79" s="59"/>
      <c r="W79" s="124">
        <f t="shared" si="74"/>
        <v>0</v>
      </c>
      <c r="X79" s="57">
        <f t="shared" si="75"/>
        <v>0</v>
      </c>
      <c r="Y79" s="84">
        <f t="shared" si="76"/>
        <v>0</v>
      </c>
    </row>
    <row r="80" spans="1:25" s="61" customFormat="1" x14ac:dyDescent="0.25">
      <c r="A80" s="52"/>
      <c r="B80" s="52"/>
      <c r="C80" s="124">
        <v>0</v>
      </c>
      <c r="D80" s="56">
        <v>0</v>
      </c>
      <c r="E80" s="56">
        <f t="shared" si="69"/>
        <v>0</v>
      </c>
      <c r="F80" s="58"/>
      <c r="G80" s="55">
        <v>0</v>
      </c>
      <c r="H80" s="57">
        <v>0</v>
      </c>
      <c r="I80" s="57">
        <f t="shared" si="70"/>
        <v>0</v>
      </c>
      <c r="J80" s="58"/>
      <c r="K80" s="55">
        <v>0</v>
      </c>
      <c r="L80" s="57">
        <v>0</v>
      </c>
      <c r="M80" s="57">
        <f t="shared" si="71"/>
        <v>0</v>
      </c>
      <c r="N80" s="58"/>
      <c r="O80" s="55">
        <v>0</v>
      </c>
      <c r="P80" s="57">
        <v>0</v>
      </c>
      <c r="Q80" s="57">
        <f t="shared" si="72"/>
        <v>0</v>
      </c>
      <c r="R80" s="58"/>
      <c r="S80" s="55">
        <v>0</v>
      </c>
      <c r="T80" s="57">
        <v>0</v>
      </c>
      <c r="U80" s="57">
        <f t="shared" si="73"/>
        <v>0</v>
      </c>
      <c r="V80" s="59"/>
      <c r="W80" s="124">
        <f t="shared" si="74"/>
        <v>0</v>
      </c>
      <c r="X80" s="57">
        <f t="shared" si="75"/>
        <v>0</v>
      </c>
      <c r="Y80" s="84">
        <f t="shared" si="76"/>
        <v>0</v>
      </c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69"/>
        <v>0</v>
      </c>
      <c r="F81" s="58"/>
      <c r="G81" s="55">
        <v>0</v>
      </c>
      <c r="H81" s="57">
        <v>0</v>
      </c>
      <c r="I81" s="57">
        <f t="shared" si="70"/>
        <v>0</v>
      </c>
      <c r="J81" s="58"/>
      <c r="K81" s="55">
        <v>0</v>
      </c>
      <c r="L81" s="57">
        <v>0</v>
      </c>
      <c r="M81" s="57">
        <f t="shared" si="71"/>
        <v>0</v>
      </c>
      <c r="N81" s="58"/>
      <c r="O81" s="55">
        <v>0</v>
      </c>
      <c r="P81" s="57">
        <v>0</v>
      </c>
      <c r="Q81" s="57">
        <f t="shared" si="72"/>
        <v>0</v>
      </c>
      <c r="R81" s="58"/>
      <c r="S81" s="55">
        <v>0</v>
      </c>
      <c r="T81" s="57">
        <v>0</v>
      </c>
      <c r="U81" s="57">
        <f t="shared" si="73"/>
        <v>0</v>
      </c>
      <c r="V81" s="59"/>
      <c r="W81" s="124">
        <f>C81+G81+K81+O81+S81</f>
        <v>0</v>
      </c>
      <c r="X81" s="57">
        <v>0</v>
      </c>
      <c r="Y81" s="84">
        <f>E81+I81+M81+Q81+U81</f>
        <v>0</v>
      </c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69"/>
        <v>0</v>
      </c>
      <c r="F82" s="58"/>
      <c r="G82" s="55">
        <v>0</v>
      </c>
      <c r="H82" s="57">
        <v>0</v>
      </c>
      <c r="I82" s="57">
        <f t="shared" si="70"/>
        <v>0</v>
      </c>
      <c r="J82" s="58"/>
      <c r="K82" s="55">
        <v>0</v>
      </c>
      <c r="L82" s="57">
        <v>0</v>
      </c>
      <c r="M82" s="57">
        <f t="shared" si="71"/>
        <v>0</v>
      </c>
      <c r="N82" s="58"/>
      <c r="O82" s="55">
        <v>0</v>
      </c>
      <c r="P82" s="57">
        <v>0</v>
      </c>
      <c r="Q82" s="57">
        <f t="shared" si="72"/>
        <v>0</v>
      </c>
      <c r="R82" s="58"/>
      <c r="S82" s="55">
        <v>0</v>
      </c>
      <c r="T82" s="57">
        <v>0</v>
      </c>
      <c r="U82" s="57">
        <f t="shared" si="73"/>
        <v>0</v>
      </c>
      <c r="V82" s="59"/>
      <c r="W82" s="124">
        <f>C82+G82+K82+O82+S82</f>
        <v>0</v>
      </c>
      <c r="X82" s="57">
        <f>D82+H82+L82+P82+T82</f>
        <v>0</v>
      </c>
      <c r="Y82" s="84">
        <f>E82+I82+M82+Q82+U82</f>
        <v>0</v>
      </c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69"/>
        <v>0</v>
      </c>
      <c r="F83" s="58"/>
      <c r="G83" s="55">
        <v>0</v>
      </c>
      <c r="H83" s="57">
        <v>0</v>
      </c>
      <c r="I83" s="57">
        <f t="shared" si="70"/>
        <v>0</v>
      </c>
      <c r="J83" s="58"/>
      <c r="K83" s="55">
        <v>0</v>
      </c>
      <c r="L83" s="57">
        <v>0</v>
      </c>
      <c r="M83" s="57">
        <f t="shared" si="71"/>
        <v>0</v>
      </c>
      <c r="N83" s="58"/>
      <c r="O83" s="55">
        <v>0</v>
      </c>
      <c r="P83" s="57">
        <v>0</v>
      </c>
      <c r="Q83" s="57">
        <f t="shared" si="72"/>
        <v>0</v>
      </c>
      <c r="R83" s="58"/>
      <c r="S83" s="55">
        <v>0</v>
      </c>
      <c r="T83" s="57">
        <v>0</v>
      </c>
      <c r="U83" s="57">
        <f t="shared" si="73"/>
        <v>0</v>
      </c>
      <c r="V83" s="59"/>
      <c r="W83" s="124">
        <f>C83+G83+K83+O83+S83</f>
        <v>0</v>
      </c>
      <c r="X83" s="57">
        <f>D83+H83+L83+P83+T83</f>
        <v>0</v>
      </c>
      <c r="Y83" s="84">
        <f>E83+I83+M83+Q83+U83</f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69"/>
        <v>0</v>
      </c>
      <c r="F84" s="58"/>
      <c r="G84" s="55">
        <v>0</v>
      </c>
      <c r="H84" s="57">
        <v>0</v>
      </c>
      <c r="I84" s="57">
        <f t="shared" si="70"/>
        <v>0</v>
      </c>
      <c r="J84" s="58"/>
      <c r="K84" s="55">
        <v>0</v>
      </c>
      <c r="L84" s="57">
        <v>0</v>
      </c>
      <c r="M84" s="57">
        <f t="shared" si="71"/>
        <v>0</v>
      </c>
      <c r="N84" s="58"/>
      <c r="O84" s="55">
        <v>0</v>
      </c>
      <c r="P84" s="57">
        <v>0</v>
      </c>
      <c r="Q84" s="57">
        <f t="shared" si="72"/>
        <v>0</v>
      </c>
      <c r="R84" s="58"/>
      <c r="S84" s="55">
        <v>0</v>
      </c>
      <c r="T84" s="57">
        <v>0</v>
      </c>
      <c r="U84" s="57">
        <f t="shared" si="73"/>
        <v>0</v>
      </c>
      <c r="V84" s="59"/>
      <c r="W84" s="124">
        <f>C84+G84+K84+O84+S84</f>
        <v>0</v>
      </c>
      <c r="X84" s="57">
        <f>D84+H84+L84+P84+T84</f>
        <v>0</v>
      </c>
      <c r="Y84" s="84">
        <f>E84+I84+M84+Q84+U84</f>
        <v>0</v>
      </c>
    </row>
    <row r="85" spans="1:77" s="83" customFormat="1" x14ac:dyDescent="0.25">
      <c r="A85" s="78"/>
      <c r="B85" s="78" t="s">
        <v>9</v>
      </c>
      <c r="C85" s="229">
        <f>SUM(C65:C84)</f>
        <v>0</v>
      </c>
      <c r="D85" s="153">
        <f>SUM(D65:D84)</f>
        <v>20000</v>
      </c>
      <c r="E85" s="153">
        <f>SUM(E65:E84)</f>
        <v>20000</v>
      </c>
      <c r="F85" s="154"/>
      <c r="G85" s="152">
        <f>SUM(G65:G84)</f>
        <v>0</v>
      </c>
      <c r="H85" s="153">
        <f>SUM(H65:H84)</f>
        <v>15000</v>
      </c>
      <c r="I85" s="153">
        <f>SUM(I65:I84)</f>
        <v>15000</v>
      </c>
      <c r="J85" s="154"/>
      <c r="K85" s="152">
        <f>SUM(K65:K84)</f>
        <v>0</v>
      </c>
      <c r="L85" s="153">
        <f>SUM(L65:L84)</f>
        <v>15000</v>
      </c>
      <c r="M85" s="153">
        <f>SUM(M65:M84)</f>
        <v>15000</v>
      </c>
      <c r="N85" s="154"/>
      <c r="O85" s="152">
        <f>SUM(O65:O84)</f>
        <v>0</v>
      </c>
      <c r="P85" s="153">
        <f>SUM(P65:P84)</f>
        <v>15000</v>
      </c>
      <c r="Q85" s="153">
        <f>SUM(Q65:Q84)</f>
        <v>15000</v>
      </c>
      <c r="R85" s="154"/>
      <c r="S85" s="152">
        <f>SUM(S65:S84)</f>
        <v>0</v>
      </c>
      <c r="T85" s="153">
        <f>SUM(T65:T84)</f>
        <v>10000</v>
      </c>
      <c r="U85" s="153">
        <f>SUM(U65:U84)</f>
        <v>10000</v>
      </c>
      <c r="V85" s="82"/>
      <c r="W85" s="228">
        <f>C85+G85+K85+O85+S85</f>
        <v>0</v>
      </c>
      <c r="X85" s="80">
        <f>D85+H85+L85+P85+T85</f>
        <v>75000</v>
      </c>
      <c r="Y85" s="80">
        <f>E85+I85+M85+Q85+U85</f>
        <v>75000</v>
      </c>
    </row>
    <row r="86" spans="1:77" s="97" customFormat="1" x14ac:dyDescent="0.25">
      <c r="A86" s="89" t="s">
        <v>28</v>
      </c>
      <c r="B86" s="89"/>
      <c r="C86" s="95">
        <f>C85+C63+C57+C49+C37</f>
        <v>281292.06496061472</v>
      </c>
      <c r="D86" s="95">
        <f t="shared" ref="D86:W86" si="77">D85+D63+D57+D49+D37</f>
        <v>228885.83605803948</v>
      </c>
      <c r="E86" s="95">
        <f>SUM(C86:D86)</f>
        <v>510177.90101865423</v>
      </c>
      <c r="F86" s="95"/>
      <c r="G86" s="95">
        <f t="shared" si="77"/>
        <v>291977.17734078295</v>
      </c>
      <c r="H86" s="95">
        <f t="shared" si="77"/>
        <v>224000.42567625057</v>
      </c>
      <c r="I86" s="95">
        <f>SUM(G86:H86)</f>
        <v>515977.60301703354</v>
      </c>
      <c r="J86" s="95"/>
      <c r="K86" s="95">
        <f t="shared" si="77"/>
        <v>303125.49223362538</v>
      </c>
      <c r="L86" s="95">
        <f t="shared" si="77"/>
        <v>231425.77206827901</v>
      </c>
      <c r="M86" s="95">
        <f>SUM(K86:L86)</f>
        <v>534551.26430190436</v>
      </c>
      <c r="N86" s="95"/>
      <c r="O86" s="95">
        <f t="shared" si="77"/>
        <v>314759.59304722567</v>
      </c>
      <c r="P86" s="95">
        <f t="shared" si="77"/>
        <v>239177.12466963235</v>
      </c>
      <c r="Q86" s="95">
        <f>SUM(O86:P86)</f>
        <v>553936.71771685802</v>
      </c>
      <c r="R86" s="95"/>
      <c r="S86" s="95">
        <f t="shared" si="77"/>
        <v>326903.2697504714</v>
      </c>
      <c r="T86" s="95">
        <f t="shared" si="77"/>
        <v>239270.55133687996</v>
      </c>
      <c r="U86" s="95">
        <f>SUM(S86:T86)</f>
        <v>566173.8210873513</v>
      </c>
      <c r="V86" s="95"/>
      <c r="W86" s="95">
        <f t="shared" si="77"/>
        <v>1518057.5973327202</v>
      </c>
      <c r="X86" s="95">
        <f>X85+X63+X57+X49+X37</f>
        <v>1162759.7098090814</v>
      </c>
      <c r="Y86" s="95">
        <f>SUM(W86:X86)</f>
        <v>2680817.3071418013</v>
      </c>
      <c r="Z86" s="96"/>
      <c r="AA86" s="96"/>
    </row>
    <row r="87" spans="1:77" s="97" customFormat="1" x14ac:dyDescent="0.25">
      <c r="A87" s="89" t="s">
        <v>27</v>
      </c>
      <c r="B87" s="89"/>
      <c r="C87" s="95">
        <f>(C37+C57+C85)*0.5+(25000*2*0.5)</f>
        <v>165646.03248030736</v>
      </c>
      <c r="D87" s="95">
        <v>0</v>
      </c>
      <c r="E87" s="95">
        <f>SUM(C87:D87)</f>
        <v>165646.03248030736</v>
      </c>
      <c r="F87" s="95"/>
      <c r="G87" s="95">
        <f>((G37+G57+G85)*0.5)</f>
        <v>145988.58867039147</v>
      </c>
      <c r="H87" s="95">
        <v>0</v>
      </c>
      <c r="I87" s="95">
        <f>SUM(G87:H87)</f>
        <v>145988.58867039147</v>
      </c>
      <c r="J87" s="95">
        <f>(J37+J57+J85)*0.453</f>
        <v>0</v>
      </c>
      <c r="K87" s="95">
        <f>(K37+K57+K85)*0.5</f>
        <v>151562.74611681269</v>
      </c>
      <c r="L87" s="95">
        <v>0</v>
      </c>
      <c r="M87" s="95">
        <f>SUM(K87:L87)</f>
        <v>151562.74611681269</v>
      </c>
      <c r="N87" s="95">
        <f>(N37+N57+N85)*0.453</f>
        <v>0</v>
      </c>
      <c r="O87" s="95">
        <f>(O37+O57+O85)*0.5</f>
        <v>157379.79652361284</v>
      </c>
      <c r="P87" s="95">
        <v>0</v>
      </c>
      <c r="Q87" s="95">
        <f>SUM(O87:P87)</f>
        <v>157379.79652361284</v>
      </c>
      <c r="R87" s="95">
        <f>(R37+R57+R85)*0.453</f>
        <v>0</v>
      </c>
      <c r="S87" s="95">
        <f>(S37+S57+S85)*0.5</f>
        <v>163451.6348752357</v>
      </c>
      <c r="T87" s="95">
        <v>0</v>
      </c>
      <c r="U87" s="95">
        <f>SUM(S87:T87)</f>
        <v>163451.6348752357</v>
      </c>
      <c r="V87" s="95">
        <f>(V37+V57+V85)*0.453</f>
        <v>0</v>
      </c>
      <c r="W87" s="95">
        <f>(W37+W57+W85)*0.5+((25000*2)*0.5)</f>
        <v>784028.79866636009</v>
      </c>
      <c r="X87" s="95">
        <v>0</v>
      </c>
      <c r="Y87" s="95">
        <f>SUM(W87:X87)</f>
        <v>784028.79866636009</v>
      </c>
      <c r="Z87" s="96"/>
      <c r="AA87" s="96"/>
    </row>
    <row r="88" spans="1:77" s="97" customFormat="1" x14ac:dyDescent="0.25">
      <c r="A88" s="89" t="s">
        <v>29</v>
      </c>
      <c r="B88" s="89"/>
      <c r="C88" s="95">
        <f>SUM(C86:C87)</f>
        <v>446938.09744092205</v>
      </c>
      <c r="D88" s="95">
        <f t="shared" ref="D88:X88" si="78">SUM(D86:D87)</f>
        <v>228885.83605803948</v>
      </c>
      <c r="E88" s="95">
        <f>SUM(C88:D88)</f>
        <v>675823.9334989615</v>
      </c>
      <c r="F88" s="95">
        <f t="shared" si="78"/>
        <v>0</v>
      </c>
      <c r="G88" s="95">
        <f>SUM(G86:G87)-0.5</f>
        <v>437965.26601117442</v>
      </c>
      <c r="H88" s="95">
        <f t="shared" si="78"/>
        <v>224000.42567625057</v>
      </c>
      <c r="I88" s="95">
        <f>SUM(G88:H88)</f>
        <v>661965.69168742502</v>
      </c>
      <c r="J88" s="95">
        <f t="shared" si="78"/>
        <v>0</v>
      </c>
      <c r="K88" s="95">
        <f t="shared" si="78"/>
        <v>454688.23835043807</v>
      </c>
      <c r="L88" s="95">
        <f t="shared" si="78"/>
        <v>231425.77206827901</v>
      </c>
      <c r="M88" s="95">
        <f>SUM(K88:L88)</f>
        <v>686114.01041871705</v>
      </c>
      <c r="N88" s="95">
        <f t="shared" si="78"/>
        <v>0</v>
      </c>
      <c r="O88" s="95">
        <f t="shared" si="78"/>
        <v>472139.38957083854</v>
      </c>
      <c r="P88" s="95">
        <f t="shared" si="78"/>
        <v>239177.12466963235</v>
      </c>
      <c r="Q88" s="95">
        <f>SUM(O88:P88)</f>
        <v>711316.51424047095</v>
      </c>
      <c r="R88" s="95">
        <f t="shared" si="78"/>
        <v>0</v>
      </c>
      <c r="S88" s="95">
        <f t="shared" si="78"/>
        <v>490354.90462570707</v>
      </c>
      <c r="T88" s="95">
        <f t="shared" si="78"/>
        <v>239270.55133687996</v>
      </c>
      <c r="U88" s="95">
        <f>SUM(S88:T88)</f>
        <v>729625.45596258703</v>
      </c>
      <c r="V88" s="95">
        <f t="shared" si="78"/>
        <v>0</v>
      </c>
      <c r="W88" s="95">
        <f t="shared" si="78"/>
        <v>2302086.3959990805</v>
      </c>
      <c r="X88" s="95">
        <f t="shared" si="78"/>
        <v>1162759.7098090814</v>
      </c>
      <c r="Y88" s="95">
        <f>SUM(W88:X88)</f>
        <v>3464846.1058081621</v>
      </c>
      <c r="Z88" s="96"/>
      <c r="AA88" s="96"/>
    </row>
    <row r="89" spans="1:77" s="30" customFormat="1" x14ac:dyDescent="0.25">
      <c r="A89" s="24"/>
      <c r="B89" s="24"/>
      <c r="C89" s="27"/>
      <c r="D89" s="27"/>
      <c r="E89" s="28"/>
      <c r="F89" s="24"/>
      <c r="G89" s="27"/>
      <c r="H89" s="27"/>
      <c r="I89" s="28"/>
      <c r="J89" s="24"/>
      <c r="K89" s="27"/>
      <c r="L89" s="27"/>
      <c r="M89" s="28"/>
      <c r="N89" s="24"/>
      <c r="O89" s="27"/>
      <c r="P89" s="27"/>
      <c r="Q89" s="28"/>
      <c r="R89" s="24"/>
      <c r="S89" s="27"/>
      <c r="T89" s="27"/>
      <c r="U89" s="28"/>
      <c r="V89" s="29"/>
      <c r="W89" s="28"/>
      <c r="X89" s="28"/>
      <c r="Y89" s="27"/>
      <c r="Z89" s="28"/>
      <c r="AA89" s="28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customFormat="1" ht="12.75" customHeight="1" x14ac:dyDescent="0.25">
      <c r="A92" s="292"/>
      <c r="B92" s="292" t="s">
        <v>268</v>
      </c>
      <c r="C92" s="293">
        <f>(154991.93/12)*1</f>
        <v>12915.994166666665</v>
      </c>
      <c r="D92" s="294">
        <f>((115000*1.03)/1560)*(173.33*1.5)*0</f>
        <v>0</v>
      </c>
      <c r="E92" s="294">
        <f t="shared" ref="E92" si="79">SUM(C92:D92)</f>
        <v>12915.994166666665</v>
      </c>
      <c r="F92" s="295"/>
      <c r="G92" s="293">
        <f t="shared" ref="G92:H92" si="80">C92*1.03</f>
        <v>13303.473991666666</v>
      </c>
      <c r="H92" s="294">
        <f t="shared" si="80"/>
        <v>0</v>
      </c>
      <c r="I92" s="294">
        <f t="shared" ref="I92" si="81">SUM(G92:H92)</f>
        <v>13303.473991666666</v>
      </c>
      <c r="J92" s="295"/>
      <c r="K92" s="293">
        <f t="shared" ref="K92:L92" si="82">G92*1.03</f>
        <v>13702.578211416667</v>
      </c>
      <c r="L92" s="294">
        <f t="shared" si="82"/>
        <v>0</v>
      </c>
      <c r="M92" s="294">
        <f t="shared" ref="M92" si="83">SUM(K92:L92)</f>
        <v>13702.578211416667</v>
      </c>
      <c r="N92" s="295"/>
      <c r="O92" s="293">
        <f t="shared" ref="O92:P92" si="84">K92*1.03</f>
        <v>14113.655557759168</v>
      </c>
      <c r="P92" s="294">
        <f t="shared" si="84"/>
        <v>0</v>
      </c>
      <c r="Q92" s="294">
        <f t="shared" ref="Q92" si="85">SUM(O92:P92)</f>
        <v>14113.655557759168</v>
      </c>
      <c r="R92" s="295"/>
      <c r="S92" s="293">
        <f t="shared" ref="S92:T92" si="86">O92*1.03</f>
        <v>14537.065224491944</v>
      </c>
      <c r="T92" s="294">
        <f t="shared" si="86"/>
        <v>0</v>
      </c>
      <c r="U92" s="294">
        <f t="shared" ref="U92" si="87">SUM(S92:T92)</f>
        <v>14537.065224491944</v>
      </c>
      <c r="V92" s="296"/>
      <c r="W92" s="293">
        <f t="shared" ref="W92:Y92" si="88">C92+G92+K92+O92+S92</f>
        <v>68572.767152001106</v>
      </c>
      <c r="X92" s="294">
        <f t="shared" si="88"/>
        <v>0</v>
      </c>
      <c r="Y92" s="294">
        <f t="shared" si="88"/>
        <v>68572.767152001106</v>
      </c>
      <c r="Z92" s="292"/>
      <c r="AA92" s="292"/>
      <c r="AB92" s="292"/>
      <c r="AC92" s="292"/>
      <c r="AD92" s="292"/>
      <c r="AE92" s="292"/>
      <c r="AF92" s="292"/>
      <c r="AG92" s="292"/>
      <c r="AH92" s="292"/>
      <c r="AI92" s="292"/>
      <c r="AJ92" s="292"/>
      <c r="AK92" s="292"/>
      <c r="AL92" s="292"/>
      <c r="AM92" s="292"/>
      <c r="AN92" s="292"/>
      <c r="AO92" s="292"/>
      <c r="AP92" s="292"/>
      <c r="AQ92" s="292"/>
      <c r="AR92" s="292"/>
      <c r="AS92" s="292"/>
      <c r="AT92" s="292"/>
    </row>
    <row r="93" spans="1:77" s="61" customFormat="1" x14ac:dyDescent="0.25">
      <c r="A93" s="52"/>
      <c r="B93" s="84"/>
      <c r="C93" s="124">
        <v>0</v>
      </c>
      <c r="D93" s="56">
        <v>0</v>
      </c>
      <c r="E93" s="56">
        <f t="shared" ref="E93:E98" si="89">SUM(C93:D93)</f>
        <v>0</v>
      </c>
      <c r="F93" s="58"/>
      <c r="G93" s="55">
        <f t="shared" ref="G93:H98" si="90">C93*1.03</f>
        <v>0</v>
      </c>
      <c r="H93" s="57">
        <f t="shared" si="90"/>
        <v>0</v>
      </c>
      <c r="I93" s="57">
        <f t="shared" ref="I93:I98" si="91">SUM(G93:H93)</f>
        <v>0</v>
      </c>
      <c r="J93" s="58"/>
      <c r="K93" s="55">
        <f t="shared" ref="K93:L98" si="92">G93*1.03</f>
        <v>0</v>
      </c>
      <c r="L93" s="57">
        <f t="shared" si="92"/>
        <v>0</v>
      </c>
      <c r="M93" s="57">
        <f t="shared" ref="M93:M98" si="93">SUM(K93:L93)</f>
        <v>0</v>
      </c>
      <c r="N93" s="58"/>
      <c r="O93" s="55">
        <f t="shared" ref="O93:P98" si="94">K93*1.03</f>
        <v>0</v>
      </c>
      <c r="P93" s="57">
        <f t="shared" si="94"/>
        <v>0</v>
      </c>
      <c r="Q93" s="57">
        <f t="shared" ref="Q93:Q98" si="95">SUM(O93:P93)</f>
        <v>0</v>
      </c>
      <c r="R93" s="58"/>
      <c r="S93" s="55">
        <f t="shared" ref="S93:T98" si="96">O93*1.03</f>
        <v>0</v>
      </c>
      <c r="T93" s="57">
        <f t="shared" si="96"/>
        <v>0</v>
      </c>
      <c r="U93" s="57">
        <f t="shared" ref="U93:U98" si="97">SUM(S93:T93)</f>
        <v>0</v>
      </c>
      <c r="V93" s="59"/>
      <c r="W93" s="124">
        <f t="shared" ref="W93:Y99" si="98">C93+G93+K93+O93+S93</f>
        <v>0</v>
      </c>
      <c r="X93" s="57">
        <f t="shared" si="98"/>
        <v>0</v>
      </c>
      <c r="Y93" s="84">
        <f t="shared" si="98"/>
        <v>0</v>
      </c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</row>
    <row r="94" spans="1:77" s="61" customFormat="1" x14ac:dyDescent="0.25">
      <c r="A94" s="52"/>
      <c r="B94" s="52"/>
      <c r="C94" s="124">
        <v>0</v>
      </c>
      <c r="D94" s="56">
        <v>0</v>
      </c>
      <c r="E94" s="56">
        <f t="shared" si="89"/>
        <v>0</v>
      </c>
      <c r="F94" s="58"/>
      <c r="G94" s="55">
        <f t="shared" si="90"/>
        <v>0</v>
      </c>
      <c r="H94" s="57">
        <f t="shared" si="90"/>
        <v>0</v>
      </c>
      <c r="I94" s="57">
        <f t="shared" si="91"/>
        <v>0</v>
      </c>
      <c r="J94" s="58"/>
      <c r="K94" s="55">
        <f t="shared" si="92"/>
        <v>0</v>
      </c>
      <c r="L94" s="57">
        <f t="shared" si="92"/>
        <v>0</v>
      </c>
      <c r="M94" s="57">
        <f t="shared" si="93"/>
        <v>0</v>
      </c>
      <c r="N94" s="58"/>
      <c r="O94" s="55">
        <f t="shared" si="94"/>
        <v>0</v>
      </c>
      <c r="P94" s="57">
        <f t="shared" si="94"/>
        <v>0</v>
      </c>
      <c r="Q94" s="57">
        <f t="shared" si="95"/>
        <v>0</v>
      </c>
      <c r="R94" s="58"/>
      <c r="S94" s="55">
        <f t="shared" si="96"/>
        <v>0</v>
      </c>
      <c r="T94" s="57">
        <f t="shared" si="96"/>
        <v>0</v>
      </c>
      <c r="U94" s="57">
        <f t="shared" si="97"/>
        <v>0</v>
      </c>
      <c r="V94" s="59"/>
      <c r="W94" s="124">
        <f t="shared" si="98"/>
        <v>0</v>
      </c>
      <c r="X94" s="57">
        <f t="shared" si="98"/>
        <v>0</v>
      </c>
      <c r="Y94" s="84">
        <f t="shared" si="98"/>
        <v>0</v>
      </c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</row>
    <row r="95" spans="1:77" s="61" customFormat="1" x14ac:dyDescent="0.25">
      <c r="A95" s="52"/>
      <c r="B95" s="52"/>
      <c r="C95" s="124">
        <v>0</v>
      </c>
      <c r="D95" s="56">
        <v>0</v>
      </c>
      <c r="E95" s="56">
        <f t="shared" si="89"/>
        <v>0</v>
      </c>
      <c r="F95" s="58"/>
      <c r="G95" s="55">
        <f t="shared" si="90"/>
        <v>0</v>
      </c>
      <c r="H95" s="57">
        <f t="shared" si="90"/>
        <v>0</v>
      </c>
      <c r="I95" s="57">
        <f t="shared" si="91"/>
        <v>0</v>
      </c>
      <c r="J95" s="58"/>
      <c r="K95" s="55">
        <f t="shared" si="92"/>
        <v>0</v>
      </c>
      <c r="L95" s="57">
        <f t="shared" si="92"/>
        <v>0</v>
      </c>
      <c r="M95" s="57">
        <f t="shared" si="93"/>
        <v>0</v>
      </c>
      <c r="N95" s="58"/>
      <c r="O95" s="55">
        <f t="shared" si="94"/>
        <v>0</v>
      </c>
      <c r="P95" s="57">
        <f t="shared" si="94"/>
        <v>0</v>
      </c>
      <c r="Q95" s="57">
        <f t="shared" si="95"/>
        <v>0</v>
      </c>
      <c r="R95" s="58"/>
      <c r="S95" s="55">
        <f t="shared" si="96"/>
        <v>0</v>
      </c>
      <c r="T95" s="57">
        <f t="shared" si="96"/>
        <v>0</v>
      </c>
      <c r="U95" s="57">
        <f t="shared" si="97"/>
        <v>0</v>
      </c>
      <c r="V95" s="59"/>
      <c r="W95" s="124">
        <f t="shared" si="98"/>
        <v>0</v>
      </c>
      <c r="X95" s="57">
        <f t="shared" si="98"/>
        <v>0</v>
      </c>
      <c r="Y95" s="84">
        <f t="shared" si="98"/>
        <v>0</v>
      </c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</row>
    <row r="96" spans="1:77" s="61" customFormat="1" x14ac:dyDescent="0.25">
      <c r="A96" s="52"/>
      <c r="B96" s="52"/>
      <c r="C96" s="124">
        <v>0</v>
      </c>
      <c r="D96" s="56">
        <v>0</v>
      </c>
      <c r="E96" s="56">
        <f t="shared" si="89"/>
        <v>0</v>
      </c>
      <c r="F96" s="58"/>
      <c r="G96" s="55">
        <f t="shared" si="90"/>
        <v>0</v>
      </c>
      <c r="H96" s="57">
        <f t="shared" si="90"/>
        <v>0</v>
      </c>
      <c r="I96" s="57">
        <f t="shared" si="91"/>
        <v>0</v>
      </c>
      <c r="J96" s="58"/>
      <c r="K96" s="55">
        <f t="shared" si="92"/>
        <v>0</v>
      </c>
      <c r="L96" s="57">
        <f t="shared" si="92"/>
        <v>0</v>
      </c>
      <c r="M96" s="57">
        <f t="shared" si="93"/>
        <v>0</v>
      </c>
      <c r="N96" s="58"/>
      <c r="O96" s="55">
        <f t="shared" si="94"/>
        <v>0</v>
      </c>
      <c r="P96" s="57">
        <f t="shared" si="94"/>
        <v>0</v>
      </c>
      <c r="Q96" s="57">
        <f t="shared" si="95"/>
        <v>0</v>
      </c>
      <c r="R96" s="58"/>
      <c r="S96" s="55">
        <f t="shared" si="96"/>
        <v>0</v>
      </c>
      <c r="T96" s="57">
        <f t="shared" si="96"/>
        <v>0</v>
      </c>
      <c r="U96" s="57">
        <f t="shared" si="97"/>
        <v>0</v>
      </c>
      <c r="V96" s="59"/>
      <c r="W96" s="124">
        <f t="shared" si="98"/>
        <v>0</v>
      </c>
      <c r="X96" s="57">
        <f t="shared" si="98"/>
        <v>0</v>
      </c>
      <c r="Y96" s="84">
        <f t="shared" si="98"/>
        <v>0</v>
      </c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</row>
    <row r="97" spans="1:77" s="61" customFormat="1" x14ac:dyDescent="0.25">
      <c r="A97" s="52"/>
      <c r="B97" s="52"/>
      <c r="C97" s="124">
        <v>0</v>
      </c>
      <c r="D97" s="56">
        <v>0</v>
      </c>
      <c r="E97" s="56">
        <f t="shared" si="89"/>
        <v>0</v>
      </c>
      <c r="F97" s="58"/>
      <c r="G97" s="55">
        <f t="shared" si="90"/>
        <v>0</v>
      </c>
      <c r="H97" s="57">
        <f t="shared" si="90"/>
        <v>0</v>
      </c>
      <c r="I97" s="57">
        <f t="shared" si="91"/>
        <v>0</v>
      </c>
      <c r="J97" s="58"/>
      <c r="K97" s="55">
        <f t="shared" si="92"/>
        <v>0</v>
      </c>
      <c r="L97" s="57">
        <f t="shared" si="92"/>
        <v>0</v>
      </c>
      <c r="M97" s="57">
        <f t="shared" si="93"/>
        <v>0</v>
      </c>
      <c r="N97" s="58"/>
      <c r="O97" s="55">
        <f t="shared" si="94"/>
        <v>0</v>
      </c>
      <c r="P97" s="57">
        <f t="shared" si="94"/>
        <v>0</v>
      </c>
      <c r="Q97" s="57">
        <f t="shared" si="95"/>
        <v>0</v>
      </c>
      <c r="R97" s="58"/>
      <c r="S97" s="55">
        <f t="shared" si="96"/>
        <v>0</v>
      </c>
      <c r="T97" s="57">
        <f t="shared" si="96"/>
        <v>0</v>
      </c>
      <c r="U97" s="57">
        <f t="shared" si="97"/>
        <v>0</v>
      </c>
      <c r="V97" s="59"/>
      <c r="W97" s="124">
        <f t="shared" si="98"/>
        <v>0</v>
      </c>
      <c r="X97" s="57">
        <f t="shared" si="98"/>
        <v>0</v>
      </c>
      <c r="Y97" s="84">
        <f t="shared" si="98"/>
        <v>0</v>
      </c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</row>
    <row r="98" spans="1:77" s="61" customFormat="1" x14ac:dyDescent="0.25">
      <c r="A98" s="52"/>
      <c r="B98" s="52"/>
      <c r="C98" s="124">
        <v>0</v>
      </c>
      <c r="D98" s="56">
        <v>0</v>
      </c>
      <c r="E98" s="56">
        <f t="shared" si="89"/>
        <v>0</v>
      </c>
      <c r="F98" s="58"/>
      <c r="G98" s="55">
        <f t="shared" si="90"/>
        <v>0</v>
      </c>
      <c r="H98" s="57">
        <f t="shared" si="90"/>
        <v>0</v>
      </c>
      <c r="I98" s="57">
        <f t="shared" si="91"/>
        <v>0</v>
      </c>
      <c r="J98" s="58"/>
      <c r="K98" s="55">
        <f t="shared" si="92"/>
        <v>0</v>
      </c>
      <c r="L98" s="57">
        <f t="shared" si="92"/>
        <v>0</v>
      </c>
      <c r="M98" s="57">
        <f t="shared" si="93"/>
        <v>0</v>
      </c>
      <c r="N98" s="58"/>
      <c r="O98" s="55">
        <f t="shared" si="94"/>
        <v>0</v>
      </c>
      <c r="P98" s="57">
        <f t="shared" si="94"/>
        <v>0</v>
      </c>
      <c r="Q98" s="57">
        <f t="shared" si="95"/>
        <v>0</v>
      </c>
      <c r="R98" s="58"/>
      <c r="S98" s="55">
        <f t="shared" si="96"/>
        <v>0</v>
      </c>
      <c r="T98" s="57">
        <f t="shared" si="96"/>
        <v>0</v>
      </c>
      <c r="U98" s="57">
        <f t="shared" si="97"/>
        <v>0</v>
      </c>
      <c r="V98" s="59"/>
      <c r="W98" s="124">
        <f t="shared" si="98"/>
        <v>0</v>
      </c>
      <c r="X98" s="57">
        <f t="shared" si="98"/>
        <v>0</v>
      </c>
      <c r="Y98" s="84">
        <f t="shared" si="98"/>
        <v>0</v>
      </c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</row>
    <row r="99" spans="1:77" s="83" customFormat="1" x14ac:dyDescent="0.25">
      <c r="A99" s="78"/>
      <c r="B99" s="78" t="s">
        <v>9</v>
      </c>
      <c r="C99" s="228">
        <f>SUM(C92:C98)</f>
        <v>12915.994166666665</v>
      </c>
      <c r="D99" s="125">
        <f>SUM(D92:D98)</f>
        <v>0</v>
      </c>
      <c r="E99" s="125">
        <f>SUM(E92:E98)</f>
        <v>12915.994166666665</v>
      </c>
      <c r="F99" s="81"/>
      <c r="G99" s="79">
        <f>SUM(G92:G98)</f>
        <v>13303.473991666666</v>
      </c>
      <c r="H99" s="80">
        <f>SUM(H92:H98)</f>
        <v>0</v>
      </c>
      <c r="I99" s="80">
        <f>SUM(I92:I98)</f>
        <v>13303.473991666666</v>
      </c>
      <c r="J99" s="81"/>
      <c r="K99" s="79">
        <f>SUM(K92:K98)</f>
        <v>13702.578211416667</v>
      </c>
      <c r="L99" s="80">
        <f>SUM(L92:L98)</f>
        <v>0</v>
      </c>
      <c r="M99" s="80">
        <f>SUM(M92:M98)</f>
        <v>13702.578211416667</v>
      </c>
      <c r="N99" s="81"/>
      <c r="O99" s="79">
        <f>SUM(O92:O98)</f>
        <v>14113.655557759168</v>
      </c>
      <c r="P99" s="80">
        <f>SUM(P92:P98)</f>
        <v>0</v>
      </c>
      <c r="Q99" s="80">
        <f>SUM(Q92:Q98)</f>
        <v>14113.655557759168</v>
      </c>
      <c r="R99" s="81"/>
      <c r="S99" s="79">
        <f>SUM(S92:S98)</f>
        <v>14537.065224491944</v>
      </c>
      <c r="T99" s="80">
        <f>SUM(T92:T98)</f>
        <v>0</v>
      </c>
      <c r="U99" s="80">
        <f>SUM(U92:U98)</f>
        <v>14537.065224491944</v>
      </c>
      <c r="V99" s="82"/>
      <c r="W99" s="228">
        <f t="shared" si="98"/>
        <v>68572.767152001106</v>
      </c>
      <c r="X99" s="80">
        <f t="shared" si="98"/>
        <v>0</v>
      </c>
      <c r="Y99" s="80">
        <f t="shared" si="98"/>
        <v>68572.767152001106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customFormat="1" ht="12.75" customHeight="1" x14ac:dyDescent="0.25">
      <c r="A101" s="298"/>
      <c r="B101" s="313" t="s">
        <v>269</v>
      </c>
      <c r="C101" s="293">
        <v>20000</v>
      </c>
      <c r="D101" s="294"/>
      <c r="E101" s="294">
        <f t="shared" ref="E101:E102" si="99">SUM(C101:D101)</f>
        <v>20000</v>
      </c>
      <c r="F101" s="295"/>
      <c r="G101" s="293">
        <f t="shared" ref="G101:H101" si="100">(C101*1.03)</f>
        <v>20600</v>
      </c>
      <c r="H101" s="294">
        <f t="shared" si="100"/>
        <v>0</v>
      </c>
      <c r="I101" s="294">
        <f t="shared" ref="I101:I102" si="101">SUM(G101:H101)</f>
        <v>20600</v>
      </c>
      <c r="J101" s="295"/>
      <c r="K101" s="293">
        <f t="shared" ref="K101:L101" si="102">(G101*1.03)</f>
        <v>21218</v>
      </c>
      <c r="L101" s="294">
        <f t="shared" si="102"/>
        <v>0</v>
      </c>
      <c r="M101" s="294">
        <f t="shared" ref="M101:M102" si="103">SUM(K101:L101)</f>
        <v>21218</v>
      </c>
      <c r="N101" s="295"/>
      <c r="O101" s="293">
        <f t="shared" ref="O101:P101" si="104">(K101*1.03)</f>
        <v>21854.54</v>
      </c>
      <c r="P101" s="294">
        <f t="shared" si="104"/>
        <v>0</v>
      </c>
      <c r="Q101" s="294">
        <f t="shared" ref="Q101:Q102" si="105">SUM(O101:P101)</f>
        <v>21854.54</v>
      </c>
      <c r="R101" s="295"/>
      <c r="S101" s="293">
        <f t="shared" ref="S101:T101" si="106">(O101*1.03)</f>
        <v>22510.176200000002</v>
      </c>
      <c r="T101" s="294">
        <f t="shared" si="106"/>
        <v>0</v>
      </c>
      <c r="U101" s="294">
        <f t="shared" ref="U101:U102" si="107">SUM(S101:T101)</f>
        <v>22510.176200000002</v>
      </c>
      <c r="V101" s="296"/>
      <c r="W101" s="293">
        <f t="shared" ref="W101:Y102" si="108">C101+G101+K101+O101+S101</f>
        <v>106182.71620000001</v>
      </c>
      <c r="X101" s="294">
        <f t="shared" si="108"/>
        <v>0</v>
      </c>
      <c r="Y101" s="294">
        <f t="shared" si="108"/>
        <v>106182.71620000001</v>
      </c>
      <c r="Z101" s="292"/>
      <c r="AA101" s="292"/>
      <c r="AB101" s="292"/>
      <c r="AC101" s="292"/>
      <c r="AD101" s="292"/>
      <c r="AE101" s="292"/>
      <c r="AF101" s="292"/>
      <c r="AG101" s="292"/>
      <c r="AH101" s="292"/>
      <c r="AI101" s="292"/>
      <c r="AJ101" s="292"/>
      <c r="AK101" s="292"/>
      <c r="AL101" s="292"/>
      <c r="AM101" s="292"/>
      <c r="AN101" s="292"/>
      <c r="AO101" s="292"/>
      <c r="AP101" s="292"/>
      <c r="AQ101" s="292"/>
      <c r="AR101" s="292"/>
      <c r="AS101" s="292"/>
      <c r="AT101" s="292"/>
    </row>
    <row r="102" spans="1:77" customFormat="1" ht="12.75" customHeight="1" x14ac:dyDescent="0.25">
      <c r="A102" s="292"/>
      <c r="B102" s="292" t="s">
        <v>187</v>
      </c>
      <c r="C102" s="293">
        <f t="shared" ref="C102:D102" si="109">(65000*0.5)</f>
        <v>32500</v>
      </c>
      <c r="D102" s="294">
        <f t="shared" si="109"/>
        <v>32500</v>
      </c>
      <c r="E102" s="294">
        <f t="shared" si="99"/>
        <v>65000</v>
      </c>
      <c r="F102" s="295"/>
      <c r="G102" s="293">
        <f t="shared" ref="G102:H102" si="110">C102*1.03</f>
        <v>33475</v>
      </c>
      <c r="H102" s="294">
        <f t="shared" si="110"/>
        <v>33475</v>
      </c>
      <c r="I102" s="294">
        <f t="shared" si="101"/>
        <v>66950</v>
      </c>
      <c r="J102" s="295"/>
      <c r="K102" s="293">
        <f t="shared" ref="K102:L102" si="111">G102*1.03</f>
        <v>34479.25</v>
      </c>
      <c r="L102" s="294">
        <f t="shared" si="111"/>
        <v>34479.25</v>
      </c>
      <c r="M102" s="294">
        <f t="shared" si="103"/>
        <v>68958.5</v>
      </c>
      <c r="N102" s="295"/>
      <c r="O102" s="293">
        <f t="shared" ref="O102:P102" si="112">K102*1.03</f>
        <v>35513.627500000002</v>
      </c>
      <c r="P102" s="294">
        <f t="shared" si="112"/>
        <v>35513.627500000002</v>
      </c>
      <c r="Q102" s="294">
        <f t="shared" si="105"/>
        <v>71027.255000000005</v>
      </c>
      <c r="R102" s="295"/>
      <c r="S102" s="293">
        <f t="shared" ref="S102:T102" si="113">O102*1.03</f>
        <v>36579.036325000001</v>
      </c>
      <c r="T102" s="294">
        <f t="shared" si="113"/>
        <v>36579.036325000001</v>
      </c>
      <c r="U102" s="294">
        <f t="shared" si="107"/>
        <v>73158.072650000002</v>
      </c>
      <c r="V102" s="296"/>
      <c r="W102" s="293">
        <f t="shared" si="108"/>
        <v>172546.913825</v>
      </c>
      <c r="X102" s="294">
        <f t="shared" si="108"/>
        <v>172546.913825</v>
      </c>
      <c r="Y102" s="294">
        <f t="shared" si="108"/>
        <v>345093.82764999999</v>
      </c>
      <c r="Z102" s="292"/>
      <c r="AA102" s="292"/>
      <c r="AB102" s="292"/>
      <c r="AC102" s="292"/>
      <c r="AD102" s="292"/>
      <c r="AE102" s="292"/>
      <c r="AF102" s="292"/>
      <c r="AG102" s="292"/>
      <c r="AH102" s="292"/>
      <c r="AI102" s="292"/>
      <c r="AJ102" s="292"/>
      <c r="AK102" s="292"/>
      <c r="AL102" s="292"/>
      <c r="AM102" s="292"/>
      <c r="AN102" s="292"/>
      <c r="AO102" s="292"/>
      <c r="AP102" s="292"/>
      <c r="AQ102" s="292"/>
      <c r="AR102" s="292"/>
      <c r="AS102" s="292"/>
      <c r="AT102" s="292"/>
    </row>
    <row r="103" spans="1:77" s="61" customFormat="1" x14ac:dyDescent="0.25">
      <c r="A103" s="52"/>
      <c r="C103" s="124">
        <v>0</v>
      </c>
      <c r="D103" s="56">
        <f>(51000)*0</f>
        <v>0</v>
      </c>
      <c r="E103" s="56">
        <f t="shared" ref="E103:E111" si="114">SUM(C103:D103)</f>
        <v>0</v>
      </c>
      <c r="F103" s="58"/>
      <c r="G103" s="55">
        <f t="shared" ref="G103:G111" si="115">C103*1.03</f>
        <v>0</v>
      </c>
      <c r="H103" s="57">
        <f t="shared" ref="H103:H111" si="116">D103*1.03</f>
        <v>0</v>
      </c>
      <c r="I103" s="57">
        <f t="shared" ref="I103:I111" si="117">SUM(G103:H103)</f>
        <v>0</v>
      </c>
      <c r="J103" s="58"/>
      <c r="K103" s="55">
        <f t="shared" ref="K103:K111" si="118">G103*1.03</f>
        <v>0</v>
      </c>
      <c r="L103" s="57">
        <f t="shared" ref="L103:L111" si="119">H103*1.03</f>
        <v>0</v>
      </c>
      <c r="M103" s="57">
        <f t="shared" ref="M103:M111" si="120">SUM(K103:L103)</f>
        <v>0</v>
      </c>
      <c r="N103" s="58"/>
      <c r="O103" s="55">
        <f t="shared" ref="O103:O111" si="121">K103*1.03</f>
        <v>0</v>
      </c>
      <c r="P103" s="57">
        <f t="shared" ref="P103:P111" si="122">L103*1.03</f>
        <v>0</v>
      </c>
      <c r="Q103" s="57">
        <f t="shared" ref="Q103:Q111" si="123">SUM(O103:P103)</f>
        <v>0</v>
      </c>
      <c r="R103" s="58"/>
      <c r="S103" s="55">
        <f t="shared" ref="S103:S111" si="124">O103*1.03</f>
        <v>0</v>
      </c>
      <c r="T103" s="57">
        <f t="shared" ref="T103:T111" si="125">P103*1.03</f>
        <v>0</v>
      </c>
      <c r="U103" s="57">
        <f t="shared" ref="U103:U111" si="126">SUM(S103:T103)</f>
        <v>0</v>
      </c>
      <c r="V103" s="59"/>
      <c r="W103" s="124">
        <f t="shared" ref="W103:W112" si="127">C103+G103+K103+O103+S103</f>
        <v>0</v>
      </c>
      <c r="X103" s="57">
        <f t="shared" ref="X103:X112" si="128">D103+H103+L103+P103+T103</f>
        <v>0</v>
      </c>
      <c r="Y103" s="84">
        <f t="shared" ref="Y103:Y112" si="129">E103+I103+M103+Q103+U103</f>
        <v>0</v>
      </c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</row>
    <row r="104" spans="1:77" s="61" customFormat="1" x14ac:dyDescent="0.25">
      <c r="A104" s="52"/>
      <c r="B104" s="52"/>
      <c r="C104" s="124">
        <v>0</v>
      </c>
      <c r="D104" s="56">
        <v>0</v>
      </c>
      <c r="E104" s="56">
        <f t="shared" si="114"/>
        <v>0</v>
      </c>
      <c r="F104" s="58"/>
      <c r="G104" s="55">
        <f t="shared" si="115"/>
        <v>0</v>
      </c>
      <c r="H104" s="57">
        <f t="shared" si="116"/>
        <v>0</v>
      </c>
      <c r="I104" s="57">
        <f t="shared" si="117"/>
        <v>0</v>
      </c>
      <c r="J104" s="58"/>
      <c r="K104" s="55">
        <f t="shared" si="118"/>
        <v>0</v>
      </c>
      <c r="L104" s="57">
        <f t="shared" si="119"/>
        <v>0</v>
      </c>
      <c r="M104" s="57">
        <f t="shared" si="120"/>
        <v>0</v>
      </c>
      <c r="N104" s="58"/>
      <c r="O104" s="55">
        <f t="shared" si="121"/>
        <v>0</v>
      </c>
      <c r="P104" s="57">
        <f t="shared" si="122"/>
        <v>0</v>
      </c>
      <c r="Q104" s="57">
        <f t="shared" si="123"/>
        <v>0</v>
      </c>
      <c r="R104" s="58"/>
      <c r="S104" s="55">
        <f t="shared" si="124"/>
        <v>0</v>
      </c>
      <c r="T104" s="57">
        <f t="shared" si="125"/>
        <v>0</v>
      </c>
      <c r="U104" s="57">
        <f t="shared" si="126"/>
        <v>0</v>
      </c>
      <c r="V104" s="59"/>
      <c r="W104" s="124">
        <f t="shared" si="127"/>
        <v>0</v>
      </c>
      <c r="X104" s="57">
        <f t="shared" si="128"/>
        <v>0</v>
      </c>
      <c r="Y104" s="84">
        <f t="shared" si="129"/>
        <v>0</v>
      </c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s="61" customFormat="1" x14ac:dyDescent="0.25">
      <c r="A105" s="87"/>
      <c r="B105" s="52"/>
      <c r="C105" s="124">
        <v>0</v>
      </c>
      <c r="D105" s="56">
        <v>0</v>
      </c>
      <c r="E105" s="56">
        <f t="shared" si="114"/>
        <v>0</v>
      </c>
      <c r="F105" s="58"/>
      <c r="G105" s="55">
        <f t="shared" si="115"/>
        <v>0</v>
      </c>
      <c r="H105" s="57">
        <f t="shared" si="116"/>
        <v>0</v>
      </c>
      <c r="I105" s="57">
        <f t="shared" si="117"/>
        <v>0</v>
      </c>
      <c r="J105" s="58"/>
      <c r="K105" s="55">
        <f t="shared" si="118"/>
        <v>0</v>
      </c>
      <c r="L105" s="57">
        <f t="shared" si="119"/>
        <v>0</v>
      </c>
      <c r="M105" s="57">
        <f t="shared" si="120"/>
        <v>0</v>
      </c>
      <c r="N105" s="58"/>
      <c r="O105" s="55">
        <f t="shared" si="121"/>
        <v>0</v>
      </c>
      <c r="P105" s="57">
        <f t="shared" si="122"/>
        <v>0</v>
      </c>
      <c r="Q105" s="57">
        <f t="shared" si="123"/>
        <v>0</v>
      </c>
      <c r="R105" s="58"/>
      <c r="S105" s="55">
        <f t="shared" si="124"/>
        <v>0</v>
      </c>
      <c r="T105" s="57">
        <f t="shared" si="125"/>
        <v>0</v>
      </c>
      <c r="U105" s="57">
        <f t="shared" si="126"/>
        <v>0</v>
      </c>
      <c r="V105" s="59"/>
      <c r="W105" s="124">
        <f t="shared" si="127"/>
        <v>0</v>
      </c>
      <c r="X105" s="57">
        <f t="shared" si="128"/>
        <v>0</v>
      </c>
      <c r="Y105" s="84">
        <f t="shared" si="129"/>
        <v>0</v>
      </c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s="61" customFormat="1" x14ac:dyDescent="0.25">
      <c r="A106" s="87"/>
      <c r="B106" s="52"/>
      <c r="C106" s="124">
        <v>0</v>
      </c>
      <c r="D106" s="56">
        <v>0</v>
      </c>
      <c r="E106" s="56">
        <f t="shared" si="114"/>
        <v>0</v>
      </c>
      <c r="F106" s="58"/>
      <c r="G106" s="55">
        <f t="shared" si="115"/>
        <v>0</v>
      </c>
      <c r="H106" s="57">
        <f t="shared" si="116"/>
        <v>0</v>
      </c>
      <c r="I106" s="57">
        <f t="shared" si="117"/>
        <v>0</v>
      </c>
      <c r="J106" s="58"/>
      <c r="K106" s="55">
        <f t="shared" si="118"/>
        <v>0</v>
      </c>
      <c r="L106" s="57">
        <f t="shared" si="119"/>
        <v>0</v>
      </c>
      <c r="M106" s="57">
        <f t="shared" si="120"/>
        <v>0</v>
      </c>
      <c r="N106" s="58"/>
      <c r="O106" s="55">
        <f t="shared" si="121"/>
        <v>0</v>
      </c>
      <c r="P106" s="57">
        <f t="shared" si="122"/>
        <v>0</v>
      </c>
      <c r="Q106" s="57">
        <f t="shared" si="123"/>
        <v>0</v>
      </c>
      <c r="R106" s="58"/>
      <c r="S106" s="55">
        <f t="shared" si="124"/>
        <v>0</v>
      </c>
      <c r="T106" s="57">
        <f t="shared" si="125"/>
        <v>0</v>
      </c>
      <c r="U106" s="57">
        <f t="shared" si="126"/>
        <v>0</v>
      </c>
      <c r="V106" s="59"/>
      <c r="W106" s="124">
        <f t="shared" si="127"/>
        <v>0</v>
      </c>
      <c r="X106" s="57">
        <f t="shared" si="128"/>
        <v>0</v>
      </c>
      <c r="Y106" s="84">
        <f t="shared" si="129"/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2"/>
      <c r="C107" s="124">
        <v>0</v>
      </c>
      <c r="D107" s="56">
        <v>0</v>
      </c>
      <c r="E107" s="56">
        <f t="shared" si="114"/>
        <v>0</v>
      </c>
      <c r="F107" s="58"/>
      <c r="G107" s="55">
        <f t="shared" si="115"/>
        <v>0</v>
      </c>
      <c r="H107" s="57">
        <f t="shared" si="116"/>
        <v>0</v>
      </c>
      <c r="I107" s="57">
        <f t="shared" si="117"/>
        <v>0</v>
      </c>
      <c r="J107" s="58"/>
      <c r="K107" s="55">
        <f t="shared" si="118"/>
        <v>0</v>
      </c>
      <c r="L107" s="57">
        <f t="shared" si="119"/>
        <v>0</v>
      </c>
      <c r="M107" s="57">
        <f t="shared" si="120"/>
        <v>0</v>
      </c>
      <c r="N107" s="58"/>
      <c r="O107" s="55">
        <f t="shared" si="121"/>
        <v>0</v>
      </c>
      <c r="P107" s="57">
        <f t="shared" si="122"/>
        <v>0</v>
      </c>
      <c r="Q107" s="57">
        <f t="shared" si="123"/>
        <v>0</v>
      </c>
      <c r="R107" s="58"/>
      <c r="S107" s="55">
        <f t="shared" si="124"/>
        <v>0</v>
      </c>
      <c r="T107" s="57">
        <f t="shared" si="125"/>
        <v>0</v>
      </c>
      <c r="U107" s="57">
        <f t="shared" si="126"/>
        <v>0</v>
      </c>
      <c r="V107" s="59"/>
      <c r="W107" s="124">
        <f t="shared" si="127"/>
        <v>0</v>
      </c>
      <c r="X107" s="57">
        <f t="shared" si="128"/>
        <v>0</v>
      </c>
      <c r="Y107" s="84">
        <f t="shared" si="129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52"/>
      <c r="B108" s="54"/>
      <c r="C108" s="124">
        <v>0</v>
      </c>
      <c r="D108" s="56">
        <v>0</v>
      </c>
      <c r="E108" s="56">
        <f t="shared" si="114"/>
        <v>0</v>
      </c>
      <c r="F108" s="58"/>
      <c r="G108" s="55">
        <f t="shared" si="115"/>
        <v>0</v>
      </c>
      <c r="H108" s="57">
        <f t="shared" si="116"/>
        <v>0</v>
      </c>
      <c r="I108" s="57">
        <f t="shared" si="117"/>
        <v>0</v>
      </c>
      <c r="J108" s="58"/>
      <c r="K108" s="55">
        <f t="shared" si="118"/>
        <v>0</v>
      </c>
      <c r="L108" s="57">
        <f t="shared" si="119"/>
        <v>0</v>
      </c>
      <c r="M108" s="57">
        <f t="shared" si="120"/>
        <v>0</v>
      </c>
      <c r="N108" s="58"/>
      <c r="O108" s="55">
        <f t="shared" si="121"/>
        <v>0</v>
      </c>
      <c r="P108" s="57">
        <f t="shared" si="122"/>
        <v>0</v>
      </c>
      <c r="Q108" s="57">
        <f t="shared" si="123"/>
        <v>0</v>
      </c>
      <c r="R108" s="58"/>
      <c r="S108" s="55">
        <f t="shared" si="124"/>
        <v>0</v>
      </c>
      <c r="T108" s="57">
        <f t="shared" si="125"/>
        <v>0</v>
      </c>
      <c r="U108" s="57">
        <f t="shared" si="126"/>
        <v>0</v>
      </c>
      <c r="V108" s="59"/>
      <c r="W108" s="124">
        <f t="shared" si="127"/>
        <v>0</v>
      </c>
      <c r="X108" s="57">
        <f t="shared" si="128"/>
        <v>0</v>
      </c>
      <c r="Y108" s="84">
        <f t="shared" si="129"/>
        <v>0</v>
      </c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114"/>
        <v>0</v>
      </c>
      <c r="F109" s="74"/>
      <c r="G109" s="55">
        <f t="shared" si="115"/>
        <v>0</v>
      </c>
      <c r="H109" s="57">
        <f t="shared" si="116"/>
        <v>0</v>
      </c>
      <c r="I109" s="57">
        <f t="shared" si="117"/>
        <v>0</v>
      </c>
      <c r="J109" s="74"/>
      <c r="K109" s="55">
        <f t="shared" si="118"/>
        <v>0</v>
      </c>
      <c r="L109" s="57">
        <f t="shared" si="119"/>
        <v>0</v>
      </c>
      <c r="M109" s="57">
        <f t="shared" si="120"/>
        <v>0</v>
      </c>
      <c r="N109" s="74"/>
      <c r="O109" s="55">
        <f t="shared" si="121"/>
        <v>0</v>
      </c>
      <c r="P109" s="57">
        <f t="shared" si="122"/>
        <v>0</v>
      </c>
      <c r="Q109" s="57">
        <f t="shared" si="123"/>
        <v>0</v>
      </c>
      <c r="R109" s="74"/>
      <c r="S109" s="55">
        <f t="shared" si="124"/>
        <v>0</v>
      </c>
      <c r="T109" s="57">
        <f t="shared" si="125"/>
        <v>0</v>
      </c>
      <c r="U109" s="57">
        <f t="shared" si="126"/>
        <v>0</v>
      </c>
      <c r="V109" s="59"/>
      <c r="W109" s="124">
        <f t="shared" si="127"/>
        <v>0</v>
      </c>
      <c r="X109" s="57">
        <f t="shared" si="128"/>
        <v>0</v>
      </c>
      <c r="Y109" s="84">
        <f t="shared" si="129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114"/>
        <v>0</v>
      </c>
      <c r="F110" s="74"/>
      <c r="G110" s="55">
        <f t="shared" si="115"/>
        <v>0</v>
      </c>
      <c r="H110" s="57">
        <f t="shared" si="116"/>
        <v>0</v>
      </c>
      <c r="I110" s="57">
        <f t="shared" si="117"/>
        <v>0</v>
      </c>
      <c r="J110" s="74"/>
      <c r="K110" s="55">
        <f t="shared" si="118"/>
        <v>0</v>
      </c>
      <c r="L110" s="57">
        <f t="shared" si="119"/>
        <v>0</v>
      </c>
      <c r="M110" s="57">
        <f t="shared" si="120"/>
        <v>0</v>
      </c>
      <c r="N110" s="74"/>
      <c r="O110" s="55">
        <f t="shared" si="121"/>
        <v>0</v>
      </c>
      <c r="P110" s="57">
        <f t="shared" si="122"/>
        <v>0</v>
      </c>
      <c r="Q110" s="57">
        <f t="shared" si="123"/>
        <v>0</v>
      </c>
      <c r="R110" s="74"/>
      <c r="S110" s="55">
        <f t="shared" si="124"/>
        <v>0</v>
      </c>
      <c r="T110" s="57">
        <f t="shared" si="125"/>
        <v>0</v>
      </c>
      <c r="U110" s="57">
        <f t="shared" si="126"/>
        <v>0</v>
      </c>
      <c r="V110" s="59"/>
      <c r="W110" s="124">
        <f t="shared" si="127"/>
        <v>0</v>
      </c>
      <c r="X110" s="57">
        <f t="shared" si="128"/>
        <v>0</v>
      </c>
      <c r="Y110" s="84">
        <f t="shared" si="129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114"/>
        <v>0</v>
      </c>
      <c r="F111" s="74"/>
      <c r="G111" s="55">
        <f t="shared" si="115"/>
        <v>0</v>
      </c>
      <c r="H111" s="57">
        <f t="shared" si="116"/>
        <v>0</v>
      </c>
      <c r="I111" s="57">
        <f t="shared" si="117"/>
        <v>0</v>
      </c>
      <c r="J111" s="74"/>
      <c r="K111" s="55">
        <f t="shared" si="118"/>
        <v>0</v>
      </c>
      <c r="L111" s="57">
        <f t="shared" si="119"/>
        <v>0</v>
      </c>
      <c r="M111" s="57">
        <f t="shared" si="120"/>
        <v>0</v>
      </c>
      <c r="N111" s="74"/>
      <c r="O111" s="55">
        <f t="shared" si="121"/>
        <v>0</v>
      </c>
      <c r="P111" s="57">
        <f t="shared" si="122"/>
        <v>0</v>
      </c>
      <c r="Q111" s="57">
        <f t="shared" si="123"/>
        <v>0</v>
      </c>
      <c r="R111" s="74"/>
      <c r="S111" s="55">
        <f t="shared" si="124"/>
        <v>0</v>
      </c>
      <c r="T111" s="57">
        <f t="shared" si="125"/>
        <v>0</v>
      </c>
      <c r="U111" s="57">
        <f t="shared" si="126"/>
        <v>0</v>
      </c>
      <c r="V111" s="59"/>
      <c r="W111" s="124">
        <f t="shared" si="127"/>
        <v>0</v>
      </c>
      <c r="X111" s="57">
        <f t="shared" si="128"/>
        <v>0</v>
      </c>
      <c r="Y111" s="84">
        <f t="shared" si="129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52500</v>
      </c>
      <c r="D112" s="125">
        <f>SUM(D101:D111)</f>
        <v>32500</v>
      </c>
      <c r="E112" s="125">
        <f>SUM(E101:E111)</f>
        <v>85000</v>
      </c>
      <c r="F112" s="81"/>
      <c r="G112" s="79">
        <f>SUM(G101:G111)</f>
        <v>54075</v>
      </c>
      <c r="H112" s="80">
        <f>SUM(H101:H111)</f>
        <v>33475</v>
      </c>
      <c r="I112" s="80">
        <f>SUM(I101:I111)</f>
        <v>87550</v>
      </c>
      <c r="J112" s="81"/>
      <c r="K112" s="79">
        <f>SUM(K101:K111)</f>
        <v>55697.25</v>
      </c>
      <c r="L112" s="80">
        <f>SUM(L101:L111)</f>
        <v>34479.25</v>
      </c>
      <c r="M112" s="80">
        <f>SUM(M101:M111)</f>
        <v>90176.5</v>
      </c>
      <c r="N112" s="81"/>
      <c r="O112" s="79">
        <f>SUM(O101:O111)</f>
        <v>57368.167500000003</v>
      </c>
      <c r="P112" s="80">
        <f>SUM(P101:P111)</f>
        <v>35513.627500000002</v>
      </c>
      <c r="Q112" s="80">
        <f>SUM(Q101:Q111)</f>
        <v>92881.795000000013</v>
      </c>
      <c r="R112" s="81"/>
      <c r="S112" s="79">
        <f>SUM(S101:S111)</f>
        <v>59089.212525000003</v>
      </c>
      <c r="T112" s="80">
        <f>SUM(T101:T111)</f>
        <v>36579.036325000001</v>
      </c>
      <c r="U112" s="80">
        <f>SUM(U101:U111)</f>
        <v>95668.248850000004</v>
      </c>
      <c r="V112" s="82"/>
      <c r="W112" s="228">
        <f t="shared" si="127"/>
        <v>278729.63002500002</v>
      </c>
      <c r="X112" s="80">
        <f t="shared" si="128"/>
        <v>172546.913825</v>
      </c>
      <c r="Y112" s="80">
        <f t="shared" si="129"/>
        <v>451276.54385000002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 t="shared" ref="C113:Y113" si="130">C112+C99</f>
        <v>65415.994166666664</v>
      </c>
      <c r="D113" s="101">
        <f t="shared" si="130"/>
        <v>32500</v>
      </c>
      <c r="E113" s="101">
        <f t="shared" si="130"/>
        <v>97915.994166666671</v>
      </c>
      <c r="F113" s="101">
        <f t="shared" si="130"/>
        <v>0</v>
      </c>
      <c r="G113" s="101">
        <f t="shared" si="130"/>
        <v>67378.473991666659</v>
      </c>
      <c r="H113" s="101">
        <f t="shared" si="130"/>
        <v>33475</v>
      </c>
      <c r="I113" s="101">
        <f t="shared" si="130"/>
        <v>100853.47399166666</v>
      </c>
      <c r="J113" s="101">
        <f t="shared" si="130"/>
        <v>0</v>
      </c>
      <c r="K113" s="101">
        <f t="shared" si="130"/>
        <v>69399.828211416665</v>
      </c>
      <c r="L113" s="101">
        <f t="shared" si="130"/>
        <v>34479.25</v>
      </c>
      <c r="M113" s="101">
        <f t="shared" si="130"/>
        <v>103879.07821141666</v>
      </c>
      <c r="N113" s="101">
        <f t="shared" si="130"/>
        <v>0</v>
      </c>
      <c r="O113" s="101">
        <f t="shared" si="130"/>
        <v>71481.823057759175</v>
      </c>
      <c r="P113" s="101">
        <f t="shared" si="130"/>
        <v>35513.627500000002</v>
      </c>
      <c r="Q113" s="101">
        <f t="shared" si="130"/>
        <v>106995.45055775918</v>
      </c>
      <c r="R113" s="101">
        <f t="shared" si="130"/>
        <v>0</v>
      </c>
      <c r="S113" s="101">
        <f t="shared" si="130"/>
        <v>73626.277749491943</v>
      </c>
      <c r="T113" s="101">
        <f t="shared" si="130"/>
        <v>36579.036325000001</v>
      </c>
      <c r="U113" s="101">
        <f t="shared" si="130"/>
        <v>110205.31407449195</v>
      </c>
      <c r="V113" s="101">
        <f t="shared" si="130"/>
        <v>0</v>
      </c>
      <c r="W113" s="101">
        <f t="shared" si="130"/>
        <v>347302.39717700111</v>
      </c>
      <c r="X113" s="101">
        <f t="shared" si="130"/>
        <v>172546.913825</v>
      </c>
      <c r="Y113" s="101">
        <f t="shared" si="130"/>
        <v>519849.31100200111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v>0</v>
      </c>
      <c r="D115" s="56">
        <v>0</v>
      </c>
      <c r="E115" s="56">
        <f t="shared" ref="E115:E121" si="131">SUM(C115:D115)</f>
        <v>0</v>
      </c>
      <c r="F115" s="58"/>
      <c r="G115" s="55">
        <v>0</v>
      </c>
      <c r="H115" s="57">
        <v>0</v>
      </c>
      <c r="I115" s="57">
        <f t="shared" ref="I115:I121" si="132">SUM(G115:H115)</f>
        <v>0</v>
      </c>
      <c r="J115" s="58"/>
      <c r="K115" s="55">
        <v>0</v>
      </c>
      <c r="L115" s="57">
        <v>0</v>
      </c>
      <c r="M115" s="57">
        <f t="shared" ref="M115:M121" si="133">SUM(K115:L115)</f>
        <v>0</v>
      </c>
      <c r="N115" s="58"/>
      <c r="O115" s="55">
        <v>0</v>
      </c>
      <c r="P115" s="57">
        <v>0</v>
      </c>
      <c r="Q115" s="57">
        <f t="shared" ref="Q115:Q121" si="134">SUM(O115:P115)</f>
        <v>0</v>
      </c>
      <c r="R115" s="58"/>
      <c r="S115" s="55">
        <v>0</v>
      </c>
      <c r="T115" s="57">
        <v>0</v>
      </c>
      <c r="U115" s="57">
        <f t="shared" ref="U115:U121" si="135">SUM(S115:T115)</f>
        <v>0</v>
      </c>
      <c r="V115" s="59"/>
      <c r="W115" s="124">
        <f t="shared" ref="W115:Y121" si="136">C115+G115+K115+O115+S115</f>
        <v>0</v>
      </c>
      <c r="X115" s="57">
        <v>0</v>
      </c>
      <c r="Y115" s="84">
        <f t="shared" ref="Y115" si="137">E115+I115+M115+Q115+U115</f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customFormat="1" ht="12.75" customHeight="1" x14ac:dyDescent="0.25">
      <c r="A116" s="300">
        <v>0.27750000000000002</v>
      </c>
      <c r="B116" s="292" t="s">
        <v>268</v>
      </c>
      <c r="C116" s="293">
        <f>C92*$A$116</f>
        <v>3584.18838125</v>
      </c>
      <c r="D116" s="294"/>
      <c r="E116" s="294">
        <f t="shared" si="131"/>
        <v>3584.18838125</v>
      </c>
      <c r="F116" s="295"/>
      <c r="G116" s="293">
        <f>G92*$A$116</f>
        <v>3691.7140326875001</v>
      </c>
      <c r="H116" s="294"/>
      <c r="I116" s="294">
        <f t="shared" si="132"/>
        <v>3691.7140326875001</v>
      </c>
      <c r="J116" s="295"/>
      <c r="K116" s="293">
        <f>K92*$A$116</f>
        <v>3802.4654536681255</v>
      </c>
      <c r="L116" s="294"/>
      <c r="M116" s="294">
        <f t="shared" si="133"/>
        <v>3802.4654536681255</v>
      </c>
      <c r="N116" s="295"/>
      <c r="O116" s="293">
        <f>O92*$A$116</f>
        <v>3916.5394172781694</v>
      </c>
      <c r="P116" s="294"/>
      <c r="Q116" s="294">
        <f t="shared" si="134"/>
        <v>3916.5394172781694</v>
      </c>
      <c r="R116" s="295"/>
      <c r="S116" s="293">
        <f>S92*$A$116</f>
        <v>4034.0355997965148</v>
      </c>
      <c r="T116" s="294"/>
      <c r="U116" s="294">
        <f t="shared" si="135"/>
        <v>4034.0355997965148</v>
      </c>
      <c r="V116" s="296"/>
      <c r="W116" s="293">
        <f t="shared" si="136"/>
        <v>19028.942884680309</v>
      </c>
      <c r="X116" s="294">
        <f t="shared" si="136"/>
        <v>0</v>
      </c>
      <c r="Y116" s="294">
        <f t="shared" si="136"/>
        <v>19028.942884680309</v>
      </c>
      <c r="Z116" s="292"/>
      <c r="AA116" s="292"/>
      <c r="AB116" s="292"/>
      <c r="AC116" s="292"/>
      <c r="AD116" s="292"/>
      <c r="AE116" s="292"/>
      <c r="AF116" s="292"/>
      <c r="AG116" s="292"/>
      <c r="AH116" s="292"/>
      <c r="AI116" s="292"/>
      <c r="AJ116" s="292"/>
      <c r="AK116" s="292"/>
      <c r="AL116" s="292"/>
      <c r="AM116" s="292"/>
      <c r="AN116" s="292"/>
      <c r="AO116" s="292"/>
      <c r="AP116" s="292"/>
      <c r="AQ116" s="292"/>
      <c r="AR116" s="292"/>
      <c r="AS116" s="292"/>
      <c r="AT116" s="292"/>
    </row>
    <row r="117" spans="1:77" customFormat="1" ht="12.75" customHeight="1" x14ac:dyDescent="0.25">
      <c r="A117" s="300">
        <v>0.30320000000000003</v>
      </c>
      <c r="B117" s="292" t="s">
        <v>269</v>
      </c>
      <c r="C117" s="293">
        <f>C101*A117</f>
        <v>6064.0000000000009</v>
      </c>
      <c r="D117" s="294"/>
      <c r="E117" s="294">
        <f t="shared" si="131"/>
        <v>6064.0000000000009</v>
      </c>
      <c r="F117" s="295"/>
      <c r="G117" s="293">
        <f>G101*A117</f>
        <v>6245.92</v>
      </c>
      <c r="H117" s="294"/>
      <c r="I117" s="294">
        <f t="shared" si="132"/>
        <v>6245.92</v>
      </c>
      <c r="J117" s="295"/>
      <c r="K117" s="293">
        <f>K101*A117</f>
        <v>6433.2976000000008</v>
      </c>
      <c r="L117" s="294"/>
      <c r="M117" s="294">
        <f t="shared" si="133"/>
        <v>6433.2976000000008</v>
      </c>
      <c r="N117" s="295"/>
      <c r="O117" s="293">
        <f>O101*A117</f>
        <v>6626.2965280000008</v>
      </c>
      <c r="P117" s="294"/>
      <c r="Q117" s="294">
        <f t="shared" si="134"/>
        <v>6626.2965280000008</v>
      </c>
      <c r="R117" s="295"/>
      <c r="S117" s="293">
        <f>S101*A117</f>
        <v>6825.0854238400007</v>
      </c>
      <c r="T117" s="294"/>
      <c r="U117" s="294">
        <f t="shared" si="135"/>
        <v>6825.0854238400007</v>
      </c>
      <c r="V117" s="296"/>
      <c r="W117" s="293">
        <f t="shared" si="136"/>
        <v>32194.599551840001</v>
      </c>
      <c r="X117" s="294">
        <f t="shared" si="136"/>
        <v>0</v>
      </c>
      <c r="Y117" s="294">
        <f t="shared" si="136"/>
        <v>32194.599551840001</v>
      </c>
      <c r="Z117" s="292"/>
      <c r="AA117" s="292"/>
      <c r="AB117" s="292"/>
      <c r="AC117" s="292"/>
      <c r="AD117" s="292"/>
      <c r="AE117" s="292"/>
      <c r="AF117" s="292"/>
      <c r="AG117" s="292"/>
      <c r="AH117" s="292"/>
      <c r="AI117" s="292"/>
      <c r="AJ117" s="292"/>
      <c r="AK117" s="292"/>
      <c r="AL117" s="292"/>
      <c r="AM117" s="292"/>
      <c r="AN117" s="292"/>
      <c r="AO117" s="292"/>
      <c r="AP117" s="292"/>
      <c r="AQ117" s="292"/>
      <c r="AR117" s="292"/>
      <c r="AS117" s="292"/>
      <c r="AT117" s="292"/>
    </row>
    <row r="118" spans="1:77" customFormat="1" ht="12.75" customHeight="1" x14ac:dyDescent="0.25">
      <c r="A118" s="300">
        <v>0.36549999999999999</v>
      </c>
      <c r="B118" s="292" t="s">
        <v>270</v>
      </c>
      <c r="C118" s="293">
        <f>C102*$A$118</f>
        <v>11878.75</v>
      </c>
      <c r="D118" s="294">
        <f>D102*$A$118</f>
        <v>11878.75</v>
      </c>
      <c r="E118" s="294">
        <f t="shared" si="131"/>
        <v>23757.5</v>
      </c>
      <c r="F118" s="295"/>
      <c r="G118" s="293">
        <f>G102*$A$118</f>
        <v>12235.112499999999</v>
      </c>
      <c r="H118" s="294">
        <f>H102*$A$118</f>
        <v>12235.112499999999</v>
      </c>
      <c r="I118" s="294">
        <f t="shared" si="132"/>
        <v>24470.224999999999</v>
      </c>
      <c r="J118" s="295"/>
      <c r="K118" s="293">
        <f>K102*$A$118</f>
        <v>12602.165875000001</v>
      </c>
      <c r="L118" s="294">
        <f>L102*$A$118</f>
        <v>12602.165875000001</v>
      </c>
      <c r="M118" s="294">
        <f t="shared" si="133"/>
        <v>25204.331750000001</v>
      </c>
      <c r="N118" s="295"/>
      <c r="O118" s="293">
        <f>O102*$A$118</f>
        <v>12980.23085125</v>
      </c>
      <c r="P118" s="294">
        <f>P102*$A$118</f>
        <v>12980.23085125</v>
      </c>
      <c r="Q118" s="294">
        <f t="shared" si="134"/>
        <v>25960.461702500001</v>
      </c>
      <c r="R118" s="295"/>
      <c r="S118" s="293">
        <f>S102*$A$118</f>
        <v>13369.6377767875</v>
      </c>
      <c r="T118" s="294">
        <f>T102*$A$118</f>
        <v>13369.6377767875</v>
      </c>
      <c r="U118" s="294">
        <f t="shared" si="135"/>
        <v>26739.275553575</v>
      </c>
      <c r="V118" s="296"/>
      <c r="W118" s="293">
        <f t="shared" si="136"/>
        <v>63065.897003037506</v>
      </c>
      <c r="X118" s="294">
        <f t="shared" si="136"/>
        <v>63065.897003037506</v>
      </c>
      <c r="Y118" s="294">
        <f t="shared" si="136"/>
        <v>126131.79400607501</v>
      </c>
      <c r="Z118" s="292"/>
      <c r="AA118" s="292"/>
      <c r="AB118" s="292"/>
      <c r="AC118" s="292"/>
      <c r="AD118" s="292"/>
      <c r="AE118" s="292"/>
      <c r="AF118" s="292"/>
      <c r="AG118" s="292"/>
      <c r="AH118" s="292"/>
      <c r="AI118" s="292"/>
      <c r="AJ118" s="292"/>
      <c r="AK118" s="292"/>
      <c r="AL118" s="292"/>
      <c r="AM118" s="292"/>
      <c r="AN118" s="292"/>
      <c r="AO118" s="292"/>
      <c r="AP118" s="292"/>
      <c r="AQ118" s="292"/>
      <c r="AR118" s="292"/>
      <c r="AS118" s="292"/>
      <c r="AT118" s="292"/>
    </row>
    <row r="119" spans="1:77" customFormat="1" ht="12.75" customHeight="1" x14ac:dyDescent="0.25">
      <c r="A119" s="300"/>
      <c r="B119" s="292"/>
      <c r="C119" s="293"/>
      <c r="D119" s="294"/>
      <c r="E119" s="294">
        <f t="shared" si="131"/>
        <v>0</v>
      </c>
      <c r="F119" s="295"/>
      <c r="G119" s="293"/>
      <c r="H119" s="294"/>
      <c r="I119" s="294">
        <f t="shared" si="132"/>
        <v>0</v>
      </c>
      <c r="J119" s="295"/>
      <c r="K119" s="301"/>
      <c r="L119" s="314"/>
      <c r="M119" s="314">
        <f t="shared" si="133"/>
        <v>0</v>
      </c>
      <c r="N119" s="315"/>
      <c r="O119" s="301"/>
      <c r="P119" s="314"/>
      <c r="Q119" s="314">
        <f t="shared" si="134"/>
        <v>0</v>
      </c>
      <c r="R119" s="315"/>
      <c r="S119" s="301"/>
      <c r="T119" s="314"/>
      <c r="U119" s="294">
        <f t="shared" si="135"/>
        <v>0</v>
      </c>
      <c r="V119" s="296"/>
      <c r="W119" s="293">
        <f t="shared" si="136"/>
        <v>0</v>
      </c>
      <c r="X119" s="294">
        <f t="shared" si="136"/>
        <v>0</v>
      </c>
      <c r="Y119" s="294">
        <f t="shared" si="136"/>
        <v>0</v>
      </c>
      <c r="Z119" s="292"/>
      <c r="AA119" s="292"/>
      <c r="AB119" s="292"/>
      <c r="AC119" s="292"/>
      <c r="AD119" s="292"/>
      <c r="AE119" s="292"/>
      <c r="AF119" s="292"/>
      <c r="AG119" s="292"/>
      <c r="AH119" s="292"/>
      <c r="AI119" s="292"/>
      <c r="AJ119" s="292"/>
      <c r="AK119" s="292"/>
      <c r="AL119" s="292"/>
      <c r="AM119" s="292"/>
      <c r="AN119" s="292"/>
      <c r="AO119" s="292"/>
      <c r="AP119" s="292"/>
      <c r="AQ119" s="292"/>
      <c r="AR119" s="292"/>
      <c r="AS119" s="292"/>
      <c r="AT119" s="292"/>
    </row>
    <row r="120" spans="1:77" customFormat="1" ht="12.75" customHeight="1" x14ac:dyDescent="0.25">
      <c r="A120" s="300"/>
      <c r="B120" s="292"/>
      <c r="C120" s="301"/>
      <c r="D120" s="314"/>
      <c r="E120" s="294">
        <f t="shared" si="131"/>
        <v>0</v>
      </c>
      <c r="F120" s="295"/>
      <c r="G120" s="301"/>
      <c r="H120" s="314"/>
      <c r="I120" s="294">
        <f t="shared" si="132"/>
        <v>0</v>
      </c>
      <c r="J120" s="295"/>
      <c r="K120" s="301"/>
      <c r="L120" s="314"/>
      <c r="M120" s="314">
        <f t="shared" si="133"/>
        <v>0</v>
      </c>
      <c r="N120" s="315"/>
      <c r="O120" s="301"/>
      <c r="P120" s="314"/>
      <c r="Q120" s="314">
        <f t="shared" si="134"/>
        <v>0</v>
      </c>
      <c r="R120" s="315"/>
      <c r="S120" s="301"/>
      <c r="T120" s="314"/>
      <c r="U120" s="294">
        <f t="shared" si="135"/>
        <v>0</v>
      </c>
      <c r="V120" s="296"/>
      <c r="W120" s="293">
        <f t="shared" si="136"/>
        <v>0</v>
      </c>
      <c r="X120" s="294">
        <f t="shared" si="136"/>
        <v>0</v>
      </c>
      <c r="Y120" s="294">
        <f t="shared" si="136"/>
        <v>0</v>
      </c>
      <c r="Z120" s="292"/>
      <c r="AA120" s="292"/>
      <c r="AB120" s="292"/>
      <c r="AC120" s="292"/>
      <c r="AD120" s="292"/>
      <c r="AE120" s="292"/>
      <c r="AF120" s="292"/>
      <c r="AG120" s="292"/>
      <c r="AH120" s="292"/>
      <c r="AI120" s="292"/>
      <c r="AJ120" s="292"/>
      <c r="AK120" s="292"/>
      <c r="AL120" s="292"/>
      <c r="AM120" s="292"/>
      <c r="AN120" s="292"/>
      <c r="AO120" s="292"/>
      <c r="AP120" s="292"/>
      <c r="AQ120" s="292"/>
      <c r="AR120" s="292"/>
      <c r="AS120" s="292"/>
      <c r="AT120" s="292"/>
    </row>
    <row r="121" spans="1:77" customFormat="1" ht="12.75" customHeight="1" x14ac:dyDescent="0.25">
      <c r="A121" s="310"/>
      <c r="B121" s="292"/>
      <c r="C121" s="293"/>
      <c r="D121" s="294"/>
      <c r="E121" s="294">
        <f t="shared" si="131"/>
        <v>0</v>
      </c>
      <c r="F121" s="295"/>
      <c r="G121" s="293"/>
      <c r="H121" s="294"/>
      <c r="I121" s="294">
        <f t="shared" si="132"/>
        <v>0</v>
      </c>
      <c r="J121" s="295"/>
      <c r="K121" s="293"/>
      <c r="L121" s="294"/>
      <c r="M121" s="294">
        <f t="shared" si="133"/>
        <v>0</v>
      </c>
      <c r="N121" s="295"/>
      <c r="O121" s="293"/>
      <c r="P121" s="294"/>
      <c r="Q121" s="294">
        <f t="shared" si="134"/>
        <v>0</v>
      </c>
      <c r="R121" s="295"/>
      <c r="S121" s="293"/>
      <c r="T121" s="294"/>
      <c r="U121" s="294">
        <f t="shared" si="135"/>
        <v>0</v>
      </c>
      <c r="V121" s="296"/>
      <c r="W121" s="293">
        <f t="shared" si="136"/>
        <v>0</v>
      </c>
      <c r="X121" s="294">
        <f t="shared" si="136"/>
        <v>0</v>
      </c>
      <c r="Y121" s="294">
        <f t="shared" si="136"/>
        <v>0</v>
      </c>
      <c r="Z121" s="292"/>
      <c r="AA121" s="292"/>
      <c r="AB121" s="292"/>
      <c r="AC121" s="292"/>
      <c r="AD121" s="292"/>
      <c r="AE121" s="292"/>
      <c r="AF121" s="292"/>
      <c r="AG121" s="292"/>
      <c r="AH121" s="292"/>
      <c r="AI121" s="292"/>
      <c r="AJ121" s="292"/>
      <c r="AK121" s="292"/>
      <c r="AL121" s="292"/>
      <c r="AM121" s="292"/>
      <c r="AN121" s="292"/>
      <c r="AO121" s="292"/>
      <c r="AP121" s="292"/>
      <c r="AQ121" s="292"/>
      <c r="AR121" s="292"/>
      <c r="AS121" s="292"/>
      <c r="AT121" s="292"/>
    </row>
    <row r="122" spans="1:77" customFormat="1" ht="12.75" customHeight="1" x14ac:dyDescent="0.25">
      <c r="A122" s="310"/>
      <c r="B122" s="292"/>
      <c r="C122" s="293"/>
      <c r="D122" s="294"/>
      <c r="E122" s="294"/>
      <c r="F122" s="295"/>
      <c r="G122" s="293"/>
      <c r="H122" s="294"/>
      <c r="I122" s="294"/>
      <c r="J122" s="295"/>
      <c r="K122" s="293"/>
      <c r="L122" s="294"/>
      <c r="M122" s="294"/>
      <c r="N122" s="295"/>
      <c r="O122" s="293"/>
      <c r="P122" s="294"/>
      <c r="Q122" s="294"/>
      <c r="R122" s="295"/>
      <c r="S122" s="293"/>
      <c r="T122" s="294"/>
      <c r="U122" s="294"/>
      <c r="V122" s="296"/>
      <c r="W122" s="293"/>
      <c r="X122" s="294"/>
      <c r="Y122" s="294"/>
      <c r="Z122" s="292"/>
      <c r="AA122" s="292"/>
      <c r="AB122" s="292"/>
      <c r="AC122" s="292"/>
      <c r="AD122" s="292"/>
      <c r="AE122" s="292"/>
      <c r="AF122" s="292"/>
      <c r="AG122" s="292"/>
      <c r="AH122" s="292"/>
      <c r="AI122" s="292"/>
      <c r="AJ122" s="292"/>
      <c r="AK122" s="292"/>
      <c r="AL122" s="292"/>
      <c r="AM122" s="292"/>
      <c r="AN122" s="292"/>
      <c r="AO122" s="292"/>
      <c r="AP122" s="292"/>
      <c r="AQ122" s="292"/>
      <c r="AR122" s="292"/>
      <c r="AS122" s="292"/>
      <c r="AT122" s="292"/>
    </row>
    <row r="123" spans="1:77" s="61" customFormat="1" x14ac:dyDescent="0.25">
      <c r="A123" s="51"/>
      <c r="B123" s="52"/>
      <c r="C123" s="124"/>
      <c r="D123" s="56"/>
      <c r="E123" s="56"/>
      <c r="F123" s="58"/>
      <c r="G123" s="55"/>
      <c r="H123" s="57"/>
      <c r="I123" s="57"/>
      <c r="J123" s="58"/>
      <c r="K123" s="55"/>
      <c r="L123" s="57"/>
      <c r="M123" s="57"/>
      <c r="N123" s="58"/>
      <c r="O123" s="55"/>
      <c r="P123" s="57"/>
      <c r="Q123" s="57"/>
      <c r="R123" s="58"/>
      <c r="S123" s="55"/>
      <c r="T123" s="57"/>
      <c r="U123" s="57"/>
      <c r="V123" s="59"/>
      <c r="W123" s="124"/>
      <c r="X123" s="57"/>
      <c r="Y123" s="8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21526.938381250002</v>
      </c>
      <c r="D124" s="125">
        <f>SUM(D115:D123)</f>
        <v>11878.75</v>
      </c>
      <c r="E124" s="125">
        <f>SUM(E115:E123)</f>
        <v>33405.688381250002</v>
      </c>
      <c r="F124" s="81"/>
      <c r="G124" s="79">
        <f>SUM(G115:G123)</f>
        <v>22172.746532687499</v>
      </c>
      <c r="H124" s="80">
        <f>SUM(H115:H123)</f>
        <v>12235.112499999999</v>
      </c>
      <c r="I124" s="80">
        <f>SUM(I115:I123)</f>
        <v>34407.859032687498</v>
      </c>
      <c r="J124" s="81"/>
      <c r="K124" s="79">
        <f>SUM(K115:K123)</f>
        <v>22837.928928668127</v>
      </c>
      <c r="L124" s="80">
        <f>SUM(L115:L123)</f>
        <v>12602.165875000001</v>
      </c>
      <c r="M124" s="80">
        <f>SUM(M115:M123)</f>
        <v>35440.094803668129</v>
      </c>
      <c r="N124" s="81"/>
      <c r="O124" s="79">
        <f>SUM(O115:O123)</f>
        <v>23523.066796528168</v>
      </c>
      <c r="P124" s="80">
        <f>SUM(P115:P123)</f>
        <v>12980.23085125</v>
      </c>
      <c r="Q124" s="80">
        <f>SUM(Q115:Q123)</f>
        <v>36503.29764777817</v>
      </c>
      <c r="R124" s="81"/>
      <c r="S124" s="79">
        <f>SUM(S115:S123)</f>
        <v>24228.758800424017</v>
      </c>
      <c r="T124" s="80">
        <f>SUM(T115:T123)</f>
        <v>13369.6377767875</v>
      </c>
      <c r="U124" s="80">
        <f>SUM(U115:U123)</f>
        <v>37598.396577211519</v>
      </c>
      <c r="V124" s="82"/>
      <c r="W124" s="228">
        <f>C124+G124+K124+O124+S124</f>
        <v>114289.43943955781</v>
      </c>
      <c r="X124" s="80">
        <f>D124+H124+L124+P124+T124</f>
        <v>63065.897003037506</v>
      </c>
      <c r="Y124" s="84">
        <f>E124+I124+M124+Q124+U124</f>
        <v>177355.33644259535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138">C124+C113</f>
        <v>86942.932547916658</v>
      </c>
      <c r="D125" s="101">
        <f t="shared" si="138"/>
        <v>44378.75</v>
      </c>
      <c r="E125" s="101">
        <f t="shared" si="138"/>
        <v>131321.68254791666</v>
      </c>
      <c r="F125" s="101">
        <f t="shared" si="138"/>
        <v>0</v>
      </c>
      <c r="G125" s="101">
        <f t="shared" si="138"/>
        <v>89551.220524354154</v>
      </c>
      <c r="H125" s="101">
        <f t="shared" si="138"/>
        <v>45710.112500000003</v>
      </c>
      <c r="I125" s="101">
        <f t="shared" si="138"/>
        <v>135261.33302435416</v>
      </c>
      <c r="J125" s="101">
        <f t="shared" si="138"/>
        <v>0</v>
      </c>
      <c r="K125" s="101">
        <f t="shared" si="138"/>
        <v>92237.757140084796</v>
      </c>
      <c r="L125" s="101">
        <f t="shared" si="138"/>
        <v>47081.415874999999</v>
      </c>
      <c r="M125" s="101">
        <f t="shared" si="138"/>
        <v>139319.17301508479</v>
      </c>
      <c r="N125" s="101">
        <f t="shared" si="138"/>
        <v>0</v>
      </c>
      <c r="O125" s="101">
        <f t="shared" si="138"/>
        <v>95004.88985428735</v>
      </c>
      <c r="P125" s="101">
        <f t="shared" si="138"/>
        <v>48493.858351250004</v>
      </c>
      <c r="Q125" s="101">
        <f t="shared" si="138"/>
        <v>143498.74820553735</v>
      </c>
      <c r="R125" s="101">
        <f t="shared" si="138"/>
        <v>0</v>
      </c>
      <c r="S125" s="101">
        <f t="shared" si="138"/>
        <v>97855.036549915967</v>
      </c>
      <c r="T125" s="101">
        <f t="shared" si="138"/>
        <v>49948.674101787503</v>
      </c>
      <c r="U125" s="101">
        <f t="shared" si="138"/>
        <v>147803.71065170347</v>
      </c>
      <c r="V125" s="101">
        <f t="shared" si="138"/>
        <v>0</v>
      </c>
      <c r="W125" s="101">
        <f t="shared" si="138"/>
        <v>461591.83661655895</v>
      </c>
      <c r="X125" s="101">
        <f t="shared" si="138"/>
        <v>235612.8108280375</v>
      </c>
      <c r="Y125" s="101">
        <f t="shared" si="138"/>
        <v>697204.64744459651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x14ac:dyDescent="0.25">
      <c r="A127" s="52"/>
      <c r="B127" s="52"/>
      <c r="C127" s="124">
        <v>0</v>
      </c>
      <c r="D127" s="56">
        <v>0</v>
      </c>
      <c r="E127" s="56">
        <f t="shared" ref="E127:E140" si="139">SUM(C127:D127)</f>
        <v>0</v>
      </c>
      <c r="F127" s="58"/>
      <c r="G127" s="55">
        <v>0</v>
      </c>
      <c r="H127" s="57">
        <v>0</v>
      </c>
      <c r="I127" s="57">
        <f t="shared" ref="I127:I140" si="140">SUM(G127:H127)</f>
        <v>0</v>
      </c>
      <c r="J127" s="58"/>
      <c r="K127" s="55">
        <v>0</v>
      </c>
      <c r="L127" s="57">
        <v>0</v>
      </c>
      <c r="M127" s="57">
        <f t="shared" ref="M127:M140" si="141">SUM(K127:L127)</f>
        <v>0</v>
      </c>
      <c r="N127" s="58"/>
      <c r="O127" s="55">
        <v>0</v>
      </c>
      <c r="P127" s="57">
        <v>0</v>
      </c>
      <c r="Q127" s="57">
        <f t="shared" ref="Q127:Q140" si="142">SUM(O127:P127)</f>
        <v>0</v>
      </c>
      <c r="R127" s="58"/>
      <c r="S127" s="55">
        <v>0</v>
      </c>
      <c r="T127" s="57">
        <v>0</v>
      </c>
      <c r="U127" s="57">
        <f t="shared" ref="U127:U140" si="143">SUM(S127:T127)</f>
        <v>0</v>
      </c>
      <c r="V127" s="59"/>
      <c r="W127" s="124">
        <f t="shared" ref="W127:W141" si="144">C127+G127+K127+O127+S127</f>
        <v>0</v>
      </c>
      <c r="X127" s="57">
        <f t="shared" ref="X127:X141" si="145">D127+H127+L127+P127+T127</f>
        <v>0</v>
      </c>
      <c r="Y127" s="84">
        <f t="shared" ref="Y127:Y141" si="146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x14ac:dyDescent="0.25">
      <c r="A128" s="52"/>
      <c r="B128" s="52"/>
      <c r="C128" s="124">
        <v>0</v>
      </c>
      <c r="D128" s="56">
        <v>0</v>
      </c>
      <c r="E128" s="56">
        <f t="shared" si="139"/>
        <v>0</v>
      </c>
      <c r="F128" s="58"/>
      <c r="G128" s="55">
        <v>0</v>
      </c>
      <c r="H128" s="57">
        <v>0</v>
      </c>
      <c r="I128" s="57">
        <f t="shared" si="140"/>
        <v>0</v>
      </c>
      <c r="J128" s="58"/>
      <c r="K128" s="55">
        <v>0</v>
      </c>
      <c r="L128" s="57">
        <v>0</v>
      </c>
      <c r="M128" s="57">
        <f t="shared" si="141"/>
        <v>0</v>
      </c>
      <c r="N128" s="58"/>
      <c r="O128" s="55">
        <v>0</v>
      </c>
      <c r="P128" s="57">
        <v>0</v>
      </c>
      <c r="Q128" s="57">
        <f t="shared" si="142"/>
        <v>0</v>
      </c>
      <c r="R128" s="58"/>
      <c r="S128" s="55">
        <v>0</v>
      </c>
      <c r="T128" s="57">
        <v>0</v>
      </c>
      <c r="U128" s="57">
        <f t="shared" si="143"/>
        <v>0</v>
      </c>
      <c r="V128" s="59"/>
      <c r="W128" s="124">
        <f t="shared" si="144"/>
        <v>0</v>
      </c>
      <c r="X128" s="57">
        <f t="shared" si="145"/>
        <v>0</v>
      </c>
      <c r="Y128" s="84">
        <f t="shared" si="146"/>
        <v>0</v>
      </c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</row>
    <row r="129" spans="1:77" s="61" customFormat="1" x14ac:dyDescent="0.25">
      <c r="A129" s="52"/>
      <c r="B129" s="52"/>
      <c r="C129" s="124">
        <v>0</v>
      </c>
      <c r="D129" s="56">
        <v>0</v>
      </c>
      <c r="E129" s="56">
        <f t="shared" si="139"/>
        <v>0</v>
      </c>
      <c r="F129" s="58"/>
      <c r="G129" s="55">
        <v>0</v>
      </c>
      <c r="H129" s="57">
        <v>0</v>
      </c>
      <c r="I129" s="57">
        <f t="shared" si="140"/>
        <v>0</v>
      </c>
      <c r="J129" s="58"/>
      <c r="K129" s="55">
        <v>0</v>
      </c>
      <c r="L129" s="57">
        <v>0</v>
      </c>
      <c r="M129" s="57">
        <f t="shared" si="141"/>
        <v>0</v>
      </c>
      <c r="N129" s="58"/>
      <c r="O129" s="55">
        <v>0</v>
      </c>
      <c r="P129" s="57">
        <v>0</v>
      </c>
      <c r="Q129" s="57">
        <f t="shared" si="142"/>
        <v>0</v>
      </c>
      <c r="R129" s="58"/>
      <c r="S129" s="55">
        <v>0</v>
      </c>
      <c r="T129" s="57">
        <v>0</v>
      </c>
      <c r="U129" s="57">
        <f t="shared" si="143"/>
        <v>0</v>
      </c>
      <c r="V129" s="59"/>
      <c r="W129" s="124">
        <f t="shared" si="144"/>
        <v>0</v>
      </c>
      <c r="X129" s="57">
        <f t="shared" si="145"/>
        <v>0</v>
      </c>
      <c r="Y129" s="84">
        <f t="shared" si="146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139"/>
        <v>0</v>
      </c>
      <c r="F130" s="58"/>
      <c r="G130" s="55">
        <v>0</v>
      </c>
      <c r="H130" s="57">
        <v>0</v>
      </c>
      <c r="I130" s="57">
        <f t="shared" si="140"/>
        <v>0</v>
      </c>
      <c r="J130" s="58"/>
      <c r="K130" s="55">
        <v>0</v>
      </c>
      <c r="L130" s="57">
        <v>0</v>
      </c>
      <c r="M130" s="57">
        <f t="shared" si="141"/>
        <v>0</v>
      </c>
      <c r="N130" s="58"/>
      <c r="O130" s="55">
        <v>0</v>
      </c>
      <c r="P130" s="57">
        <v>0</v>
      </c>
      <c r="Q130" s="57">
        <f t="shared" si="142"/>
        <v>0</v>
      </c>
      <c r="R130" s="58"/>
      <c r="S130" s="55">
        <v>0</v>
      </c>
      <c r="T130" s="57">
        <v>0</v>
      </c>
      <c r="U130" s="57">
        <f t="shared" si="143"/>
        <v>0</v>
      </c>
      <c r="V130" s="59"/>
      <c r="W130" s="124">
        <f t="shared" si="144"/>
        <v>0</v>
      </c>
      <c r="X130" s="57">
        <f t="shared" si="145"/>
        <v>0</v>
      </c>
      <c r="Y130" s="84">
        <f t="shared" si="146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139"/>
        <v>0</v>
      </c>
      <c r="F131" s="58"/>
      <c r="G131" s="55">
        <v>0</v>
      </c>
      <c r="H131" s="57">
        <v>0</v>
      </c>
      <c r="I131" s="57">
        <f t="shared" si="140"/>
        <v>0</v>
      </c>
      <c r="J131" s="58"/>
      <c r="K131" s="55">
        <v>0</v>
      </c>
      <c r="L131" s="57">
        <v>0</v>
      </c>
      <c r="M131" s="57">
        <f t="shared" si="141"/>
        <v>0</v>
      </c>
      <c r="N131" s="58"/>
      <c r="O131" s="55">
        <v>0</v>
      </c>
      <c r="P131" s="57">
        <v>0</v>
      </c>
      <c r="Q131" s="57">
        <f t="shared" si="142"/>
        <v>0</v>
      </c>
      <c r="R131" s="58"/>
      <c r="S131" s="55">
        <v>0</v>
      </c>
      <c r="T131" s="57">
        <v>0</v>
      </c>
      <c r="U131" s="57">
        <f t="shared" si="143"/>
        <v>0</v>
      </c>
      <c r="V131" s="59"/>
      <c r="W131" s="124">
        <f t="shared" si="144"/>
        <v>0</v>
      </c>
      <c r="X131" s="57">
        <f t="shared" si="145"/>
        <v>0</v>
      </c>
      <c r="Y131" s="84">
        <f t="shared" si="146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139"/>
        <v>0</v>
      </c>
      <c r="F132" s="58"/>
      <c r="G132" s="55">
        <v>0</v>
      </c>
      <c r="H132" s="57">
        <v>0</v>
      </c>
      <c r="I132" s="57">
        <f t="shared" si="140"/>
        <v>0</v>
      </c>
      <c r="J132" s="58"/>
      <c r="K132" s="55">
        <v>0</v>
      </c>
      <c r="L132" s="57">
        <v>0</v>
      </c>
      <c r="M132" s="57">
        <f t="shared" si="141"/>
        <v>0</v>
      </c>
      <c r="N132" s="58"/>
      <c r="O132" s="55">
        <v>0</v>
      </c>
      <c r="P132" s="57">
        <v>0</v>
      </c>
      <c r="Q132" s="57">
        <f t="shared" si="142"/>
        <v>0</v>
      </c>
      <c r="R132" s="58"/>
      <c r="S132" s="55">
        <v>0</v>
      </c>
      <c r="T132" s="57">
        <v>0</v>
      </c>
      <c r="U132" s="57">
        <f t="shared" si="143"/>
        <v>0</v>
      </c>
      <c r="V132" s="59"/>
      <c r="W132" s="124">
        <f t="shared" si="144"/>
        <v>0</v>
      </c>
      <c r="X132" s="57">
        <f t="shared" si="145"/>
        <v>0</v>
      </c>
      <c r="Y132" s="84">
        <f t="shared" si="146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139"/>
        <v>0</v>
      </c>
      <c r="F133" s="58"/>
      <c r="G133" s="55">
        <v>0</v>
      </c>
      <c r="H133" s="57">
        <v>0</v>
      </c>
      <c r="I133" s="57">
        <f t="shared" si="140"/>
        <v>0</v>
      </c>
      <c r="J133" s="58"/>
      <c r="K133" s="55">
        <v>0</v>
      </c>
      <c r="L133" s="57">
        <v>0</v>
      </c>
      <c r="M133" s="57">
        <f t="shared" si="141"/>
        <v>0</v>
      </c>
      <c r="N133" s="58"/>
      <c r="O133" s="55">
        <v>0</v>
      </c>
      <c r="P133" s="57">
        <v>0</v>
      </c>
      <c r="Q133" s="57">
        <f t="shared" si="142"/>
        <v>0</v>
      </c>
      <c r="R133" s="58"/>
      <c r="S133" s="55">
        <v>0</v>
      </c>
      <c r="T133" s="57">
        <v>0</v>
      </c>
      <c r="U133" s="57">
        <f t="shared" si="143"/>
        <v>0</v>
      </c>
      <c r="V133" s="59"/>
      <c r="W133" s="124">
        <f t="shared" si="144"/>
        <v>0</v>
      </c>
      <c r="X133" s="57">
        <f t="shared" si="145"/>
        <v>0</v>
      </c>
      <c r="Y133" s="84">
        <f t="shared" si="146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139"/>
        <v>0</v>
      </c>
      <c r="F134" s="58"/>
      <c r="G134" s="55">
        <v>0</v>
      </c>
      <c r="H134" s="57">
        <v>0</v>
      </c>
      <c r="I134" s="57">
        <f t="shared" si="140"/>
        <v>0</v>
      </c>
      <c r="J134" s="58"/>
      <c r="K134" s="55">
        <v>0</v>
      </c>
      <c r="L134" s="57">
        <v>0</v>
      </c>
      <c r="M134" s="57">
        <f t="shared" si="141"/>
        <v>0</v>
      </c>
      <c r="N134" s="58"/>
      <c r="O134" s="55">
        <v>0</v>
      </c>
      <c r="P134" s="57">
        <v>0</v>
      </c>
      <c r="Q134" s="57">
        <f t="shared" si="142"/>
        <v>0</v>
      </c>
      <c r="R134" s="58"/>
      <c r="S134" s="55">
        <v>0</v>
      </c>
      <c r="T134" s="57">
        <v>0</v>
      </c>
      <c r="U134" s="57">
        <f t="shared" si="143"/>
        <v>0</v>
      </c>
      <c r="V134" s="59"/>
      <c r="W134" s="124">
        <f t="shared" si="144"/>
        <v>0</v>
      </c>
      <c r="X134" s="57">
        <f t="shared" si="145"/>
        <v>0</v>
      </c>
      <c r="Y134" s="84">
        <f t="shared" si="146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139"/>
        <v>0</v>
      </c>
      <c r="F135" s="58"/>
      <c r="G135" s="55">
        <v>0</v>
      </c>
      <c r="H135" s="57">
        <v>0</v>
      </c>
      <c r="I135" s="57">
        <f t="shared" si="140"/>
        <v>0</v>
      </c>
      <c r="J135" s="58"/>
      <c r="K135" s="55">
        <v>0</v>
      </c>
      <c r="L135" s="57">
        <v>0</v>
      </c>
      <c r="M135" s="57">
        <f t="shared" si="141"/>
        <v>0</v>
      </c>
      <c r="N135" s="58"/>
      <c r="O135" s="55">
        <v>0</v>
      </c>
      <c r="P135" s="57">
        <v>0</v>
      </c>
      <c r="Q135" s="57">
        <f t="shared" si="142"/>
        <v>0</v>
      </c>
      <c r="R135" s="58"/>
      <c r="S135" s="55">
        <v>0</v>
      </c>
      <c r="T135" s="57">
        <v>0</v>
      </c>
      <c r="U135" s="57">
        <f t="shared" si="143"/>
        <v>0</v>
      </c>
      <c r="V135" s="59"/>
      <c r="W135" s="124">
        <f t="shared" si="144"/>
        <v>0</v>
      </c>
      <c r="X135" s="57">
        <f t="shared" si="145"/>
        <v>0</v>
      </c>
      <c r="Y135" s="84">
        <f t="shared" si="146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139"/>
        <v>0</v>
      </c>
      <c r="F136" s="58"/>
      <c r="G136" s="55">
        <v>0</v>
      </c>
      <c r="H136" s="57">
        <v>0</v>
      </c>
      <c r="I136" s="57">
        <f t="shared" si="140"/>
        <v>0</v>
      </c>
      <c r="J136" s="58"/>
      <c r="K136" s="55">
        <v>0</v>
      </c>
      <c r="L136" s="57">
        <v>0</v>
      </c>
      <c r="M136" s="57">
        <f t="shared" si="141"/>
        <v>0</v>
      </c>
      <c r="N136" s="58"/>
      <c r="O136" s="55">
        <v>0</v>
      </c>
      <c r="P136" s="57">
        <v>0</v>
      </c>
      <c r="Q136" s="57">
        <f t="shared" si="142"/>
        <v>0</v>
      </c>
      <c r="R136" s="58"/>
      <c r="S136" s="55">
        <v>0</v>
      </c>
      <c r="T136" s="57">
        <v>0</v>
      </c>
      <c r="U136" s="57">
        <f t="shared" si="143"/>
        <v>0</v>
      </c>
      <c r="V136" s="59"/>
      <c r="W136" s="124">
        <f t="shared" si="144"/>
        <v>0</v>
      </c>
      <c r="X136" s="57">
        <f t="shared" si="145"/>
        <v>0</v>
      </c>
      <c r="Y136" s="84">
        <f t="shared" si="146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139"/>
        <v>0</v>
      </c>
      <c r="F137" s="58"/>
      <c r="G137" s="55">
        <v>0</v>
      </c>
      <c r="H137" s="57">
        <v>0</v>
      </c>
      <c r="I137" s="57">
        <f t="shared" si="140"/>
        <v>0</v>
      </c>
      <c r="J137" s="58"/>
      <c r="K137" s="55">
        <v>0</v>
      </c>
      <c r="L137" s="57">
        <v>0</v>
      </c>
      <c r="M137" s="57">
        <f t="shared" si="141"/>
        <v>0</v>
      </c>
      <c r="N137" s="58"/>
      <c r="O137" s="55">
        <v>0</v>
      </c>
      <c r="P137" s="57">
        <v>0</v>
      </c>
      <c r="Q137" s="57">
        <f t="shared" si="142"/>
        <v>0</v>
      </c>
      <c r="R137" s="58"/>
      <c r="S137" s="55">
        <v>0</v>
      </c>
      <c r="T137" s="57">
        <v>0</v>
      </c>
      <c r="U137" s="57">
        <f t="shared" si="143"/>
        <v>0</v>
      </c>
      <c r="V137" s="59"/>
      <c r="W137" s="124">
        <f t="shared" si="144"/>
        <v>0</v>
      </c>
      <c r="X137" s="57">
        <f t="shared" si="145"/>
        <v>0</v>
      </c>
      <c r="Y137" s="84">
        <f t="shared" si="146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139"/>
        <v>0</v>
      </c>
      <c r="F138" s="58"/>
      <c r="G138" s="55">
        <v>0</v>
      </c>
      <c r="H138" s="57">
        <v>0</v>
      </c>
      <c r="I138" s="57">
        <f t="shared" si="140"/>
        <v>0</v>
      </c>
      <c r="J138" s="58"/>
      <c r="K138" s="55">
        <v>0</v>
      </c>
      <c r="L138" s="57">
        <v>0</v>
      </c>
      <c r="M138" s="57">
        <f t="shared" si="141"/>
        <v>0</v>
      </c>
      <c r="N138" s="58"/>
      <c r="O138" s="55">
        <v>0</v>
      </c>
      <c r="P138" s="57">
        <v>0</v>
      </c>
      <c r="Q138" s="57">
        <f t="shared" si="142"/>
        <v>0</v>
      </c>
      <c r="R138" s="58"/>
      <c r="S138" s="55">
        <v>0</v>
      </c>
      <c r="T138" s="57">
        <v>0</v>
      </c>
      <c r="U138" s="57">
        <f t="shared" si="143"/>
        <v>0</v>
      </c>
      <c r="V138" s="59"/>
      <c r="W138" s="124">
        <f t="shared" si="144"/>
        <v>0</v>
      </c>
      <c r="X138" s="57">
        <f t="shared" si="145"/>
        <v>0</v>
      </c>
      <c r="Y138" s="84">
        <f t="shared" si="146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139"/>
        <v>0</v>
      </c>
      <c r="F139" s="58"/>
      <c r="G139" s="55">
        <v>0</v>
      </c>
      <c r="H139" s="57">
        <v>0</v>
      </c>
      <c r="I139" s="57">
        <f t="shared" si="140"/>
        <v>0</v>
      </c>
      <c r="J139" s="58"/>
      <c r="K139" s="55">
        <v>0</v>
      </c>
      <c r="L139" s="57">
        <v>0</v>
      </c>
      <c r="M139" s="57">
        <f t="shared" si="141"/>
        <v>0</v>
      </c>
      <c r="N139" s="58"/>
      <c r="O139" s="55">
        <v>0</v>
      </c>
      <c r="P139" s="57">
        <v>0</v>
      </c>
      <c r="Q139" s="57">
        <f t="shared" si="142"/>
        <v>0</v>
      </c>
      <c r="R139" s="58"/>
      <c r="S139" s="55">
        <v>0</v>
      </c>
      <c r="T139" s="57">
        <v>0</v>
      </c>
      <c r="U139" s="57">
        <f t="shared" si="143"/>
        <v>0</v>
      </c>
      <c r="V139" s="59"/>
      <c r="W139" s="124">
        <f t="shared" si="144"/>
        <v>0</v>
      </c>
      <c r="X139" s="57">
        <f t="shared" si="145"/>
        <v>0</v>
      </c>
      <c r="Y139" s="84">
        <f t="shared" si="146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139"/>
        <v>0</v>
      </c>
      <c r="F140" s="58"/>
      <c r="G140" s="55">
        <v>0</v>
      </c>
      <c r="H140" s="57">
        <v>0</v>
      </c>
      <c r="I140" s="57">
        <f t="shared" si="140"/>
        <v>0</v>
      </c>
      <c r="J140" s="58"/>
      <c r="K140" s="55">
        <v>0</v>
      </c>
      <c r="L140" s="57">
        <v>0</v>
      </c>
      <c r="M140" s="57">
        <f t="shared" si="141"/>
        <v>0</v>
      </c>
      <c r="N140" s="58"/>
      <c r="O140" s="55">
        <v>0</v>
      </c>
      <c r="P140" s="57">
        <v>0</v>
      </c>
      <c r="Q140" s="57">
        <f t="shared" si="142"/>
        <v>0</v>
      </c>
      <c r="R140" s="58"/>
      <c r="S140" s="55">
        <v>0</v>
      </c>
      <c r="T140" s="57">
        <v>0</v>
      </c>
      <c r="U140" s="57">
        <f t="shared" si="143"/>
        <v>0</v>
      </c>
      <c r="V140" s="59"/>
      <c r="W140" s="124">
        <f t="shared" si="144"/>
        <v>0</v>
      </c>
      <c r="X140" s="57">
        <f t="shared" si="145"/>
        <v>0</v>
      </c>
      <c r="Y140" s="84">
        <f t="shared" si="146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144"/>
        <v>0</v>
      </c>
      <c r="X141" s="80">
        <f t="shared" si="145"/>
        <v>0</v>
      </c>
      <c r="Y141" s="80">
        <f t="shared" si="146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s="61" customFormat="1" x14ac:dyDescent="0.25">
      <c r="A143" s="54"/>
      <c r="B143" s="52" t="s">
        <v>127</v>
      </c>
      <c r="C143" s="124">
        <f>4*800</f>
        <v>3200</v>
      </c>
      <c r="D143" s="56">
        <v>0</v>
      </c>
      <c r="E143" s="56">
        <f t="shared" ref="E143" si="147">SUM(C143:D143)</f>
        <v>3200</v>
      </c>
      <c r="F143" s="58"/>
      <c r="G143" s="55">
        <f>C143</f>
        <v>3200</v>
      </c>
      <c r="H143" s="57">
        <v>0</v>
      </c>
      <c r="I143" s="57">
        <f t="shared" ref="I143" si="148">SUM(G143:H143)</f>
        <v>3200</v>
      </c>
      <c r="J143" s="58"/>
      <c r="K143" s="55">
        <f>G143</f>
        <v>3200</v>
      </c>
      <c r="L143" s="57">
        <v>0</v>
      </c>
      <c r="M143" s="57">
        <f t="shared" ref="M143" si="149">SUM(K143:L143)</f>
        <v>3200</v>
      </c>
      <c r="N143" s="58"/>
      <c r="O143" s="55">
        <f>K143</f>
        <v>3200</v>
      </c>
      <c r="P143" s="57">
        <v>0</v>
      </c>
      <c r="Q143" s="57">
        <f t="shared" ref="Q143" si="150">SUM(O143:P143)</f>
        <v>3200</v>
      </c>
      <c r="R143" s="58"/>
      <c r="S143" s="55">
        <f>O143</f>
        <v>3200</v>
      </c>
      <c r="T143" s="57">
        <v>0</v>
      </c>
      <c r="U143" s="57">
        <f t="shared" ref="U143" si="151">SUM(S143:T143)</f>
        <v>3200</v>
      </c>
      <c r="V143" s="59"/>
      <c r="W143" s="124">
        <f t="shared" ref="W143" si="152">C143+G143+K143+O143+S143</f>
        <v>16000</v>
      </c>
      <c r="X143" s="57">
        <f t="shared" ref="X143" si="153">D143+H143+L143+P143+T143</f>
        <v>0</v>
      </c>
      <c r="Y143" s="84">
        <f t="shared" ref="Y143" si="154">E143+I143+M143+Q143+U143</f>
        <v>16000</v>
      </c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</row>
    <row r="144" spans="1:77" s="61" customFormat="1" x14ac:dyDescent="0.25">
      <c r="A144" s="52"/>
      <c r="B144" s="52" t="s">
        <v>57</v>
      </c>
      <c r="C144" s="124">
        <v>0</v>
      </c>
      <c r="D144" s="56">
        <v>0</v>
      </c>
      <c r="E144" s="56">
        <f t="shared" ref="E144:E148" si="155">SUM(C144:D144)</f>
        <v>0</v>
      </c>
      <c r="F144" s="58"/>
      <c r="G144" s="55">
        <v>0</v>
      </c>
      <c r="H144" s="57">
        <v>0</v>
      </c>
      <c r="I144" s="57">
        <f t="shared" ref="I144:I148" si="156">SUM(G144:H144)</f>
        <v>0</v>
      </c>
      <c r="J144" s="58"/>
      <c r="K144" s="55">
        <v>0</v>
      </c>
      <c r="L144" s="57">
        <v>0</v>
      </c>
      <c r="M144" s="57">
        <f t="shared" ref="M144:M148" si="157">SUM(K144:L144)</f>
        <v>0</v>
      </c>
      <c r="N144" s="58"/>
      <c r="O144" s="55">
        <v>0</v>
      </c>
      <c r="P144" s="57">
        <v>0</v>
      </c>
      <c r="Q144" s="57">
        <f t="shared" ref="Q144:Q148" si="158">SUM(O144:P144)</f>
        <v>0</v>
      </c>
      <c r="R144" s="58"/>
      <c r="S144" s="55">
        <v>0</v>
      </c>
      <c r="T144" s="57">
        <v>0</v>
      </c>
      <c r="U144" s="57">
        <f t="shared" ref="U144:U148" si="159">SUM(S144:T144)</f>
        <v>0</v>
      </c>
      <c r="V144" s="59"/>
      <c r="W144" s="124">
        <f t="shared" ref="W144:Y149" si="160">C144+G144+K144+O144+S144</f>
        <v>0</v>
      </c>
      <c r="X144" s="57">
        <f t="shared" si="160"/>
        <v>0</v>
      </c>
      <c r="Y144" s="84">
        <f t="shared" si="160"/>
        <v>0</v>
      </c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</row>
    <row r="145" spans="1:77" s="61" customFormat="1" x14ac:dyDescent="0.25">
      <c r="A145" s="52"/>
      <c r="B145" s="52"/>
      <c r="C145" s="124">
        <v>0</v>
      </c>
      <c r="D145" s="56">
        <v>0</v>
      </c>
      <c r="E145" s="56">
        <f t="shared" si="155"/>
        <v>0</v>
      </c>
      <c r="F145" s="58"/>
      <c r="G145" s="55">
        <v>0</v>
      </c>
      <c r="H145" s="57">
        <v>0</v>
      </c>
      <c r="I145" s="57">
        <f t="shared" si="156"/>
        <v>0</v>
      </c>
      <c r="J145" s="58"/>
      <c r="K145" s="55">
        <v>0</v>
      </c>
      <c r="L145" s="57">
        <v>0</v>
      </c>
      <c r="M145" s="57">
        <f t="shared" si="157"/>
        <v>0</v>
      </c>
      <c r="N145" s="58"/>
      <c r="O145" s="55">
        <v>0</v>
      </c>
      <c r="P145" s="57">
        <v>0</v>
      </c>
      <c r="Q145" s="57">
        <f t="shared" si="158"/>
        <v>0</v>
      </c>
      <c r="R145" s="58"/>
      <c r="S145" s="55">
        <v>0</v>
      </c>
      <c r="T145" s="57">
        <v>0</v>
      </c>
      <c r="U145" s="57">
        <f t="shared" si="159"/>
        <v>0</v>
      </c>
      <c r="V145" s="59"/>
      <c r="W145" s="124">
        <f t="shared" si="160"/>
        <v>0</v>
      </c>
      <c r="X145" s="57">
        <f t="shared" si="160"/>
        <v>0</v>
      </c>
      <c r="Y145" s="84">
        <f t="shared" si="160"/>
        <v>0</v>
      </c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155"/>
        <v>0</v>
      </c>
      <c r="F146" s="58"/>
      <c r="G146" s="55">
        <v>0</v>
      </c>
      <c r="H146" s="57">
        <v>0</v>
      </c>
      <c r="I146" s="57">
        <f t="shared" si="156"/>
        <v>0</v>
      </c>
      <c r="J146" s="58"/>
      <c r="K146" s="55">
        <v>0</v>
      </c>
      <c r="L146" s="57">
        <v>0</v>
      </c>
      <c r="M146" s="57">
        <f t="shared" si="157"/>
        <v>0</v>
      </c>
      <c r="N146" s="58"/>
      <c r="O146" s="55">
        <v>0</v>
      </c>
      <c r="P146" s="57">
        <v>0</v>
      </c>
      <c r="Q146" s="57">
        <f t="shared" si="158"/>
        <v>0</v>
      </c>
      <c r="R146" s="58"/>
      <c r="S146" s="55">
        <v>0</v>
      </c>
      <c r="T146" s="57">
        <v>0</v>
      </c>
      <c r="U146" s="57">
        <f t="shared" si="159"/>
        <v>0</v>
      </c>
      <c r="V146" s="59"/>
      <c r="W146" s="124">
        <f t="shared" si="160"/>
        <v>0</v>
      </c>
      <c r="X146" s="57">
        <f t="shared" si="160"/>
        <v>0</v>
      </c>
      <c r="Y146" s="84">
        <f t="shared" si="160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155"/>
        <v>0</v>
      </c>
      <c r="F147" s="58"/>
      <c r="G147" s="55">
        <v>0</v>
      </c>
      <c r="H147" s="57">
        <v>0</v>
      </c>
      <c r="I147" s="57">
        <f t="shared" si="156"/>
        <v>0</v>
      </c>
      <c r="J147" s="58"/>
      <c r="K147" s="55">
        <v>0</v>
      </c>
      <c r="L147" s="57">
        <v>0</v>
      </c>
      <c r="M147" s="57">
        <f t="shared" si="157"/>
        <v>0</v>
      </c>
      <c r="N147" s="58"/>
      <c r="O147" s="55">
        <v>0</v>
      </c>
      <c r="P147" s="57">
        <v>0</v>
      </c>
      <c r="Q147" s="57">
        <f t="shared" si="158"/>
        <v>0</v>
      </c>
      <c r="R147" s="58"/>
      <c r="S147" s="55">
        <v>0</v>
      </c>
      <c r="T147" s="57">
        <v>0</v>
      </c>
      <c r="U147" s="57">
        <f t="shared" si="159"/>
        <v>0</v>
      </c>
      <c r="V147" s="59"/>
      <c r="W147" s="124">
        <f t="shared" si="160"/>
        <v>0</v>
      </c>
      <c r="X147" s="57">
        <f t="shared" si="160"/>
        <v>0</v>
      </c>
      <c r="Y147" s="84">
        <f t="shared" si="160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155"/>
        <v>0</v>
      </c>
      <c r="F148" s="58"/>
      <c r="G148" s="55">
        <v>0</v>
      </c>
      <c r="H148" s="57">
        <v>0</v>
      </c>
      <c r="I148" s="57">
        <f t="shared" si="156"/>
        <v>0</v>
      </c>
      <c r="J148" s="58"/>
      <c r="K148" s="55">
        <v>0</v>
      </c>
      <c r="L148" s="57">
        <v>0</v>
      </c>
      <c r="M148" s="57">
        <f t="shared" si="157"/>
        <v>0</v>
      </c>
      <c r="N148" s="58"/>
      <c r="O148" s="55">
        <v>0</v>
      </c>
      <c r="P148" s="57">
        <v>0</v>
      </c>
      <c r="Q148" s="57">
        <f t="shared" si="158"/>
        <v>0</v>
      </c>
      <c r="R148" s="58"/>
      <c r="S148" s="55">
        <v>0</v>
      </c>
      <c r="T148" s="57">
        <v>0</v>
      </c>
      <c r="U148" s="57">
        <f t="shared" si="159"/>
        <v>0</v>
      </c>
      <c r="V148" s="59"/>
      <c r="W148" s="124">
        <f t="shared" si="160"/>
        <v>0</v>
      </c>
      <c r="X148" s="57">
        <f t="shared" si="160"/>
        <v>0</v>
      </c>
      <c r="Y148" s="84">
        <f t="shared" si="160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3200</v>
      </c>
      <c r="D149" s="125">
        <f>SUM(D143:D148)</f>
        <v>0</v>
      </c>
      <c r="E149" s="125">
        <f>SUM(E143:E148)</f>
        <v>3200</v>
      </c>
      <c r="F149" s="81"/>
      <c r="G149" s="79">
        <f>SUM(G143:G148)</f>
        <v>3200</v>
      </c>
      <c r="H149" s="80">
        <f>SUM(H143:H148)</f>
        <v>0</v>
      </c>
      <c r="I149" s="80">
        <f>SUM(I143:I148)</f>
        <v>3200</v>
      </c>
      <c r="J149" s="81"/>
      <c r="K149" s="79">
        <f>SUM(K143:K148)</f>
        <v>3200</v>
      </c>
      <c r="L149" s="80">
        <f>SUM(L143:L148)</f>
        <v>0</v>
      </c>
      <c r="M149" s="80">
        <f>SUM(M143:M148)</f>
        <v>3200</v>
      </c>
      <c r="N149" s="81"/>
      <c r="O149" s="79">
        <f>SUM(O143:O148)</f>
        <v>3200</v>
      </c>
      <c r="P149" s="80">
        <f>SUM(P143:P148)</f>
        <v>0</v>
      </c>
      <c r="Q149" s="80">
        <f>SUM(Q143:Q148)</f>
        <v>3200</v>
      </c>
      <c r="R149" s="81"/>
      <c r="S149" s="79">
        <f>SUM(S143:S148)</f>
        <v>3200</v>
      </c>
      <c r="T149" s="80">
        <f>SUM(T143:T148)</f>
        <v>0</v>
      </c>
      <c r="U149" s="80">
        <f>SUM(U143:U148)</f>
        <v>3200</v>
      </c>
      <c r="V149" s="82"/>
      <c r="W149" s="228">
        <f t="shared" si="160"/>
        <v>16000</v>
      </c>
      <c r="X149" s="80">
        <f t="shared" si="160"/>
        <v>0</v>
      </c>
      <c r="Y149" s="80">
        <f t="shared" si="160"/>
        <v>16000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/>
      <c r="B151" s="54"/>
      <c r="C151" s="124">
        <v>0</v>
      </c>
      <c r="D151" s="56">
        <v>0</v>
      </c>
      <c r="E151" s="56">
        <f>SUM(C151:D151)</f>
        <v>0</v>
      </c>
      <c r="F151" s="58"/>
      <c r="G151" s="55">
        <v>0</v>
      </c>
      <c r="H151" s="56">
        <v>0</v>
      </c>
      <c r="I151" s="56">
        <f>SUM(G151:H151)</f>
        <v>0</v>
      </c>
      <c r="J151" s="58"/>
      <c r="K151" s="55">
        <v>0</v>
      </c>
      <c r="L151" s="56">
        <v>0</v>
      </c>
      <c r="M151" s="56">
        <f>SUM(K151:L151)</f>
        <v>0</v>
      </c>
      <c r="N151" s="58"/>
      <c r="O151" s="55">
        <v>0</v>
      </c>
      <c r="P151" s="56">
        <v>0</v>
      </c>
      <c r="Q151" s="56">
        <f>SUM(O151:P151)</f>
        <v>0</v>
      </c>
      <c r="R151" s="58"/>
      <c r="S151" s="55">
        <v>0</v>
      </c>
      <c r="T151" s="56">
        <v>0</v>
      </c>
      <c r="U151" s="56">
        <f>SUM(S151:T151)</f>
        <v>0</v>
      </c>
      <c r="V151" s="59"/>
      <c r="W151" s="124">
        <f t="shared" ref="W151:Y155" si="161">C151+G151+K151+O151+S151</f>
        <v>0</v>
      </c>
      <c r="X151" s="57">
        <f t="shared" si="161"/>
        <v>0</v>
      </c>
      <c r="Y151" s="84">
        <f t="shared" si="161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77" customFormat="1" x14ac:dyDescent="0.25">
      <c r="A152" s="54"/>
      <c r="B152" s="54"/>
      <c r="C152" s="124">
        <v>0</v>
      </c>
      <c r="D152" s="56">
        <v>0</v>
      </c>
      <c r="E152" s="56">
        <f>SUM(C152:D152)</f>
        <v>0</v>
      </c>
      <c r="F152" s="58"/>
      <c r="G152" s="55">
        <v>0</v>
      </c>
      <c r="H152" s="56">
        <v>0</v>
      </c>
      <c r="I152" s="56">
        <f>SUM(G152:H152)</f>
        <v>0</v>
      </c>
      <c r="J152" s="58"/>
      <c r="K152" s="55">
        <v>0</v>
      </c>
      <c r="L152" s="56">
        <v>0</v>
      </c>
      <c r="M152" s="56">
        <f>SUM(K152:L152)</f>
        <v>0</v>
      </c>
      <c r="N152" s="58"/>
      <c r="O152" s="55">
        <v>0</v>
      </c>
      <c r="P152" s="56">
        <v>0</v>
      </c>
      <c r="Q152" s="56">
        <f>SUM(O152:P152)</f>
        <v>0</v>
      </c>
      <c r="R152" s="58"/>
      <c r="S152" s="55">
        <v>0</v>
      </c>
      <c r="T152" s="56">
        <v>0</v>
      </c>
      <c r="U152" s="56">
        <f>SUM(S152:T152)</f>
        <v>0</v>
      </c>
      <c r="V152" s="59"/>
      <c r="W152" s="124">
        <f t="shared" si="161"/>
        <v>0</v>
      </c>
      <c r="X152" s="57">
        <f t="shared" si="161"/>
        <v>0</v>
      </c>
      <c r="Y152" s="84">
        <f t="shared" si="161"/>
        <v>0</v>
      </c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</row>
    <row r="153" spans="1:77" s="77" customFormat="1" x14ac:dyDescent="0.25">
      <c r="A153" s="54"/>
      <c r="B153" s="54"/>
      <c r="C153" s="124">
        <v>0</v>
      </c>
      <c r="D153" s="56">
        <v>0</v>
      </c>
      <c r="E153" s="56">
        <f>SUM(C153:D153)</f>
        <v>0</v>
      </c>
      <c r="F153" s="58"/>
      <c r="G153" s="55">
        <v>0</v>
      </c>
      <c r="H153" s="56">
        <v>0</v>
      </c>
      <c r="I153" s="56">
        <f>SUM(G153:H153)</f>
        <v>0</v>
      </c>
      <c r="J153" s="58"/>
      <c r="K153" s="55">
        <v>0</v>
      </c>
      <c r="L153" s="56">
        <v>0</v>
      </c>
      <c r="M153" s="56">
        <f>SUM(K153:L153)</f>
        <v>0</v>
      </c>
      <c r="N153" s="58"/>
      <c r="O153" s="55">
        <v>0</v>
      </c>
      <c r="P153" s="56">
        <v>0</v>
      </c>
      <c r="Q153" s="56">
        <f>SUM(O153:P153)</f>
        <v>0</v>
      </c>
      <c r="R153" s="58"/>
      <c r="S153" s="55">
        <v>0</v>
      </c>
      <c r="T153" s="56">
        <v>0</v>
      </c>
      <c r="U153" s="56">
        <f>SUM(S153:T153)</f>
        <v>0</v>
      </c>
      <c r="V153" s="59"/>
      <c r="W153" s="124">
        <f t="shared" si="161"/>
        <v>0</v>
      </c>
      <c r="X153" s="57">
        <f t="shared" si="161"/>
        <v>0</v>
      </c>
      <c r="Y153" s="84">
        <f t="shared" si="161"/>
        <v>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s="61" customFormat="1" x14ac:dyDescent="0.25">
      <c r="A154" s="54"/>
      <c r="B154" s="54"/>
      <c r="C154" s="124">
        <v>0</v>
      </c>
      <c r="D154" s="56">
        <v>0</v>
      </c>
      <c r="E154" s="56">
        <f>SUM(C154:D154)</f>
        <v>0</v>
      </c>
      <c r="F154" s="58"/>
      <c r="G154" s="55">
        <v>0</v>
      </c>
      <c r="H154" s="56">
        <v>0</v>
      </c>
      <c r="I154" s="56">
        <f>SUM(G154:H154)</f>
        <v>0</v>
      </c>
      <c r="J154" s="58"/>
      <c r="K154" s="55">
        <v>0</v>
      </c>
      <c r="L154" s="56">
        <v>0</v>
      </c>
      <c r="M154" s="56">
        <f>SUM(K154:L154)</f>
        <v>0</v>
      </c>
      <c r="N154" s="58"/>
      <c r="O154" s="55">
        <v>0</v>
      </c>
      <c r="P154" s="56">
        <v>0</v>
      </c>
      <c r="Q154" s="56">
        <f>SUM(O154:P154)</f>
        <v>0</v>
      </c>
      <c r="R154" s="58"/>
      <c r="S154" s="55">
        <v>0</v>
      </c>
      <c r="T154" s="56">
        <v>0</v>
      </c>
      <c r="U154" s="56">
        <f>SUM(S154:T154)</f>
        <v>0</v>
      </c>
      <c r="V154" s="59"/>
      <c r="W154" s="124">
        <f t="shared" si="161"/>
        <v>0</v>
      </c>
      <c r="X154" s="57">
        <f t="shared" si="161"/>
        <v>0</v>
      </c>
      <c r="Y154" s="84">
        <f t="shared" si="161"/>
        <v>0</v>
      </c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0</v>
      </c>
      <c r="H155" s="80">
        <f>SUM(H151:H154)</f>
        <v>0</v>
      </c>
      <c r="I155" s="80">
        <f>SUM(I151:I154)</f>
        <v>0</v>
      </c>
      <c r="J155" s="81"/>
      <c r="K155" s="79">
        <f>SUM(K151:K154)</f>
        <v>0</v>
      </c>
      <c r="L155" s="80">
        <f>SUM(L151:L154)</f>
        <v>0</v>
      </c>
      <c r="M155" s="80">
        <f>SUM(M151:M154)</f>
        <v>0</v>
      </c>
      <c r="N155" s="81"/>
      <c r="O155" s="79">
        <f>SUM(O151:O154)</f>
        <v>0</v>
      </c>
      <c r="P155" s="80">
        <f>SUM(P151:P154)</f>
        <v>0</v>
      </c>
      <c r="Q155" s="80">
        <f>SUM(Q151:Q154)</f>
        <v>0</v>
      </c>
      <c r="R155" s="81"/>
      <c r="S155" s="79">
        <f>SUM(S151:S154)</f>
        <v>0</v>
      </c>
      <c r="T155" s="80">
        <f>SUM(T151:T154)</f>
        <v>0</v>
      </c>
      <c r="U155" s="80">
        <f>SUM(U151:U154)</f>
        <v>0</v>
      </c>
      <c r="V155" s="82"/>
      <c r="W155" s="228">
        <f t="shared" si="161"/>
        <v>0</v>
      </c>
      <c r="X155" s="80">
        <f t="shared" si="161"/>
        <v>0</v>
      </c>
      <c r="Y155" s="80">
        <f t="shared" si="161"/>
        <v>0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2"/>
      <c r="B157" s="52"/>
      <c r="C157" s="124">
        <v>0</v>
      </c>
      <c r="D157" s="56">
        <v>0</v>
      </c>
      <c r="E157" s="56">
        <f t="shared" ref="E157:E172" si="162">SUM(C157:D157)</f>
        <v>0</v>
      </c>
      <c r="F157" s="58"/>
      <c r="G157" s="55">
        <v>0</v>
      </c>
      <c r="H157" s="57">
        <v>0</v>
      </c>
      <c r="I157" s="57">
        <f t="shared" ref="I157:I172" si="163">SUM(G157:H157)</f>
        <v>0</v>
      </c>
      <c r="J157" s="58"/>
      <c r="K157" s="55">
        <v>0</v>
      </c>
      <c r="L157" s="57">
        <v>0</v>
      </c>
      <c r="M157" s="57">
        <f t="shared" ref="M157:M172" si="164">SUM(K157:L157)</f>
        <v>0</v>
      </c>
      <c r="N157" s="58"/>
      <c r="O157" s="55">
        <v>0</v>
      </c>
      <c r="P157" s="57">
        <v>0</v>
      </c>
      <c r="Q157" s="57">
        <f t="shared" ref="Q157:Q172" si="165">SUM(O157:P157)</f>
        <v>0</v>
      </c>
      <c r="R157" s="58"/>
      <c r="S157" s="55">
        <v>0</v>
      </c>
      <c r="T157" s="57">
        <v>0</v>
      </c>
      <c r="U157" s="57">
        <f t="shared" ref="U157:U172" si="166">SUM(S157:T157)</f>
        <v>0</v>
      </c>
      <c r="V157" s="59"/>
      <c r="W157" s="124">
        <f t="shared" ref="W157:W173" si="167">C157+G157+K157+O157+S157</f>
        <v>0</v>
      </c>
      <c r="X157" s="57">
        <f t="shared" ref="X157:X173" si="168">D157+H157+L157+P157+T157</f>
        <v>0</v>
      </c>
      <c r="Y157" s="84">
        <f t="shared" ref="Y157:Y173" si="169">E157+I157+M157+Q157+U157</f>
        <v>0</v>
      </c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</row>
    <row r="158" spans="1:77" s="61" customFormat="1" x14ac:dyDescent="0.25">
      <c r="A158" s="87"/>
      <c r="B158" s="52"/>
      <c r="C158" s="124">
        <v>0</v>
      </c>
      <c r="D158" s="56">
        <v>0</v>
      </c>
      <c r="E158" s="56">
        <f t="shared" si="162"/>
        <v>0</v>
      </c>
      <c r="F158" s="58"/>
      <c r="G158" s="55">
        <v>0</v>
      </c>
      <c r="H158" s="57">
        <v>0</v>
      </c>
      <c r="I158" s="57">
        <f t="shared" si="163"/>
        <v>0</v>
      </c>
      <c r="J158" s="58"/>
      <c r="K158" s="55">
        <v>0</v>
      </c>
      <c r="L158" s="57">
        <v>0</v>
      </c>
      <c r="M158" s="57">
        <f t="shared" si="164"/>
        <v>0</v>
      </c>
      <c r="N158" s="58"/>
      <c r="O158" s="55">
        <v>0</v>
      </c>
      <c r="P158" s="57">
        <v>0</v>
      </c>
      <c r="Q158" s="57">
        <f t="shared" si="165"/>
        <v>0</v>
      </c>
      <c r="R158" s="58"/>
      <c r="S158" s="55">
        <v>0</v>
      </c>
      <c r="T158" s="57">
        <v>0</v>
      </c>
      <c r="U158" s="57">
        <f t="shared" si="166"/>
        <v>0</v>
      </c>
      <c r="V158" s="59"/>
      <c r="W158" s="124">
        <f t="shared" si="167"/>
        <v>0</v>
      </c>
      <c r="X158" s="57">
        <f t="shared" si="168"/>
        <v>0</v>
      </c>
      <c r="Y158" s="84">
        <f t="shared" si="169"/>
        <v>0</v>
      </c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</row>
    <row r="159" spans="1:77" s="61" customFormat="1" x14ac:dyDescent="0.25">
      <c r="A159" s="52"/>
      <c r="B159" s="52"/>
      <c r="C159" s="124">
        <v>0</v>
      </c>
      <c r="D159" s="56">
        <v>0</v>
      </c>
      <c r="E159" s="56">
        <f t="shared" si="162"/>
        <v>0</v>
      </c>
      <c r="F159" s="58"/>
      <c r="G159" s="55">
        <v>0</v>
      </c>
      <c r="H159" s="57">
        <v>0</v>
      </c>
      <c r="I159" s="57">
        <f t="shared" si="163"/>
        <v>0</v>
      </c>
      <c r="J159" s="58"/>
      <c r="K159" s="55">
        <v>0</v>
      </c>
      <c r="L159" s="57">
        <v>0</v>
      </c>
      <c r="M159" s="57">
        <f t="shared" si="164"/>
        <v>0</v>
      </c>
      <c r="N159" s="58"/>
      <c r="O159" s="55">
        <v>0</v>
      </c>
      <c r="P159" s="57">
        <v>0</v>
      </c>
      <c r="Q159" s="57">
        <f t="shared" si="165"/>
        <v>0</v>
      </c>
      <c r="R159" s="58"/>
      <c r="S159" s="55">
        <v>0</v>
      </c>
      <c r="T159" s="57">
        <v>0</v>
      </c>
      <c r="U159" s="57">
        <f t="shared" si="166"/>
        <v>0</v>
      </c>
      <c r="V159" s="59"/>
      <c r="W159" s="124">
        <f t="shared" si="167"/>
        <v>0</v>
      </c>
      <c r="X159" s="57">
        <f t="shared" si="168"/>
        <v>0</v>
      </c>
      <c r="Y159" s="84">
        <f t="shared" si="169"/>
        <v>0</v>
      </c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</row>
    <row r="160" spans="1:77" s="61" customFormat="1" x14ac:dyDescent="0.25">
      <c r="A160" s="87"/>
      <c r="B160" s="52"/>
      <c r="C160" s="124">
        <v>0</v>
      </c>
      <c r="D160" s="56">
        <v>0</v>
      </c>
      <c r="E160" s="56">
        <f t="shared" si="162"/>
        <v>0</v>
      </c>
      <c r="F160" s="58"/>
      <c r="G160" s="55">
        <v>0</v>
      </c>
      <c r="H160" s="57">
        <v>0</v>
      </c>
      <c r="I160" s="57">
        <f t="shared" si="163"/>
        <v>0</v>
      </c>
      <c r="J160" s="58"/>
      <c r="K160" s="55">
        <v>0</v>
      </c>
      <c r="L160" s="57">
        <v>0</v>
      </c>
      <c r="M160" s="57">
        <f t="shared" si="164"/>
        <v>0</v>
      </c>
      <c r="N160" s="58"/>
      <c r="O160" s="55">
        <v>0</v>
      </c>
      <c r="P160" s="57">
        <v>0</v>
      </c>
      <c r="Q160" s="57">
        <f t="shared" si="165"/>
        <v>0</v>
      </c>
      <c r="R160" s="58"/>
      <c r="S160" s="55">
        <v>0</v>
      </c>
      <c r="T160" s="57">
        <v>0</v>
      </c>
      <c r="U160" s="57">
        <f t="shared" si="166"/>
        <v>0</v>
      </c>
      <c r="V160" s="59"/>
      <c r="W160" s="124">
        <f t="shared" si="167"/>
        <v>0</v>
      </c>
      <c r="X160" s="57">
        <f t="shared" si="168"/>
        <v>0</v>
      </c>
      <c r="Y160" s="84">
        <f t="shared" si="169"/>
        <v>0</v>
      </c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</row>
    <row r="161" spans="1:77" s="61" customFormat="1" x14ac:dyDescent="0.25">
      <c r="A161" s="52"/>
      <c r="B161" s="52"/>
      <c r="C161" s="124">
        <v>0</v>
      </c>
      <c r="D161" s="56">
        <v>0</v>
      </c>
      <c r="E161" s="56">
        <f t="shared" si="162"/>
        <v>0</v>
      </c>
      <c r="F161" s="58"/>
      <c r="G161" s="55">
        <v>0</v>
      </c>
      <c r="H161" s="57">
        <v>0</v>
      </c>
      <c r="I161" s="57">
        <f t="shared" si="163"/>
        <v>0</v>
      </c>
      <c r="J161" s="58"/>
      <c r="K161" s="55">
        <v>0</v>
      </c>
      <c r="L161" s="57">
        <v>0</v>
      </c>
      <c r="M161" s="57">
        <f t="shared" si="164"/>
        <v>0</v>
      </c>
      <c r="N161" s="58"/>
      <c r="O161" s="55">
        <v>0</v>
      </c>
      <c r="P161" s="57">
        <v>0</v>
      </c>
      <c r="Q161" s="57">
        <f t="shared" si="165"/>
        <v>0</v>
      </c>
      <c r="R161" s="58"/>
      <c r="S161" s="55">
        <v>0</v>
      </c>
      <c r="T161" s="57">
        <v>0</v>
      </c>
      <c r="U161" s="57">
        <f t="shared" si="166"/>
        <v>0</v>
      </c>
      <c r="V161" s="59"/>
      <c r="W161" s="124">
        <f t="shared" si="167"/>
        <v>0</v>
      </c>
      <c r="X161" s="57">
        <f t="shared" si="168"/>
        <v>0</v>
      </c>
      <c r="Y161" s="84">
        <f t="shared" si="169"/>
        <v>0</v>
      </c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1" customFormat="1" x14ac:dyDescent="0.25">
      <c r="A162" s="52"/>
      <c r="B162" s="52"/>
      <c r="C162" s="124">
        <v>0</v>
      </c>
      <c r="D162" s="56">
        <v>0</v>
      </c>
      <c r="E162" s="56">
        <f t="shared" si="162"/>
        <v>0</v>
      </c>
      <c r="F162" s="58"/>
      <c r="G162" s="55">
        <v>0</v>
      </c>
      <c r="H162" s="57">
        <v>0</v>
      </c>
      <c r="I162" s="57">
        <f t="shared" si="163"/>
        <v>0</v>
      </c>
      <c r="J162" s="58"/>
      <c r="K162" s="55">
        <v>0</v>
      </c>
      <c r="L162" s="57">
        <v>0</v>
      </c>
      <c r="M162" s="57">
        <f t="shared" si="164"/>
        <v>0</v>
      </c>
      <c r="N162" s="58"/>
      <c r="O162" s="55">
        <v>0</v>
      </c>
      <c r="P162" s="57">
        <v>0</v>
      </c>
      <c r="Q162" s="57">
        <f t="shared" si="165"/>
        <v>0</v>
      </c>
      <c r="R162" s="58"/>
      <c r="S162" s="55">
        <v>0</v>
      </c>
      <c r="T162" s="57">
        <v>0</v>
      </c>
      <c r="U162" s="57">
        <f t="shared" si="166"/>
        <v>0</v>
      </c>
      <c r="V162" s="59"/>
      <c r="W162" s="124">
        <f t="shared" si="167"/>
        <v>0</v>
      </c>
      <c r="X162" s="57">
        <f t="shared" si="168"/>
        <v>0</v>
      </c>
      <c r="Y162" s="84">
        <f t="shared" si="169"/>
        <v>0</v>
      </c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</row>
    <row r="163" spans="1:77" s="61" customFormat="1" x14ac:dyDescent="0.25">
      <c r="A163" s="87"/>
      <c r="B163" s="52"/>
      <c r="C163" s="124">
        <v>0</v>
      </c>
      <c r="D163" s="56">
        <v>0</v>
      </c>
      <c r="E163" s="56">
        <f t="shared" si="162"/>
        <v>0</v>
      </c>
      <c r="F163" s="58"/>
      <c r="G163" s="55">
        <v>0</v>
      </c>
      <c r="H163" s="57">
        <v>0</v>
      </c>
      <c r="I163" s="57">
        <f t="shared" si="163"/>
        <v>0</v>
      </c>
      <c r="J163" s="58"/>
      <c r="K163" s="55">
        <v>0</v>
      </c>
      <c r="L163" s="57">
        <v>0</v>
      </c>
      <c r="M163" s="57">
        <f t="shared" si="164"/>
        <v>0</v>
      </c>
      <c r="N163" s="58"/>
      <c r="O163" s="55">
        <v>0</v>
      </c>
      <c r="P163" s="57">
        <v>0</v>
      </c>
      <c r="Q163" s="57">
        <f t="shared" si="165"/>
        <v>0</v>
      </c>
      <c r="R163" s="58"/>
      <c r="S163" s="55">
        <v>0</v>
      </c>
      <c r="T163" s="57">
        <v>0</v>
      </c>
      <c r="U163" s="57">
        <f t="shared" si="166"/>
        <v>0</v>
      </c>
      <c r="V163" s="59"/>
      <c r="W163" s="124">
        <f t="shared" si="167"/>
        <v>0</v>
      </c>
      <c r="X163" s="57">
        <f t="shared" si="168"/>
        <v>0</v>
      </c>
      <c r="Y163" s="84">
        <f t="shared" si="169"/>
        <v>0</v>
      </c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s="61" customFormat="1" x14ac:dyDescent="0.25">
      <c r="A164" s="52"/>
      <c r="B164" s="52"/>
      <c r="C164" s="124">
        <v>0</v>
      </c>
      <c r="D164" s="56">
        <v>0</v>
      </c>
      <c r="E164" s="56">
        <f t="shared" si="162"/>
        <v>0</v>
      </c>
      <c r="F164" s="58"/>
      <c r="G164" s="55">
        <v>0</v>
      </c>
      <c r="H164" s="57">
        <v>0</v>
      </c>
      <c r="I164" s="57">
        <f t="shared" si="163"/>
        <v>0</v>
      </c>
      <c r="J164" s="58"/>
      <c r="K164" s="55">
        <v>0</v>
      </c>
      <c r="L164" s="57">
        <v>0</v>
      </c>
      <c r="M164" s="57">
        <f t="shared" si="164"/>
        <v>0</v>
      </c>
      <c r="N164" s="58"/>
      <c r="O164" s="55">
        <v>0</v>
      </c>
      <c r="P164" s="57">
        <v>0</v>
      </c>
      <c r="Q164" s="57">
        <f t="shared" si="165"/>
        <v>0</v>
      </c>
      <c r="R164" s="58"/>
      <c r="S164" s="55">
        <v>0</v>
      </c>
      <c r="T164" s="57">
        <v>0</v>
      </c>
      <c r="U164" s="57">
        <f t="shared" si="166"/>
        <v>0</v>
      </c>
      <c r="V164" s="59"/>
      <c r="W164" s="124">
        <f t="shared" si="167"/>
        <v>0</v>
      </c>
      <c r="X164" s="57">
        <f t="shared" si="168"/>
        <v>0</v>
      </c>
      <c r="Y164" s="84">
        <f t="shared" si="169"/>
        <v>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/>
      <c r="C165" s="124">
        <v>0</v>
      </c>
      <c r="D165" s="56">
        <v>0</v>
      </c>
      <c r="E165" s="56">
        <f t="shared" si="162"/>
        <v>0</v>
      </c>
      <c r="F165" s="58"/>
      <c r="G165" s="55">
        <v>0</v>
      </c>
      <c r="H165" s="57">
        <v>0</v>
      </c>
      <c r="I165" s="57">
        <f t="shared" si="163"/>
        <v>0</v>
      </c>
      <c r="J165" s="58"/>
      <c r="K165" s="55">
        <v>0</v>
      </c>
      <c r="L165" s="57">
        <v>0</v>
      </c>
      <c r="M165" s="57">
        <f t="shared" si="164"/>
        <v>0</v>
      </c>
      <c r="N165" s="58"/>
      <c r="O165" s="55">
        <v>0</v>
      </c>
      <c r="P165" s="57">
        <v>0</v>
      </c>
      <c r="Q165" s="57">
        <f t="shared" si="165"/>
        <v>0</v>
      </c>
      <c r="R165" s="58"/>
      <c r="S165" s="55">
        <v>0</v>
      </c>
      <c r="T165" s="57">
        <v>0</v>
      </c>
      <c r="U165" s="57">
        <f t="shared" si="166"/>
        <v>0</v>
      </c>
      <c r="V165" s="59"/>
      <c r="W165" s="124">
        <f t="shared" si="167"/>
        <v>0</v>
      </c>
      <c r="X165" s="57">
        <f t="shared" si="168"/>
        <v>0</v>
      </c>
      <c r="Y165" s="84">
        <f t="shared" si="169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2"/>
      <c r="C166" s="124">
        <v>0</v>
      </c>
      <c r="D166" s="56">
        <v>0</v>
      </c>
      <c r="E166" s="56">
        <f t="shared" si="162"/>
        <v>0</v>
      </c>
      <c r="F166" s="58"/>
      <c r="G166" s="55">
        <v>0</v>
      </c>
      <c r="H166" s="57">
        <v>0</v>
      </c>
      <c r="I166" s="57">
        <f t="shared" si="163"/>
        <v>0</v>
      </c>
      <c r="J166" s="58"/>
      <c r="K166" s="55">
        <v>0</v>
      </c>
      <c r="L166" s="57">
        <v>0</v>
      </c>
      <c r="M166" s="57">
        <f t="shared" si="164"/>
        <v>0</v>
      </c>
      <c r="N166" s="58"/>
      <c r="O166" s="55">
        <v>0</v>
      </c>
      <c r="P166" s="57">
        <v>0</v>
      </c>
      <c r="Q166" s="57">
        <f t="shared" si="165"/>
        <v>0</v>
      </c>
      <c r="R166" s="58"/>
      <c r="S166" s="55">
        <v>0</v>
      </c>
      <c r="T166" s="57">
        <v>0</v>
      </c>
      <c r="U166" s="57">
        <f t="shared" si="166"/>
        <v>0</v>
      </c>
      <c r="V166" s="59"/>
      <c r="W166" s="124">
        <f t="shared" si="167"/>
        <v>0</v>
      </c>
      <c r="X166" s="57">
        <f t="shared" si="168"/>
        <v>0</v>
      </c>
      <c r="Y166" s="84">
        <f t="shared" si="169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162"/>
        <v>0</v>
      </c>
      <c r="F167" s="58"/>
      <c r="G167" s="55">
        <v>0</v>
      </c>
      <c r="H167" s="57">
        <v>0</v>
      </c>
      <c r="I167" s="57">
        <f t="shared" si="163"/>
        <v>0</v>
      </c>
      <c r="J167" s="58"/>
      <c r="K167" s="55">
        <v>0</v>
      </c>
      <c r="L167" s="57">
        <v>0</v>
      </c>
      <c r="M167" s="57">
        <f t="shared" si="164"/>
        <v>0</v>
      </c>
      <c r="N167" s="58"/>
      <c r="O167" s="55">
        <v>0</v>
      </c>
      <c r="P167" s="57">
        <v>0</v>
      </c>
      <c r="Q167" s="57">
        <f t="shared" si="165"/>
        <v>0</v>
      </c>
      <c r="R167" s="58"/>
      <c r="S167" s="55">
        <v>0</v>
      </c>
      <c r="T167" s="57">
        <v>0</v>
      </c>
      <c r="U167" s="57">
        <f t="shared" si="166"/>
        <v>0</v>
      </c>
      <c r="V167" s="59"/>
      <c r="W167" s="124">
        <f t="shared" si="167"/>
        <v>0</v>
      </c>
      <c r="X167" s="57">
        <f t="shared" si="168"/>
        <v>0</v>
      </c>
      <c r="Y167" s="84">
        <f t="shared" si="169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162"/>
        <v>0</v>
      </c>
      <c r="F168" s="58"/>
      <c r="G168" s="55">
        <v>0</v>
      </c>
      <c r="H168" s="57">
        <v>0</v>
      </c>
      <c r="I168" s="57">
        <f t="shared" si="163"/>
        <v>0</v>
      </c>
      <c r="J168" s="58"/>
      <c r="K168" s="55">
        <v>0</v>
      </c>
      <c r="L168" s="57">
        <v>0</v>
      </c>
      <c r="M168" s="57">
        <f t="shared" si="164"/>
        <v>0</v>
      </c>
      <c r="N168" s="58"/>
      <c r="O168" s="55">
        <v>0</v>
      </c>
      <c r="P168" s="57">
        <v>0</v>
      </c>
      <c r="Q168" s="57">
        <f t="shared" si="165"/>
        <v>0</v>
      </c>
      <c r="R168" s="58"/>
      <c r="S168" s="55">
        <v>0</v>
      </c>
      <c r="T168" s="57">
        <v>0</v>
      </c>
      <c r="U168" s="57">
        <f t="shared" si="166"/>
        <v>0</v>
      </c>
      <c r="V168" s="59"/>
      <c r="W168" s="124">
        <f t="shared" si="167"/>
        <v>0</v>
      </c>
      <c r="X168" s="57">
        <f t="shared" si="168"/>
        <v>0</v>
      </c>
      <c r="Y168" s="84">
        <f t="shared" si="169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162"/>
        <v>0</v>
      </c>
      <c r="F169" s="58"/>
      <c r="G169" s="55">
        <v>0</v>
      </c>
      <c r="H169" s="57">
        <v>0</v>
      </c>
      <c r="I169" s="57">
        <f t="shared" si="163"/>
        <v>0</v>
      </c>
      <c r="J169" s="58"/>
      <c r="K169" s="55">
        <v>0</v>
      </c>
      <c r="L169" s="57">
        <v>0</v>
      </c>
      <c r="M169" s="57">
        <f t="shared" si="164"/>
        <v>0</v>
      </c>
      <c r="N169" s="58"/>
      <c r="O169" s="55">
        <v>0</v>
      </c>
      <c r="P169" s="57">
        <v>0</v>
      </c>
      <c r="Q169" s="57">
        <f t="shared" si="165"/>
        <v>0</v>
      </c>
      <c r="R169" s="58"/>
      <c r="S169" s="55">
        <v>0</v>
      </c>
      <c r="T169" s="57">
        <v>0</v>
      </c>
      <c r="U169" s="57">
        <f t="shared" si="166"/>
        <v>0</v>
      </c>
      <c r="V169" s="59"/>
      <c r="W169" s="124">
        <f t="shared" si="167"/>
        <v>0</v>
      </c>
      <c r="X169" s="57">
        <f t="shared" si="168"/>
        <v>0</v>
      </c>
      <c r="Y169" s="84">
        <f t="shared" si="169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162"/>
        <v>0</v>
      </c>
      <c r="F170" s="58"/>
      <c r="G170" s="55">
        <v>0</v>
      </c>
      <c r="H170" s="57">
        <v>0</v>
      </c>
      <c r="I170" s="57">
        <f t="shared" si="163"/>
        <v>0</v>
      </c>
      <c r="J170" s="58"/>
      <c r="K170" s="55">
        <v>0</v>
      </c>
      <c r="L170" s="57">
        <v>0</v>
      </c>
      <c r="M170" s="57">
        <f t="shared" si="164"/>
        <v>0</v>
      </c>
      <c r="N170" s="58"/>
      <c r="O170" s="55">
        <v>0</v>
      </c>
      <c r="P170" s="57">
        <v>0</v>
      </c>
      <c r="Q170" s="57">
        <f t="shared" si="165"/>
        <v>0</v>
      </c>
      <c r="R170" s="58"/>
      <c r="S170" s="55">
        <v>0</v>
      </c>
      <c r="T170" s="57">
        <v>0</v>
      </c>
      <c r="U170" s="57">
        <f t="shared" si="166"/>
        <v>0</v>
      </c>
      <c r="V170" s="59"/>
      <c r="W170" s="124">
        <f t="shared" si="167"/>
        <v>0</v>
      </c>
      <c r="X170" s="57">
        <f t="shared" si="168"/>
        <v>0</v>
      </c>
      <c r="Y170" s="84">
        <f t="shared" si="169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162"/>
        <v>0</v>
      </c>
      <c r="F171" s="58"/>
      <c r="G171" s="55">
        <v>0</v>
      </c>
      <c r="H171" s="57">
        <v>0</v>
      </c>
      <c r="I171" s="57">
        <f t="shared" si="163"/>
        <v>0</v>
      </c>
      <c r="J171" s="58"/>
      <c r="K171" s="55">
        <v>0</v>
      </c>
      <c r="L171" s="57">
        <v>0</v>
      </c>
      <c r="M171" s="57">
        <f t="shared" si="164"/>
        <v>0</v>
      </c>
      <c r="N171" s="58"/>
      <c r="O171" s="55">
        <v>0</v>
      </c>
      <c r="P171" s="57">
        <v>0</v>
      </c>
      <c r="Q171" s="57">
        <f t="shared" si="165"/>
        <v>0</v>
      </c>
      <c r="R171" s="58"/>
      <c r="S171" s="55">
        <v>0</v>
      </c>
      <c r="T171" s="57">
        <v>0</v>
      </c>
      <c r="U171" s="57">
        <f t="shared" si="166"/>
        <v>0</v>
      </c>
      <c r="V171" s="59"/>
      <c r="W171" s="124">
        <f t="shared" si="167"/>
        <v>0</v>
      </c>
      <c r="X171" s="57">
        <f t="shared" si="168"/>
        <v>0</v>
      </c>
      <c r="Y171" s="84">
        <f t="shared" si="169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162"/>
        <v>0</v>
      </c>
      <c r="F172" s="58"/>
      <c r="G172" s="55">
        <v>0</v>
      </c>
      <c r="H172" s="57">
        <v>0</v>
      </c>
      <c r="I172" s="57">
        <f t="shared" si="163"/>
        <v>0</v>
      </c>
      <c r="J172" s="58"/>
      <c r="K172" s="55">
        <v>0</v>
      </c>
      <c r="L172" s="57">
        <v>0</v>
      </c>
      <c r="M172" s="57">
        <f t="shared" si="164"/>
        <v>0</v>
      </c>
      <c r="N172" s="58"/>
      <c r="O172" s="55">
        <v>0</v>
      </c>
      <c r="P172" s="57">
        <v>0</v>
      </c>
      <c r="Q172" s="57">
        <f t="shared" si="165"/>
        <v>0</v>
      </c>
      <c r="R172" s="58"/>
      <c r="S172" s="55">
        <v>0</v>
      </c>
      <c r="T172" s="57">
        <v>0</v>
      </c>
      <c r="U172" s="57">
        <f t="shared" si="166"/>
        <v>0</v>
      </c>
      <c r="V172" s="59"/>
      <c r="W172" s="124">
        <f t="shared" si="167"/>
        <v>0</v>
      </c>
      <c r="X172" s="57">
        <f t="shared" si="168"/>
        <v>0</v>
      </c>
      <c r="Y172" s="84">
        <f t="shared" si="169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0</v>
      </c>
      <c r="D173" s="153">
        <f>SUM(D157:D172)</f>
        <v>0</v>
      </c>
      <c r="E173" s="153">
        <f>SUM(E157:E172)</f>
        <v>0</v>
      </c>
      <c r="F173" s="154"/>
      <c r="G173" s="152">
        <f>SUM(G157:G172)</f>
        <v>0</v>
      </c>
      <c r="H173" s="155">
        <f>SUM(H157:H172)</f>
        <v>0</v>
      </c>
      <c r="I173" s="155">
        <f>SUM(I157:I172)</f>
        <v>0</v>
      </c>
      <c r="J173" s="154"/>
      <c r="K173" s="152">
        <f>SUM(K157:K172)</f>
        <v>0</v>
      </c>
      <c r="L173" s="155">
        <f>SUM(L157:L172)</f>
        <v>0</v>
      </c>
      <c r="M173" s="155">
        <f>SUM(M157:M172)</f>
        <v>0</v>
      </c>
      <c r="N173" s="154"/>
      <c r="O173" s="152">
        <f>SUM(O157:O172)</f>
        <v>0</v>
      </c>
      <c r="P173" s="155">
        <f>SUM(P157:P172)</f>
        <v>0</v>
      </c>
      <c r="Q173" s="155">
        <f>SUM(Q157:Q172)</f>
        <v>0</v>
      </c>
      <c r="R173" s="154"/>
      <c r="S173" s="152">
        <f>SUM(S157:S172)</f>
        <v>0</v>
      </c>
      <c r="T173" s="155">
        <f>SUM(T157:T172)</f>
        <v>0</v>
      </c>
      <c r="U173" s="155">
        <f>SUM(U157:U172)</f>
        <v>0</v>
      </c>
      <c r="V173" s="82"/>
      <c r="W173" s="228">
        <f t="shared" si="167"/>
        <v>0</v>
      </c>
      <c r="X173" s="80">
        <f t="shared" si="168"/>
        <v>0</v>
      </c>
      <c r="Y173" s="80">
        <f t="shared" si="169"/>
        <v>0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>(C173+ C155+C149+C141+C125)</f>
        <v>90142.932547916658</v>
      </c>
      <c r="D174" s="104">
        <f t="shared" ref="D174:Y174" si="170">(D173+ D155+D149+D141+D125)</f>
        <v>44378.75</v>
      </c>
      <c r="E174" s="104">
        <f t="shared" si="170"/>
        <v>134521.68254791666</v>
      </c>
      <c r="F174" s="104">
        <f t="shared" si="170"/>
        <v>0</v>
      </c>
      <c r="G174" s="104">
        <f t="shared" si="170"/>
        <v>92751.220524354154</v>
      </c>
      <c r="H174" s="104">
        <f t="shared" si="170"/>
        <v>45710.112500000003</v>
      </c>
      <c r="I174" s="104">
        <f t="shared" si="170"/>
        <v>138461.33302435416</v>
      </c>
      <c r="J174" s="104">
        <f t="shared" si="170"/>
        <v>0</v>
      </c>
      <c r="K174" s="104">
        <f t="shared" si="170"/>
        <v>95437.757140084796</v>
      </c>
      <c r="L174" s="104">
        <f t="shared" si="170"/>
        <v>47081.415874999999</v>
      </c>
      <c r="M174" s="104">
        <f t="shared" si="170"/>
        <v>142519.17301508479</v>
      </c>
      <c r="N174" s="104">
        <f t="shared" si="170"/>
        <v>0</v>
      </c>
      <c r="O174" s="104">
        <f t="shared" si="170"/>
        <v>98204.88985428735</v>
      </c>
      <c r="P174" s="104">
        <f t="shared" si="170"/>
        <v>48493.858351250004</v>
      </c>
      <c r="Q174" s="104">
        <f t="shared" si="170"/>
        <v>146698.74820553735</v>
      </c>
      <c r="R174" s="104">
        <f t="shared" si="170"/>
        <v>0</v>
      </c>
      <c r="S174" s="104">
        <f t="shared" si="170"/>
        <v>101055.03654991597</v>
      </c>
      <c r="T174" s="104">
        <f t="shared" si="170"/>
        <v>49948.674101787503</v>
      </c>
      <c r="U174" s="104">
        <f t="shared" si="170"/>
        <v>151003.71065170347</v>
      </c>
      <c r="V174" s="104">
        <f t="shared" si="170"/>
        <v>0</v>
      </c>
      <c r="W174" s="104">
        <f t="shared" si="170"/>
        <v>477591.83661655895</v>
      </c>
      <c r="X174" s="104">
        <f t="shared" si="170"/>
        <v>235612.8108280375</v>
      </c>
      <c r="Y174" s="104">
        <f t="shared" si="170"/>
        <v>713204.64744459651</v>
      </c>
      <c r="Z174" s="105" t="s">
        <v>57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((C125+C149+C173)*0.405)+0.6</f>
        <v>36508.487681906248</v>
      </c>
      <c r="D175" s="104">
        <v>0</v>
      </c>
      <c r="E175" s="104">
        <f>C175</f>
        <v>36508.487681906248</v>
      </c>
      <c r="F175" s="104">
        <f>(F125+F149+F173)*0.39</f>
        <v>0</v>
      </c>
      <c r="G175" s="104">
        <f>((G125+G149+G173)*0.405)+0.2</f>
        <v>37564.444312363434</v>
      </c>
      <c r="H175" s="104">
        <v>0</v>
      </c>
      <c r="I175" s="104">
        <f>G175</f>
        <v>37564.444312363434</v>
      </c>
      <c r="J175" s="104">
        <f>(J125+J149+J173)*0.39</f>
        <v>0</v>
      </c>
      <c r="K175" s="104">
        <f>(K125+K149+K173)*0.405</f>
        <v>38652.291641734344</v>
      </c>
      <c r="L175" s="104">
        <v>0</v>
      </c>
      <c r="M175" s="104">
        <f>K175</f>
        <v>38652.291641734344</v>
      </c>
      <c r="N175" s="104">
        <f>(N125+N149+N173)*0.39</f>
        <v>0</v>
      </c>
      <c r="O175" s="104">
        <f>(O125+O149+O173)*0.405</f>
        <v>39772.980390986377</v>
      </c>
      <c r="P175" s="104">
        <v>0</v>
      </c>
      <c r="Q175" s="104">
        <f>O175</f>
        <v>39772.980390986377</v>
      </c>
      <c r="R175" s="104">
        <f>(R125+R149+R173)*0.39</f>
        <v>0</v>
      </c>
      <c r="S175" s="104">
        <f>(S125+S149+S173)*0.405</f>
        <v>40927.289802715968</v>
      </c>
      <c r="T175" s="104">
        <v>0</v>
      </c>
      <c r="U175" s="104">
        <f>S175</f>
        <v>40927.289802715968</v>
      </c>
      <c r="V175" s="104">
        <f>(V125+V149+V173)*0.39</f>
        <v>0</v>
      </c>
      <c r="W175" s="104">
        <f>(W125+W149+W173)*0.405</f>
        <v>193424.69382970638</v>
      </c>
      <c r="X175" s="104">
        <v>0</v>
      </c>
      <c r="Y175" s="104">
        <f>W175</f>
        <v>193424.69382970638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</f>
        <v>126651.42022982291</v>
      </c>
      <c r="D176" s="104">
        <f t="shared" ref="D176:Y176" si="171">D174+D175</f>
        <v>44378.75</v>
      </c>
      <c r="E176" s="104">
        <f t="shared" si="171"/>
        <v>171030.17022982292</v>
      </c>
      <c r="F176" s="104">
        <f t="shared" si="171"/>
        <v>0</v>
      </c>
      <c r="G176" s="104">
        <f t="shared" si="171"/>
        <v>130315.66483671759</v>
      </c>
      <c r="H176" s="104">
        <f t="shared" si="171"/>
        <v>45710.112500000003</v>
      </c>
      <c r="I176" s="104">
        <f t="shared" si="171"/>
        <v>176025.77733671758</v>
      </c>
      <c r="J176" s="104">
        <f t="shared" si="171"/>
        <v>0</v>
      </c>
      <c r="K176" s="104">
        <f t="shared" si="171"/>
        <v>134090.04878181915</v>
      </c>
      <c r="L176" s="104">
        <f t="shared" si="171"/>
        <v>47081.415874999999</v>
      </c>
      <c r="M176" s="104">
        <f t="shared" si="171"/>
        <v>181171.46465681912</v>
      </c>
      <c r="N176" s="104">
        <f t="shared" si="171"/>
        <v>0</v>
      </c>
      <c r="O176" s="104">
        <f t="shared" si="171"/>
        <v>137977.87024527372</v>
      </c>
      <c r="P176" s="104">
        <f t="shared" si="171"/>
        <v>48493.858351250004</v>
      </c>
      <c r="Q176" s="104">
        <f t="shared" si="171"/>
        <v>186471.72859652372</v>
      </c>
      <c r="R176" s="104">
        <f t="shared" si="171"/>
        <v>0</v>
      </c>
      <c r="S176" s="104">
        <f t="shared" si="171"/>
        <v>141982.32635263194</v>
      </c>
      <c r="T176" s="104">
        <f t="shared" si="171"/>
        <v>49948.674101787503</v>
      </c>
      <c r="U176" s="104">
        <f t="shared" si="171"/>
        <v>191931.00045441944</v>
      </c>
      <c r="V176" s="104">
        <f t="shared" si="171"/>
        <v>0</v>
      </c>
      <c r="W176" s="104">
        <f t="shared" si="171"/>
        <v>671016.53044626536</v>
      </c>
      <c r="X176" s="104">
        <f t="shared" si="171"/>
        <v>235612.8108280375</v>
      </c>
      <c r="Y176" s="104">
        <f t="shared" si="171"/>
        <v>906629.34127430292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30" customFormat="1" x14ac:dyDescent="0.25">
      <c r="A177" s="24"/>
      <c r="B177" s="24"/>
      <c r="C177" s="27"/>
      <c r="D177" s="27"/>
      <c r="E177" s="28"/>
      <c r="F177" s="24"/>
      <c r="G177" s="27"/>
      <c r="H177" s="27"/>
      <c r="I177" s="28"/>
      <c r="J177" s="24"/>
      <c r="K177" s="27"/>
      <c r="L177" s="27"/>
      <c r="M177" s="28"/>
      <c r="N177" s="24"/>
      <c r="O177" s="27"/>
      <c r="P177" s="27"/>
      <c r="Q177" s="28"/>
      <c r="R177" s="24"/>
      <c r="S177" s="27"/>
      <c r="T177" s="27"/>
      <c r="U177" s="28"/>
      <c r="V177" s="29"/>
      <c r="W177" s="28"/>
      <c r="X177" s="28"/>
      <c r="Y177" s="27"/>
      <c r="Z177" s="28"/>
      <c r="AA177" s="28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77" customFormat="1" x14ac:dyDescent="0.25">
      <c r="A179" s="74" t="s">
        <v>5</v>
      </c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5"/>
      <c r="W179" s="74"/>
      <c r="X179" s="74"/>
      <c r="Y179" s="7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</row>
    <row r="180" spans="1:77" s="61" customFormat="1" x14ac:dyDescent="0.25">
      <c r="A180" s="54" t="s">
        <v>57</v>
      </c>
      <c r="B180" s="52" t="s">
        <v>57</v>
      </c>
      <c r="C180" s="124">
        <f>12000*0</f>
        <v>0</v>
      </c>
      <c r="D180" s="56">
        <v>0</v>
      </c>
      <c r="E180" s="56">
        <f t="shared" ref="E180:E185" si="172">SUM(C180:D180)</f>
        <v>0</v>
      </c>
      <c r="F180" s="58"/>
      <c r="G180" s="55">
        <f t="shared" ref="G180:H185" si="173">C180*1.03</f>
        <v>0</v>
      </c>
      <c r="H180" s="57">
        <f t="shared" si="173"/>
        <v>0</v>
      </c>
      <c r="I180" s="57">
        <f t="shared" ref="I180:I185" si="174">SUM(G180:H180)</f>
        <v>0</v>
      </c>
      <c r="J180" s="58"/>
      <c r="K180" s="55">
        <f t="shared" ref="K180:L185" si="175">G180*1.03</f>
        <v>0</v>
      </c>
      <c r="L180" s="57">
        <f t="shared" si="175"/>
        <v>0</v>
      </c>
      <c r="M180" s="57">
        <f t="shared" ref="M180:M185" si="176">SUM(K180:L180)</f>
        <v>0</v>
      </c>
      <c r="N180" s="58"/>
      <c r="O180" s="55">
        <f t="shared" ref="O180:P185" si="177">K180*1.03</f>
        <v>0</v>
      </c>
      <c r="P180" s="57">
        <f t="shared" si="177"/>
        <v>0</v>
      </c>
      <c r="Q180" s="57">
        <f t="shared" ref="Q180:Q185" si="178">SUM(O180:P180)</f>
        <v>0</v>
      </c>
      <c r="R180" s="58"/>
      <c r="S180" s="55">
        <f t="shared" ref="S180:T185" si="179">O180*1.03</f>
        <v>0</v>
      </c>
      <c r="T180" s="57">
        <f t="shared" si="179"/>
        <v>0</v>
      </c>
      <c r="U180" s="57">
        <f t="shared" ref="U180:U185" si="180">SUM(S180:T180)</f>
        <v>0</v>
      </c>
      <c r="V180" s="59"/>
      <c r="W180" s="124">
        <f t="shared" ref="W180:Y186" si="181">C180+G180+K180+O180+S180</f>
        <v>0</v>
      </c>
      <c r="X180" s="57">
        <f t="shared" si="181"/>
        <v>0</v>
      </c>
      <c r="Y180" s="84">
        <f t="shared" si="181"/>
        <v>0</v>
      </c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</row>
    <row r="181" spans="1:77" s="61" customFormat="1" x14ac:dyDescent="0.25">
      <c r="A181" s="192" t="s">
        <v>57</v>
      </c>
      <c r="B181" s="61" t="s">
        <v>120</v>
      </c>
      <c r="C181" s="124">
        <f>((92718*1.03)/1560)*(173.33*2)</f>
        <v>21221.711882307696</v>
      </c>
      <c r="D181" s="56">
        <f>((120000*1.03)/1560)*(173.33*2)*0</f>
        <v>0</v>
      </c>
      <c r="E181" s="56">
        <f t="shared" si="172"/>
        <v>21221.711882307696</v>
      </c>
      <c r="F181" s="58"/>
      <c r="G181" s="55">
        <f t="shared" si="173"/>
        <v>21858.363238776928</v>
      </c>
      <c r="H181" s="57">
        <f>(D181*1.03)</f>
        <v>0</v>
      </c>
      <c r="I181" s="57">
        <f t="shared" si="174"/>
        <v>21858.363238776928</v>
      </c>
      <c r="J181" s="58"/>
      <c r="K181" s="55">
        <f t="shared" si="175"/>
        <v>22514.114135940235</v>
      </c>
      <c r="L181" s="57">
        <f>(H181*1.03)</f>
        <v>0</v>
      </c>
      <c r="M181" s="57">
        <f t="shared" si="176"/>
        <v>22514.114135940235</v>
      </c>
      <c r="N181" s="58"/>
      <c r="O181" s="55">
        <f t="shared" si="177"/>
        <v>23189.537560018442</v>
      </c>
      <c r="P181" s="57">
        <f>(L181*1.03)</f>
        <v>0</v>
      </c>
      <c r="Q181" s="57">
        <f t="shared" si="178"/>
        <v>23189.537560018442</v>
      </c>
      <c r="R181" s="58"/>
      <c r="S181" s="55">
        <f t="shared" si="179"/>
        <v>23885.223686818994</v>
      </c>
      <c r="T181" s="57">
        <f>(P181*1.03)</f>
        <v>0</v>
      </c>
      <c r="U181" s="57">
        <f t="shared" si="180"/>
        <v>23885.223686818994</v>
      </c>
      <c r="V181" s="59"/>
      <c r="W181" s="124">
        <f t="shared" si="181"/>
        <v>112668.95050386229</v>
      </c>
      <c r="X181" s="57">
        <f t="shared" si="181"/>
        <v>0</v>
      </c>
      <c r="Y181" s="60">
        <f t="shared" si="181"/>
        <v>112668.95050386229</v>
      </c>
    </row>
    <row r="182" spans="1:77" s="61" customFormat="1" x14ac:dyDescent="0.25">
      <c r="A182" s="52"/>
      <c r="B182" s="52"/>
      <c r="C182" s="124">
        <v>0</v>
      </c>
      <c r="D182" s="56">
        <v>0</v>
      </c>
      <c r="E182" s="56">
        <f t="shared" si="172"/>
        <v>0</v>
      </c>
      <c r="F182" s="58"/>
      <c r="G182" s="55">
        <f t="shared" si="173"/>
        <v>0</v>
      </c>
      <c r="H182" s="57">
        <f t="shared" si="173"/>
        <v>0</v>
      </c>
      <c r="I182" s="57">
        <f t="shared" si="174"/>
        <v>0</v>
      </c>
      <c r="J182" s="58"/>
      <c r="K182" s="55">
        <f t="shared" si="175"/>
        <v>0</v>
      </c>
      <c r="L182" s="57">
        <f t="shared" si="175"/>
        <v>0</v>
      </c>
      <c r="M182" s="57">
        <f t="shared" si="176"/>
        <v>0</v>
      </c>
      <c r="N182" s="58"/>
      <c r="O182" s="55">
        <f t="shared" si="177"/>
        <v>0</v>
      </c>
      <c r="P182" s="57">
        <f t="shared" si="177"/>
        <v>0</v>
      </c>
      <c r="Q182" s="57">
        <f t="shared" si="178"/>
        <v>0</v>
      </c>
      <c r="R182" s="58"/>
      <c r="S182" s="55">
        <f t="shared" si="179"/>
        <v>0</v>
      </c>
      <c r="T182" s="57">
        <f t="shared" si="179"/>
        <v>0</v>
      </c>
      <c r="U182" s="57">
        <f t="shared" si="180"/>
        <v>0</v>
      </c>
      <c r="V182" s="59"/>
      <c r="W182" s="124">
        <f t="shared" si="181"/>
        <v>0</v>
      </c>
      <c r="X182" s="57">
        <f t="shared" si="181"/>
        <v>0</v>
      </c>
      <c r="Y182" s="84">
        <f t="shared" si="181"/>
        <v>0</v>
      </c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</row>
    <row r="183" spans="1:77" s="61" customFormat="1" x14ac:dyDescent="0.25">
      <c r="A183" s="52"/>
      <c r="B183" s="52"/>
      <c r="C183" s="124">
        <v>0</v>
      </c>
      <c r="D183" s="56">
        <v>0</v>
      </c>
      <c r="E183" s="56">
        <f t="shared" si="172"/>
        <v>0</v>
      </c>
      <c r="F183" s="58"/>
      <c r="G183" s="55">
        <f t="shared" ref="G183" si="182">C183*1.03</f>
        <v>0</v>
      </c>
      <c r="H183" s="57">
        <f t="shared" ref="H183" si="183">D183*1.03</f>
        <v>0</v>
      </c>
      <c r="I183" s="57">
        <f t="shared" si="174"/>
        <v>0</v>
      </c>
      <c r="J183" s="58"/>
      <c r="K183" s="55">
        <f t="shared" ref="K183" si="184">G183*1.03</f>
        <v>0</v>
      </c>
      <c r="L183" s="57">
        <f t="shared" ref="L183" si="185">H183*1.03</f>
        <v>0</v>
      </c>
      <c r="M183" s="57">
        <f t="shared" si="176"/>
        <v>0</v>
      </c>
      <c r="N183" s="58"/>
      <c r="O183" s="55">
        <f t="shared" ref="O183" si="186">K183*1.03</f>
        <v>0</v>
      </c>
      <c r="P183" s="57">
        <f t="shared" ref="P183" si="187">L183*1.03</f>
        <v>0</v>
      </c>
      <c r="Q183" s="57">
        <f t="shared" si="178"/>
        <v>0</v>
      </c>
      <c r="R183" s="58"/>
      <c r="S183" s="55">
        <f t="shared" ref="S183" si="188">O183*1.03</f>
        <v>0</v>
      </c>
      <c r="T183" s="57">
        <f t="shared" ref="T183" si="189">P183*1.03</f>
        <v>0</v>
      </c>
      <c r="U183" s="57">
        <f t="shared" si="180"/>
        <v>0</v>
      </c>
      <c r="V183" s="59"/>
      <c r="W183" s="124">
        <f t="shared" ref="W183" si="190">C183+G183+K183+O183+S183</f>
        <v>0</v>
      </c>
      <c r="X183" s="57">
        <f t="shared" ref="X183" si="191">D183+H183+L183+P183+T183</f>
        <v>0</v>
      </c>
      <c r="Y183" s="84">
        <f t="shared" ref="Y183" si="192">E183+I183+M183+Q183+U183</f>
        <v>0</v>
      </c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</row>
    <row r="184" spans="1:77" s="61" customFormat="1" x14ac:dyDescent="0.25">
      <c r="A184" s="52"/>
      <c r="B184" s="52"/>
      <c r="C184" s="124">
        <v>0</v>
      </c>
      <c r="D184" s="56">
        <v>0</v>
      </c>
      <c r="E184" s="56">
        <f t="shared" si="172"/>
        <v>0</v>
      </c>
      <c r="F184" s="58"/>
      <c r="G184" s="55">
        <f t="shared" si="173"/>
        <v>0</v>
      </c>
      <c r="H184" s="57">
        <f t="shared" si="173"/>
        <v>0</v>
      </c>
      <c r="I184" s="57">
        <f t="shared" si="174"/>
        <v>0</v>
      </c>
      <c r="J184" s="58"/>
      <c r="K184" s="55">
        <f t="shared" si="175"/>
        <v>0</v>
      </c>
      <c r="L184" s="57">
        <f t="shared" si="175"/>
        <v>0</v>
      </c>
      <c r="M184" s="57">
        <f t="shared" si="176"/>
        <v>0</v>
      </c>
      <c r="N184" s="58"/>
      <c r="O184" s="55">
        <f t="shared" si="177"/>
        <v>0</v>
      </c>
      <c r="P184" s="57">
        <f t="shared" si="177"/>
        <v>0</v>
      </c>
      <c r="Q184" s="57">
        <f t="shared" si="178"/>
        <v>0</v>
      </c>
      <c r="R184" s="58"/>
      <c r="S184" s="55">
        <f t="shared" si="179"/>
        <v>0</v>
      </c>
      <c r="T184" s="57">
        <f t="shared" si="179"/>
        <v>0</v>
      </c>
      <c r="U184" s="57">
        <f t="shared" si="180"/>
        <v>0</v>
      </c>
      <c r="V184" s="59"/>
      <c r="W184" s="124">
        <f t="shared" si="181"/>
        <v>0</v>
      </c>
      <c r="X184" s="57">
        <f t="shared" si="181"/>
        <v>0</v>
      </c>
      <c r="Y184" s="84">
        <f t="shared" si="181"/>
        <v>0</v>
      </c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</row>
    <row r="185" spans="1:77" s="61" customFormat="1" x14ac:dyDescent="0.25">
      <c r="A185" s="52"/>
      <c r="B185" s="52"/>
      <c r="C185" s="124">
        <v>0</v>
      </c>
      <c r="D185" s="56">
        <v>0</v>
      </c>
      <c r="E185" s="56">
        <f t="shared" si="172"/>
        <v>0</v>
      </c>
      <c r="F185" s="58"/>
      <c r="G185" s="55">
        <f t="shared" si="173"/>
        <v>0</v>
      </c>
      <c r="H185" s="57">
        <f t="shared" si="173"/>
        <v>0</v>
      </c>
      <c r="I185" s="57">
        <f t="shared" si="174"/>
        <v>0</v>
      </c>
      <c r="J185" s="58"/>
      <c r="K185" s="55">
        <f t="shared" si="175"/>
        <v>0</v>
      </c>
      <c r="L185" s="57">
        <f t="shared" si="175"/>
        <v>0</v>
      </c>
      <c r="M185" s="57">
        <f t="shared" si="176"/>
        <v>0</v>
      </c>
      <c r="N185" s="58"/>
      <c r="O185" s="55">
        <f t="shared" si="177"/>
        <v>0</v>
      </c>
      <c r="P185" s="57">
        <f t="shared" si="177"/>
        <v>0</v>
      </c>
      <c r="Q185" s="57">
        <f t="shared" si="178"/>
        <v>0</v>
      </c>
      <c r="R185" s="58"/>
      <c r="S185" s="55">
        <f t="shared" si="179"/>
        <v>0</v>
      </c>
      <c r="T185" s="57">
        <f t="shared" si="179"/>
        <v>0</v>
      </c>
      <c r="U185" s="57">
        <f t="shared" si="180"/>
        <v>0</v>
      </c>
      <c r="V185" s="59"/>
      <c r="W185" s="124">
        <f t="shared" si="181"/>
        <v>0</v>
      </c>
      <c r="X185" s="57">
        <f t="shared" si="181"/>
        <v>0</v>
      </c>
      <c r="Y185" s="84">
        <f t="shared" si="181"/>
        <v>0</v>
      </c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</row>
    <row r="186" spans="1:77" s="83" customFormat="1" x14ac:dyDescent="0.25">
      <c r="A186" s="78"/>
      <c r="B186" s="78" t="s">
        <v>9</v>
      </c>
      <c r="C186" s="228">
        <f>SUM(C180:C185)</f>
        <v>21221.711882307696</v>
      </c>
      <c r="D186" s="125">
        <f>SUM(D180:D185)</f>
        <v>0</v>
      </c>
      <c r="E186" s="125">
        <f>SUM(E180:E185)</f>
        <v>21221.711882307696</v>
      </c>
      <c r="F186" s="81"/>
      <c r="G186" s="79">
        <f>SUM(G180:G185)</f>
        <v>21858.363238776928</v>
      </c>
      <c r="H186" s="80">
        <f>SUM(H180:H185)</f>
        <v>0</v>
      </c>
      <c r="I186" s="80">
        <f>SUM(I180:I185)</f>
        <v>21858.363238776928</v>
      </c>
      <c r="J186" s="81"/>
      <c r="K186" s="79">
        <f>SUM(K180:K185)</f>
        <v>22514.114135940235</v>
      </c>
      <c r="L186" s="80">
        <f>SUM(L180:L185)</f>
        <v>0</v>
      </c>
      <c r="M186" s="80">
        <f>SUM(M180:M185)</f>
        <v>22514.114135940235</v>
      </c>
      <c r="N186" s="81"/>
      <c r="O186" s="79">
        <f>SUM(O180:O185)</f>
        <v>23189.537560018442</v>
      </c>
      <c r="P186" s="80">
        <f>SUM(P180:P185)</f>
        <v>0</v>
      </c>
      <c r="Q186" s="80">
        <f>SUM(Q180:Q185)</f>
        <v>23189.537560018442</v>
      </c>
      <c r="R186" s="81"/>
      <c r="S186" s="79">
        <f>SUM(S180:S185)</f>
        <v>23885.223686818994</v>
      </c>
      <c r="T186" s="80">
        <f>SUM(T180:T185)</f>
        <v>0</v>
      </c>
      <c r="U186" s="80">
        <f>SUM(U180:U185)</f>
        <v>23885.223686818994</v>
      </c>
      <c r="V186" s="82"/>
      <c r="W186" s="228">
        <f t="shared" si="181"/>
        <v>112668.95050386229</v>
      </c>
      <c r="X186" s="80">
        <f t="shared" si="181"/>
        <v>0</v>
      </c>
      <c r="Y186" s="80">
        <f t="shared" si="181"/>
        <v>112668.95050386229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A188" s="54"/>
      <c r="B188" s="52" t="s">
        <v>187</v>
      </c>
      <c r="C188" s="124">
        <f>(68000*0.5)</f>
        <v>34000</v>
      </c>
      <c r="D188" s="56">
        <f>68000*0.5</f>
        <v>34000</v>
      </c>
      <c r="E188" s="56">
        <f t="shared" ref="E188:E194" si="193">SUM(C188:D188)</f>
        <v>68000</v>
      </c>
      <c r="F188" s="58"/>
      <c r="G188" s="55">
        <f>(C188*1.03)</f>
        <v>35020</v>
      </c>
      <c r="H188" s="57">
        <f>D188*1.03</f>
        <v>35020</v>
      </c>
      <c r="I188" s="57">
        <f t="shared" ref="I188:I194" si="194">SUM(G188:H188)</f>
        <v>70040</v>
      </c>
      <c r="J188" s="58"/>
      <c r="K188" s="55">
        <f>(G188*1.03)</f>
        <v>36070.6</v>
      </c>
      <c r="L188" s="57">
        <f>(H188*1.03)</f>
        <v>36070.6</v>
      </c>
      <c r="M188" s="57">
        <f t="shared" ref="M188:M194" si="195">SUM(K188:L188)</f>
        <v>72141.2</v>
      </c>
      <c r="N188" s="58"/>
      <c r="O188" s="55">
        <f>(K188*1.03)</f>
        <v>37152.718000000001</v>
      </c>
      <c r="P188" s="57">
        <f>(L188*1.03)</f>
        <v>37152.718000000001</v>
      </c>
      <c r="Q188" s="57">
        <f t="shared" ref="Q188:Q194" si="196">SUM(O188:P188)</f>
        <v>74305.436000000002</v>
      </c>
      <c r="R188" s="58"/>
      <c r="S188" s="55">
        <f>(O188*1.03)</f>
        <v>38267.29954</v>
      </c>
      <c r="T188" s="57">
        <f>P188*1.03</f>
        <v>38267.29954</v>
      </c>
      <c r="U188" s="57">
        <f t="shared" ref="U188:U194" si="197">SUM(S188:T188)</f>
        <v>76534.59908</v>
      </c>
      <c r="V188" s="59"/>
      <c r="W188" s="124">
        <f t="shared" ref="W188:Y195" si="198">C188+G188+K188+O188+S188</f>
        <v>180510.61754000001</v>
      </c>
      <c r="X188" s="57">
        <f t="shared" si="198"/>
        <v>180510.61754000001</v>
      </c>
      <c r="Y188" s="84">
        <f t="shared" si="198"/>
        <v>361021.23508000001</v>
      </c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</row>
    <row r="189" spans="1:77" s="61" customFormat="1" x14ac:dyDescent="0.25">
      <c r="A189" s="52"/>
      <c r="B189" s="54"/>
      <c r="C189" s="124">
        <v>0</v>
      </c>
      <c r="D189" s="56">
        <v>0</v>
      </c>
      <c r="E189" s="56">
        <f t="shared" si="193"/>
        <v>0</v>
      </c>
      <c r="F189" s="58"/>
      <c r="G189" s="55">
        <f t="shared" ref="G189:H194" si="199">C189*1.03</f>
        <v>0</v>
      </c>
      <c r="H189" s="57">
        <f t="shared" si="199"/>
        <v>0</v>
      </c>
      <c r="I189" s="57">
        <f t="shared" si="194"/>
        <v>0</v>
      </c>
      <c r="J189" s="58"/>
      <c r="K189" s="55">
        <f t="shared" ref="K189:L194" si="200">G189*1.03</f>
        <v>0</v>
      </c>
      <c r="L189" s="57">
        <f t="shared" si="200"/>
        <v>0</v>
      </c>
      <c r="M189" s="57">
        <f t="shared" si="195"/>
        <v>0</v>
      </c>
      <c r="N189" s="58"/>
      <c r="O189" s="55">
        <f t="shared" ref="O189:P194" si="201">K189*1.03</f>
        <v>0</v>
      </c>
      <c r="P189" s="57">
        <f t="shared" si="201"/>
        <v>0</v>
      </c>
      <c r="Q189" s="57">
        <f t="shared" si="196"/>
        <v>0</v>
      </c>
      <c r="R189" s="58"/>
      <c r="S189" s="55">
        <f t="shared" ref="S189:T194" si="202">O189*1.03</f>
        <v>0</v>
      </c>
      <c r="T189" s="57">
        <f t="shared" si="202"/>
        <v>0</v>
      </c>
      <c r="U189" s="57">
        <f t="shared" si="197"/>
        <v>0</v>
      </c>
      <c r="V189" s="59"/>
      <c r="W189" s="124">
        <f t="shared" si="198"/>
        <v>0</v>
      </c>
      <c r="X189" s="57">
        <f t="shared" si="198"/>
        <v>0</v>
      </c>
      <c r="Y189" s="84">
        <f t="shared" si="198"/>
        <v>0</v>
      </c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</row>
    <row r="190" spans="1:77" s="61" customFormat="1" x14ac:dyDescent="0.25">
      <c r="A190" s="52"/>
      <c r="B190" s="52"/>
      <c r="C190" s="124">
        <v>0</v>
      </c>
      <c r="D190" s="56">
        <v>0</v>
      </c>
      <c r="E190" s="56">
        <f t="shared" si="193"/>
        <v>0</v>
      </c>
      <c r="F190" s="58"/>
      <c r="G190" s="55">
        <f t="shared" si="199"/>
        <v>0</v>
      </c>
      <c r="H190" s="57">
        <f t="shared" si="199"/>
        <v>0</v>
      </c>
      <c r="I190" s="57">
        <f t="shared" si="194"/>
        <v>0</v>
      </c>
      <c r="J190" s="58"/>
      <c r="K190" s="55">
        <f t="shared" si="200"/>
        <v>0</v>
      </c>
      <c r="L190" s="57">
        <f t="shared" si="200"/>
        <v>0</v>
      </c>
      <c r="M190" s="57">
        <f t="shared" si="195"/>
        <v>0</v>
      </c>
      <c r="N190" s="58"/>
      <c r="O190" s="55">
        <f t="shared" si="201"/>
        <v>0</v>
      </c>
      <c r="P190" s="57">
        <f t="shared" si="201"/>
        <v>0</v>
      </c>
      <c r="Q190" s="57">
        <f t="shared" si="196"/>
        <v>0</v>
      </c>
      <c r="R190" s="58"/>
      <c r="S190" s="55">
        <f t="shared" si="202"/>
        <v>0</v>
      </c>
      <c r="T190" s="57">
        <f t="shared" si="202"/>
        <v>0</v>
      </c>
      <c r="U190" s="57">
        <f t="shared" si="197"/>
        <v>0</v>
      </c>
      <c r="V190" s="59"/>
      <c r="W190" s="124">
        <f t="shared" si="198"/>
        <v>0</v>
      </c>
      <c r="X190" s="57">
        <f t="shared" si="198"/>
        <v>0</v>
      </c>
      <c r="Y190" s="84">
        <f t="shared" si="198"/>
        <v>0</v>
      </c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s="61" customFormat="1" x14ac:dyDescent="0.25">
      <c r="A191" s="87"/>
      <c r="B191" s="52"/>
      <c r="C191" s="124">
        <v>0</v>
      </c>
      <c r="D191" s="56">
        <v>0</v>
      </c>
      <c r="E191" s="56">
        <f t="shared" si="193"/>
        <v>0</v>
      </c>
      <c r="F191" s="58"/>
      <c r="G191" s="55">
        <f t="shared" si="199"/>
        <v>0</v>
      </c>
      <c r="H191" s="57">
        <f t="shared" si="199"/>
        <v>0</v>
      </c>
      <c r="I191" s="57">
        <f t="shared" si="194"/>
        <v>0</v>
      </c>
      <c r="J191" s="58"/>
      <c r="K191" s="55">
        <f t="shared" si="200"/>
        <v>0</v>
      </c>
      <c r="L191" s="57">
        <f t="shared" si="200"/>
        <v>0</v>
      </c>
      <c r="M191" s="57">
        <f t="shared" si="195"/>
        <v>0</v>
      </c>
      <c r="N191" s="58"/>
      <c r="O191" s="55">
        <f t="shared" si="201"/>
        <v>0</v>
      </c>
      <c r="P191" s="57">
        <f t="shared" si="201"/>
        <v>0</v>
      </c>
      <c r="Q191" s="57">
        <f t="shared" si="196"/>
        <v>0</v>
      </c>
      <c r="R191" s="58"/>
      <c r="S191" s="55">
        <f t="shared" si="202"/>
        <v>0</v>
      </c>
      <c r="T191" s="57">
        <f t="shared" si="202"/>
        <v>0</v>
      </c>
      <c r="U191" s="57">
        <f t="shared" si="197"/>
        <v>0</v>
      </c>
      <c r="V191" s="59"/>
      <c r="W191" s="124">
        <f t="shared" si="198"/>
        <v>0</v>
      </c>
      <c r="X191" s="57">
        <f t="shared" si="198"/>
        <v>0</v>
      </c>
      <c r="Y191" s="84">
        <f t="shared" si="198"/>
        <v>0</v>
      </c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</row>
    <row r="192" spans="1:77" s="61" customFormat="1" x14ac:dyDescent="0.25">
      <c r="A192" s="52"/>
      <c r="B192" s="52"/>
      <c r="C192" s="124">
        <v>0</v>
      </c>
      <c r="D192" s="56">
        <v>0</v>
      </c>
      <c r="E192" s="56">
        <f t="shared" si="193"/>
        <v>0</v>
      </c>
      <c r="F192" s="58"/>
      <c r="G192" s="55">
        <f t="shared" si="199"/>
        <v>0</v>
      </c>
      <c r="H192" s="57">
        <f t="shared" si="199"/>
        <v>0</v>
      </c>
      <c r="I192" s="57">
        <f t="shared" si="194"/>
        <v>0</v>
      </c>
      <c r="J192" s="58"/>
      <c r="K192" s="55">
        <f t="shared" si="200"/>
        <v>0</v>
      </c>
      <c r="L192" s="57">
        <f t="shared" si="200"/>
        <v>0</v>
      </c>
      <c r="M192" s="57">
        <f t="shared" si="195"/>
        <v>0</v>
      </c>
      <c r="N192" s="58"/>
      <c r="O192" s="55">
        <f t="shared" si="201"/>
        <v>0</v>
      </c>
      <c r="P192" s="57">
        <f t="shared" si="201"/>
        <v>0</v>
      </c>
      <c r="Q192" s="57">
        <f t="shared" si="196"/>
        <v>0</v>
      </c>
      <c r="R192" s="58"/>
      <c r="S192" s="55">
        <f t="shared" si="202"/>
        <v>0</v>
      </c>
      <c r="T192" s="57">
        <f t="shared" si="202"/>
        <v>0</v>
      </c>
      <c r="U192" s="57">
        <f t="shared" si="197"/>
        <v>0</v>
      </c>
      <c r="V192" s="59"/>
      <c r="W192" s="124">
        <f t="shared" si="198"/>
        <v>0</v>
      </c>
      <c r="X192" s="57">
        <f t="shared" si="198"/>
        <v>0</v>
      </c>
      <c r="Y192" s="84">
        <f t="shared" si="198"/>
        <v>0</v>
      </c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si="193"/>
        <v>0</v>
      </c>
      <c r="F193" s="58"/>
      <c r="G193" s="55">
        <f t="shared" si="199"/>
        <v>0</v>
      </c>
      <c r="H193" s="57">
        <f t="shared" si="199"/>
        <v>0</v>
      </c>
      <c r="I193" s="57">
        <f t="shared" si="194"/>
        <v>0</v>
      </c>
      <c r="J193" s="58"/>
      <c r="K193" s="55">
        <f t="shared" si="200"/>
        <v>0</v>
      </c>
      <c r="L193" s="57">
        <f t="shared" si="200"/>
        <v>0</v>
      </c>
      <c r="M193" s="57">
        <f t="shared" si="195"/>
        <v>0</v>
      </c>
      <c r="N193" s="58"/>
      <c r="O193" s="55">
        <f t="shared" si="201"/>
        <v>0</v>
      </c>
      <c r="P193" s="57">
        <f t="shared" si="201"/>
        <v>0</v>
      </c>
      <c r="Q193" s="57">
        <f t="shared" si="196"/>
        <v>0</v>
      </c>
      <c r="R193" s="58"/>
      <c r="S193" s="55">
        <f t="shared" si="202"/>
        <v>0</v>
      </c>
      <c r="T193" s="57">
        <f t="shared" si="202"/>
        <v>0</v>
      </c>
      <c r="U193" s="57">
        <f t="shared" si="197"/>
        <v>0</v>
      </c>
      <c r="V193" s="59"/>
      <c r="W193" s="124">
        <f t="shared" si="198"/>
        <v>0</v>
      </c>
      <c r="X193" s="57">
        <f t="shared" si="198"/>
        <v>0</v>
      </c>
      <c r="Y193" s="84">
        <f t="shared" si="198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193"/>
        <v>0</v>
      </c>
      <c r="F194" s="74"/>
      <c r="G194" s="55">
        <f t="shared" si="199"/>
        <v>0</v>
      </c>
      <c r="H194" s="57">
        <f t="shared" si="199"/>
        <v>0</v>
      </c>
      <c r="I194" s="57">
        <f t="shared" si="194"/>
        <v>0</v>
      </c>
      <c r="J194" s="74"/>
      <c r="K194" s="55">
        <f t="shared" si="200"/>
        <v>0</v>
      </c>
      <c r="L194" s="57">
        <f t="shared" si="200"/>
        <v>0</v>
      </c>
      <c r="M194" s="57">
        <f t="shared" si="195"/>
        <v>0</v>
      </c>
      <c r="N194" s="74"/>
      <c r="O194" s="55">
        <f t="shared" si="201"/>
        <v>0</v>
      </c>
      <c r="P194" s="57">
        <f t="shared" si="201"/>
        <v>0</v>
      </c>
      <c r="Q194" s="57">
        <f t="shared" si="196"/>
        <v>0</v>
      </c>
      <c r="R194" s="74"/>
      <c r="S194" s="55">
        <f t="shared" si="202"/>
        <v>0</v>
      </c>
      <c r="T194" s="57">
        <f t="shared" si="202"/>
        <v>0</v>
      </c>
      <c r="U194" s="57">
        <f t="shared" si="197"/>
        <v>0</v>
      </c>
      <c r="V194" s="59"/>
      <c r="W194" s="124">
        <f t="shared" si="198"/>
        <v>0</v>
      </c>
      <c r="X194" s="57">
        <f t="shared" si="198"/>
        <v>0</v>
      </c>
      <c r="Y194" s="84">
        <f t="shared" si="198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34000</v>
      </c>
      <c r="D195" s="125">
        <f>SUM(D188:D194)</f>
        <v>34000</v>
      </c>
      <c r="E195" s="125">
        <f>SUM(E188:E194)</f>
        <v>68000</v>
      </c>
      <c r="F195" s="81"/>
      <c r="G195" s="79">
        <f>SUM(G188:G194)</f>
        <v>35020</v>
      </c>
      <c r="H195" s="80">
        <f>SUM(H188:H194)</f>
        <v>35020</v>
      </c>
      <c r="I195" s="80">
        <f>SUM(I188:I194)</f>
        <v>70040</v>
      </c>
      <c r="J195" s="81"/>
      <c r="K195" s="79">
        <f>SUM(K188:K194)</f>
        <v>36070.6</v>
      </c>
      <c r="L195" s="80">
        <f>SUM(L188:L194)</f>
        <v>36070.6</v>
      </c>
      <c r="M195" s="80">
        <f>SUM(M188:M194)</f>
        <v>72141.2</v>
      </c>
      <c r="N195" s="81"/>
      <c r="O195" s="79">
        <f>SUM(O188:O194)</f>
        <v>37152.718000000001</v>
      </c>
      <c r="P195" s="80">
        <f>SUM(P188:P194)</f>
        <v>37152.718000000001</v>
      </c>
      <c r="Q195" s="80">
        <f>SUM(Q188:Q194)</f>
        <v>74305.436000000002</v>
      </c>
      <c r="R195" s="81"/>
      <c r="S195" s="79">
        <f>SUM(S188:S194)</f>
        <v>38267.29954</v>
      </c>
      <c r="T195" s="80">
        <f>SUM(T188:T194)</f>
        <v>38267.29954</v>
      </c>
      <c r="U195" s="80">
        <f>SUM(U188:U194)</f>
        <v>76534.59908</v>
      </c>
      <c r="V195" s="82"/>
      <c r="W195" s="228">
        <f t="shared" si="198"/>
        <v>180510.61754000001</v>
      </c>
      <c r="X195" s="80">
        <f t="shared" si="198"/>
        <v>180510.61754000001</v>
      </c>
      <c r="Y195" s="80">
        <f t="shared" si="198"/>
        <v>361021.23508000001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>C195+C186</f>
        <v>55221.711882307696</v>
      </c>
      <c r="D196" s="107">
        <f>D195+D186</f>
        <v>34000</v>
      </c>
      <c r="E196" s="107">
        <f t="shared" ref="E196:X196" si="203">E195+E186</f>
        <v>89221.711882307689</v>
      </c>
      <c r="F196" s="107">
        <f t="shared" si="203"/>
        <v>0</v>
      </c>
      <c r="G196" s="107">
        <f t="shared" si="203"/>
        <v>56878.363238776932</v>
      </c>
      <c r="H196" s="107">
        <f t="shared" si="203"/>
        <v>35020</v>
      </c>
      <c r="I196" s="107">
        <f t="shared" si="203"/>
        <v>91898.363238776932</v>
      </c>
      <c r="J196" s="107">
        <f t="shared" si="203"/>
        <v>0</v>
      </c>
      <c r="K196" s="107">
        <f t="shared" si="203"/>
        <v>58584.71413594023</v>
      </c>
      <c r="L196" s="107">
        <f t="shared" si="203"/>
        <v>36070.6</v>
      </c>
      <c r="M196" s="107">
        <f t="shared" si="203"/>
        <v>94655.314135940236</v>
      </c>
      <c r="N196" s="107">
        <f t="shared" si="203"/>
        <v>0</v>
      </c>
      <c r="O196" s="107">
        <f t="shared" si="203"/>
        <v>60342.255560018442</v>
      </c>
      <c r="P196" s="107">
        <f t="shared" si="203"/>
        <v>37152.718000000001</v>
      </c>
      <c r="Q196" s="107">
        <f t="shared" si="203"/>
        <v>97494.973560018436</v>
      </c>
      <c r="R196" s="107">
        <f t="shared" si="203"/>
        <v>0</v>
      </c>
      <c r="S196" s="107">
        <f t="shared" si="203"/>
        <v>62152.523226818994</v>
      </c>
      <c r="T196" s="107">
        <f t="shared" si="203"/>
        <v>38267.29954</v>
      </c>
      <c r="U196" s="107">
        <f t="shared" si="203"/>
        <v>100419.82276681899</v>
      </c>
      <c r="V196" s="107">
        <f t="shared" si="203"/>
        <v>0</v>
      </c>
      <c r="W196" s="107">
        <f t="shared" si="203"/>
        <v>293179.56804386229</v>
      </c>
      <c r="X196" s="107">
        <f t="shared" si="203"/>
        <v>180510.61754000001</v>
      </c>
      <c r="Y196" s="108">
        <f>E196+I196+M196+Q196+U196</f>
        <v>473690.1855838623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77" customFormat="1" x14ac:dyDescent="0.25">
      <c r="A197" s="74" t="s">
        <v>6</v>
      </c>
      <c r="B197" s="74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129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s="61" customFormat="1" x14ac:dyDescent="0.25">
      <c r="A198" s="50">
        <v>3.6999999999999998E-2</v>
      </c>
      <c r="B198" s="52" t="s">
        <v>107</v>
      </c>
      <c r="C198" s="124">
        <v>0</v>
      </c>
      <c r="D198" s="56">
        <v>0</v>
      </c>
      <c r="E198" s="56">
        <f t="shared" ref="E198:E203" si="204">SUM(C198:D198)</f>
        <v>0</v>
      </c>
      <c r="F198" s="58"/>
      <c r="G198" s="55">
        <f>C198*1.05</f>
        <v>0</v>
      </c>
      <c r="H198" s="57">
        <f>D198*1.05</f>
        <v>0</v>
      </c>
      <c r="I198" s="57">
        <f t="shared" ref="I198:I203" si="205">SUM(G198:H198)</f>
        <v>0</v>
      </c>
      <c r="J198" s="58"/>
      <c r="K198" s="55">
        <f>G198*1.05</f>
        <v>0</v>
      </c>
      <c r="L198" s="57">
        <f>H198*1.05</f>
        <v>0</v>
      </c>
      <c r="M198" s="57">
        <f t="shared" ref="M198:M203" si="206">SUM(K198:L198)</f>
        <v>0</v>
      </c>
      <c r="N198" s="58"/>
      <c r="O198" s="55">
        <f>K198*1.05</f>
        <v>0</v>
      </c>
      <c r="P198" s="57">
        <f>L198*1.05</f>
        <v>0</v>
      </c>
      <c r="Q198" s="57">
        <f t="shared" ref="Q198:Q203" si="207">SUM(O198:P198)</f>
        <v>0</v>
      </c>
      <c r="R198" s="58"/>
      <c r="S198" s="55">
        <f>O198*1.05</f>
        <v>0</v>
      </c>
      <c r="T198" s="57">
        <f>P198*1.05</f>
        <v>0</v>
      </c>
      <c r="U198" s="57">
        <f t="shared" ref="U198:U203" si="208">SUM(S198:T198)</f>
        <v>0</v>
      </c>
      <c r="V198" s="59"/>
      <c r="W198" s="124">
        <f t="shared" ref="W198:Y204" si="209">C198+G198+K198+O198+S198</f>
        <v>0</v>
      </c>
      <c r="X198" s="57">
        <f t="shared" si="209"/>
        <v>0</v>
      </c>
      <c r="Y198" s="84">
        <f t="shared" si="209"/>
        <v>0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C186*A199</f>
        <v>2228.2797476423079</v>
      </c>
      <c r="D199" s="56">
        <f>D186*A199</f>
        <v>0</v>
      </c>
      <c r="E199" s="56">
        <f t="shared" si="204"/>
        <v>2228.2797476423079</v>
      </c>
      <c r="F199" s="58"/>
      <c r="G199" s="124">
        <f>G186*A199*1.03</f>
        <v>2363.9819842737247</v>
      </c>
      <c r="H199" s="56">
        <f>H186*A199*1.03</f>
        <v>0</v>
      </c>
      <c r="I199" s="57">
        <f t="shared" si="205"/>
        <v>2363.9819842737247</v>
      </c>
      <c r="J199" s="58"/>
      <c r="K199" s="124">
        <f>K186*A199*1.03*1.03</f>
        <v>2507.9484871159948</v>
      </c>
      <c r="L199" s="56">
        <f>L186*A199*1.03*1.03</f>
        <v>0</v>
      </c>
      <c r="M199" s="57">
        <f t="shared" si="206"/>
        <v>2507.9484871159948</v>
      </c>
      <c r="N199" s="58"/>
      <c r="O199" s="124">
        <f>O186*A199*1.03*1.03*1.03</f>
        <v>2660.6825499813585</v>
      </c>
      <c r="P199" s="56">
        <f>P186*A199*1.03*1.03*1.03</f>
        <v>0</v>
      </c>
      <c r="Q199" s="57">
        <f t="shared" si="207"/>
        <v>2660.6825499813585</v>
      </c>
      <c r="R199" s="58"/>
      <c r="S199" s="124">
        <f>S186*A199*1.03*1.03*1.03*1.03</f>
        <v>2822.7181172752234</v>
      </c>
      <c r="T199" s="56">
        <f>T186*A199*1.03*1.03*1.03*1.03</f>
        <v>0</v>
      </c>
      <c r="U199" s="57">
        <f t="shared" si="208"/>
        <v>2822.7181172752234</v>
      </c>
      <c r="V199" s="59"/>
      <c r="W199" s="124">
        <f t="shared" si="209"/>
        <v>12583.61088628861</v>
      </c>
      <c r="X199" s="57">
        <f t="shared" si="209"/>
        <v>0</v>
      </c>
      <c r="Y199" s="84">
        <f t="shared" si="209"/>
        <v>12583.61088628861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61" customFormat="1" x14ac:dyDescent="0.25">
      <c r="A200" s="3">
        <v>0.36099999999999999</v>
      </c>
      <c r="B200" s="52" t="s">
        <v>52</v>
      </c>
      <c r="C200" s="124">
        <f>(C186)*A201*0</f>
        <v>0</v>
      </c>
      <c r="D200" s="151">
        <f>D186*A201*0</f>
        <v>0</v>
      </c>
      <c r="E200" s="151">
        <f t="shared" si="204"/>
        <v>0</v>
      </c>
      <c r="F200" s="189"/>
      <c r="G200" s="124">
        <f>(G186)*A201*0</f>
        <v>0</v>
      </c>
      <c r="H200" s="151">
        <f>H186*A201*0</f>
        <v>0</v>
      </c>
      <c r="I200" s="188">
        <f t="shared" si="205"/>
        <v>0</v>
      </c>
      <c r="J200" s="189"/>
      <c r="K200" s="124">
        <f>(K186)*A201*0</f>
        <v>0</v>
      </c>
      <c r="L200" s="151">
        <f>L186*A201*0</f>
        <v>0</v>
      </c>
      <c r="M200" s="188">
        <f t="shared" si="206"/>
        <v>0</v>
      </c>
      <c r="N200" s="189"/>
      <c r="O200" s="124">
        <f>(O186)*A201*0</f>
        <v>0</v>
      </c>
      <c r="P200" s="151">
        <f>P186*A201*0</f>
        <v>0</v>
      </c>
      <c r="Q200" s="188">
        <f t="shared" si="207"/>
        <v>0</v>
      </c>
      <c r="R200" s="189"/>
      <c r="S200" s="124">
        <f>(S186)*A201*0</f>
        <v>0</v>
      </c>
      <c r="T200" s="151">
        <f>T186*A201*0</f>
        <v>0</v>
      </c>
      <c r="U200" s="57">
        <f t="shared" si="208"/>
        <v>0</v>
      </c>
      <c r="V200" s="59"/>
      <c r="W200" s="124">
        <f t="shared" si="209"/>
        <v>0</v>
      </c>
      <c r="X200" s="57">
        <f t="shared" si="209"/>
        <v>0</v>
      </c>
      <c r="Y200" s="84">
        <f t="shared" si="209"/>
        <v>0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61" customFormat="1" x14ac:dyDescent="0.25">
      <c r="A201" s="50">
        <v>0.34899999999999998</v>
      </c>
      <c r="B201" s="52" t="s">
        <v>109</v>
      </c>
      <c r="C201" s="230">
        <f>(C195)*A201</f>
        <v>11866</v>
      </c>
      <c r="D201" s="151">
        <f>D195*A201</f>
        <v>11866</v>
      </c>
      <c r="E201" s="56">
        <f t="shared" si="204"/>
        <v>23732</v>
      </c>
      <c r="F201" s="58"/>
      <c r="G201" s="230">
        <f>(G195)*A201*1.03</f>
        <v>12588.6394</v>
      </c>
      <c r="H201" s="151">
        <f>H195*A201*1.03</f>
        <v>12588.6394</v>
      </c>
      <c r="I201" s="57">
        <f t="shared" si="205"/>
        <v>25177.2788</v>
      </c>
      <c r="J201" s="58"/>
      <c r="K201" s="230">
        <f>(K195)*A201*1.03*1.03</f>
        <v>13355.287539459998</v>
      </c>
      <c r="L201" s="151">
        <f>L195*A201*1.03*1.03</f>
        <v>13355.287539459998</v>
      </c>
      <c r="M201" s="57">
        <f t="shared" si="206"/>
        <v>26710.575078919996</v>
      </c>
      <c r="N201" s="58"/>
      <c r="O201" s="230">
        <f>(O195)*A201*1.03*1.03*1.03</f>
        <v>14168.624550613114</v>
      </c>
      <c r="P201" s="151">
        <f>P195*A201*1.03*1.03*1.03</f>
        <v>14168.624550613114</v>
      </c>
      <c r="Q201" s="57">
        <f t="shared" si="207"/>
        <v>28337.249101226229</v>
      </c>
      <c r="R201" s="58"/>
      <c r="S201" s="230">
        <f>(S195)*A201*1.03*1.03*1.03*1.03</f>
        <v>15031.493785745455</v>
      </c>
      <c r="T201" s="151">
        <f>T195*A201*1.03*1.03*1.03*1.03</f>
        <v>15031.493785745455</v>
      </c>
      <c r="U201" s="57">
        <f t="shared" si="208"/>
        <v>30062.98757149091</v>
      </c>
      <c r="V201" s="59"/>
      <c r="W201" s="124">
        <f t="shared" si="209"/>
        <v>67010.045275818571</v>
      </c>
      <c r="X201" s="57">
        <f t="shared" si="209"/>
        <v>67010.045275818571</v>
      </c>
      <c r="Y201" s="84">
        <f t="shared" si="209"/>
        <v>134020.09055163714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v>0</v>
      </c>
      <c r="D202" s="56">
        <v>0</v>
      </c>
      <c r="E202" s="56">
        <f t="shared" si="204"/>
        <v>0</v>
      </c>
      <c r="F202" s="58"/>
      <c r="G202" s="55">
        <f>C202*1.05</f>
        <v>0</v>
      </c>
      <c r="H202" s="57">
        <f>D202*1.05</f>
        <v>0</v>
      </c>
      <c r="I202" s="57">
        <f t="shared" si="205"/>
        <v>0</v>
      </c>
      <c r="J202" s="58"/>
      <c r="K202" s="55">
        <f>G202*1.05</f>
        <v>0</v>
      </c>
      <c r="L202" s="57">
        <f>H202*1.05</f>
        <v>0</v>
      </c>
      <c r="M202" s="57">
        <f t="shared" si="206"/>
        <v>0</v>
      </c>
      <c r="N202" s="58"/>
      <c r="O202" s="55">
        <f>K210*1.05</f>
        <v>0</v>
      </c>
      <c r="P202" s="57">
        <f>L202*1.05</f>
        <v>0</v>
      </c>
      <c r="Q202" s="57">
        <f t="shared" si="207"/>
        <v>0</v>
      </c>
      <c r="R202" s="58"/>
      <c r="S202" s="55">
        <f>O202*1.05</f>
        <v>0</v>
      </c>
      <c r="T202" s="57">
        <f>P202*1.05</f>
        <v>0</v>
      </c>
      <c r="U202" s="57">
        <f t="shared" si="208"/>
        <v>0</v>
      </c>
      <c r="V202" s="59"/>
      <c r="W202" s="124">
        <f t="shared" si="209"/>
        <v>0</v>
      </c>
      <c r="X202" s="57">
        <f t="shared" si="209"/>
        <v>0</v>
      </c>
      <c r="Y202" s="84">
        <f t="shared" si="209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f>C191*0.089</f>
        <v>0</v>
      </c>
      <c r="D203" s="56">
        <v>0</v>
      </c>
      <c r="E203" s="56">
        <f t="shared" si="204"/>
        <v>0</v>
      </c>
      <c r="F203" s="58"/>
      <c r="G203" s="55">
        <f>C203*1.05</f>
        <v>0</v>
      </c>
      <c r="H203" s="57">
        <f>D203*1.05</f>
        <v>0</v>
      </c>
      <c r="I203" s="57">
        <f t="shared" si="205"/>
        <v>0</v>
      </c>
      <c r="J203" s="58"/>
      <c r="K203" s="55">
        <f>G203*1.05</f>
        <v>0</v>
      </c>
      <c r="L203" s="57">
        <f>H203*1.05</f>
        <v>0</v>
      </c>
      <c r="M203" s="57">
        <f t="shared" si="206"/>
        <v>0</v>
      </c>
      <c r="N203" s="58"/>
      <c r="O203" s="55">
        <f>K211*1.05</f>
        <v>0</v>
      </c>
      <c r="P203" s="57">
        <f>L203*1.05</f>
        <v>0</v>
      </c>
      <c r="Q203" s="57">
        <f t="shared" si="207"/>
        <v>0</v>
      </c>
      <c r="R203" s="58"/>
      <c r="S203" s="55">
        <f>O203*1.05</f>
        <v>0</v>
      </c>
      <c r="T203" s="57">
        <f>P203*1.05</f>
        <v>0</v>
      </c>
      <c r="U203" s="57">
        <f t="shared" si="208"/>
        <v>0</v>
      </c>
      <c r="V203" s="59"/>
      <c r="W203" s="124">
        <f t="shared" si="209"/>
        <v>0</v>
      </c>
      <c r="X203" s="57">
        <f t="shared" si="209"/>
        <v>0</v>
      </c>
      <c r="Y203" s="84">
        <f t="shared" si="209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14094.279747642307</v>
      </c>
      <c r="D204" s="125">
        <f>SUM(D198:D203)</f>
        <v>11866</v>
      </c>
      <c r="E204" s="125">
        <f>SUM(E198:E203)</f>
        <v>25960.279747642307</v>
      </c>
      <c r="F204" s="81"/>
      <c r="G204" s="79">
        <f>SUM(G198:G203)</f>
        <v>14952.621384273725</v>
      </c>
      <c r="H204" s="80">
        <f>SUM(H198:H203)</f>
        <v>12588.6394</v>
      </c>
      <c r="I204" s="80">
        <f>SUM(I198:I203)</f>
        <v>27541.260784273723</v>
      </c>
      <c r="J204" s="81"/>
      <c r="K204" s="79">
        <f>SUM(K198:K203)</f>
        <v>15863.236026575993</v>
      </c>
      <c r="L204" s="80">
        <f>SUM(L198:L203)</f>
        <v>13355.287539459998</v>
      </c>
      <c r="M204" s="80">
        <f>SUM(M198:M203)</f>
        <v>29218.52356603599</v>
      </c>
      <c r="N204" s="81"/>
      <c r="O204" s="79">
        <f>SUM(O198:O203)</f>
        <v>16829.307100594473</v>
      </c>
      <c r="P204" s="80">
        <f>SUM(P198:P203)</f>
        <v>14168.624550613114</v>
      </c>
      <c r="Q204" s="80">
        <f>SUM(Q198:Q203)</f>
        <v>30997.931651207589</v>
      </c>
      <c r="R204" s="81"/>
      <c r="S204" s="79">
        <f>SUM(S198:S203)</f>
        <v>17854.211903020678</v>
      </c>
      <c r="T204" s="80">
        <f>SUM(T198:T203)</f>
        <v>15031.493785745455</v>
      </c>
      <c r="U204" s="80">
        <f>SUM(U198:U203)</f>
        <v>32885.705688766131</v>
      </c>
      <c r="V204" s="82"/>
      <c r="W204" s="228">
        <f t="shared" si="209"/>
        <v>79593.656162107174</v>
      </c>
      <c r="X204" s="80">
        <f t="shared" si="209"/>
        <v>67010.045275818571</v>
      </c>
      <c r="Y204" s="80">
        <f t="shared" si="209"/>
        <v>146603.70143792575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210">C204+C196</f>
        <v>69315.991629950004</v>
      </c>
      <c r="D205" s="107">
        <f t="shared" si="210"/>
        <v>45866</v>
      </c>
      <c r="E205" s="107">
        <f t="shared" si="210"/>
        <v>115181.99162995</v>
      </c>
      <c r="F205" s="107">
        <f t="shared" si="210"/>
        <v>0</v>
      </c>
      <c r="G205" s="107">
        <f t="shared" si="210"/>
        <v>71830.984623050652</v>
      </c>
      <c r="H205" s="107">
        <f t="shared" si="210"/>
        <v>47608.6394</v>
      </c>
      <c r="I205" s="107">
        <f t="shared" si="210"/>
        <v>119439.62402305065</v>
      </c>
      <c r="J205" s="107">
        <f t="shared" si="210"/>
        <v>0</v>
      </c>
      <c r="K205" s="107">
        <f t="shared" si="210"/>
        <v>74447.950162516223</v>
      </c>
      <c r="L205" s="107">
        <f t="shared" si="210"/>
        <v>49425.887539459996</v>
      </c>
      <c r="M205" s="107">
        <f t="shared" si="210"/>
        <v>123873.83770197623</v>
      </c>
      <c r="N205" s="107">
        <f t="shared" si="210"/>
        <v>0</v>
      </c>
      <c r="O205" s="107">
        <f t="shared" si="210"/>
        <v>77171.562660612923</v>
      </c>
      <c r="P205" s="107">
        <f t="shared" si="210"/>
        <v>51321.342550613117</v>
      </c>
      <c r="Q205" s="107">
        <f t="shared" si="210"/>
        <v>128492.90521122603</v>
      </c>
      <c r="R205" s="107">
        <f t="shared" si="210"/>
        <v>0</v>
      </c>
      <c r="S205" s="107">
        <f t="shared" si="210"/>
        <v>80006.735129839668</v>
      </c>
      <c r="T205" s="107">
        <f t="shared" si="210"/>
        <v>53298.793325745457</v>
      </c>
      <c r="U205" s="107">
        <f t="shared" si="210"/>
        <v>133305.52845558512</v>
      </c>
      <c r="V205" s="107">
        <f t="shared" si="210"/>
        <v>0</v>
      </c>
      <c r="W205" s="107">
        <f t="shared" si="210"/>
        <v>372773.22420596948</v>
      </c>
      <c r="X205" s="107">
        <f t="shared" si="210"/>
        <v>247520.66281581856</v>
      </c>
      <c r="Y205" s="107">
        <f t="shared" si="210"/>
        <v>620293.88702178805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52"/>
      <c r="C207" s="124">
        <v>0</v>
      </c>
      <c r="D207" s="56">
        <v>0</v>
      </c>
      <c r="E207" s="56">
        <f t="shared" ref="E207:E216" si="211">SUM(C207:D207)</f>
        <v>0</v>
      </c>
      <c r="F207" s="58"/>
      <c r="G207" s="55">
        <v>0</v>
      </c>
      <c r="H207" s="57">
        <v>0</v>
      </c>
      <c r="I207" s="57">
        <f t="shared" ref="I207:I216" si="212">SUM(G207:H207)</f>
        <v>0</v>
      </c>
      <c r="J207" s="58"/>
      <c r="K207" s="55">
        <v>0</v>
      </c>
      <c r="L207" s="57">
        <v>0</v>
      </c>
      <c r="M207" s="57">
        <f t="shared" ref="M207:M216" si="213">SUM(K207:L207)</f>
        <v>0</v>
      </c>
      <c r="N207" s="58"/>
      <c r="O207" s="55">
        <v>0</v>
      </c>
      <c r="P207" s="57">
        <v>0</v>
      </c>
      <c r="Q207" s="57">
        <f t="shared" ref="Q207:Q216" si="214">SUM(O207:P207)</f>
        <v>0</v>
      </c>
      <c r="R207" s="58"/>
      <c r="S207" s="55">
        <v>0</v>
      </c>
      <c r="T207" s="57">
        <v>0</v>
      </c>
      <c r="U207" s="57">
        <f t="shared" ref="U207:U216" si="215">SUM(S207:T207)</f>
        <v>0</v>
      </c>
      <c r="V207" s="59"/>
      <c r="W207" s="124">
        <f t="shared" ref="W207:W217" si="216">C207+G207+K207+O207+S207</f>
        <v>0</v>
      </c>
      <c r="X207" s="57">
        <f t="shared" ref="X207:X217" si="217">D207+H207+L207+P207+T207</f>
        <v>0</v>
      </c>
      <c r="Y207" s="84">
        <f t="shared" ref="Y207:Y217" si="218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A208" s="52"/>
      <c r="B208" s="52"/>
      <c r="C208" s="124">
        <v>0</v>
      </c>
      <c r="D208" s="56">
        <v>0</v>
      </c>
      <c r="E208" s="56">
        <f t="shared" si="211"/>
        <v>0</v>
      </c>
      <c r="F208" s="58"/>
      <c r="G208" s="55">
        <v>0</v>
      </c>
      <c r="H208" s="57">
        <v>0</v>
      </c>
      <c r="I208" s="57">
        <f t="shared" si="212"/>
        <v>0</v>
      </c>
      <c r="J208" s="58"/>
      <c r="K208" s="55">
        <v>0</v>
      </c>
      <c r="L208" s="57">
        <v>0</v>
      </c>
      <c r="M208" s="57">
        <f t="shared" si="213"/>
        <v>0</v>
      </c>
      <c r="N208" s="58"/>
      <c r="O208" s="55">
        <v>0</v>
      </c>
      <c r="P208" s="57">
        <v>0</v>
      </c>
      <c r="Q208" s="57">
        <f t="shared" si="214"/>
        <v>0</v>
      </c>
      <c r="R208" s="58"/>
      <c r="S208" s="55">
        <v>0</v>
      </c>
      <c r="T208" s="57">
        <v>0</v>
      </c>
      <c r="U208" s="57">
        <f t="shared" si="215"/>
        <v>0</v>
      </c>
      <c r="V208" s="59"/>
      <c r="W208" s="124">
        <f t="shared" si="216"/>
        <v>0</v>
      </c>
      <c r="X208" s="57">
        <f t="shared" si="217"/>
        <v>0</v>
      </c>
      <c r="Y208" s="84">
        <f t="shared" si="218"/>
        <v>0</v>
      </c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s="61" customFormat="1" x14ac:dyDescent="0.25">
      <c r="A209" s="52"/>
      <c r="B209" s="52"/>
      <c r="C209" s="124">
        <v>0</v>
      </c>
      <c r="D209" s="56">
        <v>0</v>
      </c>
      <c r="E209" s="56">
        <f t="shared" si="211"/>
        <v>0</v>
      </c>
      <c r="F209" s="58"/>
      <c r="G209" s="55">
        <v>0</v>
      </c>
      <c r="H209" s="57">
        <v>0</v>
      </c>
      <c r="I209" s="57">
        <f t="shared" si="212"/>
        <v>0</v>
      </c>
      <c r="J209" s="58"/>
      <c r="K209" s="55">
        <v>0</v>
      </c>
      <c r="L209" s="57">
        <v>0</v>
      </c>
      <c r="M209" s="57">
        <f t="shared" si="213"/>
        <v>0</v>
      </c>
      <c r="N209" s="58"/>
      <c r="O209" s="55">
        <v>0</v>
      </c>
      <c r="P209" s="57">
        <v>0</v>
      </c>
      <c r="Q209" s="57">
        <f t="shared" si="214"/>
        <v>0</v>
      </c>
      <c r="R209" s="58"/>
      <c r="S209" s="55">
        <v>0</v>
      </c>
      <c r="T209" s="57">
        <v>0</v>
      </c>
      <c r="U209" s="57">
        <f t="shared" si="215"/>
        <v>0</v>
      </c>
      <c r="V209" s="59"/>
      <c r="W209" s="124">
        <f t="shared" si="216"/>
        <v>0</v>
      </c>
      <c r="X209" s="57">
        <f t="shared" si="217"/>
        <v>0</v>
      </c>
      <c r="Y209" s="84">
        <f t="shared" si="218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52"/>
      <c r="B210" s="52"/>
      <c r="C210" s="124">
        <v>0</v>
      </c>
      <c r="D210" s="56">
        <v>0</v>
      </c>
      <c r="E210" s="56">
        <f t="shared" si="211"/>
        <v>0</v>
      </c>
      <c r="F210" s="58"/>
      <c r="G210" s="55">
        <v>0</v>
      </c>
      <c r="H210" s="57">
        <v>0</v>
      </c>
      <c r="I210" s="57">
        <f t="shared" si="212"/>
        <v>0</v>
      </c>
      <c r="J210" s="58"/>
      <c r="K210" s="55">
        <v>0</v>
      </c>
      <c r="L210" s="57">
        <v>0</v>
      </c>
      <c r="M210" s="57">
        <f t="shared" si="213"/>
        <v>0</v>
      </c>
      <c r="N210" s="58"/>
      <c r="O210" s="55">
        <v>0</v>
      </c>
      <c r="P210" s="57">
        <v>0</v>
      </c>
      <c r="Q210" s="57">
        <f t="shared" si="214"/>
        <v>0</v>
      </c>
      <c r="R210" s="58"/>
      <c r="S210" s="55">
        <v>0</v>
      </c>
      <c r="T210" s="57">
        <v>0</v>
      </c>
      <c r="U210" s="57">
        <f t="shared" si="215"/>
        <v>0</v>
      </c>
      <c r="V210" s="59"/>
      <c r="W210" s="124">
        <f t="shared" si="216"/>
        <v>0</v>
      </c>
      <c r="X210" s="57">
        <f t="shared" si="217"/>
        <v>0</v>
      </c>
      <c r="Y210" s="84">
        <f t="shared" si="218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52"/>
      <c r="B211" s="52"/>
      <c r="C211" s="124">
        <v>0</v>
      </c>
      <c r="D211" s="56">
        <v>0</v>
      </c>
      <c r="E211" s="56">
        <f t="shared" si="211"/>
        <v>0</v>
      </c>
      <c r="F211" s="58"/>
      <c r="G211" s="55">
        <v>0</v>
      </c>
      <c r="H211" s="57">
        <v>0</v>
      </c>
      <c r="I211" s="57">
        <f t="shared" si="212"/>
        <v>0</v>
      </c>
      <c r="J211" s="58"/>
      <c r="K211" s="55">
        <v>0</v>
      </c>
      <c r="L211" s="57">
        <v>0</v>
      </c>
      <c r="M211" s="57">
        <f t="shared" si="213"/>
        <v>0</v>
      </c>
      <c r="N211" s="58"/>
      <c r="O211" s="55">
        <v>0</v>
      </c>
      <c r="P211" s="57">
        <v>0</v>
      </c>
      <c r="Q211" s="57">
        <f t="shared" si="214"/>
        <v>0</v>
      </c>
      <c r="R211" s="58"/>
      <c r="S211" s="55">
        <v>0</v>
      </c>
      <c r="T211" s="57">
        <v>0</v>
      </c>
      <c r="U211" s="57">
        <f t="shared" si="215"/>
        <v>0</v>
      </c>
      <c r="V211" s="59"/>
      <c r="W211" s="124">
        <f t="shared" si="216"/>
        <v>0</v>
      </c>
      <c r="X211" s="57">
        <f t="shared" si="217"/>
        <v>0</v>
      </c>
      <c r="Y211" s="84">
        <f t="shared" si="218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52"/>
      <c r="B212" s="52"/>
      <c r="C212" s="124">
        <v>0</v>
      </c>
      <c r="D212" s="56">
        <v>0</v>
      </c>
      <c r="E212" s="56">
        <f t="shared" si="211"/>
        <v>0</v>
      </c>
      <c r="F212" s="58"/>
      <c r="G212" s="55">
        <v>0</v>
      </c>
      <c r="H212" s="57">
        <v>0</v>
      </c>
      <c r="I212" s="57">
        <f t="shared" si="212"/>
        <v>0</v>
      </c>
      <c r="J212" s="58"/>
      <c r="K212" s="55">
        <v>0</v>
      </c>
      <c r="L212" s="57">
        <v>0</v>
      </c>
      <c r="M212" s="57">
        <f t="shared" si="213"/>
        <v>0</v>
      </c>
      <c r="N212" s="58"/>
      <c r="O212" s="55">
        <v>0</v>
      </c>
      <c r="P212" s="57">
        <v>0</v>
      </c>
      <c r="Q212" s="57">
        <f t="shared" si="214"/>
        <v>0</v>
      </c>
      <c r="R212" s="58"/>
      <c r="S212" s="55">
        <v>0</v>
      </c>
      <c r="T212" s="57">
        <v>0</v>
      </c>
      <c r="U212" s="57">
        <f t="shared" si="215"/>
        <v>0</v>
      </c>
      <c r="V212" s="59"/>
      <c r="W212" s="124">
        <f t="shared" si="216"/>
        <v>0</v>
      </c>
      <c r="X212" s="57">
        <f t="shared" si="217"/>
        <v>0</v>
      </c>
      <c r="Y212" s="84">
        <f t="shared" si="218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211"/>
        <v>0</v>
      </c>
      <c r="F213" s="58"/>
      <c r="G213" s="55">
        <v>0</v>
      </c>
      <c r="H213" s="57">
        <v>0</v>
      </c>
      <c r="I213" s="57">
        <f t="shared" si="212"/>
        <v>0</v>
      </c>
      <c r="J213" s="58"/>
      <c r="K213" s="55">
        <v>0</v>
      </c>
      <c r="L213" s="57">
        <v>0</v>
      </c>
      <c r="M213" s="57">
        <f t="shared" si="213"/>
        <v>0</v>
      </c>
      <c r="N213" s="58"/>
      <c r="O213" s="55">
        <v>0</v>
      </c>
      <c r="P213" s="57">
        <v>0</v>
      </c>
      <c r="Q213" s="57">
        <f t="shared" si="214"/>
        <v>0</v>
      </c>
      <c r="R213" s="58"/>
      <c r="S213" s="55">
        <v>0</v>
      </c>
      <c r="T213" s="57">
        <v>0</v>
      </c>
      <c r="U213" s="57">
        <f t="shared" si="215"/>
        <v>0</v>
      </c>
      <c r="V213" s="59"/>
      <c r="W213" s="124">
        <f t="shared" si="216"/>
        <v>0</v>
      </c>
      <c r="X213" s="57">
        <f t="shared" si="217"/>
        <v>0</v>
      </c>
      <c r="Y213" s="84">
        <f t="shared" si="218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211"/>
        <v>0</v>
      </c>
      <c r="F214" s="58"/>
      <c r="G214" s="55">
        <v>0</v>
      </c>
      <c r="H214" s="57">
        <v>0</v>
      </c>
      <c r="I214" s="57">
        <f t="shared" si="212"/>
        <v>0</v>
      </c>
      <c r="J214" s="58"/>
      <c r="K214" s="55">
        <v>0</v>
      </c>
      <c r="L214" s="57">
        <v>0</v>
      </c>
      <c r="M214" s="57">
        <f t="shared" si="213"/>
        <v>0</v>
      </c>
      <c r="N214" s="58"/>
      <c r="O214" s="55">
        <v>0</v>
      </c>
      <c r="P214" s="57">
        <v>0</v>
      </c>
      <c r="Q214" s="57">
        <f t="shared" si="214"/>
        <v>0</v>
      </c>
      <c r="R214" s="58"/>
      <c r="S214" s="55">
        <v>0</v>
      </c>
      <c r="T214" s="57">
        <v>0</v>
      </c>
      <c r="U214" s="57">
        <f t="shared" si="215"/>
        <v>0</v>
      </c>
      <c r="V214" s="59"/>
      <c r="W214" s="124">
        <f t="shared" si="216"/>
        <v>0</v>
      </c>
      <c r="X214" s="57">
        <f t="shared" si="217"/>
        <v>0</v>
      </c>
      <c r="Y214" s="84">
        <f t="shared" si="218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211"/>
        <v>0</v>
      </c>
      <c r="F215" s="58"/>
      <c r="G215" s="55">
        <v>0</v>
      </c>
      <c r="H215" s="57">
        <v>0</v>
      </c>
      <c r="I215" s="57">
        <f t="shared" si="212"/>
        <v>0</v>
      </c>
      <c r="J215" s="58"/>
      <c r="K215" s="55">
        <v>0</v>
      </c>
      <c r="L215" s="57">
        <v>0</v>
      </c>
      <c r="M215" s="57">
        <f t="shared" si="213"/>
        <v>0</v>
      </c>
      <c r="N215" s="58"/>
      <c r="O215" s="55">
        <v>0</v>
      </c>
      <c r="P215" s="57">
        <v>0</v>
      </c>
      <c r="Q215" s="57">
        <f t="shared" si="214"/>
        <v>0</v>
      </c>
      <c r="R215" s="58"/>
      <c r="S215" s="55">
        <v>0</v>
      </c>
      <c r="T215" s="57">
        <v>0</v>
      </c>
      <c r="U215" s="57">
        <f t="shared" si="215"/>
        <v>0</v>
      </c>
      <c r="V215" s="59"/>
      <c r="W215" s="124">
        <f t="shared" si="216"/>
        <v>0</v>
      </c>
      <c r="X215" s="57">
        <f t="shared" si="217"/>
        <v>0</v>
      </c>
      <c r="Y215" s="84">
        <f t="shared" si="218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211"/>
        <v>0</v>
      </c>
      <c r="F216" s="58"/>
      <c r="G216" s="55">
        <v>0</v>
      </c>
      <c r="H216" s="57">
        <v>0</v>
      </c>
      <c r="I216" s="57">
        <f t="shared" si="212"/>
        <v>0</v>
      </c>
      <c r="J216" s="58"/>
      <c r="K216" s="55">
        <v>0</v>
      </c>
      <c r="L216" s="57">
        <v>0</v>
      </c>
      <c r="M216" s="57">
        <f t="shared" si="213"/>
        <v>0</v>
      </c>
      <c r="N216" s="58"/>
      <c r="O216" s="55">
        <v>0</v>
      </c>
      <c r="P216" s="57">
        <v>0</v>
      </c>
      <c r="Q216" s="57">
        <f t="shared" si="214"/>
        <v>0</v>
      </c>
      <c r="R216" s="58"/>
      <c r="S216" s="55">
        <v>0</v>
      </c>
      <c r="T216" s="57">
        <v>0</v>
      </c>
      <c r="U216" s="57">
        <f t="shared" si="215"/>
        <v>0</v>
      </c>
      <c r="V216" s="59"/>
      <c r="W216" s="124">
        <f t="shared" si="216"/>
        <v>0</v>
      </c>
      <c r="X216" s="57">
        <f t="shared" si="217"/>
        <v>0</v>
      </c>
      <c r="Y216" s="84">
        <f t="shared" si="218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0</v>
      </c>
      <c r="H217" s="125">
        <f>SUM(H207:H216)</f>
        <v>0</v>
      </c>
      <c r="I217" s="125">
        <f>SUM(I207:I216)</f>
        <v>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216"/>
        <v>0</v>
      </c>
      <c r="X217" s="80">
        <f t="shared" si="217"/>
        <v>0</v>
      </c>
      <c r="Y217" s="80">
        <f t="shared" si="218"/>
        <v>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4"/>
      <c r="B219" s="52" t="s">
        <v>127</v>
      </c>
      <c r="C219" s="124">
        <f>4*800</f>
        <v>3200</v>
      </c>
      <c r="D219" s="56">
        <v>0</v>
      </c>
      <c r="E219" s="56">
        <f t="shared" ref="E219" si="219">SUM(C219:D219)</f>
        <v>3200</v>
      </c>
      <c r="F219" s="58"/>
      <c r="G219" s="55">
        <f>C219</f>
        <v>3200</v>
      </c>
      <c r="H219" s="57">
        <v>0</v>
      </c>
      <c r="I219" s="57">
        <f t="shared" ref="I219" si="220">SUM(G219:H219)</f>
        <v>3200</v>
      </c>
      <c r="J219" s="58"/>
      <c r="K219" s="55">
        <f>G219</f>
        <v>3200</v>
      </c>
      <c r="L219" s="57">
        <v>0</v>
      </c>
      <c r="M219" s="57">
        <f t="shared" ref="M219" si="221">SUM(K219:L219)</f>
        <v>3200</v>
      </c>
      <c r="N219" s="58"/>
      <c r="O219" s="55">
        <f>K219</f>
        <v>3200</v>
      </c>
      <c r="P219" s="57">
        <v>0</v>
      </c>
      <c r="Q219" s="57">
        <f t="shared" ref="Q219" si="222">SUM(O219:P219)</f>
        <v>3200</v>
      </c>
      <c r="R219" s="58"/>
      <c r="S219" s="55">
        <f>O219</f>
        <v>3200</v>
      </c>
      <c r="T219" s="57">
        <v>0</v>
      </c>
      <c r="U219" s="57">
        <f t="shared" ref="U219" si="223">SUM(S219:T219)</f>
        <v>3200</v>
      </c>
      <c r="V219" s="59"/>
      <c r="W219" s="124">
        <f t="shared" ref="W219" si="224">C219+G219+K219+O219+S219</f>
        <v>16000</v>
      </c>
      <c r="X219" s="57">
        <f t="shared" ref="X219" si="225">D219+H219+L219+P219+T219</f>
        <v>0</v>
      </c>
      <c r="Y219" s="84">
        <f t="shared" ref="Y219" si="226">E219+I219+M219+Q219+U219</f>
        <v>16000</v>
      </c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</row>
    <row r="220" spans="1:77" s="61" customFormat="1" x14ac:dyDescent="0.25">
      <c r="A220" s="87"/>
      <c r="B220" s="52" t="s">
        <v>57</v>
      </c>
      <c r="C220" s="124">
        <v>0</v>
      </c>
      <c r="D220" s="56">
        <v>0</v>
      </c>
      <c r="E220" s="56">
        <f t="shared" ref="E220:E224" si="227">SUM(C220:D220)</f>
        <v>0</v>
      </c>
      <c r="F220" s="58"/>
      <c r="G220" s="55">
        <v>0</v>
      </c>
      <c r="H220" s="57">
        <v>0</v>
      </c>
      <c r="I220" s="57">
        <f t="shared" ref="I220:I224" si="228">SUM(G220:H220)</f>
        <v>0</v>
      </c>
      <c r="J220" s="58"/>
      <c r="K220" s="55">
        <v>0</v>
      </c>
      <c r="L220" s="57">
        <v>0</v>
      </c>
      <c r="M220" s="57">
        <f t="shared" ref="M220:M224" si="229">SUM(K220:L220)</f>
        <v>0</v>
      </c>
      <c r="N220" s="58"/>
      <c r="O220" s="55">
        <v>0</v>
      </c>
      <c r="P220" s="57">
        <v>0</v>
      </c>
      <c r="Q220" s="57">
        <f t="shared" ref="Q220:Q224" si="230">SUM(O220:P220)</f>
        <v>0</v>
      </c>
      <c r="R220" s="58"/>
      <c r="S220" s="55">
        <v>0</v>
      </c>
      <c r="T220" s="57">
        <v>0</v>
      </c>
      <c r="U220" s="57">
        <f t="shared" ref="U220:U224" si="231">SUM(S220:T220)</f>
        <v>0</v>
      </c>
      <c r="V220" s="59"/>
      <c r="W220" s="124">
        <f t="shared" ref="W220:Y225" si="232">C220+G220+K220+O220+S220</f>
        <v>0</v>
      </c>
      <c r="X220" s="57">
        <f t="shared" si="232"/>
        <v>0</v>
      </c>
      <c r="Y220" s="84">
        <f t="shared" si="232"/>
        <v>0</v>
      </c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</row>
    <row r="221" spans="1:77" s="61" customFormat="1" x14ac:dyDescent="0.25">
      <c r="A221" s="52"/>
      <c r="B221" s="52"/>
      <c r="C221" s="124">
        <v>0</v>
      </c>
      <c r="D221" s="56">
        <v>0</v>
      </c>
      <c r="E221" s="56">
        <f t="shared" si="227"/>
        <v>0</v>
      </c>
      <c r="F221" s="58"/>
      <c r="G221" s="55">
        <v>0</v>
      </c>
      <c r="H221" s="57">
        <v>0</v>
      </c>
      <c r="I221" s="57">
        <f t="shared" si="228"/>
        <v>0</v>
      </c>
      <c r="J221" s="58"/>
      <c r="K221" s="55">
        <v>0</v>
      </c>
      <c r="L221" s="57">
        <v>0</v>
      </c>
      <c r="M221" s="57">
        <f t="shared" si="229"/>
        <v>0</v>
      </c>
      <c r="N221" s="58"/>
      <c r="O221" s="55">
        <v>0</v>
      </c>
      <c r="P221" s="57">
        <v>0</v>
      </c>
      <c r="Q221" s="57">
        <f t="shared" si="230"/>
        <v>0</v>
      </c>
      <c r="R221" s="58"/>
      <c r="S221" s="55">
        <v>0</v>
      </c>
      <c r="T221" s="57">
        <v>0</v>
      </c>
      <c r="U221" s="57">
        <f t="shared" si="231"/>
        <v>0</v>
      </c>
      <c r="V221" s="59"/>
      <c r="W221" s="124">
        <f t="shared" si="232"/>
        <v>0</v>
      </c>
      <c r="X221" s="57">
        <f t="shared" si="232"/>
        <v>0</v>
      </c>
      <c r="Y221" s="84">
        <f t="shared" si="232"/>
        <v>0</v>
      </c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</row>
    <row r="222" spans="1:77" s="61" customFormat="1" x14ac:dyDescent="0.25">
      <c r="A222" s="52"/>
      <c r="B222" s="52"/>
      <c r="C222" s="124">
        <v>0</v>
      </c>
      <c r="D222" s="56">
        <v>0</v>
      </c>
      <c r="E222" s="56">
        <f t="shared" si="227"/>
        <v>0</v>
      </c>
      <c r="F222" s="58"/>
      <c r="G222" s="55">
        <v>0</v>
      </c>
      <c r="H222" s="57">
        <v>0</v>
      </c>
      <c r="I222" s="57">
        <f t="shared" si="228"/>
        <v>0</v>
      </c>
      <c r="J222" s="58"/>
      <c r="K222" s="55">
        <v>0</v>
      </c>
      <c r="L222" s="57">
        <v>0</v>
      </c>
      <c r="M222" s="57">
        <f t="shared" si="229"/>
        <v>0</v>
      </c>
      <c r="N222" s="58"/>
      <c r="O222" s="55">
        <v>0</v>
      </c>
      <c r="P222" s="57">
        <v>0</v>
      </c>
      <c r="Q222" s="57">
        <f t="shared" si="230"/>
        <v>0</v>
      </c>
      <c r="R222" s="58"/>
      <c r="S222" s="55">
        <v>0</v>
      </c>
      <c r="T222" s="57">
        <v>0</v>
      </c>
      <c r="U222" s="57">
        <f t="shared" si="231"/>
        <v>0</v>
      </c>
      <c r="V222" s="59"/>
      <c r="W222" s="124">
        <f t="shared" si="232"/>
        <v>0</v>
      </c>
      <c r="X222" s="57">
        <f t="shared" si="232"/>
        <v>0</v>
      </c>
      <c r="Y222" s="84">
        <f t="shared" si="232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227"/>
        <v>0</v>
      </c>
      <c r="F223" s="58"/>
      <c r="G223" s="55">
        <v>0</v>
      </c>
      <c r="H223" s="57">
        <v>0</v>
      </c>
      <c r="I223" s="57">
        <f t="shared" si="228"/>
        <v>0</v>
      </c>
      <c r="J223" s="58"/>
      <c r="K223" s="55">
        <v>0</v>
      </c>
      <c r="L223" s="57">
        <v>0</v>
      </c>
      <c r="M223" s="57">
        <f t="shared" si="229"/>
        <v>0</v>
      </c>
      <c r="N223" s="58"/>
      <c r="O223" s="55">
        <v>0</v>
      </c>
      <c r="P223" s="57">
        <v>0</v>
      </c>
      <c r="Q223" s="57">
        <f t="shared" si="230"/>
        <v>0</v>
      </c>
      <c r="R223" s="58"/>
      <c r="S223" s="55">
        <v>0</v>
      </c>
      <c r="T223" s="57">
        <v>0</v>
      </c>
      <c r="U223" s="57">
        <f t="shared" si="231"/>
        <v>0</v>
      </c>
      <c r="V223" s="59"/>
      <c r="W223" s="124">
        <f t="shared" si="232"/>
        <v>0</v>
      </c>
      <c r="X223" s="57">
        <f t="shared" si="232"/>
        <v>0</v>
      </c>
      <c r="Y223" s="84">
        <f t="shared" si="232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227"/>
        <v>0</v>
      </c>
      <c r="F224" s="58"/>
      <c r="G224" s="55">
        <v>0</v>
      </c>
      <c r="H224" s="57">
        <v>0</v>
      </c>
      <c r="I224" s="57">
        <f t="shared" si="228"/>
        <v>0</v>
      </c>
      <c r="J224" s="58"/>
      <c r="K224" s="55">
        <v>0</v>
      </c>
      <c r="L224" s="57">
        <v>0</v>
      </c>
      <c r="M224" s="57">
        <f t="shared" si="229"/>
        <v>0</v>
      </c>
      <c r="N224" s="58"/>
      <c r="O224" s="55">
        <v>0</v>
      </c>
      <c r="P224" s="57">
        <v>0</v>
      </c>
      <c r="Q224" s="57">
        <f t="shared" si="230"/>
        <v>0</v>
      </c>
      <c r="R224" s="58"/>
      <c r="S224" s="55">
        <v>0</v>
      </c>
      <c r="T224" s="57">
        <v>0</v>
      </c>
      <c r="U224" s="57">
        <f t="shared" si="231"/>
        <v>0</v>
      </c>
      <c r="V224" s="59"/>
      <c r="W224" s="124">
        <f t="shared" si="232"/>
        <v>0</v>
      </c>
      <c r="X224" s="57">
        <f t="shared" si="232"/>
        <v>0</v>
      </c>
      <c r="Y224" s="84">
        <f t="shared" si="232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3200</v>
      </c>
      <c r="D225" s="125">
        <f>SUM(D219:D224)</f>
        <v>0</v>
      </c>
      <c r="E225" s="125">
        <f>SUM(E219:E224)</f>
        <v>3200</v>
      </c>
      <c r="F225" s="81"/>
      <c r="G225" s="79">
        <f>SUM(G219:G224)</f>
        <v>3200</v>
      </c>
      <c r="H225" s="80">
        <f>SUM(H219:H224)</f>
        <v>0</v>
      </c>
      <c r="I225" s="80">
        <f>SUM(I219:I224)</f>
        <v>3200</v>
      </c>
      <c r="J225" s="81"/>
      <c r="K225" s="79">
        <f>SUM(K219:K224)</f>
        <v>3200</v>
      </c>
      <c r="L225" s="80">
        <f>SUM(L219:L224)</f>
        <v>0</v>
      </c>
      <c r="M225" s="80">
        <f>SUM(M219:M224)</f>
        <v>3200</v>
      </c>
      <c r="N225" s="81"/>
      <c r="O225" s="79">
        <f>SUM(O219:O224)</f>
        <v>3200</v>
      </c>
      <c r="P225" s="80">
        <f>SUM(P219:P224)</f>
        <v>0</v>
      </c>
      <c r="Q225" s="80">
        <f>SUM(Q219:Q224)</f>
        <v>3200</v>
      </c>
      <c r="R225" s="81"/>
      <c r="S225" s="79">
        <f>SUM(S219:S224)</f>
        <v>3200</v>
      </c>
      <c r="T225" s="80">
        <f>SUM(T219:T224)</f>
        <v>0</v>
      </c>
      <c r="U225" s="80">
        <f>SUM(U219:U224)</f>
        <v>3200</v>
      </c>
      <c r="V225" s="82"/>
      <c r="W225" s="228">
        <f t="shared" si="232"/>
        <v>16000</v>
      </c>
      <c r="X225" s="80">
        <f t="shared" si="232"/>
        <v>0</v>
      </c>
      <c r="Y225" s="80">
        <f t="shared" si="232"/>
        <v>16000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/>
      <c r="B227" s="54"/>
      <c r="C227" s="124">
        <v>0</v>
      </c>
      <c r="D227" s="56">
        <v>0</v>
      </c>
      <c r="E227" s="56">
        <f>SUM(C227:D227)</f>
        <v>0</v>
      </c>
      <c r="F227" s="58"/>
      <c r="G227" s="55">
        <v>0</v>
      </c>
      <c r="H227" s="56">
        <v>0</v>
      </c>
      <c r="I227" s="56">
        <f>SUM(G227:H227)</f>
        <v>0</v>
      </c>
      <c r="J227" s="58"/>
      <c r="K227" s="55">
        <v>0</v>
      </c>
      <c r="L227" s="56">
        <v>0</v>
      </c>
      <c r="M227" s="56">
        <f>SUM(K227:L227)</f>
        <v>0</v>
      </c>
      <c r="N227" s="58"/>
      <c r="O227" s="55">
        <v>0</v>
      </c>
      <c r="P227" s="56">
        <v>0</v>
      </c>
      <c r="Q227" s="56">
        <f>SUM(O227:P227)</f>
        <v>0</v>
      </c>
      <c r="R227" s="58"/>
      <c r="S227" s="55">
        <v>0</v>
      </c>
      <c r="T227" s="56">
        <v>0</v>
      </c>
      <c r="U227" s="56">
        <f>SUM(S227:T227)</f>
        <v>0</v>
      </c>
      <c r="V227" s="59"/>
      <c r="W227" s="124">
        <f t="shared" ref="W227:Y231" si="233">C227+G227+K227+O227+S227</f>
        <v>0</v>
      </c>
      <c r="X227" s="57">
        <f t="shared" si="233"/>
        <v>0</v>
      </c>
      <c r="Y227" s="84">
        <f t="shared" si="233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/>
      <c r="B228" s="54"/>
      <c r="C228" s="124">
        <v>0</v>
      </c>
      <c r="D228" s="56">
        <v>0</v>
      </c>
      <c r="E228" s="56">
        <f>SUM(C228:D228)</f>
        <v>0</v>
      </c>
      <c r="F228" s="58"/>
      <c r="G228" s="55">
        <v>0</v>
      </c>
      <c r="H228" s="56">
        <v>0</v>
      </c>
      <c r="I228" s="56">
        <f>SUM(G228:H228)</f>
        <v>0</v>
      </c>
      <c r="J228" s="58"/>
      <c r="K228" s="55">
        <v>0</v>
      </c>
      <c r="L228" s="56">
        <v>0</v>
      </c>
      <c r="M228" s="56">
        <f>SUM(K228:L228)</f>
        <v>0</v>
      </c>
      <c r="N228" s="58"/>
      <c r="O228" s="55">
        <v>0</v>
      </c>
      <c r="P228" s="56">
        <v>0</v>
      </c>
      <c r="Q228" s="56">
        <f>SUM(O228:P228)</f>
        <v>0</v>
      </c>
      <c r="R228" s="58"/>
      <c r="S228" s="55">
        <v>0</v>
      </c>
      <c r="T228" s="56">
        <v>0</v>
      </c>
      <c r="U228" s="56">
        <f>SUM(S228:T228)</f>
        <v>0</v>
      </c>
      <c r="V228" s="59"/>
      <c r="W228" s="124">
        <f t="shared" si="233"/>
        <v>0</v>
      </c>
      <c r="X228" s="57">
        <f t="shared" si="233"/>
        <v>0</v>
      </c>
      <c r="Y228" s="84">
        <f t="shared" si="233"/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54"/>
      <c r="C229" s="124">
        <v>0</v>
      </c>
      <c r="D229" s="56">
        <v>0</v>
      </c>
      <c r="E229" s="56">
        <f>SUM(C229:D229)</f>
        <v>0</v>
      </c>
      <c r="F229" s="58"/>
      <c r="G229" s="55">
        <v>0</v>
      </c>
      <c r="H229" s="56">
        <v>0</v>
      </c>
      <c r="I229" s="56">
        <f>SUM(G229:H229)</f>
        <v>0</v>
      </c>
      <c r="J229" s="58"/>
      <c r="K229" s="55">
        <v>0</v>
      </c>
      <c r="L229" s="56">
        <v>0</v>
      </c>
      <c r="M229" s="56">
        <f>SUM(K229:L229)</f>
        <v>0</v>
      </c>
      <c r="N229" s="58"/>
      <c r="O229" s="55">
        <v>0</v>
      </c>
      <c r="P229" s="56">
        <v>0</v>
      </c>
      <c r="Q229" s="56">
        <f>SUM(O229:P229)</f>
        <v>0</v>
      </c>
      <c r="R229" s="58"/>
      <c r="S229" s="55">
        <v>0</v>
      </c>
      <c r="T229" s="56">
        <v>0</v>
      </c>
      <c r="U229" s="56">
        <f>SUM(S229:T229)</f>
        <v>0</v>
      </c>
      <c r="V229" s="59"/>
      <c r="W229" s="124">
        <f t="shared" si="233"/>
        <v>0</v>
      </c>
      <c r="X229" s="57">
        <f t="shared" si="233"/>
        <v>0</v>
      </c>
      <c r="Y229" s="84">
        <f t="shared" si="233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61" customFormat="1" x14ac:dyDescent="0.25">
      <c r="A230" s="54"/>
      <c r="B230" s="54"/>
      <c r="C230" s="124">
        <v>0</v>
      </c>
      <c r="D230" s="56">
        <v>0</v>
      </c>
      <c r="E230" s="56">
        <f>SUM(C230:D230)</f>
        <v>0</v>
      </c>
      <c r="F230" s="58"/>
      <c r="G230" s="55">
        <v>0</v>
      </c>
      <c r="H230" s="56">
        <v>0</v>
      </c>
      <c r="I230" s="56">
        <f>SUM(G230:H230)</f>
        <v>0</v>
      </c>
      <c r="J230" s="58"/>
      <c r="K230" s="55">
        <v>0</v>
      </c>
      <c r="L230" s="56">
        <v>0</v>
      </c>
      <c r="M230" s="56">
        <f>SUM(K230:L230)</f>
        <v>0</v>
      </c>
      <c r="N230" s="58"/>
      <c r="O230" s="55">
        <v>0</v>
      </c>
      <c r="P230" s="56">
        <v>0</v>
      </c>
      <c r="Q230" s="56">
        <f>SUM(O230:P230)</f>
        <v>0</v>
      </c>
      <c r="R230" s="58"/>
      <c r="S230" s="55">
        <v>0</v>
      </c>
      <c r="T230" s="56">
        <v>0</v>
      </c>
      <c r="U230" s="56">
        <f>SUM(S230:T230)</f>
        <v>0</v>
      </c>
      <c r="V230" s="59"/>
      <c r="W230" s="124">
        <f t="shared" si="233"/>
        <v>0</v>
      </c>
      <c r="X230" s="57">
        <f t="shared" si="233"/>
        <v>0</v>
      </c>
      <c r="Y230" s="84">
        <f t="shared" si="233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0</v>
      </c>
      <c r="H231" s="80">
        <f>SUM(H227:H230)</f>
        <v>0</v>
      </c>
      <c r="I231" s="80">
        <f>SUM(I227:I230)</f>
        <v>0</v>
      </c>
      <c r="J231" s="81"/>
      <c r="K231" s="79">
        <f>SUM(K227:K230)</f>
        <v>0</v>
      </c>
      <c r="L231" s="80">
        <f>SUM(L227:L230)</f>
        <v>0</v>
      </c>
      <c r="M231" s="80">
        <f>SUM(M227:M230)</f>
        <v>0</v>
      </c>
      <c r="N231" s="81"/>
      <c r="O231" s="79">
        <f>SUM(O227:O230)</f>
        <v>0</v>
      </c>
      <c r="P231" s="80">
        <f>SUM(P227:P230)</f>
        <v>0</v>
      </c>
      <c r="Q231" s="80">
        <f>SUM(Q227:Q230)</f>
        <v>0</v>
      </c>
      <c r="R231" s="81"/>
      <c r="S231" s="79">
        <f>SUM(S227:S230)</f>
        <v>0</v>
      </c>
      <c r="T231" s="125">
        <f>SUM(T227:T230)</f>
        <v>0</v>
      </c>
      <c r="U231" s="125">
        <f>SUM(U227:U230)</f>
        <v>0</v>
      </c>
      <c r="V231" s="82"/>
      <c r="W231" s="228">
        <f t="shared" si="233"/>
        <v>0</v>
      </c>
      <c r="X231" s="80">
        <f t="shared" si="233"/>
        <v>0</v>
      </c>
      <c r="Y231" s="80">
        <f t="shared" si="233"/>
        <v>0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2"/>
      <c r="B233" s="52"/>
      <c r="C233" s="124">
        <v>0</v>
      </c>
      <c r="D233" s="56">
        <v>0</v>
      </c>
      <c r="E233" s="56">
        <f t="shared" ref="E233:E244" si="234">SUM(C233:D233)</f>
        <v>0</v>
      </c>
      <c r="F233" s="58"/>
      <c r="G233" s="55">
        <v>0</v>
      </c>
      <c r="H233" s="57">
        <v>0</v>
      </c>
      <c r="I233" s="57">
        <f t="shared" ref="I233:I244" si="235">SUM(G233:H233)</f>
        <v>0</v>
      </c>
      <c r="J233" s="58"/>
      <c r="K233" s="55">
        <v>0</v>
      </c>
      <c r="L233" s="57">
        <v>0</v>
      </c>
      <c r="M233" s="57">
        <f t="shared" ref="M233:M244" si="236">SUM(K233:L233)</f>
        <v>0</v>
      </c>
      <c r="N233" s="58"/>
      <c r="O233" s="55">
        <v>0</v>
      </c>
      <c r="P233" s="57">
        <v>0</v>
      </c>
      <c r="Q233" s="57">
        <f t="shared" ref="Q233:Q244" si="237">SUM(O233:P233)</f>
        <v>0</v>
      </c>
      <c r="R233" s="58"/>
      <c r="S233" s="55">
        <v>0</v>
      </c>
      <c r="T233" s="57">
        <v>0</v>
      </c>
      <c r="U233" s="57">
        <f t="shared" ref="U233:U244" si="238">SUM(S233:T233)</f>
        <v>0</v>
      </c>
      <c r="V233" s="59"/>
      <c r="W233" s="124">
        <f t="shared" ref="W233:W245" si="239">C233+G233+K233+O233+S233</f>
        <v>0</v>
      </c>
      <c r="X233" s="57">
        <f t="shared" ref="X233:X245" si="240">D233+H233+L233+P233+T233</f>
        <v>0</v>
      </c>
      <c r="Y233" s="84">
        <f t="shared" ref="Y233:Y245" si="241">E233+I233+M233+Q233+U233</f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</row>
    <row r="234" spans="1:77" s="61" customFormat="1" x14ac:dyDescent="0.25">
      <c r="A234" s="52"/>
      <c r="B234" s="52"/>
      <c r="C234" s="124">
        <v>0</v>
      </c>
      <c r="D234" s="56">
        <v>0</v>
      </c>
      <c r="E234" s="56">
        <f t="shared" si="234"/>
        <v>0</v>
      </c>
      <c r="F234" s="58"/>
      <c r="G234" s="55">
        <v>0</v>
      </c>
      <c r="H234" s="57">
        <v>0</v>
      </c>
      <c r="I234" s="57">
        <f t="shared" si="235"/>
        <v>0</v>
      </c>
      <c r="J234" s="58"/>
      <c r="K234" s="55">
        <v>0</v>
      </c>
      <c r="L234" s="57">
        <v>0</v>
      </c>
      <c r="M234" s="57">
        <f t="shared" si="236"/>
        <v>0</v>
      </c>
      <c r="N234" s="58"/>
      <c r="O234" s="55">
        <v>0</v>
      </c>
      <c r="P234" s="57">
        <v>0</v>
      </c>
      <c r="Q234" s="57">
        <f t="shared" si="237"/>
        <v>0</v>
      </c>
      <c r="R234" s="58"/>
      <c r="S234" s="55">
        <v>0</v>
      </c>
      <c r="T234" s="57">
        <v>0</v>
      </c>
      <c r="U234" s="57">
        <f t="shared" si="238"/>
        <v>0</v>
      </c>
      <c r="V234" s="59"/>
      <c r="W234" s="124">
        <f t="shared" si="239"/>
        <v>0</v>
      </c>
      <c r="X234" s="57">
        <f t="shared" si="240"/>
        <v>0</v>
      </c>
      <c r="Y234" s="84">
        <f t="shared" si="241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</row>
    <row r="235" spans="1:77" s="61" customFormat="1" x14ac:dyDescent="0.25">
      <c r="A235" s="52"/>
      <c r="B235" s="52"/>
      <c r="C235" s="124">
        <v>0</v>
      </c>
      <c r="D235" s="56">
        <v>0</v>
      </c>
      <c r="E235" s="56">
        <f t="shared" si="234"/>
        <v>0</v>
      </c>
      <c r="F235" s="58"/>
      <c r="G235" s="55">
        <v>0</v>
      </c>
      <c r="H235" s="57">
        <v>0</v>
      </c>
      <c r="I235" s="57">
        <f t="shared" si="235"/>
        <v>0</v>
      </c>
      <c r="J235" s="58"/>
      <c r="K235" s="55">
        <v>0</v>
      </c>
      <c r="L235" s="57">
        <v>0</v>
      </c>
      <c r="M235" s="57">
        <f t="shared" si="236"/>
        <v>0</v>
      </c>
      <c r="N235" s="58"/>
      <c r="O235" s="55">
        <v>0</v>
      </c>
      <c r="P235" s="57">
        <v>0</v>
      </c>
      <c r="Q235" s="57">
        <f t="shared" si="237"/>
        <v>0</v>
      </c>
      <c r="R235" s="58"/>
      <c r="S235" s="55">
        <v>0</v>
      </c>
      <c r="T235" s="57">
        <v>0</v>
      </c>
      <c r="U235" s="57">
        <f t="shared" si="238"/>
        <v>0</v>
      </c>
      <c r="V235" s="59"/>
      <c r="W235" s="124">
        <f t="shared" si="239"/>
        <v>0</v>
      </c>
      <c r="X235" s="57">
        <f t="shared" si="240"/>
        <v>0</v>
      </c>
      <c r="Y235" s="84">
        <f t="shared" si="241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</row>
    <row r="236" spans="1:77" s="61" customFormat="1" x14ac:dyDescent="0.25">
      <c r="A236" s="52"/>
      <c r="B236" s="52"/>
      <c r="C236" s="124">
        <v>0</v>
      </c>
      <c r="D236" s="56">
        <v>0</v>
      </c>
      <c r="E236" s="56">
        <f t="shared" si="234"/>
        <v>0</v>
      </c>
      <c r="F236" s="58"/>
      <c r="G236" s="55">
        <v>0</v>
      </c>
      <c r="H236" s="57">
        <v>0</v>
      </c>
      <c r="I236" s="57">
        <f t="shared" si="235"/>
        <v>0</v>
      </c>
      <c r="J236" s="58"/>
      <c r="K236" s="55">
        <v>0</v>
      </c>
      <c r="L236" s="57">
        <v>0</v>
      </c>
      <c r="M236" s="57">
        <f t="shared" si="236"/>
        <v>0</v>
      </c>
      <c r="N236" s="58"/>
      <c r="O236" s="55">
        <v>0</v>
      </c>
      <c r="P236" s="57">
        <v>0</v>
      </c>
      <c r="Q236" s="57">
        <f t="shared" si="237"/>
        <v>0</v>
      </c>
      <c r="R236" s="58"/>
      <c r="S236" s="55">
        <v>0</v>
      </c>
      <c r="T236" s="57">
        <v>0</v>
      </c>
      <c r="U236" s="57">
        <f t="shared" si="238"/>
        <v>0</v>
      </c>
      <c r="V236" s="59"/>
      <c r="W236" s="124">
        <f t="shared" si="239"/>
        <v>0</v>
      </c>
      <c r="X236" s="57">
        <f t="shared" si="240"/>
        <v>0</v>
      </c>
      <c r="Y236" s="84">
        <f t="shared" si="241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</row>
    <row r="237" spans="1:77" s="61" customFormat="1" x14ac:dyDescent="0.25">
      <c r="A237" s="52"/>
      <c r="B237" s="52"/>
      <c r="C237" s="124">
        <v>0</v>
      </c>
      <c r="D237" s="56">
        <v>0</v>
      </c>
      <c r="E237" s="56">
        <f t="shared" si="234"/>
        <v>0</v>
      </c>
      <c r="F237" s="58"/>
      <c r="G237" s="55">
        <v>0</v>
      </c>
      <c r="H237" s="57">
        <v>0</v>
      </c>
      <c r="I237" s="57">
        <f t="shared" si="235"/>
        <v>0</v>
      </c>
      <c r="J237" s="58"/>
      <c r="K237" s="55">
        <v>0</v>
      </c>
      <c r="L237" s="57">
        <v>0</v>
      </c>
      <c r="M237" s="57">
        <f t="shared" si="236"/>
        <v>0</v>
      </c>
      <c r="N237" s="58"/>
      <c r="O237" s="55">
        <v>0</v>
      </c>
      <c r="P237" s="57">
        <v>0</v>
      </c>
      <c r="Q237" s="57">
        <f t="shared" si="237"/>
        <v>0</v>
      </c>
      <c r="R237" s="58"/>
      <c r="S237" s="55">
        <v>0</v>
      </c>
      <c r="T237" s="57">
        <v>0</v>
      </c>
      <c r="U237" s="57">
        <f t="shared" si="238"/>
        <v>0</v>
      </c>
      <c r="V237" s="59"/>
      <c r="W237" s="124">
        <f t="shared" si="239"/>
        <v>0</v>
      </c>
      <c r="X237" s="57">
        <f t="shared" si="240"/>
        <v>0</v>
      </c>
      <c r="Y237" s="84">
        <f t="shared" si="241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</row>
    <row r="238" spans="1:77" s="61" customFormat="1" x14ac:dyDescent="0.25">
      <c r="A238" s="52"/>
      <c r="B238" s="52"/>
      <c r="C238" s="124">
        <v>0</v>
      </c>
      <c r="D238" s="56">
        <v>0</v>
      </c>
      <c r="E238" s="56">
        <f t="shared" si="234"/>
        <v>0</v>
      </c>
      <c r="F238" s="58"/>
      <c r="G238" s="55">
        <v>0</v>
      </c>
      <c r="H238" s="57">
        <v>0</v>
      </c>
      <c r="I238" s="57">
        <f t="shared" si="235"/>
        <v>0</v>
      </c>
      <c r="J238" s="58"/>
      <c r="K238" s="55">
        <v>0</v>
      </c>
      <c r="L238" s="57">
        <v>0</v>
      </c>
      <c r="M238" s="57">
        <f t="shared" si="236"/>
        <v>0</v>
      </c>
      <c r="N238" s="58"/>
      <c r="O238" s="55">
        <v>0</v>
      </c>
      <c r="P238" s="57">
        <v>0</v>
      </c>
      <c r="Q238" s="57">
        <f t="shared" si="237"/>
        <v>0</v>
      </c>
      <c r="R238" s="58"/>
      <c r="S238" s="55">
        <v>0</v>
      </c>
      <c r="T238" s="57">
        <v>0</v>
      </c>
      <c r="U238" s="57">
        <f t="shared" si="238"/>
        <v>0</v>
      </c>
      <c r="V238" s="59"/>
      <c r="W238" s="124">
        <f t="shared" si="239"/>
        <v>0</v>
      </c>
      <c r="X238" s="57">
        <f t="shared" si="240"/>
        <v>0</v>
      </c>
      <c r="Y238" s="84">
        <f t="shared" si="241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</row>
    <row r="239" spans="1:77" s="61" customFormat="1" x14ac:dyDescent="0.25">
      <c r="A239" s="52"/>
      <c r="B239" s="52"/>
      <c r="C239" s="124">
        <v>0</v>
      </c>
      <c r="D239" s="56">
        <v>0</v>
      </c>
      <c r="E239" s="56">
        <f t="shared" si="234"/>
        <v>0</v>
      </c>
      <c r="F239" s="58"/>
      <c r="G239" s="55">
        <v>0</v>
      </c>
      <c r="H239" s="57">
        <v>0</v>
      </c>
      <c r="I239" s="57">
        <f t="shared" si="235"/>
        <v>0</v>
      </c>
      <c r="J239" s="58"/>
      <c r="K239" s="55">
        <v>0</v>
      </c>
      <c r="L239" s="57">
        <v>0</v>
      </c>
      <c r="M239" s="57">
        <f t="shared" si="236"/>
        <v>0</v>
      </c>
      <c r="N239" s="58"/>
      <c r="O239" s="55">
        <v>0</v>
      </c>
      <c r="P239" s="57">
        <v>0</v>
      </c>
      <c r="Q239" s="57">
        <f t="shared" si="237"/>
        <v>0</v>
      </c>
      <c r="R239" s="58"/>
      <c r="S239" s="55">
        <v>0</v>
      </c>
      <c r="T239" s="57">
        <v>0</v>
      </c>
      <c r="U239" s="57">
        <f t="shared" si="238"/>
        <v>0</v>
      </c>
      <c r="V239" s="59"/>
      <c r="W239" s="124">
        <f t="shared" si="239"/>
        <v>0</v>
      </c>
      <c r="X239" s="57">
        <f t="shared" si="240"/>
        <v>0</v>
      </c>
      <c r="Y239" s="84">
        <f t="shared" si="241"/>
        <v>0</v>
      </c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</row>
    <row r="240" spans="1:77" s="61" customFormat="1" x14ac:dyDescent="0.25">
      <c r="A240" s="52"/>
      <c r="B240" s="52"/>
      <c r="C240" s="124">
        <v>0</v>
      </c>
      <c r="D240" s="56">
        <v>0</v>
      </c>
      <c r="E240" s="56">
        <f t="shared" si="234"/>
        <v>0</v>
      </c>
      <c r="F240" s="58"/>
      <c r="G240" s="55">
        <v>0</v>
      </c>
      <c r="H240" s="57">
        <v>0</v>
      </c>
      <c r="I240" s="57">
        <f t="shared" si="235"/>
        <v>0</v>
      </c>
      <c r="J240" s="58"/>
      <c r="K240" s="55">
        <v>0</v>
      </c>
      <c r="L240" s="57">
        <v>0</v>
      </c>
      <c r="M240" s="57">
        <f t="shared" si="236"/>
        <v>0</v>
      </c>
      <c r="N240" s="58"/>
      <c r="O240" s="55">
        <v>0</v>
      </c>
      <c r="P240" s="57">
        <v>0</v>
      </c>
      <c r="Q240" s="57">
        <f t="shared" si="237"/>
        <v>0</v>
      </c>
      <c r="R240" s="58"/>
      <c r="S240" s="55">
        <v>0</v>
      </c>
      <c r="T240" s="57">
        <v>0</v>
      </c>
      <c r="U240" s="57">
        <f t="shared" si="238"/>
        <v>0</v>
      </c>
      <c r="V240" s="59"/>
      <c r="W240" s="124">
        <f t="shared" si="239"/>
        <v>0</v>
      </c>
      <c r="X240" s="57">
        <f t="shared" si="240"/>
        <v>0</v>
      </c>
      <c r="Y240" s="84">
        <f t="shared" si="241"/>
        <v>0</v>
      </c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234"/>
        <v>0</v>
      </c>
      <c r="F241" s="58"/>
      <c r="G241" s="55">
        <v>0</v>
      </c>
      <c r="H241" s="57">
        <v>0</v>
      </c>
      <c r="I241" s="57">
        <f t="shared" si="235"/>
        <v>0</v>
      </c>
      <c r="J241" s="58"/>
      <c r="K241" s="55">
        <v>0</v>
      </c>
      <c r="L241" s="57">
        <v>0</v>
      </c>
      <c r="M241" s="57">
        <f t="shared" si="236"/>
        <v>0</v>
      </c>
      <c r="N241" s="58"/>
      <c r="O241" s="55">
        <v>0</v>
      </c>
      <c r="P241" s="57">
        <v>0</v>
      </c>
      <c r="Q241" s="57">
        <f t="shared" si="237"/>
        <v>0</v>
      </c>
      <c r="R241" s="58"/>
      <c r="S241" s="55">
        <v>0</v>
      </c>
      <c r="T241" s="57">
        <v>0</v>
      </c>
      <c r="U241" s="57">
        <f t="shared" si="238"/>
        <v>0</v>
      </c>
      <c r="V241" s="59"/>
      <c r="W241" s="124">
        <f t="shared" si="239"/>
        <v>0</v>
      </c>
      <c r="X241" s="57">
        <f t="shared" si="240"/>
        <v>0</v>
      </c>
      <c r="Y241" s="84">
        <f t="shared" si="241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234"/>
        <v>0</v>
      </c>
      <c r="F242" s="58"/>
      <c r="G242" s="55">
        <v>0</v>
      </c>
      <c r="H242" s="57">
        <v>0</v>
      </c>
      <c r="I242" s="57">
        <f t="shared" si="235"/>
        <v>0</v>
      </c>
      <c r="J242" s="58"/>
      <c r="K242" s="55">
        <v>0</v>
      </c>
      <c r="L242" s="57">
        <v>0</v>
      </c>
      <c r="M242" s="57">
        <f t="shared" si="236"/>
        <v>0</v>
      </c>
      <c r="N242" s="58"/>
      <c r="O242" s="55">
        <v>0</v>
      </c>
      <c r="P242" s="57">
        <v>0</v>
      </c>
      <c r="Q242" s="57">
        <f t="shared" si="237"/>
        <v>0</v>
      </c>
      <c r="R242" s="58"/>
      <c r="S242" s="55">
        <v>0</v>
      </c>
      <c r="T242" s="57">
        <v>0</v>
      </c>
      <c r="U242" s="57">
        <f t="shared" si="238"/>
        <v>0</v>
      </c>
      <c r="V242" s="59"/>
      <c r="W242" s="124">
        <f t="shared" si="239"/>
        <v>0</v>
      </c>
      <c r="X242" s="57">
        <f t="shared" si="240"/>
        <v>0</v>
      </c>
      <c r="Y242" s="84">
        <f t="shared" si="241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234"/>
        <v>0</v>
      </c>
      <c r="F243" s="58"/>
      <c r="G243" s="55">
        <v>0</v>
      </c>
      <c r="H243" s="57">
        <v>0</v>
      </c>
      <c r="I243" s="57">
        <f t="shared" si="235"/>
        <v>0</v>
      </c>
      <c r="J243" s="58"/>
      <c r="K243" s="55">
        <v>0</v>
      </c>
      <c r="L243" s="57">
        <v>0</v>
      </c>
      <c r="M243" s="57">
        <f t="shared" si="236"/>
        <v>0</v>
      </c>
      <c r="N243" s="58"/>
      <c r="O243" s="55">
        <v>0</v>
      </c>
      <c r="P243" s="57">
        <v>0</v>
      </c>
      <c r="Q243" s="57">
        <f t="shared" si="237"/>
        <v>0</v>
      </c>
      <c r="R243" s="58"/>
      <c r="S243" s="55">
        <v>0</v>
      </c>
      <c r="T243" s="57">
        <v>0</v>
      </c>
      <c r="U243" s="57">
        <f t="shared" si="238"/>
        <v>0</v>
      </c>
      <c r="V243" s="59"/>
      <c r="W243" s="124">
        <f t="shared" si="239"/>
        <v>0</v>
      </c>
      <c r="X243" s="57">
        <f t="shared" si="240"/>
        <v>0</v>
      </c>
      <c r="Y243" s="84">
        <f t="shared" si="241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234"/>
        <v>0</v>
      </c>
      <c r="F244" s="58"/>
      <c r="G244" s="55">
        <v>0</v>
      </c>
      <c r="H244" s="57">
        <v>0</v>
      </c>
      <c r="I244" s="57">
        <f t="shared" si="235"/>
        <v>0</v>
      </c>
      <c r="J244" s="58"/>
      <c r="K244" s="55">
        <v>0</v>
      </c>
      <c r="L244" s="57">
        <v>0</v>
      </c>
      <c r="M244" s="57">
        <f t="shared" si="236"/>
        <v>0</v>
      </c>
      <c r="N244" s="58"/>
      <c r="O244" s="55">
        <v>0</v>
      </c>
      <c r="P244" s="57">
        <v>0</v>
      </c>
      <c r="Q244" s="57">
        <f t="shared" si="237"/>
        <v>0</v>
      </c>
      <c r="R244" s="58"/>
      <c r="S244" s="55">
        <v>0</v>
      </c>
      <c r="T244" s="57">
        <v>0</v>
      </c>
      <c r="U244" s="57">
        <f t="shared" si="238"/>
        <v>0</v>
      </c>
      <c r="V244" s="59"/>
      <c r="W244" s="124">
        <f t="shared" si="239"/>
        <v>0</v>
      </c>
      <c r="X244" s="57">
        <f t="shared" si="240"/>
        <v>0</v>
      </c>
      <c r="Y244" s="84">
        <f t="shared" si="241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0</v>
      </c>
      <c r="D245" s="153">
        <f>SUM(D233:D244)</f>
        <v>0</v>
      </c>
      <c r="E245" s="153">
        <f>SUM(E233:E244)</f>
        <v>0</v>
      </c>
      <c r="F245" s="154"/>
      <c r="G245" s="152">
        <f>SUM(G233:G244)</f>
        <v>0</v>
      </c>
      <c r="H245" s="155">
        <f>SUM(H233:H244)</f>
        <v>0</v>
      </c>
      <c r="I245" s="155">
        <f>SUM(I233:I244)</f>
        <v>0</v>
      </c>
      <c r="J245" s="154"/>
      <c r="K245" s="152">
        <f>SUM(K233:K244)</f>
        <v>0</v>
      </c>
      <c r="L245" s="155">
        <f>SUM(L233:L244)</f>
        <v>0</v>
      </c>
      <c r="M245" s="155">
        <f>SUM(M233:M244)</f>
        <v>0</v>
      </c>
      <c r="N245" s="154"/>
      <c r="O245" s="152">
        <f>SUM(O233:O244)</f>
        <v>0</v>
      </c>
      <c r="P245" s="155">
        <f>SUM(P233:P244)</f>
        <v>0</v>
      </c>
      <c r="Q245" s="155">
        <f>SUM(Q233:Q244)</f>
        <v>0</v>
      </c>
      <c r="R245" s="154"/>
      <c r="S245" s="152">
        <f>SUM(S233:S244)</f>
        <v>0</v>
      </c>
      <c r="T245" s="155">
        <f>SUM(T233:T244)</f>
        <v>0</v>
      </c>
      <c r="U245" s="155">
        <f>SUM(U233:U244)</f>
        <v>0</v>
      </c>
      <c r="V245" s="82"/>
      <c r="W245" s="228">
        <f t="shared" si="239"/>
        <v>0</v>
      </c>
      <c r="X245" s="80">
        <f t="shared" si="240"/>
        <v>0</v>
      </c>
      <c r="Y245" s="80">
        <f t="shared" si="241"/>
        <v>0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>SUM(C205+C217+C225+C231+C245)</f>
        <v>72515.991629950004</v>
      </c>
      <c r="D246" s="111">
        <f t="shared" ref="D246:Y246" si="242">SUM(D205+D217+D225+D231+D245)</f>
        <v>45866</v>
      </c>
      <c r="E246" s="111">
        <f t="shared" si="242"/>
        <v>118381.99162995</v>
      </c>
      <c r="F246" s="111">
        <f t="shared" si="242"/>
        <v>0</v>
      </c>
      <c r="G246" s="111">
        <f t="shared" si="242"/>
        <v>75030.984623050652</v>
      </c>
      <c r="H246" s="111">
        <f t="shared" si="242"/>
        <v>47608.6394</v>
      </c>
      <c r="I246" s="111">
        <f t="shared" si="242"/>
        <v>122639.62402305065</v>
      </c>
      <c r="J246" s="111">
        <f t="shared" si="242"/>
        <v>0</v>
      </c>
      <c r="K246" s="111">
        <f t="shared" si="242"/>
        <v>77647.950162516223</v>
      </c>
      <c r="L246" s="111">
        <f t="shared" si="242"/>
        <v>49425.887539459996</v>
      </c>
      <c r="M246" s="111">
        <f t="shared" si="242"/>
        <v>127073.83770197623</v>
      </c>
      <c r="N246" s="111">
        <f t="shared" si="242"/>
        <v>0</v>
      </c>
      <c r="O246" s="111">
        <f t="shared" si="242"/>
        <v>80371.562660612923</v>
      </c>
      <c r="P246" s="111">
        <f t="shared" si="242"/>
        <v>51321.342550613117</v>
      </c>
      <c r="Q246" s="111">
        <f t="shared" si="242"/>
        <v>131692.90521122603</v>
      </c>
      <c r="R246" s="111">
        <f t="shared" si="242"/>
        <v>0</v>
      </c>
      <c r="S246" s="111">
        <f t="shared" si="242"/>
        <v>83206.735129839668</v>
      </c>
      <c r="T246" s="111">
        <f t="shared" si="242"/>
        <v>53298.793325745457</v>
      </c>
      <c r="U246" s="111">
        <f t="shared" si="242"/>
        <v>136505.52845558512</v>
      </c>
      <c r="V246" s="111">
        <f t="shared" si="242"/>
        <v>0</v>
      </c>
      <c r="W246" s="111">
        <f t="shared" si="242"/>
        <v>388773.22420596948</v>
      </c>
      <c r="X246" s="111">
        <f t="shared" si="242"/>
        <v>247520.66281581856</v>
      </c>
      <c r="Y246" s="111">
        <f t="shared" si="242"/>
        <v>636293.88702178805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((C205+C225+C245)*0.42)-0.5</f>
        <v>30456.216484578999</v>
      </c>
      <c r="D247" s="111">
        <v>0</v>
      </c>
      <c r="E247" s="111">
        <f>C247</f>
        <v>30456.216484578999</v>
      </c>
      <c r="F247" s="111">
        <f>F196*0.47</f>
        <v>0</v>
      </c>
      <c r="G247" s="111">
        <f>(G205+G225+G245)*0.42</f>
        <v>31513.013541681274</v>
      </c>
      <c r="H247" s="111">
        <v>0</v>
      </c>
      <c r="I247" s="111">
        <f>G247</f>
        <v>31513.013541681274</v>
      </c>
      <c r="J247" s="111">
        <f>J196*0.47</f>
        <v>0</v>
      </c>
      <c r="K247" s="111">
        <f>(K205+K225+K245)*0.42</f>
        <v>32612.139068256813</v>
      </c>
      <c r="L247" s="111">
        <v>0</v>
      </c>
      <c r="M247" s="111">
        <f>K247</f>
        <v>32612.139068256813</v>
      </c>
      <c r="N247" s="111">
        <f>N196*0.47</f>
        <v>0</v>
      </c>
      <c r="O247" s="111">
        <f>(O205+O225+O245)*0.42</f>
        <v>33756.056317457427</v>
      </c>
      <c r="P247" s="111">
        <v>0</v>
      </c>
      <c r="Q247" s="111">
        <f>O247</f>
        <v>33756.056317457427</v>
      </c>
      <c r="R247" s="111">
        <f>R196*0.47</f>
        <v>0</v>
      </c>
      <c r="S247" s="111">
        <f>(S205+S225+S245)*0.42</f>
        <v>34946.82875453266</v>
      </c>
      <c r="T247" s="111">
        <v>0</v>
      </c>
      <c r="U247" s="111">
        <f>S247</f>
        <v>34946.82875453266</v>
      </c>
      <c r="V247" s="111">
        <f>V196*0.47</f>
        <v>0</v>
      </c>
      <c r="W247" s="111">
        <f>(W205+W225+W245)*0.42</f>
        <v>163284.75416650719</v>
      </c>
      <c r="X247" s="111">
        <v>0</v>
      </c>
      <c r="Y247" s="111">
        <f>W247</f>
        <v>163284.75416650719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102972.208114529</v>
      </c>
      <c r="D248" s="111">
        <f t="shared" ref="D248:Y248" si="243">SUM(D246:D247)</f>
        <v>45866</v>
      </c>
      <c r="E248" s="111">
        <f t="shared" si="243"/>
        <v>148838.208114529</v>
      </c>
      <c r="F248" s="111">
        <f t="shared" si="243"/>
        <v>0</v>
      </c>
      <c r="G248" s="111">
        <f t="shared" si="243"/>
        <v>106543.99816473192</v>
      </c>
      <c r="H248" s="111">
        <f t="shared" si="243"/>
        <v>47608.6394</v>
      </c>
      <c r="I248" s="111">
        <f t="shared" si="243"/>
        <v>154152.63756473194</v>
      </c>
      <c r="J248" s="111">
        <f t="shared" si="243"/>
        <v>0</v>
      </c>
      <c r="K248" s="111">
        <f t="shared" si="243"/>
        <v>110260.08923077304</v>
      </c>
      <c r="L248" s="111">
        <f t="shared" si="243"/>
        <v>49425.887539459996</v>
      </c>
      <c r="M248" s="111">
        <f t="shared" si="243"/>
        <v>159685.97677023304</v>
      </c>
      <c r="N248" s="111">
        <f t="shared" si="243"/>
        <v>0</v>
      </c>
      <c r="O248" s="111">
        <f t="shared" si="243"/>
        <v>114127.61897807036</v>
      </c>
      <c r="P248" s="111">
        <f t="shared" si="243"/>
        <v>51321.342550613117</v>
      </c>
      <c r="Q248" s="111">
        <f t="shared" si="243"/>
        <v>165448.96152868346</v>
      </c>
      <c r="R248" s="111">
        <f t="shared" si="243"/>
        <v>0</v>
      </c>
      <c r="S248" s="111">
        <f t="shared" si="243"/>
        <v>118153.56388437233</v>
      </c>
      <c r="T248" s="111">
        <f t="shared" si="243"/>
        <v>53298.793325745457</v>
      </c>
      <c r="U248" s="111">
        <f t="shared" si="243"/>
        <v>171452.3572101178</v>
      </c>
      <c r="V248" s="111">
        <f t="shared" si="243"/>
        <v>0</v>
      </c>
      <c r="W248" s="111">
        <f t="shared" si="243"/>
        <v>552057.97837247665</v>
      </c>
      <c r="X248" s="111">
        <f t="shared" si="243"/>
        <v>247520.66281581856</v>
      </c>
      <c r="Y248" s="111">
        <f t="shared" si="243"/>
        <v>799578.64118829521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12" customFormat="1" x14ac:dyDescent="0.25">
      <c r="C249" s="113"/>
      <c r="D249" s="113"/>
      <c r="E249" s="113"/>
      <c r="F249" s="113"/>
      <c r="G249" s="113"/>
      <c r="H249" s="113"/>
      <c r="I249" s="113"/>
      <c r="J249" s="113"/>
      <c r="K249" s="113"/>
      <c r="M249" s="113"/>
      <c r="N249" s="113"/>
      <c r="O249" s="113"/>
      <c r="Q249" s="113"/>
      <c r="R249" s="113"/>
      <c r="S249" s="113"/>
      <c r="U249" s="113"/>
      <c r="V249" s="114"/>
      <c r="W249" s="113"/>
      <c r="X249" s="113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169" customFormat="1" x14ac:dyDescent="0.25">
      <c r="A252" s="170" t="s">
        <v>57</v>
      </c>
      <c r="B252" s="169" t="s">
        <v>57</v>
      </c>
      <c r="C252" s="172">
        <v>0</v>
      </c>
      <c r="D252" s="173">
        <v>0</v>
      </c>
      <c r="E252" s="173">
        <f t="shared" ref="E252:E255" si="244">SUM(C252:D252)</f>
        <v>0</v>
      </c>
      <c r="F252" s="175"/>
      <c r="G252" s="172">
        <f>C252*1.03</f>
        <v>0</v>
      </c>
      <c r="H252" s="173">
        <f>D252*1.03</f>
        <v>0</v>
      </c>
      <c r="I252" s="173">
        <f t="shared" ref="I252:I255" si="245">SUM(G252:H252)</f>
        <v>0</v>
      </c>
      <c r="J252" s="175"/>
      <c r="K252" s="172">
        <f>G252*1.03</f>
        <v>0</v>
      </c>
      <c r="L252" s="173">
        <f>H252*1.03</f>
        <v>0</v>
      </c>
      <c r="M252" s="173">
        <f t="shared" ref="M252:M255" si="246">SUM(K252:L252)</f>
        <v>0</v>
      </c>
      <c r="N252" s="175"/>
      <c r="O252" s="172">
        <f>K252*1.03</f>
        <v>0</v>
      </c>
      <c r="P252" s="173">
        <f>L252*1.03</f>
        <v>0</v>
      </c>
      <c r="Q252" s="173">
        <f t="shared" ref="Q252:Q255" si="247">SUM(O252:P252)</f>
        <v>0</v>
      </c>
      <c r="R252" s="175"/>
      <c r="S252" s="172">
        <f>O252*1.03</f>
        <v>0</v>
      </c>
      <c r="T252" s="173">
        <f>P252*1.03</f>
        <v>0</v>
      </c>
      <c r="U252" s="173">
        <f t="shared" ref="U252:U255" si="248">SUM(S252:T252)</f>
        <v>0</v>
      </c>
      <c r="V252" s="176"/>
      <c r="W252" s="227">
        <f>C252+G252+K252+O252+S252</f>
        <v>0</v>
      </c>
      <c r="X252" s="173">
        <f t="shared" ref="X252:Y256" si="249">D252+H252+L252+P252+T252</f>
        <v>0</v>
      </c>
      <c r="Y252" s="177">
        <f t="shared" si="249"/>
        <v>0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si="244"/>
        <v>0</v>
      </c>
      <c r="F253" s="175"/>
      <c r="G253" s="172">
        <f t="shared" ref="G253:H255" si="250">C253*1.03</f>
        <v>0</v>
      </c>
      <c r="H253" s="173">
        <f t="shared" si="250"/>
        <v>0</v>
      </c>
      <c r="I253" s="173">
        <f t="shared" si="245"/>
        <v>0</v>
      </c>
      <c r="J253" s="175"/>
      <c r="K253" s="172">
        <f t="shared" ref="K253:L255" si="251">G253*1.03</f>
        <v>0</v>
      </c>
      <c r="L253" s="173">
        <f t="shared" si="251"/>
        <v>0</v>
      </c>
      <c r="M253" s="173">
        <f t="shared" si="246"/>
        <v>0</v>
      </c>
      <c r="N253" s="175"/>
      <c r="O253" s="172">
        <f t="shared" ref="O253:P255" si="252">K253*1.03</f>
        <v>0</v>
      </c>
      <c r="P253" s="173">
        <f t="shared" si="252"/>
        <v>0</v>
      </c>
      <c r="Q253" s="173">
        <f t="shared" si="247"/>
        <v>0</v>
      </c>
      <c r="R253" s="175"/>
      <c r="S253" s="172">
        <f t="shared" ref="S253:T255" si="253">O253*1.03</f>
        <v>0</v>
      </c>
      <c r="T253" s="173">
        <f t="shared" si="253"/>
        <v>0</v>
      </c>
      <c r="U253" s="173">
        <f t="shared" si="248"/>
        <v>0</v>
      </c>
      <c r="V253" s="176"/>
      <c r="W253" s="227">
        <f t="shared" ref="W253:W256" si="254">C253+G253+K253+O253+S253</f>
        <v>0</v>
      </c>
      <c r="X253" s="173">
        <f t="shared" si="249"/>
        <v>0</v>
      </c>
      <c r="Y253" s="177">
        <f t="shared" si="249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244"/>
        <v>0</v>
      </c>
      <c r="F254" s="175"/>
      <c r="G254" s="172">
        <f t="shared" si="250"/>
        <v>0</v>
      </c>
      <c r="H254" s="173">
        <f t="shared" si="250"/>
        <v>0</v>
      </c>
      <c r="I254" s="173">
        <f t="shared" si="245"/>
        <v>0</v>
      </c>
      <c r="J254" s="175"/>
      <c r="K254" s="172">
        <f t="shared" si="251"/>
        <v>0</v>
      </c>
      <c r="L254" s="173">
        <f t="shared" si="251"/>
        <v>0</v>
      </c>
      <c r="M254" s="173">
        <f t="shared" si="246"/>
        <v>0</v>
      </c>
      <c r="N254" s="175"/>
      <c r="O254" s="172">
        <f t="shared" si="252"/>
        <v>0</v>
      </c>
      <c r="P254" s="173">
        <f t="shared" si="252"/>
        <v>0</v>
      </c>
      <c r="Q254" s="173">
        <f t="shared" si="247"/>
        <v>0</v>
      </c>
      <c r="R254" s="175"/>
      <c r="S254" s="172">
        <f t="shared" si="253"/>
        <v>0</v>
      </c>
      <c r="T254" s="173">
        <f t="shared" si="253"/>
        <v>0</v>
      </c>
      <c r="U254" s="173">
        <f t="shared" si="248"/>
        <v>0</v>
      </c>
      <c r="V254" s="176"/>
      <c r="W254" s="227">
        <f t="shared" si="254"/>
        <v>0</v>
      </c>
      <c r="X254" s="173">
        <f t="shared" si="249"/>
        <v>0</v>
      </c>
      <c r="Y254" s="177">
        <f t="shared" si="249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244"/>
        <v>0</v>
      </c>
      <c r="F255" s="175"/>
      <c r="G255" s="172">
        <f t="shared" si="250"/>
        <v>0</v>
      </c>
      <c r="H255" s="173">
        <f t="shared" si="250"/>
        <v>0</v>
      </c>
      <c r="I255" s="173">
        <f t="shared" si="245"/>
        <v>0</v>
      </c>
      <c r="J255" s="175"/>
      <c r="K255" s="172">
        <f t="shared" si="251"/>
        <v>0</v>
      </c>
      <c r="L255" s="173">
        <f t="shared" si="251"/>
        <v>0</v>
      </c>
      <c r="M255" s="173">
        <f t="shared" si="246"/>
        <v>0</v>
      </c>
      <c r="N255" s="175"/>
      <c r="O255" s="172">
        <f t="shared" si="252"/>
        <v>0</v>
      </c>
      <c r="P255" s="173">
        <f t="shared" si="252"/>
        <v>0</v>
      </c>
      <c r="Q255" s="173">
        <f t="shared" si="247"/>
        <v>0</v>
      </c>
      <c r="R255" s="175"/>
      <c r="S255" s="172">
        <f t="shared" si="253"/>
        <v>0</v>
      </c>
      <c r="T255" s="173">
        <f t="shared" si="253"/>
        <v>0</v>
      </c>
      <c r="U255" s="173">
        <f t="shared" si="248"/>
        <v>0</v>
      </c>
      <c r="V255" s="176"/>
      <c r="W255" s="227">
        <f t="shared" si="254"/>
        <v>0</v>
      </c>
      <c r="X255" s="173">
        <f t="shared" si="249"/>
        <v>0</v>
      </c>
      <c r="Y255" s="177">
        <f t="shared" si="249"/>
        <v>0</v>
      </c>
    </row>
    <row r="256" spans="1:77" s="83" customFormat="1" x14ac:dyDescent="0.25">
      <c r="A256" s="78"/>
      <c r="B256" s="78" t="s">
        <v>9</v>
      </c>
      <c r="C256" s="228">
        <f>SUM(C252:C255)</f>
        <v>0</v>
      </c>
      <c r="D256" s="125">
        <f>SUM(D252:D255)</f>
        <v>0</v>
      </c>
      <c r="E256" s="125">
        <f>SUM(E252:E255)</f>
        <v>0</v>
      </c>
      <c r="F256" s="81"/>
      <c r="G256" s="79">
        <f>SUM(G252:G255)</f>
        <v>0</v>
      </c>
      <c r="H256" s="80">
        <f>SUM(H252:H255)</f>
        <v>0</v>
      </c>
      <c r="I256" s="80">
        <f>SUM(I252:I255)</f>
        <v>0</v>
      </c>
      <c r="J256" s="81"/>
      <c r="K256" s="79">
        <f>SUM(K252:K255)</f>
        <v>0</v>
      </c>
      <c r="L256" s="80">
        <f>SUM(L252:L255)</f>
        <v>0</v>
      </c>
      <c r="M256" s="80">
        <f>SUM(M252:M255)</f>
        <v>0</v>
      </c>
      <c r="N256" s="81"/>
      <c r="O256" s="79">
        <f>SUM(O252:O255)</f>
        <v>0</v>
      </c>
      <c r="P256" s="80">
        <f>SUM(P252:P255)</f>
        <v>0</v>
      </c>
      <c r="Q256" s="80">
        <f>SUM(Q252:Q255)</f>
        <v>0</v>
      </c>
      <c r="R256" s="81"/>
      <c r="S256" s="79">
        <f>SUM(S252:S255)</f>
        <v>0</v>
      </c>
      <c r="T256" s="80">
        <f>SUM(T252:T255)</f>
        <v>0</v>
      </c>
      <c r="U256" s="80">
        <f>SUM(U252:U255)</f>
        <v>0</v>
      </c>
      <c r="V256" s="82"/>
      <c r="W256" s="228">
        <f t="shared" si="254"/>
        <v>0</v>
      </c>
      <c r="X256" s="80">
        <f t="shared" si="249"/>
        <v>0</v>
      </c>
      <c r="Y256" s="80">
        <f t="shared" si="249"/>
        <v>0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:L261" si="255">G258*1.03</f>
        <v>0</v>
      </c>
      <c r="L258" s="57">
        <f t="shared" si="255"/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Y262" si="256">C258+G258+K258+O258+S258</f>
        <v>0</v>
      </c>
      <c r="X258" s="57">
        <f t="shared" si="256"/>
        <v>0</v>
      </c>
      <c r="Y258" s="57">
        <f t="shared" ref="Y258:Y261" si="257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24">
        <v>0</v>
      </c>
      <c r="D259" s="56">
        <v>0</v>
      </c>
      <c r="E259" s="56">
        <f t="shared" ref="E259:E261" si="258">SUM(C259:D259)</f>
        <v>0</v>
      </c>
      <c r="F259" s="58"/>
      <c r="G259" s="55">
        <f t="shared" ref="G259:H261" si="259">C259*1.03</f>
        <v>0</v>
      </c>
      <c r="H259" s="57">
        <f t="shared" si="259"/>
        <v>0</v>
      </c>
      <c r="I259" s="57">
        <f t="shared" ref="I259:I261" si="260">SUM(G259:H259)</f>
        <v>0</v>
      </c>
      <c r="J259" s="58"/>
      <c r="K259" s="55">
        <f t="shared" si="255"/>
        <v>0</v>
      </c>
      <c r="L259" s="57">
        <f t="shared" si="255"/>
        <v>0</v>
      </c>
      <c r="M259" s="57">
        <f t="shared" ref="M259:M261" si="261">SUM(K259:L259)</f>
        <v>0</v>
      </c>
      <c r="N259" s="58"/>
      <c r="O259" s="55">
        <f t="shared" ref="O259:P261" si="262">K259*1.03</f>
        <v>0</v>
      </c>
      <c r="P259" s="57">
        <f t="shared" si="262"/>
        <v>0</v>
      </c>
      <c r="Q259" s="57">
        <f t="shared" ref="Q259:Q261" si="263">SUM(O259:P259)</f>
        <v>0</v>
      </c>
      <c r="R259" s="58"/>
      <c r="S259" s="55">
        <f t="shared" ref="S259:T261" si="264">O259*1.03</f>
        <v>0</v>
      </c>
      <c r="T259" s="57">
        <f t="shared" si="264"/>
        <v>0</v>
      </c>
      <c r="U259" s="57">
        <f t="shared" ref="U259:U261" si="265">SUM(S259:T259)</f>
        <v>0</v>
      </c>
      <c r="V259" s="59"/>
      <c r="W259" s="124">
        <f t="shared" si="256"/>
        <v>0</v>
      </c>
      <c r="X259" s="57">
        <f t="shared" si="256"/>
        <v>0</v>
      </c>
      <c r="Y259" s="57">
        <f t="shared" si="257"/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si="258"/>
        <v>0</v>
      </c>
      <c r="F260" s="58"/>
      <c r="G260" s="55">
        <f t="shared" si="259"/>
        <v>0</v>
      </c>
      <c r="H260" s="57">
        <f t="shared" si="259"/>
        <v>0</v>
      </c>
      <c r="I260" s="57">
        <f t="shared" si="260"/>
        <v>0</v>
      </c>
      <c r="J260" s="58"/>
      <c r="K260" s="55">
        <f t="shared" si="255"/>
        <v>0</v>
      </c>
      <c r="L260" s="57">
        <f t="shared" si="255"/>
        <v>0</v>
      </c>
      <c r="M260" s="57">
        <f t="shared" si="261"/>
        <v>0</v>
      </c>
      <c r="N260" s="58"/>
      <c r="O260" s="55">
        <f t="shared" si="262"/>
        <v>0</v>
      </c>
      <c r="P260" s="57">
        <f t="shared" si="262"/>
        <v>0</v>
      </c>
      <c r="Q260" s="57">
        <f t="shared" si="263"/>
        <v>0</v>
      </c>
      <c r="R260" s="58"/>
      <c r="S260" s="55">
        <f t="shared" si="264"/>
        <v>0</v>
      </c>
      <c r="T260" s="57">
        <f t="shared" si="264"/>
        <v>0</v>
      </c>
      <c r="U260" s="57">
        <f t="shared" si="265"/>
        <v>0</v>
      </c>
      <c r="V260" s="59"/>
      <c r="W260" s="124">
        <f t="shared" si="256"/>
        <v>0</v>
      </c>
      <c r="X260" s="57">
        <f t="shared" si="256"/>
        <v>0</v>
      </c>
      <c r="Y260" s="57">
        <f t="shared" si="257"/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258"/>
        <v>0</v>
      </c>
      <c r="F261" s="58"/>
      <c r="G261" s="55">
        <f t="shared" si="259"/>
        <v>0</v>
      </c>
      <c r="H261" s="57">
        <f t="shared" si="259"/>
        <v>0</v>
      </c>
      <c r="I261" s="57">
        <f t="shared" si="260"/>
        <v>0</v>
      </c>
      <c r="J261" s="58"/>
      <c r="K261" s="55">
        <f t="shared" si="255"/>
        <v>0</v>
      </c>
      <c r="L261" s="57">
        <f t="shared" si="255"/>
        <v>0</v>
      </c>
      <c r="M261" s="57">
        <f t="shared" si="261"/>
        <v>0</v>
      </c>
      <c r="N261" s="58"/>
      <c r="O261" s="55">
        <f t="shared" si="262"/>
        <v>0</v>
      </c>
      <c r="P261" s="57">
        <f t="shared" si="262"/>
        <v>0</v>
      </c>
      <c r="Q261" s="57">
        <f t="shared" si="263"/>
        <v>0</v>
      </c>
      <c r="R261" s="58"/>
      <c r="S261" s="55">
        <f t="shared" si="264"/>
        <v>0</v>
      </c>
      <c r="T261" s="57">
        <f t="shared" si="264"/>
        <v>0</v>
      </c>
      <c r="U261" s="57">
        <f t="shared" si="265"/>
        <v>0</v>
      </c>
      <c r="V261" s="59"/>
      <c r="W261" s="124">
        <f t="shared" si="256"/>
        <v>0</v>
      </c>
      <c r="X261" s="57">
        <f t="shared" si="256"/>
        <v>0</v>
      </c>
      <c r="Y261" s="57">
        <f t="shared" si="257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256"/>
        <v>0</v>
      </c>
      <c r="X262" s="80">
        <f t="shared" si="256"/>
        <v>0</v>
      </c>
      <c r="Y262" s="80">
        <f t="shared" si="256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266">C262+C256</f>
        <v>0</v>
      </c>
      <c r="D263" s="242">
        <f t="shared" si="266"/>
        <v>0</v>
      </c>
      <c r="E263" s="242">
        <f t="shared" si="266"/>
        <v>0</v>
      </c>
      <c r="F263" s="242">
        <f t="shared" si="266"/>
        <v>0</v>
      </c>
      <c r="G263" s="242">
        <f t="shared" si="266"/>
        <v>0</v>
      </c>
      <c r="H263" s="242">
        <f t="shared" si="266"/>
        <v>0</v>
      </c>
      <c r="I263" s="242">
        <f t="shared" si="266"/>
        <v>0</v>
      </c>
      <c r="J263" s="242">
        <f t="shared" si="266"/>
        <v>0</v>
      </c>
      <c r="K263" s="242">
        <f t="shared" si="266"/>
        <v>0</v>
      </c>
      <c r="L263" s="242">
        <f t="shared" si="266"/>
        <v>0</v>
      </c>
      <c r="M263" s="242">
        <f t="shared" si="266"/>
        <v>0</v>
      </c>
      <c r="N263" s="242">
        <f t="shared" si="266"/>
        <v>0</v>
      </c>
      <c r="O263" s="242">
        <f t="shared" si="266"/>
        <v>0</v>
      </c>
      <c r="P263" s="242">
        <f t="shared" si="266"/>
        <v>0</v>
      </c>
      <c r="Q263" s="242">
        <f t="shared" si="266"/>
        <v>0</v>
      </c>
      <c r="R263" s="242">
        <f t="shared" si="266"/>
        <v>0</v>
      </c>
      <c r="S263" s="242">
        <f t="shared" si="266"/>
        <v>0</v>
      </c>
      <c r="T263" s="242">
        <f t="shared" si="266"/>
        <v>0</v>
      </c>
      <c r="U263" s="242">
        <f t="shared" si="266"/>
        <v>0</v>
      </c>
      <c r="V263" s="242">
        <f t="shared" si="266"/>
        <v>0</v>
      </c>
      <c r="W263" s="242">
        <f t="shared" si="266"/>
        <v>0</v>
      </c>
      <c r="X263" s="242">
        <f t="shared" si="266"/>
        <v>0</v>
      </c>
      <c r="Y263" s="243">
        <f>E263+I263+M263+Q263+U263</f>
        <v>0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56">
        <f t="shared" ref="E265:E267" si="267">SUM(C265:D265)</f>
        <v>0</v>
      </c>
      <c r="F265" s="58"/>
      <c r="G265" s="124">
        <f>G258*A265*1.03*1.03</f>
        <v>0</v>
      </c>
      <c r="H265" s="56">
        <f>H258*A265*1.03</f>
        <v>0</v>
      </c>
      <c r="I265" s="57">
        <f t="shared" ref="I265:I267" si="268">SUM(G265:H265)</f>
        <v>0</v>
      </c>
      <c r="J265" s="58"/>
      <c r="K265" s="124">
        <f>K258*A265*1.03*1.03*1.03</f>
        <v>0</v>
      </c>
      <c r="L265" s="56">
        <f>L258*A265*1.03*1.03</f>
        <v>0</v>
      </c>
      <c r="M265" s="57">
        <f t="shared" ref="M265:M267" si="269">SUM(K265:L265)</f>
        <v>0</v>
      </c>
      <c r="N265" s="58"/>
      <c r="O265" s="124">
        <f>O258*A265*1.03*1.03*1.03*1.03</f>
        <v>0</v>
      </c>
      <c r="P265" s="56">
        <f>P258*A265*1.03*1.03*1.03</f>
        <v>0</v>
      </c>
      <c r="Q265" s="57">
        <f t="shared" ref="Q265:Q267" si="270">SUM(O265:P265)</f>
        <v>0</v>
      </c>
      <c r="R265" s="58"/>
      <c r="S265" s="124">
        <f>S258*A265*1.03*1.03*1.03*1.03*1.03</f>
        <v>0</v>
      </c>
      <c r="T265" s="56">
        <f>T258*A265*1.03*1.03*1.03*1.03</f>
        <v>0</v>
      </c>
      <c r="U265" s="57">
        <f t="shared" ref="U265:U267" si="271">SUM(S265:T265)</f>
        <v>0</v>
      </c>
      <c r="V265" s="59"/>
      <c r="W265" s="124">
        <f t="shared" ref="W265:Y268" si="272">C265+G265+K265+O265+S265</f>
        <v>0</v>
      </c>
      <c r="X265" s="57">
        <f t="shared" si="272"/>
        <v>0</v>
      </c>
      <c r="Y265" s="84">
        <f t="shared" si="272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0</v>
      </c>
      <c r="D266" s="56">
        <f>D256*A266*1.03</f>
        <v>0</v>
      </c>
      <c r="E266" s="56">
        <f t="shared" si="267"/>
        <v>0</v>
      </c>
      <c r="F266" s="58"/>
      <c r="G266" s="124">
        <f>G256*A266*1.03*1.03</f>
        <v>0</v>
      </c>
      <c r="H266" s="56">
        <f>H256*A266*1.03*1.03</f>
        <v>0</v>
      </c>
      <c r="I266" s="57">
        <f t="shared" si="268"/>
        <v>0</v>
      </c>
      <c r="J266" s="58"/>
      <c r="K266" s="124">
        <f>K260*A266*1.03*1.03</f>
        <v>0</v>
      </c>
      <c r="L266" s="56">
        <f>L260*A266*1.03*1.03</f>
        <v>0</v>
      </c>
      <c r="M266" s="57">
        <f t="shared" si="269"/>
        <v>0</v>
      </c>
      <c r="N266" s="58"/>
      <c r="O266" s="124">
        <f>O260*A266*1.03*1.03*1.03</f>
        <v>0</v>
      </c>
      <c r="P266" s="56">
        <f>P260*A266*1.03*1.03*1.03</f>
        <v>0</v>
      </c>
      <c r="Q266" s="57">
        <f t="shared" si="270"/>
        <v>0</v>
      </c>
      <c r="R266" s="58"/>
      <c r="S266" s="124">
        <f>S260*A266*1.03*1.03*1.03*1.03</f>
        <v>0</v>
      </c>
      <c r="T266" s="56">
        <f>T260*A266*1.03*1.03*1.03*1.03</f>
        <v>0</v>
      </c>
      <c r="U266" s="57">
        <f t="shared" si="271"/>
        <v>0</v>
      </c>
      <c r="V266" s="59"/>
      <c r="W266" s="124">
        <f t="shared" si="272"/>
        <v>0</v>
      </c>
      <c r="X266" s="57">
        <f t="shared" si="272"/>
        <v>0</v>
      </c>
      <c r="Y266" s="84">
        <f t="shared" si="272"/>
        <v>0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56">
        <f t="shared" si="267"/>
        <v>0</v>
      </c>
      <c r="F267" s="58"/>
      <c r="G267" s="55">
        <f>C267*1.05</f>
        <v>0</v>
      </c>
      <c r="H267" s="57">
        <f>D267*1.05</f>
        <v>0</v>
      </c>
      <c r="I267" s="57">
        <f t="shared" si="268"/>
        <v>0</v>
      </c>
      <c r="J267" s="58"/>
      <c r="K267" s="55">
        <f>K256*A266*1.03*1.03*1.03</f>
        <v>0</v>
      </c>
      <c r="L267" s="56">
        <f>L256*A266*1.03*1.03*1.03</f>
        <v>0</v>
      </c>
      <c r="M267" s="57">
        <f t="shared" si="269"/>
        <v>0</v>
      </c>
      <c r="N267" s="58"/>
      <c r="O267" s="55">
        <f>O256*A266*1.03*1.03*1.03*1.03</f>
        <v>0</v>
      </c>
      <c r="P267" s="56">
        <f>P256*A266*1.03*1.03*1.03*1.03</f>
        <v>0</v>
      </c>
      <c r="Q267" s="57">
        <f t="shared" si="270"/>
        <v>0</v>
      </c>
      <c r="R267" s="58"/>
      <c r="S267" s="55">
        <f>S256*A266*1.03*1.03*1.03*1.03*1.03</f>
        <v>0</v>
      </c>
      <c r="T267" s="56">
        <f>T256*A266*1.03*1.03*1.03*1.03*1.03</f>
        <v>0</v>
      </c>
      <c r="U267" s="57">
        <f t="shared" si="271"/>
        <v>0</v>
      </c>
      <c r="V267" s="59"/>
      <c r="W267" s="124">
        <f t="shared" si="272"/>
        <v>0</v>
      </c>
      <c r="X267" s="57">
        <f t="shared" si="272"/>
        <v>0</v>
      </c>
      <c r="Y267" s="84">
        <f t="shared" si="272"/>
        <v>0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0</v>
      </c>
      <c r="D268" s="125">
        <f>SUM(D265:D267)</f>
        <v>0</v>
      </c>
      <c r="E268" s="125">
        <f>SUM(E265:E267)</f>
        <v>0</v>
      </c>
      <c r="F268" s="81"/>
      <c r="G268" s="79">
        <f>SUM(G265:G267)</f>
        <v>0</v>
      </c>
      <c r="H268" s="80">
        <f>SUM(H265:H267)</f>
        <v>0</v>
      </c>
      <c r="I268" s="80">
        <f>SUM(I265:I267)</f>
        <v>0</v>
      </c>
      <c r="J268" s="81"/>
      <c r="K268" s="79">
        <f>SUM(K265:K267)</f>
        <v>0</v>
      </c>
      <c r="L268" s="80">
        <f>SUM(L265:L267)</f>
        <v>0</v>
      </c>
      <c r="M268" s="80">
        <f>SUM(M265:M267)</f>
        <v>0</v>
      </c>
      <c r="N268" s="81"/>
      <c r="O268" s="79">
        <f>SUM(O265:O267)</f>
        <v>0</v>
      </c>
      <c r="P268" s="80">
        <f>SUM(P265:P267)</f>
        <v>0</v>
      </c>
      <c r="Q268" s="80">
        <f>SUM(Q265:Q267)</f>
        <v>0</v>
      </c>
      <c r="R268" s="81"/>
      <c r="S268" s="79">
        <f>SUM(S265:S267)</f>
        <v>0</v>
      </c>
      <c r="T268" s="80">
        <f>SUM(T265:T267)</f>
        <v>0</v>
      </c>
      <c r="U268" s="80">
        <f>SUM(U265:U267)</f>
        <v>0</v>
      </c>
      <c r="V268" s="82"/>
      <c r="W268" s="228">
        <f t="shared" si="272"/>
        <v>0</v>
      </c>
      <c r="X268" s="80">
        <f t="shared" si="272"/>
        <v>0</v>
      </c>
      <c r="Y268" s="80">
        <f t="shared" si="272"/>
        <v>0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273">C268+C263</f>
        <v>0</v>
      </c>
      <c r="D269" s="242">
        <f t="shared" si="273"/>
        <v>0</v>
      </c>
      <c r="E269" s="242">
        <f t="shared" si="273"/>
        <v>0</v>
      </c>
      <c r="F269" s="242">
        <f t="shared" si="273"/>
        <v>0</v>
      </c>
      <c r="G269" s="242">
        <f t="shared" si="273"/>
        <v>0</v>
      </c>
      <c r="H269" s="242">
        <f t="shared" si="273"/>
        <v>0</v>
      </c>
      <c r="I269" s="242">
        <f t="shared" si="273"/>
        <v>0</v>
      </c>
      <c r="J269" s="242">
        <f t="shared" si="273"/>
        <v>0</v>
      </c>
      <c r="K269" s="242">
        <f t="shared" si="273"/>
        <v>0</v>
      </c>
      <c r="L269" s="242">
        <f t="shared" si="273"/>
        <v>0</v>
      </c>
      <c r="M269" s="242">
        <f t="shared" si="273"/>
        <v>0</v>
      </c>
      <c r="N269" s="242">
        <f t="shared" si="273"/>
        <v>0</v>
      </c>
      <c r="O269" s="242">
        <f t="shared" si="273"/>
        <v>0</v>
      </c>
      <c r="P269" s="242">
        <f t="shared" si="273"/>
        <v>0</v>
      </c>
      <c r="Q269" s="242">
        <f t="shared" si="273"/>
        <v>0</v>
      </c>
      <c r="R269" s="242">
        <f t="shared" si="273"/>
        <v>0</v>
      </c>
      <c r="S269" s="242">
        <f t="shared" si="273"/>
        <v>0</v>
      </c>
      <c r="T269" s="242">
        <f t="shared" si="273"/>
        <v>0</v>
      </c>
      <c r="U269" s="242">
        <f t="shared" si="273"/>
        <v>0</v>
      </c>
      <c r="V269" s="242">
        <f t="shared" si="273"/>
        <v>0</v>
      </c>
      <c r="W269" s="242">
        <f t="shared" si="273"/>
        <v>0</v>
      </c>
      <c r="X269" s="242">
        <f t="shared" si="273"/>
        <v>0</v>
      </c>
      <c r="Y269" s="242">
        <f t="shared" si="273"/>
        <v>0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274">SUM(C271:D271)</f>
        <v>0</v>
      </c>
      <c r="F271" s="58"/>
      <c r="G271" s="55">
        <v>0</v>
      </c>
      <c r="H271" s="57">
        <v>0</v>
      </c>
      <c r="I271" s="57">
        <f t="shared" ref="I271:I273" si="275">SUM(G271:H271)</f>
        <v>0</v>
      </c>
      <c r="J271" s="58"/>
      <c r="K271" s="55">
        <v>0</v>
      </c>
      <c r="L271" s="57">
        <v>0</v>
      </c>
      <c r="M271" s="57">
        <f t="shared" ref="M271:M273" si="276">SUM(K271:L271)</f>
        <v>0</v>
      </c>
      <c r="N271" s="58"/>
      <c r="O271" s="55">
        <v>0</v>
      </c>
      <c r="P271" s="57">
        <v>0</v>
      </c>
      <c r="Q271" s="57">
        <f t="shared" ref="Q271:Q273" si="277">SUM(O271:P271)</f>
        <v>0</v>
      </c>
      <c r="R271" s="58"/>
      <c r="S271" s="55">
        <v>0</v>
      </c>
      <c r="T271" s="57">
        <v>0</v>
      </c>
      <c r="U271" s="57">
        <f t="shared" ref="U271:U273" si="278">SUM(S271:T271)</f>
        <v>0</v>
      </c>
      <c r="V271" s="59"/>
      <c r="W271" s="124">
        <f t="shared" ref="W271:Y274" si="279">C271+G271+K271+O271+S271</f>
        <v>0</v>
      </c>
      <c r="X271" s="57">
        <f t="shared" si="279"/>
        <v>0</v>
      </c>
      <c r="Y271" s="84">
        <f t="shared" si="279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274"/>
        <v>0</v>
      </c>
      <c r="F272" s="58"/>
      <c r="G272" s="55">
        <v>0</v>
      </c>
      <c r="H272" s="57">
        <v>0</v>
      </c>
      <c r="I272" s="57">
        <f t="shared" si="275"/>
        <v>0</v>
      </c>
      <c r="J272" s="58"/>
      <c r="K272" s="55">
        <v>0</v>
      </c>
      <c r="L272" s="57">
        <v>0</v>
      </c>
      <c r="M272" s="57">
        <f t="shared" si="276"/>
        <v>0</v>
      </c>
      <c r="N272" s="58"/>
      <c r="O272" s="55">
        <f>K272</f>
        <v>0</v>
      </c>
      <c r="P272" s="57">
        <v>0</v>
      </c>
      <c r="Q272" s="57">
        <f t="shared" si="277"/>
        <v>0</v>
      </c>
      <c r="R272" s="58"/>
      <c r="S272" s="55">
        <f>O272</f>
        <v>0</v>
      </c>
      <c r="T272" s="57">
        <v>0</v>
      </c>
      <c r="U272" s="57">
        <f t="shared" si="278"/>
        <v>0</v>
      </c>
      <c r="V272" s="59"/>
      <c r="W272" s="124">
        <f t="shared" si="279"/>
        <v>0</v>
      </c>
      <c r="X272" s="57">
        <f t="shared" si="279"/>
        <v>0</v>
      </c>
      <c r="Y272" s="84">
        <f t="shared" si="279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274"/>
        <v>0</v>
      </c>
      <c r="F273" s="58"/>
      <c r="G273" s="55">
        <v>0</v>
      </c>
      <c r="H273" s="57">
        <v>0</v>
      </c>
      <c r="I273" s="57">
        <f t="shared" si="275"/>
        <v>0</v>
      </c>
      <c r="J273" s="58"/>
      <c r="K273" s="55">
        <f>G273</f>
        <v>0</v>
      </c>
      <c r="L273" s="57">
        <v>0</v>
      </c>
      <c r="M273" s="57">
        <f t="shared" si="276"/>
        <v>0</v>
      </c>
      <c r="N273" s="58"/>
      <c r="O273" s="55">
        <v>0</v>
      </c>
      <c r="P273" s="57">
        <v>0</v>
      </c>
      <c r="Q273" s="57">
        <f t="shared" si="277"/>
        <v>0</v>
      </c>
      <c r="R273" s="58"/>
      <c r="S273" s="55">
        <f>O273</f>
        <v>0</v>
      </c>
      <c r="T273" s="57">
        <v>0</v>
      </c>
      <c r="U273" s="57">
        <f t="shared" si="278"/>
        <v>0</v>
      </c>
      <c r="V273" s="59"/>
      <c r="W273" s="124">
        <f t="shared" si="279"/>
        <v>0</v>
      </c>
      <c r="X273" s="57">
        <f t="shared" si="279"/>
        <v>0</v>
      </c>
      <c r="Y273" s="84">
        <f t="shared" si="279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279"/>
        <v>0</v>
      </c>
      <c r="X274" s="80">
        <f t="shared" si="279"/>
        <v>0</v>
      </c>
      <c r="Y274" s="80">
        <f t="shared" si="279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144</v>
      </c>
      <c r="C276" s="124">
        <f>12*800*0.5*0</f>
        <v>0</v>
      </c>
      <c r="D276" s="56">
        <f>12*800*0.5*0</f>
        <v>0</v>
      </c>
      <c r="E276" s="56">
        <f t="shared" ref="E276:E278" si="280">SUM(C276:D276)</f>
        <v>0</v>
      </c>
      <c r="F276" s="58"/>
      <c r="G276" s="55">
        <f>C276</f>
        <v>0</v>
      </c>
      <c r="H276" s="57">
        <f>D276</f>
        <v>0</v>
      </c>
      <c r="I276" s="57">
        <f t="shared" ref="I276:I278" si="281">SUM(G276:H276)</f>
        <v>0</v>
      </c>
      <c r="J276" s="58"/>
      <c r="K276" s="55">
        <f>G276</f>
        <v>0</v>
      </c>
      <c r="L276" s="57">
        <f>H276</f>
        <v>0</v>
      </c>
      <c r="M276" s="57">
        <f t="shared" ref="M276:M278" si="282">SUM(K276:L276)</f>
        <v>0</v>
      </c>
      <c r="N276" s="58"/>
      <c r="O276" s="55">
        <f>K276</f>
        <v>0</v>
      </c>
      <c r="P276" s="57">
        <f>L276</f>
        <v>0</v>
      </c>
      <c r="Q276" s="57">
        <f t="shared" ref="Q276:Q278" si="283">SUM(O276:P276)</f>
        <v>0</v>
      </c>
      <c r="R276" s="58"/>
      <c r="S276" s="55">
        <f>O276</f>
        <v>0</v>
      </c>
      <c r="T276" s="57">
        <f>P276</f>
        <v>0</v>
      </c>
      <c r="U276" s="57">
        <f t="shared" ref="U276:U278" si="284">SUM(S276:T276)</f>
        <v>0</v>
      </c>
      <c r="V276" s="59"/>
      <c r="W276" s="124">
        <f t="shared" ref="W276:Y279" si="285">C276+G276+K276+O276+S276</f>
        <v>0</v>
      </c>
      <c r="X276" s="57">
        <f t="shared" si="285"/>
        <v>0</v>
      </c>
      <c r="Y276" s="84">
        <f t="shared" si="285"/>
        <v>0</v>
      </c>
    </row>
    <row r="277" spans="1:77" s="61" customFormat="1" x14ac:dyDescent="0.25">
      <c r="A277" s="203"/>
      <c r="B277" s="52" t="s">
        <v>57</v>
      </c>
      <c r="C277" s="124">
        <f>2000*5*0.5*0</f>
        <v>0</v>
      </c>
      <c r="D277" s="56">
        <f>2000*5*0.5*0</f>
        <v>0</v>
      </c>
      <c r="E277" s="56">
        <f t="shared" si="280"/>
        <v>0</v>
      </c>
      <c r="F277" s="58"/>
      <c r="G277" s="55">
        <f>C277</f>
        <v>0</v>
      </c>
      <c r="H277" s="57">
        <f>D277</f>
        <v>0</v>
      </c>
      <c r="I277" s="57">
        <f t="shared" si="281"/>
        <v>0</v>
      </c>
      <c r="J277" s="58"/>
      <c r="K277" s="55">
        <f>G277</f>
        <v>0</v>
      </c>
      <c r="L277" s="57">
        <f>H277</f>
        <v>0</v>
      </c>
      <c r="M277" s="57">
        <f t="shared" si="282"/>
        <v>0</v>
      </c>
      <c r="N277" s="58"/>
      <c r="O277" s="55">
        <f>K277</f>
        <v>0</v>
      </c>
      <c r="P277" s="57">
        <f>L277</f>
        <v>0</v>
      </c>
      <c r="Q277" s="57">
        <f t="shared" si="283"/>
        <v>0</v>
      </c>
      <c r="R277" s="58"/>
      <c r="S277" s="55">
        <f>O277</f>
        <v>0</v>
      </c>
      <c r="T277" s="57">
        <f>P277</f>
        <v>0</v>
      </c>
      <c r="U277" s="57">
        <f t="shared" si="284"/>
        <v>0</v>
      </c>
      <c r="V277" s="59"/>
      <c r="W277" s="124">
        <f t="shared" si="285"/>
        <v>0</v>
      </c>
      <c r="X277" s="57">
        <f t="shared" si="285"/>
        <v>0</v>
      </c>
      <c r="Y277" s="84">
        <f t="shared" si="285"/>
        <v>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si="280"/>
        <v>0</v>
      </c>
      <c r="F278" s="58"/>
      <c r="G278" s="55">
        <v>0</v>
      </c>
      <c r="H278" s="57">
        <v>0</v>
      </c>
      <c r="I278" s="57">
        <f t="shared" si="281"/>
        <v>0</v>
      </c>
      <c r="J278" s="58"/>
      <c r="K278" s="55">
        <v>0</v>
      </c>
      <c r="L278" s="57">
        <v>0</v>
      </c>
      <c r="M278" s="57">
        <f t="shared" si="282"/>
        <v>0</v>
      </c>
      <c r="N278" s="58"/>
      <c r="O278" s="55">
        <v>0</v>
      </c>
      <c r="P278" s="57">
        <v>0</v>
      </c>
      <c r="Q278" s="57">
        <f t="shared" si="283"/>
        <v>0</v>
      </c>
      <c r="R278" s="58"/>
      <c r="S278" s="55">
        <v>0</v>
      </c>
      <c r="T278" s="57">
        <v>0</v>
      </c>
      <c r="U278" s="57">
        <f t="shared" si="284"/>
        <v>0</v>
      </c>
      <c r="V278" s="59"/>
      <c r="W278" s="124">
        <f t="shared" si="285"/>
        <v>0</v>
      </c>
      <c r="X278" s="57">
        <f t="shared" si="285"/>
        <v>0</v>
      </c>
      <c r="Y278" s="84">
        <f t="shared" si="285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0</v>
      </c>
      <c r="D279" s="125">
        <f>SUM(D276:D278)</f>
        <v>0</v>
      </c>
      <c r="E279" s="125">
        <f>SUM(E276:E278)</f>
        <v>0</v>
      </c>
      <c r="F279" s="81"/>
      <c r="G279" s="79">
        <f>SUM(G276:G278)</f>
        <v>0</v>
      </c>
      <c r="H279" s="80">
        <f>SUM(H276:H278)</f>
        <v>0</v>
      </c>
      <c r="I279" s="80">
        <f>SUM(I276:I278)</f>
        <v>0</v>
      </c>
      <c r="J279" s="81"/>
      <c r="K279" s="79">
        <f>SUM(K276:K278)</f>
        <v>0</v>
      </c>
      <c r="L279" s="80">
        <f>SUM(L276:L278)</f>
        <v>0</v>
      </c>
      <c r="M279" s="80">
        <f>SUM(M276:M278)</f>
        <v>0</v>
      </c>
      <c r="N279" s="81"/>
      <c r="O279" s="79">
        <f>SUM(O276:O278)</f>
        <v>0</v>
      </c>
      <c r="P279" s="80">
        <f>SUM(P276:P278)</f>
        <v>0</v>
      </c>
      <c r="Q279" s="80">
        <f>SUM(Q276:Q278)</f>
        <v>0</v>
      </c>
      <c r="R279" s="81"/>
      <c r="S279" s="79">
        <f>SUM(S276:S278)</f>
        <v>0</v>
      </c>
      <c r="T279" s="80">
        <f>SUM(T276:T278)</f>
        <v>0</v>
      </c>
      <c r="U279" s="80">
        <f>SUM(U276:U278)</f>
        <v>0</v>
      </c>
      <c r="V279" s="82"/>
      <c r="W279" s="228">
        <f t="shared" si="285"/>
        <v>0</v>
      </c>
      <c r="X279" s="80">
        <f t="shared" si="285"/>
        <v>0</v>
      </c>
      <c r="Y279" s="80">
        <f t="shared" si="285"/>
        <v>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Y283" si="286">C281+G281+K281+O281+S281</f>
        <v>0</v>
      </c>
      <c r="X281" s="57">
        <f t="shared" si="286"/>
        <v>0</v>
      </c>
      <c r="Y281" s="84">
        <f t="shared" si="286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286"/>
        <v>0</v>
      </c>
      <c r="X282" s="56">
        <f t="shared" si="286"/>
        <v>0</v>
      </c>
      <c r="Y282" s="85">
        <f t="shared" si="286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286"/>
        <v>0</v>
      </c>
      <c r="X283" s="80">
        <f t="shared" si="286"/>
        <v>0</v>
      </c>
      <c r="Y283" s="80">
        <f t="shared" si="286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169" customFormat="1" x14ac:dyDescent="0.25">
      <c r="B285" s="169" t="s">
        <v>116</v>
      </c>
      <c r="C285" s="172">
        <v>0</v>
      </c>
      <c r="D285" s="174">
        <v>0</v>
      </c>
      <c r="E285" s="173">
        <f t="shared" ref="E285" si="287">SUM(C285:D285)</f>
        <v>0</v>
      </c>
      <c r="F285" s="175"/>
      <c r="G285" s="172">
        <f>C285</f>
        <v>0</v>
      </c>
      <c r="H285" s="174">
        <v>0</v>
      </c>
      <c r="I285" s="173">
        <f t="shared" ref="I285" si="288">SUM(G285:H285)</f>
        <v>0</v>
      </c>
      <c r="J285" s="175"/>
      <c r="K285" s="172">
        <f>G285</f>
        <v>0</v>
      </c>
      <c r="L285" s="174">
        <v>0</v>
      </c>
      <c r="M285" s="173">
        <f t="shared" ref="M285" si="289">SUM(K285:L285)</f>
        <v>0</v>
      </c>
      <c r="N285" s="175"/>
      <c r="O285" s="172">
        <f>K285</f>
        <v>0</v>
      </c>
      <c r="P285" s="174">
        <v>0</v>
      </c>
      <c r="Q285" s="174">
        <f t="shared" ref="Q285" si="290">SUM(O285:P285)</f>
        <v>0</v>
      </c>
      <c r="R285" s="175"/>
      <c r="S285" s="172">
        <f>O285</f>
        <v>0</v>
      </c>
      <c r="T285" s="174">
        <v>0</v>
      </c>
      <c r="U285" s="173">
        <f t="shared" ref="U285" si="291">SUM(S285:T285)</f>
        <v>0</v>
      </c>
      <c r="V285" s="176"/>
      <c r="W285" s="227">
        <f t="shared" ref="W285:Y289" si="292">C285+G285+K285+O285+S285</f>
        <v>0</v>
      </c>
      <c r="X285" s="173">
        <f t="shared" si="292"/>
        <v>0</v>
      </c>
      <c r="Y285" s="186">
        <f t="shared" si="292"/>
        <v>0</v>
      </c>
    </row>
    <row r="286" spans="1:77" s="61" customFormat="1" x14ac:dyDescent="0.25">
      <c r="A286" s="203"/>
      <c r="B286" s="54" t="s">
        <v>57</v>
      </c>
      <c r="C286" s="124">
        <v>0</v>
      </c>
      <c r="D286" s="56">
        <v>0</v>
      </c>
      <c r="E286" s="56">
        <f t="shared" ref="E286:E288" si="293">SUM(C286:D286)</f>
        <v>0</v>
      </c>
      <c r="F286" s="58"/>
      <c r="G286" s="55">
        <v>0</v>
      </c>
      <c r="H286" s="57">
        <v>0</v>
      </c>
      <c r="I286" s="57">
        <f t="shared" ref="I286:I288" si="294">SUM(G286:H286)</f>
        <v>0</v>
      </c>
      <c r="J286" s="58"/>
      <c r="K286" s="55">
        <v>0</v>
      </c>
      <c r="L286" s="56">
        <v>0</v>
      </c>
      <c r="M286" s="57">
        <f t="shared" ref="M286:M288" si="295">SUM(K286:L286)</f>
        <v>0</v>
      </c>
      <c r="N286" s="58"/>
      <c r="O286" s="55">
        <v>0</v>
      </c>
      <c r="P286" s="57">
        <v>0</v>
      </c>
      <c r="Q286" s="57">
        <f t="shared" ref="Q286:Q288" si="296">SUM(O286:P286)</f>
        <v>0</v>
      </c>
      <c r="R286" s="58"/>
      <c r="S286" s="55">
        <v>0</v>
      </c>
      <c r="T286" s="56">
        <v>0</v>
      </c>
      <c r="U286" s="57">
        <f t="shared" ref="U286:U288" si="297">SUM(S286:T286)</f>
        <v>0</v>
      </c>
      <c r="V286" s="59"/>
      <c r="W286" s="124">
        <f t="shared" si="292"/>
        <v>0</v>
      </c>
      <c r="X286" s="57">
        <f t="shared" si="292"/>
        <v>0</v>
      </c>
      <c r="Y286" s="84">
        <f t="shared" si="292"/>
        <v>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si="293"/>
        <v>0</v>
      </c>
      <c r="F287" s="58"/>
      <c r="G287" s="55">
        <v>0</v>
      </c>
      <c r="H287" s="57"/>
      <c r="I287" s="57">
        <f t="shared" si="294"/>
        <v>0</v>
      </c>
      <c r="J287" s="58"/>
      <c r="K287" s="55">
        <v>0</v>
      </c>
      <c r="L287" s="56">
        <v>0</v>
      </c>
      <c r="M287" s="57">
        <f t="shared" si="295"/>
        <v>0</v>
      </c>
      <c r="N287" s="58"/>
      <c r="O287" s="55">
        <v>0</v>
      </c>
      <c r="P287" s="56">
        <v>0</v>
      </c>
      <c r="Q287" s="56">
        <f t="shared" si="296"/>
        <v>0</v>
      </c>
      <c r="R287" s="58"/>
      <c r="S287" s="55">
        <v>0</v>
      </c>
      <c r="T287" s="56">
        <v>0</v>
      </c>
      <c r="U287" s="57">
        <f t="shared" si="297"/>
        <v>0</v>
      </c>
      <c r="V287" s="59"/>
      <c r="W287" s="124">
        <f t="shared" si="292"/>
        <v>0</v>
      </c>
      <c r="X287" s="57">
        <f t="shared" si="292"/>
        <v>0</v>
      </c>
      <c r="Y287" s="84">
        <f t="shared" si="292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293"/>
        <v>0</v>
      </c>
      <c r="F288" s="58"/>
      <c r="G288" s="55">
        <v>0</v>
      </c>
      <c r="H288" s="57">
        <v>0</v>
      </c>
      <c r="I288" s="57">
        <f t="shared" si="294"/>
        <v>0</v>
      </c>
      <c r="J288" s="58"/>
      <c r="K288" s="55">
        <v>0</v>
      </c>
      <c r="L288" s="57">
        <v>0</v>
      </c>
      <c r="M288" s="57">
        <f t="shared" si="295"/>
        <v>0</v>
      </c>
      <c r="N288" s="58"/>
      <c r="O288" s="55">
        <v>0</v>
      </c>
      <c r="P288" s="57">
        <v>0</v>
      </c>
      <c r="Q288" s="57">
        <f t="shared" si="296"/>
        <v>0</v>
      </c>
      <c r="R288" s="58"/>
      <c r="S288" s="55">
        <v>0</v>
      </c>
      <c r="T288" s="57">
        <v>0</v>
      </c>
      <c r="U288" s="57">
        <f t="shared" si="297"/>
        <v>0</v>
      </c>
      <c r="V288" s="59"/>
      <c r="W288" s="124">
        <f t="shared" si="292"/>
        <v>0</v>
      </c>
      <c r="X288" s="57">
        <f t="shared" si="292"/>
        <v>0</v>
      </c>
      <c r="Y288" s="84">
        <f t="shared" si="292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0</v>
      </c>
      <c r="D289" s="153">
        <f>SUM(D285:D288)</f>
        <v>0</v>
      </c>
      <c r="E289" s="153">
        <f>SUM(E285:E288)</f>
        <v>0</v>
      </c>
      <c r="F289" s="154"/>
      <c r="G289" s="152">
        <f>SUM(G285:G288)</f>
        <v>0</v>
      </c>
      <c r="H289" s="155">
        <f>SUM(H285:H288)</f>
        <v>0</v>
      </c>
      <c r="I289" s="155">
        <f>SUM(I285:I288)</f>
        <v>0</v>
      </c>
      <c r="J289" s="154"/>
      <c r="K289" s="152">
        <f>SUM(K285:K288)</f>
        <v>0</v>
      </c>
      <c r="L289" s="155">
        <f>SUM(L285:L288)</f>
        <v>0</v>
      </c>
      <c r="M289" s="155">
        <f>SUM(M285:M288)</f>
        <v>0</v>
      </c>
      <c r="N289" s="154"/>
      <c r="O289" s="152">
        <f>SUM(O285:O288)</f>
        <v>0</v>
      </c>
      <c r="P289" s="155">
        <f>SUM(P285:P288)</f>
        <v>0</v>
      </c>
      <c r="Q289" s="155">
        <f>SUM(Q285:Q288)</f>
        <v>0</v>
      </c>
      <c r="R289" s="154"/>
      <c r="S289" s="152">
        <f>SUM(S285:S288)</f>
        <v>0</v>
      </c>
      <c r="T289" s="155">
        <f>SUM(T285:T288)</f>
        <v>0</v>
      </c>
      <c r="U289" s="155">
        <f>SUM(U285:U288)</f>
        <v>0</v>
      </c>
      <c r="V289" s="82"/>
      <c r="W289" s="228">
        <f t="shared" si="292"/>
        <v>0</v>
      </c>
      <c r="X289" s="80">
        <f t="shared" si="292"/>
        <v>0</v>
      </c>
      <c r="Y289" s="80">
        <f t="shared" si="292"/>
        <v>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298">SUM(C269+C274+C279+C283+C289)</f>
        <v>0</v>
      </c>
      <c r="D290" s="246">
        <f t="shared" si="298"/>
        <v>0</v>
      </c>
      <c r="E290" s="246">
        <f t="shared" si="298"/>
        <v>0</v>
      </c>
      <c r="F290" s="246">
        <f t="shared" si="298"/>
        <v>0</v>
      </c>
      <c r="G290" s="246">
        <f t="shared" si="298"/>
        <v>0</v>
      </c>
      <c r="H290" s="246">
        <f t="shared" si="298"/>
        <v>0</v>
      </c>
      <c r="I290" s="246">
        <f t="shared" si="298"/>
        <v>0</v>
      </c>
      <c r="J290" s="246">
        <f t="shared" si="298"/>
        <v>0</v>
      </c>
      <c r="K290" s="246">
        <f t="shared" si="298"/>
        <v>0</v>
      </c>
      <c r="L290" s="246">
        <f t="shared" si="298"/>
        <v>0</v>
      </c>
      <c r="M290" s="246">
        <f t="shared" si="298"/>
        <v>0</v>
      </c>
      <c r="N290" s="246">
        <f t="shared" si="298"/>
        <v>0</v>
      </c>
      <c r="O290" s="246">
        <f t="shared" si="298"/>
        <v>0</v>
      </c>
      <c r="P290" s="246">
        <f t="shared" si="298"/>
        <v>0</v>
      </c>
      <c r="Q290" s="246">
        <f t="shared" si="298"/>
        <v>0</v>
      </c>
      <c r="R290" s="246">
        <f t="shared" si="298"/>
        <v>0</v>
      </c>
      <c r="S290" s="246">
        <f t="shared" si="298"/>
        <v>0</v>
      </c>
      <c r="T290" s="246">
        <f t="shared" si="298"/>
        <v>0</v>
      </c>
      <c r="U290" s="246">
        <f t="shared" si="298"/>
        <v>0</v>
      </c>
      <c r="V290" s="246">
        <f t="shared" si="298"/>
        <v>0</v>
      </c>
      <c r="W290" s="246">
        <f t="shared" si="298"/>
        <v>0</v>
      </c>
      <c r="X290" s="246">
        <f t="shared" si="298"/>
        <v>0</v>
      </c>
      <c r="Y290" s="246">
        <f t="shared" si="298"/>
        <v>0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0</v>
      </c>
      <c r="D291" s="246">
        <v>0</v>
      </c>
      <c r="E291" s="246">
        <f>C291</f>
        <v>0</v>
      </c>
      <c r="F291" s="246">
        <f>F263*0.47</f>
        <v>0</v>
      </c>
      <c r="G291" s="246">
        <f>((G263)*0.56)</f>
        <v>0</v>
      </c>
      <c r="H291" s="246">
        <v>0</v>
      </c>
      <c r="I291" s="246">
        <f>G291</f>
        <v>0</v>
      </c>
      <c r="J291" s="246">
        <f>J263*0.47</f>
        <v>0</v>
      </c>
      <c r="K291" s="246">
        <f>((K263)*0.56)</f>
        <v>0</v>
      </c>
      <c r="L291" s="246">
        <v>0</v>
      </c>
      <c r="M291" s="246">
        <f>K291</f>
        <v>0</v>
      </c>
      <c r="N291" s="246">
        <f>N263*0.47</f>
        <v>0</v>
      </c>
      <c r="O291" s="246">
        <f>((O263)*0.56)</f>
        <v>0</v>
      </c>
      <c r="P291" s="246">
        <v>0</v>
      </c>
      <c r="Q291" s="246">
        <f>O291</f>
        <v>0</v>
      </c>
      <c r="R291" s="246">
        <f>R263*0.47</f>
        <v>0</v>
      </c>
      <c r="S291" s="246">
        <f>((S263)*0.56)</f>
        <v>0</v>
      </c>
      <c r="T291" s="246">
        <v>0</v>
      </c>
      <c r="U291" s="246">
        <f>S291</f>
        <v>0</v>
      </c>
      <c r="V291" s="246">
        <f>V263*0.47</f>
        <v>0</v>
      </c>
      <c r="W291" s="246">
        <f>((W263)*0.56)</f>
        <v>0</v>
      </c>
      <c r="X291" s="246">
        <v>0</v>
      </c>
      <c r="Y291" s="246">
        <f>W291</f>
        <v>0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0</v>
      </c>
      <c r="D292" s="246">
        <f t="shared" ref="D292:Y292" si="299">SUM(D290:D291)</f>
        <v>0</v>
      </c>
      <c r="E292" s="246">
        <f t="shared" si="299"/>
        <v>0</v>
      </c>
      <c r="F292" s="246">
        <f t="shared" si="299"/>
        <v>0</v>
      </c>
      <c r="G292" s="246">
        <f t="shared" si="299"/>
        <v>0</v>
      </c>
      <c r="H292" s="246">
        <f t="shared" si="299"/>
        <v>0</v>
      </c>
      <c r="I292" s="246">
        <f t="shared" si="299"/>
        <v>0</v>
      </c>
      <c r="J292" s="246">
        <f t="shared" si="299"/>
        <v>0</v>
      </c>
      <c r="K292" s="246">
        <f t="shared" si="299"/>
        <v>0</v>
      </c>
      <c r="L292" s="246">
        <f t="shared" si="299"/>
        <v>0</v>
      </c>
      <c r="M292" s="246">
        <f t="shared" si="299"/>
        <v>0</v>
      </c>
      <c r="N292" s="246">
        <f t="shared" si="299"/>
        <v>0</v>
      </c>
      <c r="O292" s="246">
        <f t="shared" si="299"/>
        <v>0</v>
      </c>
      <c r="P292" s="246">
        <f t="shared" si="299"/>
        <v>0</v>
      </c>
      <c r="Q292" s="246">
        <f t="shared" si="299"/>
        <v>0</v>
      </c>
      <c r="R292" s="246">
        <f t="shared" si="299"/>
        <v>0</v>
      </c>
      <c r="S292" s="246">
        <f t="shared" si="299"/>
        <v>0</v>
      </c>
      <c r="T292" s="246">
        <f t="shared" si="299"/>
        <v>0</v>
      </c>
      <c r="U292" s="246">
        <f t="shared" si="299"/>
        <v>0</v>
      </c>
      <c r="V292" s="246">
        <f t="shared" si="299"/>
        <v>0</v>
      </c>
      <c r="W292" s="246">
        <f t="shared" si="299"/>
        <v>0</v>
      </c>
      <c r="X292" s="246">
        <f t="shared" si="299"/>
        <v>0</v>
      </c>
      <c r="Y292" s="246">
        <f t="shared" si="299"/>
        <v>0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169" customFormat="1" x14ac:dyDescent="0.25">
      <c r="A296" s="170" t="s">
        <v>57</v>
      </c>
      <c r="B296" s="169" t="s">
        <v>57</v>
      </c>
      <c r="C296" s="172">
        <v>0</v>
      </c>
      <c r="D296" s="173">
        <v>0</v>
      </c>
      <c r="E296" s="173">
        <f t="shared" ref="E296:E299" si="300">SUM(C296:D296)</f>
        <v>0</v>
      </c>
      <c r="F296" s="175"/>
      <c r="G296" s="172">
        <f>C296*1.03</f>
        <v>0</v>
      </c>
      <c r="H296" s="173">
        <f>D296*1.03</f>
        <v>0</v>
      </c>
      <c r="I296" s="173">
        <f t="shared" ref="I296:I299" si="301">SUM(G296:H296)</f>
        <v>0</v>
      </c>
      <c r="J296" s="175"/>
      <c r="K296" s="172">
        <f>G296*1.03</f>
        <v>0</v>
      </c>
      <c r="L296" s="173">
        <f>H296*1.03</f>
        <v>0</v>
      </c>
      <c r="M296" s="173">
        <f t="shared" ref="M296:M299" si="302">SUM(K296:L296)</f>
        <v>0</v>
      </c>
      <c r="N296" s="175"/>
      <c r="O296" s="172">
        <f>K296*1.03</f>
        <v>0</v>
      </c>
      <c r="P296" s="173">
        <f>L296*1.03</f>
        <v>0</v>
      </c>
      <c r="Q296" s="173">
        <f t="shared" ref="Q296:Q299" si="303">SUM(O296:P296)</f>
        <v>0</v>
      </c>
      <c r="R296" s="175"/>
      <c r="S296" s="172">
        <f>O296*1.03</f>
        <v>0</v>
      </c>
      <c r="T296" s="173">
        <f>P296*1.03</f>
        <v>0</v>
      </c>
      <c r="U296" s="173">
        <f t="shared" ref="U296:U299" si="304">SUM(S296:T296)</f>
        <v>0</v>
      </c>
      <c r="V296" s="176"/>
      <c r="W296" s="227">
        <f>C296+G296+K296+O296+S296</f>
        <v>0</v>
      </c>
      <c r="X296" s="173">
        <f t="shared" ref="X296:Y300" si="305">D296+H296+L296+P296+T296</f>
        <v>0</v>
      </c>
      <c r="Y296" s="177">
        <f t="shared" si="305"/>
        <v>0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si="300"/>
        <v>0</v>
      </c>
      <c r="F297" s="175"/>
      <c r="G297" s="172">
        <f t="shared" ref="G297:H299" si="306">C297*1.03</f>
        <v>0</v>
      </c>
      <c r="H297" s="173">
        <f t="shared" si="306"/>
        <v>0</v>
      </c>
      <c r="I297" s="173">
        <f t="shared" si="301"/>
        <v>0</v>
      </c>
      <c r="J297" s="175"/>
      <c r="K297" s="172">
        <f t="shared" ref="K297:L299" si="307">G297*1.03</f>
        <v>0</v>
      </c>
      <c r="L297" s="173">
        <f t="shared" si="307"/>
        <v>0</v>
      </c>
      <c r="M297" s="173">
        <f t="shared" si="302"/>
        <v>0</v>
      </c>
      <c r="N297" s="175"/>
      <c r="O297" s="172">
        <f t="shared" ref="O297:P299" si="308">K297*1.03</f>
        <v>0</v>
      </c>
      <c r="P297" s="173">
        <f t="shared" si="308"/>
        <v>0</v>
      </c>
      <c r="Q297" s="173">
        <f t="shared" si="303"/>
        <v>0</v>
      </c>
      <c r="R297" s="175"/>
      <c r="S297" s="172">
        <f t="shared" ref="S297:T299" si="309">O297*1.03</f>
        <v>0</v>
      </c>
      <c r="T297" s="173">
        <f t="shared" si="309"/>
        <v>0</v>
      </c>
      <c r="U297" s="173">
        <f t="shared" si="304"/>
        <v>0</v>
      </c>
      <c r="V297" s="176"/>
      <c r="W297" s="227">
        <f t="shared" ref="W297:W300" si="310">C297+G297+K297+O297+S297</f>
        <v>0</v>
      </c>
      <c r="X297" s="173">
        <f t="shared" si="305"/>
        <v>0</v>
      </c>
      <c r="Y297" s="177">
        <f t="shared" si="305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300"/>
        <v>0</v>
      </c>
      <c r="F298" s="175"/>
      <c r="G298" s="172">
        <f t="shared" si="306"/>
        <v>0</v>
      </c>
      <c r="H298" s="173">
        <f t="shared" si="306"/>
        <v>0</v>
      </c>
      <c r="I298" s="173">
        <f t="shared" si="301"/>
        <v>0</v>
      </c>
      <c r="J298" s="175"/>
      <c r="K298" s="172">
        <f t="shared" si="307"/>
        <v>0</v>
      </c>
      <c r="L298" s="173">
        <f t="shared" si="307"/>
        <v>0</v>
      </c>
      <c r="M298" s="173">
        <f t="shared" si="302"/>
        <v>0</v>
      </c>
      <c r="N298" s="175"/>
      <c r="O298" s="172">
        <f t="shared" si="308"/>
        <v>0</v>
      </c>
      <c r="P298" s="173">
        <f t="shared" si="308"/>
        <v>0</v>
      </c>
      <c r="Q298" s="173">
        <f t="shared" si="303"/>
        <v>0</v>
      </c>
      <c r="R298" s="175"/>
      <c r="S298" s="172">
        <f t="shared" si="309"/>
        <v>0</v>
      </c>
      <c r="T298" s="173">
        <f t="shared" si="309"/>
        <v>0</v>
      </c>
      <c r="U298" s="173">
        <f t="shared" si="304"/>
        <v>0</v>
      </c>
      <c r="V298" s="176"/>
      <c r="W298" s="227">
        <f t="shared" si="310"/>
        <v>0</v>
      </c>
      <c r="X298" s="173">
        <f t="shared" si="305"/>
        <v>0</v>
      </c>
      <c r="Y298" s="177">
        <f t="shared" si="305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300"/>
        <v>0</v>
      </c>
      <c r="F299" s="175"/>
      <c r="G299" s="172">
        <f t="shared" si="306"/>
        <v>0</v>
      </c>
      <c r="H299" s="173">
        <f t="shared" si="306"/>
        <v>0</v>
      </c>
      <c r="I299" s="173">
        <f t="shared" si="301"/>
        <v>0</v>
      </c>
      <c r="J299" s="175"/>
      <c r="K299" s="172">
        <f t="shared" si="307"/>
        <v>0</v>
      </c>
      <c r="L299" s="173">
        <f t="shared" si="307"/>
        <v>0</v>
      </c>
      <c r="M299" s="173">
        <f t="shared" si="302"/>
        <v>0</v>
      </c>
      <c r="N299" s="175"/>
      <c r="O299" s="172">
        <f t="shared" si="308"/>
        <v>0</v>
      </c>
      <c r="P299" s="173">
        <f t="shared" si="308"/>
        <v>0</v>
      </c>
      <c r="Q299" s="173">
        <f t="shared" si="303"/>
        <v>0</v>
      </c>
      <c r="R299" s="175"/>
      <c r="S299" s="172">
        <f t="shared" si="309"/>
        <v>0</v>
      </c>
      <c r="T299" s="173">
        <f t="shared" si="309"/>
        <v>0</v>
      </c>
      <c r="U299" s="173">
        <f t="shared" si="304"/>
        <v>0</v>
      </c>
      <c r="V299" s="176"/>
      <c r="W299" s="227">
        <f t="shared" si="310"/>
        <v>0</v>
      </c>
      <c r="X299" s="173">
        <f t="shared" si="305"/>
        <v>0</v>
      </c>
      <c r="Y299" s="177">
        <f t="shared" si="305"/>
        <v>0</v>
      </c>
    </row>
    <row r="300" spans="1:77" s="83" customFormat="1" x14ac:dyDescent="0.25">
      <c r="A300" s="78"/>
      <c r="B300" s="78" t="s">
        <v>9</v>
      </c>
      <c r="C300" s="228">
        <f>SUM(C296:C299)</f>
        <v>0</v>
      </c>
      <c r="D300" s="125">
        <f>SUM(D296:D299)</f>
        <v>0</v>
      </c>
      <c r="E300" s="125">
        <f>SUM(E296:E299)</f>
        <v>0</v>
      </c>
      <c r="F300" s="81"/>
      <c r="G300" s="79">
        <f>SUM(G296:G299)</f>
        <v>0</v>
      </c>
      <c r="H300" s="80">
        <f>SUM(H296:H299)</f>
        <v>0</v>
      </c>
      <c r="I300" s="80">
        <f>SUM(I296:I299)</f>
        <v>0</v>
      </c>
      <c r="J300" s="81"/>
      <c r="K300" s="79">
        <f>SUM(K296:K299)</f>
        <v>0</v>
      </c>
      <c r="L300" s="80">
        <f>SUM(L296:L299)</f>
        <v>0</v>
      </c>
      <c r="M300" s="80">
        <f>SUM(M296:M299)</f>
        <v>0</v>
      </c>
      <c r="N300" s="81"/>
      <c r="O300" s="79">
        <f>SUM(O296:O299)</f>
        <v>0</v>
      </c>
      <c r="P300" s="80">
        <f>SUM(P296:P299)</f>
        <v>0</v>
      </c>
      <c r="Q300" s="80">
        <f>SUM(Q296:Q299)</f>
        <v>0</v>
      </c>
      <c r="R300" s="81"/>
      <c r="S300" s="79">
        <f>SUM(S296:S299)</f>
        <v>0</v>
      </c>
      <c r="T300" s="80">
        <f>SUM(T296:T299)</f>
        <v>0</v>
      </c>
      <c r="U300" s="80">
        <f>SUM(U296:U299)</f>
        <v>0</v>
      </c>
      <c r="V300" s="82"/>
      <c r="W300" s="228">
        <f t="shared" si="310"/>
        <v>0</v>
      </c>
      <c r="X300" s="80">
        <f t="shared" si="305"/>
        <v>0</v>
      </c>
      <c r="Y300" s="80">
        <f t="shared" si="305"/>
        <v>0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L305" si="311">G302*1.03</f>
        <v>0</v>
      </c>
      <c r="L302" s="57">
        <f t="shared" si="311"/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Y306" si="312">C302+G302+K302+O302+S302</f>
        <v>0</v>
      </c>
      <c r="X302" s="57">
        <f t="shared" si="312"/>
        <v>0</v>
      </c>
      <c r="Y302" s="57">
        <f t="shared" ref="Y302:Y305" si="313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314">SUM(C303:D303)</f>
        <v>0</v>
      </c>
      <c r="F303" s="58"/>
      <c r="G303" s="55">
        <f t="shared" ref="G303:H305" si="315">C303*1.03</f>
        <v>0</v>
      </c>
      <c r="H303" s="57">
        <f t="shared" si="315"/>
        <v>0</v>
      </c>
      <c r="I303" s="57">
        <f t="shared" ref="I303:I305" si="316">SUM(G303:H303)</f>
        <v>0</v>
      </c>
      <c r="J303" s="58"/>
      <c r="K303" s="55">
        <f t="shared" si="311"/>
        <v>0</v>
      </c>
      <c r="L303" s="57">
        <f t="shared" si="311"/>
        <v>0</v>
      </c>
      <c r="M303" s="57">
        <f t="shared" ref="M303:M305" si="317">SUM(K303:L303)</f>
        <v>0</v>
      </c>
      <c r="N303" s="58"/>
      <c r="O303" s="55">
        <f t="shared" ref="O303:P305" si="318">K303*1.03</f>
        <v>0</v>
      </c>
      <c r="P303" s="57">
        <f t="shared" si="318"/>
        <v>0</v>
      </c>
      <c r="Q303" s="57">
        <f t="shared" ref="Q303:Q305" si="319">SUM(O303:P303)</f>
        <v>0</v>
      </c>
      <c r="R303" s="58"/>
      <c r="S303" s="55">
        <f t="shared" ref="S303:T305" si="320">O303*1.03</f>
        <v>0</v>
      </c>
      <c r="T303" s="57">
        <f t="shared" si="320"/>
        <v>0</v>
      </c>
      <c r="U303" s="57">
        <f t="shared" ref="U303:U305" si="321">SUM(S303:T303)</f>
        <v>0</v>
      </c>
      <c r="V303" s="59"/>
      <c r="W303" s="124">
        <f t="shared" si="312"/>
        <v>0</v>
      </c>
      <c r="X303" s="57">
        <f t="shared" si="312"/>
        <v>0</v>
      </c>
      <c r="Y303" s="57">
        <f t="shared" si="313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314"/>
        <v>0</v>
      </c>
      <c r="F304" s="58"/>
      <c r="G304" s="55">
        <f t="shared" si="315"/>
        <v>0</v>
      </c>
      <c r="H304" s="57">
        <f t="shared" si="315"/>
        <v>0</v>
      </c>
      <c r="I304" s="57">
        <f t="shared" si="316"/>
        <v>0</v>
      </c>
      <c r="J304" s="58"/>
      <c r="K304" s="55">
        <f t="shared" si="311"/>
        <v>0</v>
      </c>
      <c r="L304" s="57">
        <f t="shared" si="311"/>
        <v>0</v>
      </c>
      <c r="M304" s="57">
        <f t="shared" si="317"/>
        <v>0</v>
      </c>
      <c r="N304" s="58"/>
      <c r="O304" s="55">
        <f t="shared" si="318"/>
        <v>0</v>
      </c>
      <c r="P304" s="57">
        <f t="shared" si="318"/>
        <v>0</v>
      </c>
      <c r="Q304" s="57">
        <f t="shared" si="319"/>
        <v>0</v>
      </c>
      <c r="R304" s="58"/>
      <c r="S304" s="55">
        <f t="shared" si="320"/>
        <v>0</v>
      </c>
      <c r="T304" s="57">
        <f t="shared" si="320"/>
        <v>0</v>
      </c>
      <c r="U304" s="57">
        <f t="shared" si="321"/>
        <v>0</v>
      </c>
      <c r="V304" s="59"/>
      <c r="W304" s="124">
        <f t="shared" si="312"/>
        <v>0</v>
      </c>
      <c r="X304" s="57">
        <f t="shared" si="312"/>
        <v>0</v>
      </c>
      <c r="Y304" s="57">
        <f t="shared" si="313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314"/>
        <v>0</v>
      </c>
      <c r="F305" s="58"/>
      <c r="G305" s="55">
        <f t="shared" si="315"/>
        <v>0</v>
      </c>
      <c r="H305" s="57">
        <f t="shared" si="315"/>
        <v>0</v>
      </c>
      <c r="I305" s="57">
        <f t="shared" si="316"/>
        <v>0</v>
      </c>
      <c r="J305" s="58"/>
      <c r="K305" s="55">
        <f t="shared" si="311"/>
        <v>0</v>
      </c>
      <c r="L305" s="57">
        <f t="shared" si="311"/>
        <v>0</v>
      </c>
      <c r="M305" s="57">
        <f t="shared" si="317"/>
        <v>0</v>
      </c>
      <c r="N305" s="58"/>
      <c r="O305" s="55">
        <f t="shared" si="318"/>
        <v>0</v>
      </c>
      <c r="P305" s="57">
        <f t="shared" si="318"/>
        <v>0</v>
      </c>
      <c r="Q305" s="57">
        <f t="shared" si="319"/>
        <v>0</v>
      </c>
      <c r="R305" s="58"/>
      <c r="S305" s="55">
        <f t="shared" si="320"/>
        <v>0</v>
      </c>
      <c r="T305" s="57">
        <f t="shared" si="320"/>
        <v>0</v>
      </c>
      <c r="U305" s="57">
        <f t="shared" si="321"/>
        <v>0</v>
      </c>
      <c r="V305" s="59"/>
      <c r="W305" s="124">
        <f t="shared" si="312"/>
        <v>0</v>
      </c>
      <c r="X305" s="57">
        <f t="shared" si="312"/>
        <v>0</v>
      </c>
      <c r="Y305" s="57">
        <f t="shared" si="313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312"/>
        <v>0</v>
      </c>
      <c r="X306" s="80">
        <f t="shared" si="312"/>
        <v>0</v>
      </c>
      <c r="Y306" s="80">
        <f t="shared" si="312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322">C306+C300</f>
        <v>0</v>
      </c>
      <c r="D307" s="248">
        <f t="shared" si="322"/>
        <v>0</v>
      </c>
      <c r="E307" s="248">
        <f t="shared" si="322"/>
        <v>0</v>
      </c>
      <c r="F307" s="248">
        <f t="shared" si="322"/>
        <v>0</v>
      </c>
      <c r="G307" s="248">
        <f t="shared" si="322"/>
        <v>0</v>
      </c>
      <c r="H307" s="248">
        <f t="shared" si="322"/>
        <v>0</v>
      </c>
      <c r="I307" s="248">
        <f t="shared" si="322"/>
        <v>0</v>
      </c>
      <c r="J307" s="248">
        <f t="shared" si="322"/>
        <v>0</v>
      </c>
      <c r="K307" s="248">
        <f t="shared" si="322"/>
        <v>0</v>
      </c>
      <c r="L307" s="248">
        <f t="shared" si="322"/>
        <v>0</v>
      </c>
      <c r="M307" s="248">
        <f t="shared" si="322"/>
        <v>0</v>
      </c>
      <c r="N307" s="248">
        <f t="shared" si="322"/>
        <v>0</v>
      </c>
      <c r="O307" s="248">
        <f t="shared" si="322"/>
        <v>0</v>
      </c>
      <c r="P307" s="248">
        <f t="shared" si="322"/>
        <v>0</v>
      </c>
      <c r="Q307" s="248">
        <f t="shared" si="322"/>
        <v>0</v>
      </c>
      <c r="R307" s="248">
        <f t="shared" si="322"/>
        <v>0</v>
      </c>
      <c r="S307" s="248">
        <f t="shared" si="322"/>
        <v>0</v>
      </c>
      <c r="T307" s="248">
        <f t="shared" si="322"/>
        <v>0</v>
      </c>
      <c r="U307" s="248">
        <f t="shared" si="322"/>
        <v>0</v>
      </c>
      <c r="V307" s="248">
        <f t="shared" si="322"/>
        <v>0</v>
      </c>
      <c r="W307" s="248">
        <f t="shared" si="322"/>
        <v>0</v>
      </c>
      <c r="X307" s="248">
        <f t="shared" si="322"/>
        <v>0</v>
      </c>
      <c r="Y307" s="249">
        <f>E307+I307+M307+Q307+U307</f>
        <v>0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323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324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325">SUM(K309:L309)</f>
        <v>0</v>
      </c>
      <c r="N309" s="58"/>
      <c r="O309" s="124">
        <f>O302*A309*1.03*1.03*1.03*1.03</f>
        <v>0</v>
      </c>
      <c r="P309" s="56">
        <f>P302*A309*1.03*1.03*1.03</f>
        <v>0</v>
      </c>
      <c r="Q309" s="57">
        <f t="shared" ref="Q309:Q311" si="326">SUM(O309:P309)</f>
        <v>0</v>
      </c>
      <c r="R309" s="58"/>
      <c r="S309" s="124">
        <f>S302*A309*1.03*1.03*1.03*1.03*1.03</f>
        <v>0</v>
      </c>
      <c r="T309" s="56">
        <f>T302*A309*1.03*1.03*1.03*1.03</f>
        <v>0</v>
      </c>
      <c r="U309" s="57">
        <f t="shared" ref="U309:U311" si="327">SUM(S309:T309)</f>
        <v>0</v>
      </c>
      <c r="V309" s="59"/>
      <c r="W309" s="124">
        <f t="shared" ref="W309:Y312" si="328">C309+G309+K309+O309+S309</f>
        <v>0</v>
      </c>
      <c r="X309" s="57">
        <f t="shared" si="328"/>
        <v>0</v>
      </c>
      <c r="Y309" s="84">
        <f t="shared" si="328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0.54779999999999995</v>
      </c>
      <c r="B310" s="52" t="s">
        <v>109</v>
      </c>
      <c r="C310" s="124">
        <f>C300*(A310*1.03)</f>
        <v>0</v>
      </c>
      <c r="D310" s="56">
        <f>D300*A310*1.03</f>
        <v>0</v>
      </c>
      <c r="E310" s="56">
        <f t="shared" si="323"/>
        <v>0</v>
      </c>
      <c r="F310" s="58"/>
      <c r="G310" s="124">
        <f>G300*A310*1.03*1.03</f>
        <v>0</v>
      </c>
      <c r="H310" s="56">
        <f>H300*A310*1.03*1.03</f>
        <v>0</v>
      </c>
      <c r="I310" s="57">
        <f t="shared" si="324"/>
        <v>0</v>
      </c>
      <c r="J310" s="58"/>
      <c r="K310" s="124">
        <f>K304*A310*1.03*1.03</f>
        <v>0</v>
      </c>
      <c r="L310" s="56">
        <f>L304*A310*1.03*1.03</f>
        <v>0</v>
      </c>
      <c r="M310" s="57">
        <f t="shared" si="325"/>
        <v>0</v>
      </c>
      <c r="N310" s="58"/>
      <c r="O310" s="124">
        <f>O304*A310*1.03*1.03*1.03</f>
        <v>0</v>
      </c>
      <c r="P310" s="56">
        <f>P304*A310*1.03*1.03*1.03</f>
        <v>0</v>
      </c>
      <c r="Q310" s="57">
        <f t="shared" si="326"/>
        <v>0</v>
      </c>
      <c r="R310" s="58"/>
      <c r="S310" s="124">
        <f>S304*A310*1.03*1.03*1.03*1.03</f>
        <v>0</v>
      </c>
      <c r="T310" s="56">
        <f>T304*A310*1.03*1.03*1.03*1.03</f>
        <v>0</v>
      </c>
      <c r="U310" s="57">
        <f t="shared" si="327"/>
        <v>0</v>
      </c>
      <c r="V310" s="59"/>
      <c r="W310" s="124">
        <f t="shared" si="328"/>
        <v>0</v>
      </c>
      <c r="X310" s="57">
        <f t="shared" si="328"/>
        <v>0</v>
      </c>
      <c r="Y310" s="84">
        <f t="shared" si="328"/>
        <v>0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323"/>
        <v>0</v>
      </c>
      <c r="F311" s="58"/>
      <c r="G311" s="55">
        <f>C311*1.05</f>
        <v>0</v>
      </c>
      <c r="H311" s="57">
        <f>D311*1.05</f>
        <v>0</v>
      </c>
      <c r="I311" s="57">
        <f t="shared" si="324"/>
        <v>0</v>
      </c>
      <c r="J311" s="58"/>
      <c r="K311" s="55">
        <f>K300*A310*1.03*1.03*1.03</f>
        <v>0</v>
      </c>
      <c r="L311" s="56">
        <f>L300*A310*1.03*1.03*1.03</f>
        <v>0</v>
      </c>
      <c r="M311" s="57">
        <f t="shared" si="325"/>
        <v>0</v>
      </c>
      <c r="N311" s="58"/>
      <c r="O311" s="55">
        <f>O300*A310*1.03*1.03*1.03*1.03</f>
        <v>0</v>
      </c>
      <c r="P311" s="56">
        <f>P300*A310*1.03*1.03*1.03*1.03</f>
        <v>0</v>
      </c>
      <c r="Q311" s="57">
        <f t="shared" si="326"/>
        <v>0</v>
      </c>
      <c r="R311" s="58"/>
      <c r="S311" s="55">
        <f>S300*A310*1.03*1.03*1.03*1.03*1.03</f>
        <v>0</v>
      </c>
      <c r="T311" s="56">
        <f>T300*A310*1.03*1.03*1.03*1.03*1.03</f>
        <v>0</v>
      </c>
      <c r="U311" s="57">
        <f t="shared" si="327"/>
        <v>0</v>
      </c>
      <c r="V311" s="59"/>
      <c r="W311" s="124">
        <f t="shared" si="328"/>
        <v>0</v>
      </c>
      <c r="X311" s="57">
        <f t="shared" si="328"/>
        <v>0</v>
      </c>
      <c r="Y311" s="84">
        <f t="shared" si="328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0</v>
      </c>
      <c r="D312" s="125">
        <f>SUM(D309:D311)</f>
        <v>0</v>
      </c>
      <c r="E312" s="125">
        <f>SUM(E309:E311)</f>
        <v>0</v>
      </c>
      <c r="F312" s="81"/>
      <c r="G312" s="79">
        <f>SUM(G309:G311)</f>
        <v>0</v>
      </c>
      <c r="H312" s="80">
        <f>SUM(H309:H311)</f>
        <v>0</v>
      </c>
      <c r="I312" s="80">
        <f>SUM(I309:I311)</f>
        <v>0</v>
      </c>
      <c r="J312" s="81"/>
      <c r="K312" s="79">
        <f>SUM(K309:K311)</f>
        <v>0</v>
      </c>
      <c r="L312" s="80">
        <f>SUM(L309:L311)</f>
        <v>0</v>
      </c>
      <c r="M312" s="80">
        <f>SUM(M309:M311)</f>
        <v>0</v>
      </c>
      <c r="N312" s="81"/>
      <c r="O312" s="79">
        <f>SUM(O309:O311)</f>
        <v>0</v>
      </c>
      <c r="P312" s="80">
        <f>SUM(P309:P311)</f>
        <v>0</v>
      </c>
      <c r="Q312" s="80">
        <f>SUM(Q309:Q311)</f>
        <v>0</v>
      </c>
      <c r="R312" s="81"/>
      <c r="S312" s="79">
        <f>SUM(S309:S311)</f>
        <v>0</v>
      </c>
      <c r="T312" s="80">
        <f>SUM(T309:T311)</f>
        <v>0</v>
      </c>
      <c r="U312" s="80">
        <f>SUM(U309:U311)</f>
        <v>0</v>
      </c>
      <c r="V312" s="82"/>
      <c r="W312" s="228">
        <f t="shared" si="328"/>
        <v>0</v>
      </c>
      <c r="X312" s="80">
        <f t="shared" si="328"/>
        <v>0</v>
      </c>
      <c r="Y312" s="80">
        <f t="shared" si="328"/>
        <v>0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329">C312+C307</f>
        <v>0</v>
      </c>
      <c r="D313" s="248">
        <f t="shared" si="329"/>
        <v>0</v>
      </c>
      <c r="E313" s="248">
        <f t="shared" si="329"/>
        <v>0</v>
      </c>
      <c r="F313" s="248">
        <f t="shared" si="329"/>
        <v>0</v>
      </c>
      <c r="G313" s="248">
        <f t="shared" si="329"/>
        <v>0</v>
      </c>
      <c r="H313" s="248">
        <f t="shared" si="329"/>
        <v>0</v>
      </c>
      <c r="I313" s="248">
        <f t="shared" si="329"/>
        <v>0</v>
      </c>
      <c r="J313" s="248">
        <f t="shared" si="329"/>
        <v>0</v>
      </c>
      <c r="K313" s="248">
        <f t="shared" si="329"/>
        <v>0</v>
      </c>
      <c r="L313" s="248">
        <f t="shared" si="329"/>
        <v>0</v>
      </c>
      <c r="M313" s="248">
        <f t="shared" si="329"/>
        <v>0</v>
      </c>
      <c r="N313" s="248">
        <f t="shared" si="329"/>
        <v>0</v>
      </c>
      <c r="O313" s="248">
        <f t="shared" si="329"/>
        <v>0</v>
      </c>
      <c r="P313" s="248">
        <f t="shared" si="329"/>
        <v>0</v>
      </c>
      <c r="Q313" s="248">
        <f t="shared" si="329"/>
        <v>0</v>
      </c>
      <c r="R313" s="248">
        <f t="shared" si="329"/>
        <v>0</v>
      </c>
      <c r="S313" s="248">
        <f t="shared" si="329"/>
        <v>0</v>
      </c>
      <c r="T313" s="248">
        <f t="shared" si="329"/>
        <v>0</v>
      </c>
      <c r="U313" s="248">
        <f t="shared" si="329"/>
        <v>0</v>
      </c>
      <c r="V313" s="248">
        <f t="shared" si="329"/>
        <v>0</v>
      </c>
      <c r="W313" s="248">
        <f t="shared" si="329"/>
        <v>0</v>
      </c>
      <c r="X313" s="248">
        <f t="shared" si="329"/>
        <v>0</v>
      </c>
      <c r="Y313" s="248">
        <f t="shared" si="329"/>
        <v>0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330">SUM(C315:D315)</f>
        <v>0</v>
      </c>
      <c r="F315" s="58"/>
      <c r="G315" s="55">
        <v>0</v>
      </c>
      <c r="H315" s="57">
        <v>0</v>
      </c>
      <c r="I315" s="57">
        <f t="shared" ref="I315:I317" si="331">SUM(G315:H315)</f>
        <v>0</v>
      </c>
      <c r="J315" s="58"/>
      <c r="K315" s="55">
        <v>0</v>
      </c>
      <c r="L315" s="57">
        <v>0</v>
      </c>
      <c r="M315" s="57">
        <f t="shared" ref="M315:M317" si="332">SUM(K315:L315)</f>
        <v>0</v>
      </c>
      <c r="N315" s="58"/>
      <c r="O315" s="55">
        <v>0</v>
      </c>
      <c r="P315" s="57">
        <v>0</v>
      </c>
      <c r="Q315" s="57">
        <f t="shared" ref="Q315:Q317" si="333">SUM(O315:P315)</f>
        <v>0</v>
      </c>
      <c r="R315" s="58"/>
      <c r="S315" s="55">
        <v>0</v>
      </c>
      <c r="T315" s="57">
        <v>0</v>
      </c>
      <c r="U315" s="57">
        <f t="shared" ref="U315:U317" si="334">SUM(S315:T315)</f>
        <v>0</v>
      </c>
      <c r="V315" s="59"/>
      <c r="W315" s="124">
        <f t="shared" ref="W315:Y318" si="335">C315+G315+K315+O315+S315</f>
        <v>0</v>
      </c>
      <c r="X315" s="57">
        <f t="shared" si="335"/>
        <v>0</v>
      </c>
      <c r="Y315" s="84">
        <f t="shared" si="335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330"/>
        <v>0</v>
      </c>
      <c r="F316" s="58"/>
      <c r="G316" s="55">
        <v>0</v>
      </c>
      <c r="H316" s="57">
        <v>0</v>
      </c>
      <c r="I316" s="57">
        <f t="shared" si="331"/>
        <v>0</v>
      </c>
      <c r="J316" s="58"/>
      <c r="K316" s="55">
        <v>0</v>
      </c>
      <c r="L316" s="57">
        <v>0</v>
      </c>
      <c r="M316" s="57">
        <f t="shared" si="332"/>
        <v>0</v>
      </c>
      <c r="N316" s="58"/>
      <c r="O316" s="55">
        <f>K316</f>
        <v>0</v>
      </c>
      <c r="P316" s="57">
        <v>0</v>
      </c>
      <c r="Q316" s="57">
        <f t="shared" si="333"/>
        <v>0</v>
      </c>
      <c r="R316" s="58"/>
      <c r="S316" s="55">
        <f>O316</f>
        <v>0</v>
      </c>
      <c r="T316" s="57">
        <v>0</v>
      </c>
      <c r="U316" s="57">
        <f t="shared" si="334"/>
        <v>0</v>
      </c>
      <c r="V316" s="59"/>
      <c r="W316" s="124">
        <f t="shared" si="335"/>
        <v>0</v>
      </c>
      <c r="X316" s="57">
        <f t="shared" si="335"/>
        <v>0</v>
      </c>
      <c r="Y316" s="84">
        <f t="shared" si="335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330"/>
        <v>0</v>
      </c>
      <c r="F317" s="58"/>
      <c r="G317" s="55">
        <v>0</v>
      </c>
      <c r="H317" s="57">
        <v>0</v>
      </c>
      <c r="I317" s="57">
        <f t="shared" si="331"/>
        <v>0</v>
      </c>
      <c r="J317" s="58"/>
      <c r="K317" s="55">
        <f>G317</f>
        <v>0</v>
      </c>
      <c r="L317" s="57">
        <v>0</v>
      </c>
      <c r="M317" s="57">
        <f t="shared" si="332"/>
        <v>0</v>
      </c>
      <c r="N317" s="58"/>
      <c r="O317" s="55">
        <v>0</v>
      </c>
      <c r="P317" s="57">
        <v>0</v>
      </c>
      <c r="Q317" s="57">
        <f t="shared" si="333"/>
        <v>0</v>
      </c>
      <c r="R317" s="58"/>
      <c r="S317" s="55">
        <f>O317</f>
        <v>0</v>
      </c>
      <c r="T317" s="57">
        <v>0</v>
      </c>
      <c r="U317" s="57">
        <f t="shared" si="334"/>
        <v>0</v>
      </c>
      <c r="V317" s="59"/>
      <c r="W317" s="124">
        <f t="shared" si="335"/>
        <v>0</v>
      </c>
      <c r="X317" s="57">
        <f t="shared" si="335"/>
        <v>0</v>
      </c>
      <c r="Y317" s="84">
        <f t="shared" si="335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335"/>
        <v>0</v>
      </c>
      <c r="X318" s="80">
        <f t="shared" si="335"/>
        <v>0</v>
      </c>
      <c r="Y318" s="80">
        <f t="shared" si="335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144</v>
      </c>
      <c r="C320" s="124">
        <f>12*800*0.5*0</f>
        <v>0</v>
      </c>
      <c r="D320" s="56">
        <f>12*800*0.5*0</f>
        <v>0</v>
      </c>
      <c r="E320" s="56">
        <f t="shared" ref="E320:E322" si="336">SUM(C320:D320)</f>
        <v>0</v>
      </c>
      <c r="F320" s="58"/>
      <c r="G320" s="55">
        <f>C320</f>
        <v>0</v>
      </c>
      <c r="H320" s="57">
        <f>D320</f>
        <v>0</v>
      </c>
      <c r="I320" s="57">
        <f t="shared" ref="I320:I322" si="337">SUM(G320:H320)</f>
        <v>0</v>
      </c>
      <c r="J320" s="58"/>
      <c r="K320" s="55">
        <f>G320</f>
        <v>0</v>
      </c>
      <c r="L320" s="57">
        <f>H320</f>
        <v>0</v>
      </c>
      <c r="M320" s="57">
        <f t="shared" ref="M320:M322" si="338">SUM(K320:L320)</f>
        <v>0</v>
      </c>
      <c r="N320" s="58"/>
      <c r="O320" s="55">
        <f>K320</f>
        <v>0</v>
      </c>
      <c r="P320" s="57">
        <f>L320</f>
        <v>0</v>
      </c>
      <c r="Q320" s="57">
        <f t="shared" ref="Q320:Q322" si="339">SUM(O320:P320)</f>
        <v>0</v>
      </c>
      <c r="R320" s="58"/>
      <c r="S320" s="55">
        <f>O320</f>
        <v>0</v>
      </c>
      <c r="T320" s="57">
        <f>P320</f>
        <v>0</v>
      </c>
      <c r="U320" s="57">
        <f t="shared" ref="U320:U322" si="340">SUM(S320:T320)</f>
        <v>0</v>
      </c>
      <c r="V320" s="59"/>
      <c r="W320" s="124">
        <f t="shared" ref="W320:Y323" si="341">C320+G320+K320+O320+S320</f>
        <v>0</v>
      </c>
      <c r="X320" s="57">
        <f t="shared" si="341"/>
        <v>0</v>
      </c>
      <c r="Y320" s="84">
        <f t="shared" si="341"/>
        <v>0</v>
      </c>
    </row>
    <row r="321" spans="1:77" s="61" customFormat="1" x14ac:dyDescent="0.25">
      <c r="A321" s="203"/>
      <c r="B321" s="52" t="s">
        <v>57</v>
      </c>
      <c r="C321" s="124">
        <f>2000*5*0.5*0</f>
        <v>0</v>
      </c>
      <c r="D321" s="56">
        <f>2000*5*0.5*0</f>
        <v>0</v>
      </c>
      <c r="E321" s="56">
        <f t="shared" si="336"/>
        <v>0</v>
      </c>
      <c r="F321" s="58"/>
      <c r="G321" s="55">
        <f>C321</f>
        <v>0</v>
      </c>
      <c r="H321" s="57">
        <f>D321</f>
        <v>0</v>
      </c>
      <c r="I321" s="57">
        <f t="shared" si="337"/>
        <v>0</v>
      </c>
      <c r="J321" s="58"/>
      <c r="K321" s="55">
        <f>G321</f>
        <v>0</v>
      </c>
      <c r="L321" s="57">
        <f>H321</f>
        <v>0</v>
      </c>
      <c r="M321" s="57">
        <f t="shared" si="338"/>
        <v>0</v>
      </c>
      <c r="N321" s="58"/>
      <c r="O321" s="55">
        <f>K321</f>
        <v>0</v>
      </c>
      <c r="P321" s="57">
        <f>L321</f>
        <v>0</v>
      </c>
      <c r="Q321" s="57">
        <f t="shared" si="339"/>
        <v>0</v>
      </c>
      <c r="R321" s="58"/>
      <c r="S321" s="55">
        <f>O321</f>
        <v>0</v>
      </c>
      <c r="T321" s="57">
        <f>P321</f>
        <v>0</v>
      </c>
      <c r="U321" s="57">
        <f t="shared" si="340"/>
        <v>0</v>
      </c>
      <c r="V321" s="59"/>
      <c r="W321" s="124">
        <f t="shared" si="341"/>
        <v>0</v>
      </c>
      <c r="X321" s="57">
        <f t="shared" si="341"/>
        <v>0</v>
      </c>
      <c r="Y321" s="84">
        <f t="shared" si="341"/>
        <v>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si="336"/>
        <v>0</v>
      </c>
      <c r="F322" s="58"/>
      <c r="G322" s="55">
        <v>0</v>
      </c>
      <c r="H322" s="57">
        <v>0</v>
      </c>
      <c r="I322" s="57">
        <f t="shared" si="337"/>
        <v>0</v>
      </c>
      <c r="J322" s="58"/>
      <c r="K322" s="55">
        <v>0</v>
      </c>
      <c r="L322" s="57">
        <v>0</v>
      </c>
      <c r="M322" s="57">
        <f t="shared" si="338"/>
        <v>0</v>
      </c>
      <c r="N322" s="58"/>
      <c r="O322" s="55">
        <v>0</v>
      </c>
      <c r="P322" s="57">
        <v>0</v>
      </c>
      <c r="Q322" s="57">
        <f t="shared" si="339"/>
        <v>0</v>
      </c>
      <c r="R322" s="58"/>
      <c r="S322" s="55">
        <v>0</v>
      </c>
      <c r="T322" s="57">
        <v>0</v>
      </c>
      <c r="U322" s="57">
        <f t="shared" si="340"/>
        <v>0</v>
      </c>
      <c r="V322" s="59"/>
      <c r="W322" s="124">
        <f t="shared" si="341"/>
        <v>0</v>
      </c>
      <c r="X322" s="57">
        <f t="shared" si="341"/>
        <v>0</v>
      </c>
      <c r="Y322" s="84">
        <f t="shared" si="341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0</v>
      </c>
      <c r="D323" s="125">
        <f>SUM(D320:D322)</f>
        <v>0</v>
      </c>
      <c r="E323" s="125">
        <f>SUM(E320:E322)</f>
        <v>0</v>
      </c>
      <c r="F323" s="81"/>
      <c r="G323" s="79">
        <f>SUM(G320:G322)</f>
        <v>0</v>
      </c>
      <c r="H323" s="80">
        <f>SUM(H320:H322)</f>
        <v>0</v>
      </c>
      <c r="I323" s="80">
        <f>SUM(I320:I322)</f>
        <v>0</v>
      </c>
      <c r="J323" s="81"/>
      <c r="K323" s="79">
        <f>SUM(K320:K322)</f>
        <v>0</v>
      </c>
      <c r="L323" s="80">
        <f>SUM(L320:L322)</f>
        <v>0</v>
      </c>
      <c r="M323" s="80">
        <f>SUM(M320:M322)</f>
        <v>0</v>
      </c>
      <c r="N323" s="81"/>
      <c r="O323" s="79">
        <f>SUM(O320:O322)</f>
        <v>0</v>
      </c>
      <c r="P323" s="80">
        <f>SUM(P320:P322)</f>
        <v>0</v>
      </c>
      <c r="Q323" s="80">
        <f>SUM(Q320:Q322)</f>
        <v>0</v>
      </c>
      <c r="R323" s="81"/>
      <c r="S323" s="79">
        <f>SUM(S320:S322)</f>
        <v>0</v>
      </c>
      <c r="T323" s="80">
        <f>SUM(T320:T322)</f>
        <v>0</v>
      </c>
      <c r="U323" s="80">
        <f>SUM(U320:U322)</f>
        <v>0</v>
      </c>
      <c r="V323" s="82"/>
      <c r="W323" s="228">
        <f t="shared" si="341"/>
        <v>0</v>
      </c>
      <c r="X323" s="80">
        <f t="shared" si="341"/>
        <v>0</v>
      </c>
      <c r="Y323" s="80">
        <f t="shared" si="341"/>
        <v>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Y327" si="342">C325+G325+K325+O325+S325</f>
        <v>0</v>
      </c>
      <c r="X325" s="57">
        <f t="shared" si="342"/>
        <v>0</v>
      </c>
      <c r="Y325" s="84">
        <f t="shared" si="342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342"/>
        <v>0</v>
      </c>
      <c r="X326" s="56">
        <f t="shared" si="342"/>
        <v>0</v>
      </c>
      <c r="Y326" s="85">
        <f t="shared" si="342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342"/>
        <v>0</v>
      </c>
      <c r="X327" s="80">
        <f t="shared" si="342"/>
        <v>0</v>
      </c>
      <c r="Y327" s="80">
        <f t="shared" si="342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169" customFormat="1" x14ac:dyDescent="0.25">
      <c r="B329" s="169" t="s">
        <v>116</v>
      </c>
      <c r="C329" s="172">
        <v>0</v>
      </c>
      <c r="D329" s="174">
        <v>0</v>
      </c>
      <c r="E329" s="173">
        <f t="shared" ref="E329" si="343">SUM(C329:D329)</f>
        <v>0</v>
      </c>
      <c r="F329" s="175"/>
      <c r="G329" s="172">
        <f>C329</f>
        <v>0</v>
      </c>
      <c r="H329" s="174">
        <v>0</v>
      </c>
      <c r="I329" s="173">
        <f t="shared" ref="I329" si="344">SUM(G329:H329)</f>
        <v>0</v>
      </c>
      <c r="J329" s="175"/>
      <c r="K329" s="172">
        <f>G329</f>
        <v>0</v>
      </c>
      <c r="L329" s="174">
        <v>0</v>
      </c>
      <c r="M329" s="173">
        <f t="shared" ref="M329" si="345">SUM(K329:L329)</f>
        <v>0</v>
      </c>
      <c r="N329" s="175"/>
      <c r="O329" s="172">
        <f>K329</f>
        <v>0</v>
      </c>
      <c r="P329" s="174">
        <v>0</v>
      </c>
      <c r="Q329" s="174">
        <f t="shared" ref="Q329" si="346">SUM(O329:P329)</f>
        <v>0</v>
      </c>
      <c r="R329" s="175"/>
      <c r="S329" s="172">
        <f>O329</f>
        <v>0</v>
      </c>
      <c r="T329" s="174">
        <v>0</v>
      </c>
      <c r="U329" s="173">
        <f t="shared" ref="U329" si="347">SUM(S329:T329)</f>
        <v>0</v>
      </c>
      <c r="V329" s="176"/>
      <c r="W329" s="227">
        <f t="shared" ref="W329:Y333" si="348">C329+G329+K329+O329+S329</f>
        <v>0</v>
      </c>
      <c r="X329" s="173">
        <f t="shared" si="348"/>
        <v>0</v>
      </c>
      <c r="Y329" s="186">
        <f t="shared" si="348"/>
        <v>0</v>
      </c>
    </row>
    <row r="330" spans="1:77" s="61" customFormat="1" x14ac:dyDescent="0.25">
      <c r="A330" s="203"/>
      <c r="B330" s="54" t="s">
        <v>57</v>
      </c>
      <c r="C330" s="124">
        <v>0</v>
      </c>
      <c r="D330" s="56">
        <v>0</v>
      </c>
      <c r="E330" s="56">
        <f t="shared" ref="E330:E332" si="349">SUM(C330:D330)</f>
        <v>0</v>
      </c>
      <c r="F330" s="58"/>
      <c r="G330" s="55">
        <v>0</v>
      </c>
      <c r="H330" s="57">
        <v>0</v>
      </c>
      <c r="I330" s="57">
        <f t="shared" ref="I330:I332" si="350">SUM(G330:H330)</f>
        <v>0</v>
      </c>
      <c r="J330" s="58"/>
      <c r="K330" s="55">
        <v>0</v>
      </c>
      <c r="L330" s="56">
        <v>0</v>
      </c>
      <c r="M330" s="57">
        <f t="shared" ref="M330:M332" si="351">SUM(K330:L330)</f>
        <v>0</v>
      </c>
      <c r="N330" s="58"/>
      <c r="O330" s="55">
        <v>0</v>
      </c>
      <c r="P330" s="57">
        <v>0</v>
      </c>
      <c r="Q330" s="57">
        <f t="shared" ref="Q330:Q332" si="352">SUM(O330:P330)</f>
        <v>0</v>
      </c>
      <c r="R330" s="58"/>
      <c r="S330" s="55">
        <v>0</v>
      </c>
      <c r="T330" s="56">
        <v>0</v>
      </c>
      <c r="U330" s="57">
        <f t="shared" ref="U330:U332" si="353">SUM(S330:T330)</f>
        <v>0</v>
      </c>
      <c r="V330" s="59"/>
      <c r="W330" s="124">
        <f t="shared" si="348"/>
        <v>0</v>
      </c>
      <c r="X330" s="57">
        <f t="shared" si="348"/>
        <v>0</v>
      </c>
      <c r="Y330" s="84">
        <f t="shared" si="348"/>
        <v>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si="349"/>
        <v>0</v>
      </c>
      <c r="F331" s="58"/>
      <c r="G331" s="55">
        <v>0</v>
      </c>
      <c r="H331" s="57"/>
      <c r="I331" s="57">
        <f t="shared" si="350"/>
        <v>0</v>
      </c>
      <c r="J331" s="58"/>
      <c r="K331" s="55">
        <v>0</v>
      </c>
      <c r="L331" s="56">
        <v>0</v>
      </c>
      <c r="M331" s="57">
        <f t="shared" si="351"/>
        <v>0</v>
      </c>
      <c r="N331" s="58"/>
      <c r="O331" s="55">
        <v>0</v>
      </c>
      <c r="P331" s="56">
        <v>0</v>
      </c>
      <c r="Q331" s="56">
        <f t="shared" si="352"/>
        <v>0</v>
      </c>
      <c r="R331" s="58"/>
      <c r="S331" s="55">
        <v>0</v>
      </c>
      <c r="T331" s="56">
        <v>0</v>
      </c>
      <c r="U331" s="57">
        <f t="shared" si="353"/>
        <v>0</v>
      </c>
      <c r="V331" s="59"/>
      <c r="W331" s="124">
        <f t="shared" si="348"/>
        <v>0</v>
      </c>
      <c r="X331" s="57">
        <f t="shared" si="348"/>
        <v>0</v>
      </c>
      <c r="Y331" s="84">
        <f t="shared" si="348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349"/>
        <v>0</v>
      </c>
      <c r="F332" s="58"/>
      <c r="G332" s="55">
        <v>0</v>
      </c>
      <c r="H332" s="57">
        <v>0</v>
      </c>
      <c r="I332" s="57">
        <f t="shared" si="350"/>
        <v>0</v>
      </c>
      <c r="J332" s="58"/>
      <c r="K332" s="55">
        <v>0</v>
      </c>
      <c r="L332" s="57">
        <v>0</v>
      </c>
      <c r="M332" s="57">
        <f t="shared" si="351"/>
        <v>0</v>
      </c>
      <c r="N332" s="58"/>
      <c r="O332" s="55">
        <v>0</v>
      </c>
      <c r="P332" s="57">
        <v>0</v>
      </c>
      <c r="Q332" s="57">
        <f t="shared" si="352"/>
        <v>0</v>
      </c>
      <c r="R332" s="58"/>
      <c r="S332" s="55">
        <v>0</v>
      </c>
      <c r="T332" s="57">
        <v>0</v>
      </c>
      <c r="U332" s="57">
        <f t="shared" si="353"/>
        <v>0</v>
      </c>
      <c r="V332" s="59"/>
      <c r="W332" s="124">
        <f t="shared" si="348"/>
        <v>0</v>
      </c>
      <c r="X332" s="57">
        <f t="shared" si="348"/>
        <v>0</v>
      </c>
      <c r="Y332" s="84">
        <f t="shared" si="348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0</v>
      </c>
      <c r="D333" s="153">
        <f>SUM(D329:D332)</f>
        <v>0</v>
      </c>
      <c r="E333" s="153">
        <f>SUM(E329:E332)</f>
        <v>0</v>
      </c>
      <c r="F333" s="154"/>
      <c r="G333" s="152">
        <f>SUM(G329:G332)</f>
        <v>0</v>
      </c>
      <c r="H333" s="155">
        <f>SUM(H329:H332)</f>
        <v>0</v>
      </c>
      <c r="I333" s="155">
        <f>SUM(I329:I332)</f>
        <v>0</v>
      </c>
      <c r="J333" s="154"/>
      <c r="K333" s="152">
        <f>SUM(K329:K332)</f>
        <v>0</v>
      </c>
      <c r="L333" s="155">
        <f>SUM(L329:L332)</f>
        <v>0</v>
      </c>
      <c r="M333" s="155">
        <f>SUM(M329:M332)</f>
        <v>0</v>
      </c>
      <c r="N333" s="154"/>
      <c r="O333" s="152">
        <f>SUM(O329:O332)</f>
        <v>0</v>
      </c>
      <c r="P333" s="155">
        <f>SUM(P329:P332)</f>
        <v>0</v>
      </c>
      <c r="Q333" s="155">
        <f>SUM(Q329:Q332)</f>
        <v>0</v>
      </c>
      <c r="R333" s="154"/>
      <c r="S333" s="152">
        <f>SUM(S329:S332)</f>
        <v>0</v>
      </c>
      <c r="T333" s="155">
        <f>SUM(T329:T332)</f>
        <v>0</v>
      </c>
      <c r="U333" s="155">
        <f>SUM(U329:U332)</f>
        <v>0</v>
      </c>
      <c r="V333" s="82"/>
      <c r="W333" s="228">
        <f t="shared" si="348"/>
        <v>0</v>
      </c>
      <c r="X333" s="80">
        <f t="shared" si="348"/>
        <v>0</v>
      </c>
      <c r="Y333" s="80">
        <f t="shared" si="348"/>
        <v>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354">SUM(C313+C318+C323+C327+C333)</f>
        <v>0</v>
      </c>
      <c r="D334" s="251">
        <f t="shared" si="354"/>
        <v>0</v>
      </c>
      <c r="E334" s="251">
        <f t="shared" si="354"/>
        <v>0</v>
      </c>
      <c r="F334" s="251">
        <f t="shared" si="354"/>
        <v>0</v>
      </c>
      <c r="G334" s="251">
        <f t="shared" si="354"/>
        <v>0</v>
      </c>
      <c r="H334" s="251">
        <f t="shared" si="354"/>
        <v>0</v>
      </c>
      <c r="I334" s="251">
        <f t="shared" si="354"/>
        <v>0</v>
      </c>
      <c r="J334" s="251">
        <f t="shared" si="354"/>
        <v>0</v>
      </c>
      <c r="K334" s="251">
        <f t="shared" si="354"/>
        <v>0</v>
      </c>
      <c r="L334" s="251">
        <f t="shared" si="354"/>
        <v>0</v>
      </c>
      <c r="M334" s="251">
        <f t="shared" si="354"/>
        <v>0</v>
      </c>
      <c r="N334" s="251">
        <f t="shared" si="354"/>
        <v>0</v>
      </c>
      <c r="O334" s="251">
        <f t="shared" si="354"/>
        <v>0</v>
      </c>
      <c r="P334" s="251">
        <f t="shared" si="354"/>
        <v>0</v>
      </c>
      <c r="Q334" s="251">
        <f t="shared" si="354"/>
        <v>0</v>
      </c>
      <c r="R334" s="251">
        <f t="shared" si="354"/>
        <v>0</v>
      </c>
      <c r="S334" s="251">
        <f t="shared" si="354"/>
        <v>0</v>
      </c>
      <c r="T334" s="251">
        <f t="shared" si="354"/>
        <v>0</v>
      </c>
      <c r="U334" s="251">
        <f t="shared" si="354"/>
        <v>0</v>
      </c>
      <c r="V334" s="251">
        <f t="shared" si="354"/>
        <v>0</v>
      </c>
      <c r="W334" s="251">
        <f t="shared" si="354"/>
        <v>0</v>
      </c>
      <c r="X334" s="251">
        <f t="shared" si="354"/>
        <v>0</v>
      </c>
      <c r="Y334" s="251">
        <f t="shared" si="354"/>
        <v>0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((C307)*0.56)</f>
        <v>0</v>
      </c>
      <c r="D335" s="251">
        <v>0</v>
      </c>
      <c r="E335" s="251">
        <f>C335</f>
        <v>0</v>
      </c>
      <c r="F335" s="251">
        <f>F307*0.47</f>
        <v>0</v>
      </c>
      <c r="G335" s="251">
        <f>((G307)*0.56)</f>
        <v>0</v>
      </c>
      <c r="H335" s="251">
        <v>0</v>
      </c>
      <c r="I335" s="251">
        <f>G335</f>
        <v>0</v>
      </c>
      <c r="J335" s="251">
        <f>J307*0.47</f>
        <v>0</v>
      </c>
      <c r="K335" s="251">
        <f>((K307)*0.56)</f>
        <v>0</v>
      </c>
      <c r="L335" s="251">
        <v>0</v>
      </c>
      <c r="M335" s="251">
        <f>K335</f>
        <v>0</v>
      </c>
      <c r="N335" s="251">
        <f>N307*0.47</f>
        <v>0</v>
      </c>
      <c r="O335" s="251">
        <f>((O307)*0.56)</f>
        <v>0</v>
      </c>
      <c r="P335" s="251">
        <v>0</v>
      </c>
      <c r="Q335" s="251">
        <f>O335</f>
        <v>0</v>
      </c>
      <c r="R335" s="251">
        <f>R307*0.47</f>
        <v>0</v>
      </c>
      <c r="S335" s="251">
        <f>((S307)*0.56)</f>
        <v>0</v>
      </c>
      <c r="T335" s="251">
        <v>0</v>
      </c>
      <c r="U335" s="251">
        <f>S335</f>
        <v>0</v>
      </c>
      <c r="V335" s="251">
        <f>V307*0.47</f>
        <v>0</v>
      </c>
      <c r="W335" s="251">
        <f>((W307)*0.56)</f>
        <v>0</v>
      </c>
      <c r="X335" s="251">
        <v>0</v>
      </c>
      <c r="Y335" s="251">
        <f>W335</f>
        <v>0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0</v>
      </c>
      <c r="D336" s="251">
        <f t="shared" ref="D336:Y336" si="355">SUM(D334:D335)</f>
        <v>0</v>
      </c>
      <c r="E336" s="251">
        <f t="shared" si="355"/>
        <v>0</v>
      </c>
      <c r="F336" s="251">
        <f t="shared" si="355"/>
        <v>0</v>
      </c>
      <c r="G336" s="251">
        <f t="shared" si="355"/>
        <v>0</v>
      </c>
      <c r="H336" s="251">
        <f t="shared" si="355"/>
        <v>0</v>
      </c>
      <c r="I336" s="251">
        <f t="shared" si="355"/>
        <v>0</v>
      </c>
      <c r="J336" s="251">
        <f t="shared" si="355"/>
        <v>0</v>
      </c>
      <c r="K336" s="251">
        <f t="shared" si="355"/>
        <v>0</v>
      </c>
      <c r="L336" s="251">
        <f t="shared" si="355"/>
        <v>0</v>
      </c>
      <c r="M336" s="251">
        <f t="shared" si="355"/>
        <v>0</v>
      </c>
      <c r="N336" s="251">
        <f t="shared" si="355"/>
        <v>0</v>
      </c>
      <c r="O336" s="251">
        <f t="shared" si="355"/>
        <v>0</v>
      </c>
      <c r="P336" s="251">
        <f t="shared" si="355"/>
        <v>0</v>
      </c>
      <c r="Q336" s="251">
        <f t="shared" si="355"/>
        <v>0</v>
      </c>
      <c r="R336" s="251">
        <f t="shared" si="355"/>
        <v>0</v>
      </c>
      <c r="S336" s="251">
        <f t="shared" si="355"/>
        <v>0</v>
      </c>
      <c r="T336" s="251">
        <f t="shared" si="355"/>
        <v>0</v>
      </c>
      <c r="U336" s="251">
        <f t="shared" si="355"/>
        <v>0</v>
      </c>
      <c r="V336" s="251">
        <f t="shared" si="355"/>
        <v>0</v>
      </c>
      <c r="W336" s="251">
        <f t="shared" si="355"/>
        <v>0</v>
      </c>
      <c r="X336" s="251">
        <f t="shared" si="355"/>
        <v>0</v>
      </c>
      <c r="Y336" s="251">
        <f t="shared" si="355"/>
        <v>0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676561.72578527394</v>
      </c>
      <c r="D339" s="121">
        <f t="shared" ref="D339:X339" si="356">D248+D176+D88+D292+D336</f>
        <v>319130.58605803945</v>
      </c>
      <c r="E339" s="121">
        <f t="shared" si="356"/>
        <v>995692.31184331339</v>
      </c>
      <c r="F339" s="121">
        <f t="shared" si="356"/>
        <v>0</v>
      </c>
      <c r="G339" s="121">
        <f t="shared" si="356"/>
        <v>674824.92901262396</v>
      </c>
      <c r="H339" s="121">
        <f t="shared" si="356"/>
        <v>317319.17757625057</v>
      </c>
      <c r="I339" s="121">
        <f t="shared" si="356"/>
        <v>992144.10658887448</v>
      </c>
      <c r="J339" s="121">
        <f t="shared" si="356"/>
        <v>0</v>
      </c>
      <c r="K339" s="121">
        <f t="shared" si="356"/>
        <v>699038.37636303029</v>
      </c>
      <c r="L339" s="121">
        <f t="shared" si="356"/>
        <v>327933.07548273902</v>
      </c>
      <c r="M339" s="121">
        <f t="shared" si="356"/>
        <v>1026971.4518457692</v>
      </c>
      <c r="N339" s="121">
        <f t="shared" si="356"/>
        <v>0</v>
      </c>
      <c r="O339" s="121">
        <f t="shared" si="356"/>
        <v>724244.87879418256</v>
      </c>
      <c r="P339" s="121">
        <f t="shared" si="356"/>
        <v>338992.32557149546</v>
      </c>
      <c r="Q339" s="121">
        <f t="shared" si="356"/>
        <v>1063237.2043656781</v>
      </c>
      <c r="R339" s="121">
        <f t="shared" si="356"/>
        <v>0</v>
      </c>
      <c r="S339" s="121">
        <f t="shared" si="356"/>
        <v>750490.79486271134</v>
      </c>
      <c r="T339" s="121">
        <f t="shared" si="356"/>
        <v>342518.0187644129</v>
      </c>
      <c r="U339" s="121">
        <f t="shared" si="356"/>
        <v>1093008.8136271243</v>
      </c>
      <c r="V339" s="121">
        <f t="shared" si="356"/>
        <v>0</v>
      </c>
      <c r="W339" s="121">
        <f t="shared" si="356"/>
        <v>3525160.9048178224</v>
      </c>
      <c r="X339" s="121">
        <f t="shared" si="356"/>
        <v>1645893.1834529375</v>
      </c>
      <c r="Y339" s="121">
        <f>Y248+Y176+Y88+Y292+Y336</f>
        <v>5171054.0882707601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118" customFormat="1" ht="13.8" thickBot="1" x14ac:dyDescent="0.3">
      <c r="A340" s="115"/>
      <c r="B340" s="115"/>
      <c r="C340" s="116"/>
      <c r="D340" s="116"/>
      <c r="E340" s="116"/>
      <c r="F340" s="116"/>
      <c r="G340" s="116"/>
      <c r="H340" s="116"/>
      <c r="I340" s="116"/>
      <c r="J340" s="116"/>
      <c r="K340" s="116"/>
      <c r="L340" s="115"/>
      <c r="M340" s="116"/>
      <c r="N340" s="116"/>
      <c r="O340" s="116"/>
      <c r="P340" s="115"/>
      <c r="Q340" s="116"/>
      <c r="R340" s="116"/>
      <c r="S340" s="116"/>
      <c r="T340" s="115"/>
      <c r="U340" s="116"/>
      <c r="V340" s="117"/>
      <c r="W340" s="116"/>
      <c r="X340" s="116"/>
      <c r="Y340" s="115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  <c r="AM340" s="112"/>
      <c r="AN340" s="112"/>
      <c r="AO340" s="112"/>
      <c r="AP340" s="112"/>
      <c r="AQ340" s="112"/>
      <c r="AR340" s="112"/>
      <c r="AS340" s="112"/>
      <c r="AT340" s="112"/>
      <c r="AU340" s="112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112"/>
      <c r="BH340" s="112"/>
      <c r="BI340" s="112"/>
      <c r="BJ340" s="112"/>
      <c r="BK340" s="112"/>
      <c r="BL340" s="112"/>
      <c r="BM340" s="112"/>
      <c r="BN340" s="112"/>
      <c r="BO340" s="112"/>
      <c r="BP340" s="112"/>
      <c r="BQ340" s="112"/>
      <c r="BR340" s="112"/>
      <c r="BS340" s="112"/>
      <c r="BT340" s="112"/>
      <c r="BU340" s="112"/>
      <c r="BV340" s="112"/>
      <c r="BW340" s="112"/>
      <c r="BX340" s="112"/>
      <c r="BY340" s="112"/>
    </row>
    <row r="341" spans="1:77" x14ac:dyDescent="0.25">
      <c r="C341" s="4"/>
      <c r="D341" s="4"/>
      <c r="E341" s="41"/>
      <c r="F341" s="4"/>
      <c r="G341" s="4"/>
      <c r="H341" s="4"/>
      <c r="I341" s="41"/>
      <c r="J341" s="4"/>
      <c r="K341" s="4"/>
      <c r="M341" s="42"/>
      <c r="N341" s="4"/>
      <c r="O341" s="4"/>
      <c r="Q341" s="42"/>
      <c r="R341" s="4"/>
      <c r="S341" s="4"/>
      <c r="U341" s="42"/>
      <c r="V341" s="43"/>
      <c r="W341" s="44"/>
      <c r="X341" s="44"/>
      <c r="Y341" s="12"/>
      <c r="Z341" s="13"/>
      <c r="AA341" s="13"/>
      <c r="AB341" s="13"/>
    </row>
    <row r="342" spans="1:77" s="4" customFormat="1" x14ac:dyDescent="0.25">
      <c r="C342" s="5"/>
      <c r="G342" s="5"/>
      <c r="K342" s="5"/>
      <c r="O342" s="5"/>
      <c r="S342" s="5"/>
      <c r="V342" s="45"/>
      <c r="W342" s="44"/>
      <c r="X342" s="44"/>
      <c r="Y342" s="46"/>
    </row>
    <row r="343" spans="1:77" s="4" customFormat="1" x14ac:dyDescent="0.25">
      <c r="V343" s="45"/>
      <c r="W343" s="44"/>
      <c r="X343" s="44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47"/>
      <c r="X348" s="47"/>
      <c r="Y348" s="46"/>
    </row>
    <row r="349" spans="1:77" s="4" customFormat="1" x14ac:dyDescent="0.25">
      <c r="V349" s="45"/>
      <c r="W349" s="47"/>
      <c r="X349" s="47"/>
      <c r="Y349" s="46"/>
    </row>
    <row r="350" spans="1:77" s="4" customFormat="1" x14ac:dyDescent="0.25">
      <c r="V350" s="45"/>
      <c r="W350" s="47"/>
      <c r="X350" s="47"/>
      <c r="Y350" s="46"/>
    </row>
    <row r="351" spans="1:77" s="4" customFormat="1" x14ac:dyDescent="0.25">
      <c r="V351" s="45"/>
      <c r="W351" s="47"/>
      <c r="X351" s="47"/>
      <c r="Y351" s="46"/>
    </row>
    <row r="352" spans="1:77" s="4" customFormat="1" x14ac:dyDescent="0.25">
      <c r="V352" s="45"/>
      <c r="W352" s="47"/>
      <c r="X352" s="47"/>
      <c r="Y352" s="46"/>
    </row>
    <row r="353" spans="22:25" s="4" customFormat="1" x14ac:dyDescent="0.25">
      <c r="V353" s="45"/>
      <c r="W353" s="47"/>
      <c r="X353" s="47"/>
      <c r="Y353" s="46"/>
    </row>
    <row r="354" spans="22:25" s="4" customFormat="1" x14ac:dyDescent="0.25">
      <c r="V354" s="45"/>
      <c r="W354" s="47"/>
      <c r="X354" s="47"/>
      <c r="Y354" s="46"/>
    </row>
    <row r="355" spans="22:25" s="4" customFormat="1" x14ac:dyDescent="0.25">
      <c r="V355" s="45"/>
      <c r="W355" s="47"/>
      <c r="X355" s="47"/>
      <c r="Y355" s="46"/>
    </row>
    <row r="356" spans="22:25" s="4" customFormat="1" x14ac:dyDescent="0.25">
      <c r="V356" s="45"/>
      <c r="W356" s="47"/>
      <c r="X356" s="47"/>
      <c r="Y356" s="46"/>
    </row>
    <row r="357" spans="22:25" s="4" customFormat="1" x14ac:dyDescent="0.25">
      <c r="V357" s="45"/>
      <c r="W357" s="47"/>
      <c r="X357" s="47"/>
      <c r="Y357" s="46"/>
    </row>
    <row r="358" spans="22:25" s="4" customFormat="1" x14ac:dyDescent="0.25">
      <c r="V358" s="45"/>
      <c r="W358" s="47"/>
      <c r="X358" s="47"/>
      <c r="Y358" s="46"/>
    </row>
    <row r="359" spans="22:25" s="4" customFormat="1" x14ac:dyDescent="0.25">
      <c r="V359" s="45"/>
      <c r="W359" s="47"/>
      <c r="X359" s="47"/>
      <c r="Y359" s="46"/>
    </row>
    <row r="360" spans="22:25" s="4" customFormat="1" x14ac:dyDescent="0.25">
      <c r="V360" s="45"/>
      <c r="W360" s="47"/>
      <c r="X360" s="47"/>
      <c r="Y360" s="46"/>
    </row>
    <row r="361" spans="22:25" s="4" customFormat="1" x14ac:dyDescent="0.25">
      <c r="V361" s="45"/>
      <c r="W361" s="47"/>
      <c r="X361" s="47"/>
      <c r="Y361" s="46"/>
    </row>
    <row r="362" spans="22:25" s="4" customFormat="1" x14ac:dyDescent="0.25">
      <c r="V362" s="45"/>
      <c r="W362" s="47"/>
      <c r="X362" s="47"/>
      <c r="Y362" s="46"/>
    </row>
    <row r="363" spans="22:25" s="4" customFormat="1" x14ac:dyDescent="0.25">
      <c r="V363" s="45"/>
      <c r="W363" s="47"/>
      <c r="X363" s="47"/>
      <c r="Y363" s="46"/>
    </row>
    <row r="364" spans="22:25" s="4" customFormat="1" x14ac:dyDescent="0.25">
      <c r="V364" s="45"/>
      <c r="W364" s="47"/>
      <c r="X364" s="47"/>
      <c r="Y364" s="46"/>
    </row>
    <row r="365" spans="22:25" s="4" customFormat="1" x14ac:dyDescent="0.25">
      <c r="V365" s="45"/>
      <c r="W365" s="47"/>
      <c r="X365" s="47"/>
      <c r="Y365" s="46"/>
    </row>
    <row r="366" spans="22:25" s="4" customFormat="1" x14ac:dyDescent="0.25">
      <c r="V366" s="45"/>
      <c r="W366" s="47"/>
      <c r="X366" s="47"/>
      <c r="Y366" s="46"/>
    </row>
    <row r="367" spans="22:25" s="4" customFormat="1" x14ac:dyDescent="0.25">
      <c r="V367" s="45"/>
      <c r="W367" s="47"/>
      <c r="X367" s="47"/>
      <c r="Y367" s="46"/>
    </row>
    <row r="368" spans="22:25" s="4" customFormat="1" x14ac:dyDescent="0.25">
      <c r="V368" s="45"/>
      <c r="W368" s="47"/>
      <c r="X368" s="47"/>
      <c r="Y368" s="46"/>
    </row>
    <row r="369" spans="22:25" s="4" customFormat="1" x14ac:dyDescent="0.25">
      <c r="V369" s="45"/>
      <c r="W369" s="47"/>
      <c r="X369" s="47"/>
      <c r="Y369" s="46"/>
    </row>
    <row r="370" spans="22:25" s="4" customFormat="1" x14ac:dyDescent="0.25">
      <c r="V370" s="45"/>
      <c r="W370" s="47"/>
      <c r="X370" s="47"/>
      <c r="Y370" s="46"/>
    </row>
    <row r="371" spans="22:25" s="4" customFormat="1" x14ac:dyDescent="0.25">
      <c r="V371" s="45"/>
      <c r="W371" s="47"/>
      <c r="X371" s="47"/>
      <c r="Y371" s="46"/>
    </row>
    <row r="372" spans="22:25" s="4" customFormat="1" x14ac:dyDescent="0.25">
      <c r="V372" s="45"/>
      <c r="W372" s="47"/>
      <c r="X372" s="47"/>
      <c r="Y372" s="46"/>
    </row>
    <row r="373" spans="22:25" s="4" customFormat="1" x14ac:dyDescent="0.25">
      <c r="V373" s="45"/>
      <c r="W373" s="47"/>
      <c r="X373" s="47"/>
      <c r="Y373" s="46"/>
    </row>
    <row r="374" spans="22:25" s="4" customFormat="1" x14ac:dyDescent="0.25">
      <c r="V374" s="45"/>
      <c r="W374" s="47"/>
      <c r="X374" s="47"/>
      <c r="Y374" s="46"/>
    </row>
    <row r="375" spans="22:25" s="4" customFormat="1" x14ac:dyDescent="0.25">
      <c r="V375" s="45"/>
      <c r="W375" s="47"/>
      <c r="X375" s="47"/>
      <c r="Y375" s="46"/>
    </row>
    <row r="376" spans="22:25" s="4" customFormat="1" x14ac:dyDescent="0.25">
      <c r="V376" s="45"/>
      <c r="W376" s="47"/>
      <c r="X376" s="47"/>
      <c r="Y376" s="46"/>
    </row>
    <row r="377" spans="22:25" s="4" customFormat="1" x14ac:dyDescent="0.25">
      <c r="V377" s="45"/>
      <c r="W377" s="47"/>
      <c r="X377" s="47"/>
      <c r="Y377" s="46"/>
    </row>
    <row r="378" spans="22:25" s="4" customFormat="1" x14ac:dyDescent="0.25">
      <c r="V378" s="45"/>
      <c r="W378" s="47"/>
      <c r="X378" s="47"/>
      <c r="Y378" s="46"/>
    </row>
    <row r="379" spans="22:25" s="4" customFormat="1" x14ac:dyDescent="0.25">
      <c r="V379" s="45"/>
      <c r="W379" s="47"/>
      <c r="X379" s="47"/>
      <c r="Y379" s="46"/>
    </row>
    <row r="380" spans="22:25" s="4" customFormat="1" x14ac:dyDescent="0.25">
      <c r="V380" s="45"/>
      <c r="W380" s="47"/>
      <c r="X380" s="47"/>
      <c r="Y380" s="46"/>
    </row>
    <row r="381" spans="22:25" s="4" customFormat="1" x14ac:dyDescent="0.25">
      <c r="V381" s="45"/>
      <c r="W381" s="47"/>
      <c r="X381" s="47"/>
      <c r="Y381" s="46"/>
    </row>
    <row r="382" spans="22:25" s="4" customFormat="1" x14ac:dyDescent="0.25">
      <c r="V382" s="45"/>
      <c r="W382" s="47"/>
      <c r="X382" s="47"/>
      <c r="Y382" s="46"/>
    </row>
    <row r="383" spans="22:25" s="4" customFormat="1" x14ac:dyDescent="0.25">
      <c r="V383" s="45"/>
      <c r="W383" s="47"/>
      <c r="X383" s="47"/>
      <c r="Y383" s="46"/>
    </row>
    <row r="384" spans="22:25" s="4" customFormat="1" x14ac:dyDescent="0.25">
      <c r="V384" s="45"/>
      <c r="W384" s="47"/>
      <c r="X384" s="47"/>
      <c r="Y384" s="46"/>
    </row>
    <row r="385" spans="22:25" s="4" customFormat="1" x14ac:dyDescent="0.25">
      <c r="V385" s="45"/>
      <c r="W385" s="47"/>
      <c r="X385" s="47"/>
      <c r="Y385" s="46"/>
    </row>
    <row r="386" spans="22:25" s="4" customFormat="1" x14ac:dyDescent="0.25">
      <c r="V386" s="45"/>
      <c r="W386" s="47"/>
      <c r="X386" s="47"/>
      <c r="Y386" s="46"/>
    </row>
    <row r="387" spans="22:25" s="4" customFormat="1" x14ac:dyDescent="0.25">
      <c r="V387" s="45"/>
      <c r="W387" s="47"/>
      <c r="X387" s="47"/>
      <c r="Y387" s="46"/>
    </row>
    <row r="388" spans="22:25" s="4" customFormat="1" x14ac:dyDescent="0.25">
      <c r="V388" s="45"/>
      <c r="W388" s="47"/>
      <c r="X388" s="47"/>
      <c r="Y388" s="46"/>
    </row>
    <row r="389" spans="22:25" s="4" customFormat="1" x14ac:dyDescent="0.25">
      <c r="V389" s="45"/>
      <c r="W389" s="47"/>
      <c r="X389" s="47"/>
      <c r="Y389" s="46"/>
    </row>
    <row r="390" spans="22:25" s="4" customFormat="1" x14ac:dyDescent="0.25">
      <c r="V390" s="45"/>
      <c r="W390" s="47"/>
      <c r="X390" s="47"/>
      <c r="Y390" s="46"/>
    </row>
    <row r="391" spans="22:25" s="4" customFormat="1" x14ac:dyDescent="0.25">
      <c r="V391" s="45"/>
      <c r="W391" s="47"/>
      <c r="X391" s="47"/>
      <c r="Y391" s="46"/>
    </row>
    <row r="392" spans="22:25" s="4" customFormat="1" x14ac:dyDescent="0.25">
      <c r="V392" s="45"/>
      <c r="W392" s="47"/>
      <c r="X392" s="47"/>
      <c r="Y392" s="46"/>
    </row>
    <row r="393" spans="22:25" s="4" customFormat="1" x14ac:dyDescent="0.25">
      <c r="V393" s="45"/>
      <c r="W393" s="47"/>
      <c r="X393" s="47"/>
      <c r="Y393" s="46"/>
    </row>
    <row r="394" spans="22:25" s="4" customFormat="1" x14ac:dyDescent="0.25">
      <c r="V394" s="45"/>
      <c r="W394" s="47"/>
      <c r="X394" s="47"/>
      <c r="Y394" s="46"/>
    </row>
    <row r="395" spans="22:25" s="4" customFormat="1" x14ac:dyDescent="0.25">
      <c r="V395" s="45"/>
      <c r="W395" s="47"/>
      <c r="X395" s="47"/>
      <c r="Y395" s="46"/>
    </row>
    <row r="396" spans="22:25" s="4" customFormat="1" x14ac:dyDescent="0.25">
      <c r="V396" s="45"/>
      <c r="W396" s="47"/>
      <c r="X396" s="47"/>
      <c r="Y396" s="46"/>
    </row>
    <row r="397" spans="22:25" s="4" customFormat="1" x14ac:dyDescent="0.25">
      <c r="V397" s="45"/>
      <c r="W397" s="47"/>
      <c r="X397" s="47"/>
      <c r="Y397" s="46"/>
    </row>
    <row r="398" spans="22:25" s="4" customFormat="1" x14ac:dyDescent="0.25">
      <c r="V398" s="45"/>
      <c r="W398" s="47"/>
      <c r="X398" s="47"/>
      <c r="Y398" s="46"/>
    </row>
    <row r="399" spans="22:25" s="4" customFormat="1" x14ac:dyDescent="0.25">
      <c r="V399" s="45"/>
      <c r="W399" s="47"/>
      <c r="X399" s="47"/>
      <c r="Y399" s="46"/>
    </row>
    <row r="400" spans="22:25" s="4" customFormat="1" x14ac:dyDescent="0.25">
      <c r="V400" s="45"/>
      <c r="W400" s="47"/>
      <c r="X400" s="47"/>
      <c r="Y400" s="46"/>
    </row>
    <row r="401" spans="22:25" s="4" customFormat="1" x14ac:dyDescent="0.25">
      <c r="V401" s="45"/>
      <c r="W401" s="47"/>
      <c r="X401" s="47"/>
      <c r="Y401" s="46"/>
    </row>
    <row r="402" spans="22:25" s="4" customFormat="1" x14ac:dyDescent="0.25">
      <c r="V402" s="45"/>
      <c r="W402" s="47"/>
      <c r="X402" s="47"/>
      <c r="Y402" s="46"/>
    </row>
    <row r="403" spans="22:25" s="4" customFormat="1" x14ac:dyDescent="0.25">
      <c r="V403" s="45"/>
      <c r="W403" s="47"/>
      <c r="X403" s="47"/>
      <c r="Y403" s="46"/>
    </row>
    <row r="404" spans="22:25" s="4" customFormat="1" x14ac:dyDescent="0.25">
      <c r="V404" s="45"/>
      <c r="W404" s="47"/>
      <c r="X404" s="47"/>
      <c r="Y404" s="46"/>
    </row>
    <row r="405" spans="22:25" s="4" customFormat="1" x14ac:dyDescent="0.25">
      <c r="V405" s="45"/>
      <c r="W405" s="47"/>
      <c r="X405" s="47"/>
      <c r="Y405" s="46"/>
    </row>
    <row r="406" spans="22:25" s="4" customFormat="1" x14ac:dyDescent="0.25">
      <c r="V406" s="45"/>
      <c r="W406" s="47"/>
      <c r="X406" s="47"/>
      <c r="Y406" s="46"/>
    </row>
    <row r="407" spans="22:25" s="4" customFormat="1" x14ac:dyDescent="0.25">
      <c r="V407" s="45"/>
      <c r="W407" s="47"/>
      <c r="X407" s="47"/>
      <c r="Y407" s="46"/>
    </row>
    <row r="408" spans="22:25" s="4" customFormat="1" x14ac:dyDescent="0.25">
      <c r="V408" s="45"/>
      <c r="W408" s="47"/>
      <c r="X408" s="47"/>
      <c r="Y408" s="46"/>
    </row>
    <row r="409" spans="22:25" s="4" customFormat="1" x14ac:dyDescent="0.25">
      <c r="V409" s="45"/>
      <c r="W409" s="47"/>
      <c r="X409" s="47"/>
      <c r="Y409" s="46"/>
    </row>
    <row r="410" spans="22:25" s="4" customFormat="1" x14ac:dyDescent="0.25">
      <c r="V410" s="45"/>
      <c r="W410" s="47"/>
      <c r="X410" s="47"/>
      <c r="Y410" s="46"/>
    </row>
    <row r="411" spans="22:25" s="4" customFormat="1" x14ac:dyDescent="0.25">
      <c r="V411" s="45"/>
      <c r="W411" s="47"/>
      <c r="X411" s="47"/>
      <c r="Y411" s="46"/>
    </row>
    <row r="412" spans="22:25" s="4" customFormat="1" x14ac:dyDescent="0.25">
      <c r="V412" s="45"/>
      <c r="W412" s="47"/>
      <c r="X412" s="47"/>
      <c r="Y412" s="46"/>
    </row>
    <row r="413" spans="22:25" s="4" customFormat="1" x14ac:dyDescent="0.25">
      <c r="V413" s="45"/>
      <c r="W413" s="47"/>
      <c r="X413" s="47"/>
      <c r="Y413" s="46"/>
    </row>
    <row r="414" spans="22:25" s="4" customFormat="1" x14ac:dyDescent="0.25">
      <c r="V414" s="45"/>
      <c r="W414" s="47"/>
      <c r="X414" s="47"/>
      <c r="Y414" s="46"/>
    </row>
    <row r="415" spans="22:25" s="4" customFormat="1" x14ac:dyDescent="0.25">
      <c r="V415" s="45"/>
      <c r="W415" s="47"/>
      <c r="X415" s="47"/>
      <c r="Y415" s="46"/>
    </row>
    <row r="416" spans="22:25" s="4" customFormat="1" x14ac:dyDescent="0.25">
      <c r="V416" s="45"/>
      <c r="W416" s="47"/>
      <c r="X416" s="47"/>
      <c r="Y416" s="46"/>
    </row>
    <row r="417" spans="22:25" s="4" customFormat="1" x14ac:dyDescent="0.25">
      <c r="V417" s="45"/>
      <c r="W417" s="47"/>
      <c r="X417" s="47"/>
      <c r="Y417" s="46"/>
    </row>
    <row r="418" spans="22:25" s="4" customFormat="1" x14ac:dyDescent="0.25">
      <c r="V418" s="45"/>
      <c r="W418" s="47"/>
      <c r="X418" s="47"/>
      <c r="Y418" s="46"/>
    </row>
    <row r="419" spans="22:25" s="4" customFormat="1" x14ac:dyDescent="0.25">
      <c r="V419" s="45"/>
      <c r="W419" s="47"/>
      <c r="X419" s="47"/>
      <c r="Y419" s="46"/>
    </row>
    <row r="420" spans="22:25" s="4" customFormat="1" x14ac:dyDescent="0.25">
      <c r="V420" s="45"/>
      <c r="W420" s="47"/>
      <c r="X420" s="47"/>
      <c r="Y420" s="46"/>
    </row>
    <row r="421" spans="22:25" s="4" customFormat="1" x14ac:dyDescent="0.25">
      <c r="V421" s="45"/>
      <c r="W421" s="47"/>
      <c r="X421" s="47"/>
      <c r="Y421" s="46"/>
    </row>
    <row r="422" spans="22:25" s="4" customFormat="1" x14ac:dyDescent="0.25">
      <c r="V422" s="45"/>
      <c r="W422" s="47"/>
      <c r="X422" s="47"/>
      <c r="Y422" s="46"/>
    </row>
    <row r="423" spans="22:25" s="4" customFormat="1" x14ac:dyDescent="0.25">
      <c r="V423" s="45"/>
      <c r="W423" s="47"/>
      <c r="X423" s="47"/>
      <c r="Y423" s="46"/>
    </row>
    <row r="424" spans="22:25" s="4" customFormat="1" x14ac:dyDescent="0.25">
      <c r="V424" s="45"/>
      <c r="W424" s="47"/>
      <c r="X424" s="47"/>
      <c r="Y424" s="46"/>
    </row>
    <row r="425" spans="22:25" s="4" customFormat="1" x14ac:dyDescent="0.25">
      <c r="V425" s="45"/>
      <c r="W425" s="47"/>
      <c r="X425" s="47"/>
      <c r="Y425" s="46"/>
    </row>
    <row r="426" spans="22:25" s="4" customFormat="1" x14ac:dyDescent="0.25">
      <c r="V426" s="45"/>
      <c r="W426" s="47"/>
      <c r="X426" s="47"/>
      <c r="Y426" s="46"/>
    </row>
    <row r="427" spans="22:25" s="4" customFormat="1" x14ac:dyDescent="0.25">
      <c r="V427" s="45"/>
      <c r="W427" s="47"/>
      <c r="X427" s="47"/>
      <c r="Y427" s="46"/>
    </row>
    <row r="428" spans="22:25" s="4" customFormat="1" x14ac:dyDescent="0.25">
      <c r="V428" s="45"/>
      <c r="W428" s="47"/>
      <c r="X428" s="47"/>
      <c r="Y428" s="46"/>
    </row>
    <row r="429" spans="22:25" s="4" customFormat="1" x14ac:dyDescent="0.25">
      <c r="V429" s="45"/>
      <c r="W429" s="47"/>
      <c r="X429" s="47"/>
      <c r="Y429" s="46"/>
    </row>
    <row r="430" spans="22:25" s="4" customFormat="1" x14ac:dyDescent="0.25">
      <c r="V430" s="45"/>
      <c r="W430" s="47"/>
      <c r="X430" s="47"/>
      <c r="Y430" s="46"/>
    </row>
    <row r="431" spans="22:25" s="4" customFormat="1" x14ac:dyDescent="0.25">
      <c r="V431" s="45"/>
      <c r="W431" s="47"/>
      <c r="X431" s="47"/>
      <c r="Y431" s="46"/>
    </row>
    <row r="432" spans="22:25" s="4" customFormat="1" x14ac:dyDescent="0.25">
      <c r="V432" s="45"/>
      <c r="W432" s="47"/>
      <c r="X432" s="47"/>
      <c r="Y432" s="46"/>
    </row>
    <row r="433" spans="22:25" s="4" customFormat="1" x14ac:dyDescent="0.25">
      <c r="V433" s="45"/>
      <c r="W433" s="47"/>
      <c r="X433" s="47"/>
      <c r="Y433" s="46"/>
    </row>
    <row r="434" spans="22:25" s="4" customFormat="1" x14ac:dyDescent="0.25">
      <c r="V434" s="45"/>
      <c r="W434" s="47"/>
      <c r="X434" s="47"/>
      <c r="Y434" s="46"/>
    </row>
    <row r="435" spans="22:25" s="4" customFormat="1" x14ac:dyDescent="0.25">
      <c r="V435" s="45"/>
      <c r="W435" s="47"/>
      <c r="X435" s="47"/>
      <c r="Y435" s="46"/>
    </row>
    <row r="436" spans="22:25" s="4" customFormat="1" x14ac:dyDescent="0.25">
      <c r="V436" s="45"/>
      <c r="W436" s="47"/>
      <c r="X436" s="47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  <row r="452" spans="22:25" s="4" customFormat="1" x14ac:dyDescent="0.25">
      <c r="V452" s="45"/>
      <c r="W452" s="12"/>
      <c r="X452" s="12"/>
      <c r="Y452" s="46"/>
    </row>
    <row r="453" spans="22:25" s="4" customFormat="1" x14ac:dyDescent="0.25">
      <c r="V453" s="45"/>
      <c r="W453" s="12"/>
      <c r="X453" s="12"/>
      <c r="Y453" s="46"/>
    </row>
    <row r="454" spans="22:25" s="4" customFormat="1" x14ac:dyDescent="0.25">
      <c r="V454" s="45"/>
      <c r="W454" s="12"/>
      <c r="X454" s="12"/>
      <c r="Y454" s="46"/>
    </row>
    <row r="455" spans="22:25" s="4" customFormat="1" x14ac:dyDescent="0.25">
      <c r="V455" s="45"/>
      <c r="W455" s="12"/>
      <c r="X455" s="12"/>
      <c r="Y455" s="46"/>
    </row>
    <row r="456" spans="22:25" s="4" customFormat="1" x14ac:dyDescent="0.25">
      <c r="V456" s="45"/>
      <c r="W456" s="12"/>
      <c r="X456" s="12"/>
      <c r="Y456" s="46"/>
    </row>
    <row r="457" spans="22:25" s="4" customFormat="1" x14ac:dyDescent="0.25">
      <c r="V457" s="45"/>
      <c r="W457" s="12"/>
      <c r="X457" s="12"/>
      <c r="Y457" s="46"/>
    </row>
    <row r="458" spans="22:25" s="4" customFormat="1" x14ac:dyDescent="0.25">
      <c r="V458" s="45"/>
      <c r="W458" s="12"/>
      <c r="X458" s="12"/>
      <c r="Y458" s="46"/>
    </row>
    <row r="459" spans="22:25" s="4" customFormat="1" x14ac:dyDescent="0.25">
      <c r="V459" s="45"/>
      <c r="W459" s="12"/>
      <c r="X459" s="12"/>
      <c r="Y459" s="46"/>
    </row>
    <row r="460" spans="22:25" s="4" customFormat="1" x14ac:dyDescent="0.25">
      <c r="V460" s="45"/>
      <c r="W460" s="12"/>
      <c r="X460" s="12"/>
      <c r="Y460" s="46"/>
    </row>
    <row r="461" spans="22:25" s="4" customFormat="1" x14ac:dyDescent="0.25">
      <c r="V461" s="45"/>
      <c r="W461" s="12"/>
      <c r="X461" s="12"/>
      <c r="Y461" s="46"/>
    </row>
    <row r="462" spans="22:25" s="4" customFormat="1" x14ac:dyDescent="0.25">
      <c r="V462" s="45"/>
      <c r="W462" s="12"/>
      <c r="X462" s="12"/>
      <c r="Y462" s="46"/>
    </row>
    <row r="463" spans="22:25" s="4" customFormat="1" x14ac:dyDescent="0.25">
      <c r="V463" s="45"/>
      <c r="W463" s="12"/>
      <c r="X463" s="12"/>
      <c r="Y463" s="46"/>
    </row>
    <row r="464" spans="22:25" s="4" customFormat="1" x14ac:dyDescent="0.25">
      <c r="V464" s="45"/>
      <c r="W464" s="12"/>
      <c r="X464" s="12"/>
      <c r="Y464" s="46"/>
    </row>
    <row r="465" spans="22:25" s="4" customFormat="1" x14ac:dyDescent="0.25">
      <c r="V465" s="45"/>
      <c r="W465" s="12"/>
      <c r="X465" s="12"/>
      <c r="Y465" s="46"/>
    </row>
    <row r="466" spans="22:25" s="4" customFormat="1" x14ac:dyDescent="0.25">
      <c r="V466" s="45"/>
      <c r="W466" s="12"/>
      <c r="X466" s="12"/>
      <c r="Y466" s="46"/>
    </row>
    <row r="467" spans="22:25" s="4" customFormat="1" x14ac:dyDescent="0.25">
      <c r="V467" s="45"/>
      <c r="W467" s="12"/>
      <c r="X467" s="12"/>
      <c r="Y467" s="46"/>
    </row>
    <row r="468" spans="22:25" s="4" customFormat="1" x14ac:dyDescent="0.25">
      <c r="V468" s="45"/>
      <c r="W468" s="12"/>
      <c r="X468" s="12"/>
      <c r="Y468" s="46"/>
    </row>
    <row r="469" spans="22:25" s="4" customFormat="1" x14ac:dyDescent="0.25">
      <c r="V469" s="45"/>
      <c r="W469" s="12"/>
      <c r="X469" s="12"/>
      <c r="Y469" s="46"/>
    </row>
    <row r="470" spans="22:25" s="4" customFormat="1" x14ac:dyDescent="0.25">
      <c r="V470" s="45"/>
      <c r="W470" s="12"/>
      <c r="X470" s="12"/>
      <c r="Y470" s="46"/>
    </row>
    <row r="471" spans="22:25" s="4" customFormat="1" x14ac:dyDescent="0.25">
      <c r="V471" s="45"/>
      <c r="W471" s="12"/>
      <c r="X471" s="12"/>
      <c r="Y471" s="46"/>
    </row>
    <row r="472" spans="22:25" s="4" customFormat="1" x14ac:dyDescent="0.25">
      <c r="V472" s="45"/>
      <c r="W472" s="12"/>
      <c r="X472" s="12"/>
      <c r="Y472" s="46"/>
    </row>
    <row r="473" spans="22:25" s="4" customFormat="1" x14ac:dyDescent="0.25">
      <c r="V473" s="45"/>
      <c r="W473" s="12"/>
      <c r="X473" s="12"/>
      <c r="Y473" s="46"/>
    </row>
    <row r="474" spans="22:25" s="4" customFormat="1" x14ac:dyDescent="0.25">
      <c r="V474" s="45"/>
      <c r="W474" s="12"/>
      <c r="X474" s="12"/>
      <c r="Y474" s="46"/>
    </row>
    <row r="475" spans="22:25" s="4" customFormat="1" x14ac:dyDescent="0.25">
      <c r="V475" s="45"/>
      <c r="W475" s="12"/>
      <c r="X475" s="12"/>
      <c r="Y475" s="46"/>
    </row>
    <row r="476" spans="22:25" s="4" customFormat="1" x14ac:dyDescent="0.25">
      <c r="V476" s="45"/>
      <c r="W476" s="12"/>
      <c r="X476" s="12"/>
      <c r="Y476" s="46"/>
    </row>
    <row r="477" spans="22:25" s="4" customFormat="1" x14ac:dyDescent="0.25">
      <c r="V477" s="45"/>
      <c r="W477" s="12"/>
      <c r="X477" s="12"/>
      <c r="Y477" s="46"/>
    </row>
    <row r="478" spans="22:25" s="4" customFormat="1" x14ac:dyDescent="0.25">
      <c r="V478" s="45"/>
      <c r="W478" s="12"/>
      <c r="X478" s="12"/>
      <c r="Y478" s="46"/>
    </row>
    <row r="479" spans="22:25" s="4" customFormat="1" x14ac:dyDescent="0.25">
      <c r="V479" s="45"/>
      <c r="W479" s="12"/>
      <c r="X479" s="12"/>
      <c r="Y479" s="46"/>
    </row>
    <row r="480" spans="22:25" s="4" customFormat="1" x14ac:dyDescent="0.25">
      <c r="V480" s="45"/>
      <c r="W480" s="12"/>
      <c r="X480" s="12"/>
      <c r="Y480" s="46"/>
    </row>
    <row r="481" spans="22:25" s="4" customFormat="1" x14ac:dyDescent="0.25">
      <c r="V481" s="45"/>
      <c r="W481" s="12"/>
      <c r="X481" s="12"/>
      <c r="Y481" s="46"/>
    </row>
    <row r="482" spans="22:25" s="4" customFormat="1" x14ac:dyDescent="0.25">
      <c r="V482" s="45"/>
      <c r="W482" s="12"/>
      <c r="X482" s="12"/>
      <c r="Y482" s="46"/>
    </row>
    <row r="483" spans="22:25" s="4" customFormat="1" x14ac:dyDescent="0.25">
      <c r="V483" s="45"/>
      <c r="W483" s="12"/>
      <c r="X483" s="12"/>
      <c r="Y483" s="46"/>
    </row>
    <row r="484" spans="22:25" s="4" customFormat="1" x14ac:dyDescent="0.25">
      <c r="V484" s="45"/>
      <c r="W484" s="12"/>
      <c r="X484" s="12"/>
      <c r="Y484" s="46"/>
    </row>
    <row r="485" spans="22:25" s="4" customFormat="1" x14ac:dyDescent="0.25">
      <c r="V485" s="45"/>
      <c r="W485" s="12"/>
      <c r="X485" s="12"/>
      <c r="Y485" s="46"/>
    </row>
    <row r="486" spans="22:25" s="4" customFormat="1" x14ac:dyDescent="0.25">
      <c r="V486" s="45"/>
      <c r="W486" s="12"/>
      <c r="X486" s="12"/>
      <c r="Y486" s="46"/>
    </row>
    <row r="487" spans="22:25" s="4" customFormat="1" x14ac:dyDescent="0.25">
      <c r="V487" s="45"/>
      <c r="W487" s="12"/>
      <c r="X487" s="12"/>
      <c r="Y487" s="46"/>
    </row>
    <row r="488" spans="22:25" s="4" customFormat="1" x14ac:dyDescent="0.25">
      <c r="V488" s="45"/>
      <c r="W488" s="12"/>
      <c r="X488" s="12"/>
      <c r="Y488" s="46"/>
    </row>
    <row r="489" spans="22:25" s="4" customFormat="1" x14ac:dyDescent="0.25">
      <c r="V489" s="45"/>
      <c r="W489" s="12"/>
      <c r="X489" s="12"/>
      <c r="Y489" s="46"/>
    </row>
    <row r="490" spans="22:25" s="4" customFormat="1" x14ac:dyDescent="0.25">
      <c r="V490" s="45"/>
      <c r="W490" s="12"/>
      <c r="X490" s="12"/>
      <c r="Y490" s="46"/>
    </row>
    <row r="491" spans="22:25" s="4" customFormat="1" x14ac:dyDescent="0.25">
      <c r="V491" s="45"/>
      <c r="W491" s="12"/>
      <c r="X491" s="12"/>
      <c r="Y491" s="46"/>
    </row>
    <row r="492" spans="22:25" s="4" customFormat="1" x14ac:dyDescent="0.25">
      <c r="V492" s="45"/>
      <c r="W492" s="12"/>
      <c r="X492" s="12"/>
      <c r="Y492" s="46"/>
    </row>
    <row r="493" spans="22:25" s="4" customFormat="1" x14ac:dyDescent="0.25">
      <c r="V493" s="45"/>
      <c r="W493" s="12"/>
      <c r="X493" s="12"/>
      <c r="Y493" s="46"/>
    </row>
    <row r="494" spans="22:25" s="4" customFormat="1" x14ac:dyDescent="0.25">
      <c r="V494" s="45"/>
      <c r="W494" s="12"/>
      <c r="X494" s="12"/>
      <c r="Y494" s="46"/>
    </row>
    <row r="495" spans="22:25" s="4" customFormat="1" x14ac:dyDescent="0.25">
      <c r="V495" s="45"/>
      <c r="W495" s="12"/>
      <c r="X495" s="12"/>
      <c r="Y495" s="46"/>
    </row>
    <row r="496" spans="22:25" s="4" customFormat="1" x14ac:dyDescent="0.25">
      <c r="V496" s="45"/>
      <c r="W496" s="12"/>
      <c r="X496" s="12"/>
      <c r="Y496" s="46"/>
    </row>
    <row r="497" spans="22:25" s="4" customFormat="1" x14ac:dyDescent="0.25">
      <c r="V497" s="45"/>
      <c r="W497" s="12"/>
      <c r="X497" s="12"/>
      <c r="Y497" s="46"/>
    </row>
    <row r="498" spans="22:25" s="4" customFormat="1" x14ac:dyDescent="0.25">
      <c r="V498" s="45"/>
      <c r="W498" s="12"/>
      <c r="X498" s="12"/>
      <c r="Y498" s="46"/>
    </row>
    <row r="499" spans="22:25" s="4" customFormat="1" x14ac:dyDescent="0.25">
      <c r="V499" s="45"/>
      <c r="W499" s="12"/>
      <c r="X499" s="12"/>
      <c r="Y499" s="46"/>
    </row>
    <row r="500" spans="22:25" s="4" customFormat="1" x14ac:dyDescent="0.25">
      <c r="V500" s="45"/>
      <c r="W500" s="12"/>
      <c r="X500" s="12"/>
      <c r="Y500" s="46"/>
    </row>
    <row r="501" spans="22:25" s="4" customFormat="1" x14ac:dyDescent="0.25">
      <c r="V501" s="45"/>
      <c r="W501" s="12"/>
      <c r="X501" s="12"/>
      <c r="Y501" s="46"/>
    </row>
    <row r="502" spans="22:25" s="4" customFormat="1" x14ac:dyDescent="0.25">
      <c r="V502" s="45"/>
      <c r="W502" s="12"/>
      <c r="X502" s="12"/>
      <c r="Y502" s="46"/>
    </row>
    <row r="503" spans="22:25" s="4" customFormat="1" x14ac:dyDescent="0.25">
      <c r="V503" s="45"/>
      <c r="W503" s="12"/>
      <c r="X503" s="12"/>
      <c r="Y503" s="46"/>
    </row>
    <row r="504" spans="22:25" s="4" customFormat="1" x14ac:dyDescent="0.25">
      <c r="V504" s="45"/>
      <c r="W504" s="12"/>
      <c r="X504" s="12"/>
      <c r="Y504" s="46"/>
    </row>
    <row r="505" spans="22:25" s="4" customFormat="1" x14ac:dyDescent="0.25">
      <c r="V505" s="45"/>
      <c r="W505" s="12"/>
      <c r="X505" s="12"/>
      <c r="Y505" s="46"/>
    </row>
    <row r="506" spans="22:25" s="4" customFormat="1" x14ac:dyDescent="0.25">
      <c r="V506" s="45"/>
      <c r="W506" s="12"/>
      <c r="X506" s="12"/>
      <c r="Y506" s="46"/>
    </row>
    <row r="507" spans="22:25" s="4" customFormat="1" x14ac:dyDescent="0.25">
      <c r="V507" s="45"/>
      <c r="W507" s="12"/>
      <c r="X507" s="12"/>
      <c r="Y507" s="46"/>
    </row>
    <row r="508" spans="22:25" s="4" customFormat="1" x14ac:dyDescent="0.25">
      <c r="V508" s="45"/>
      <c r="W508" s="12"/>
      <c r="X508" s="12"/>
      <c r="Y508" s="46"/>
    </row>
    <row r="509" spans="22:25" s="4" customFormat="1" x14ac:dyDescent="0.25">
      <c r="V509" s="45"/>
      <c r="W509" s="12"/>
      <c r="X509" s="12"/>
      <c r="Y509" s="46"/>
    </row>
    <row r="510" spans="22:25" s="4" customFormat="1" x14ac:dyDescent="0.25">
      <c r="V510" s="45"/>
      <c r="W510" s="12"/>
      <c r="X510" s="12"/>
      <c r="Y510" s="46"/>
    </row>
    <row r="511" spans="22:25" s="4" customFormat="1" x14ac:dyDescent="0.25">
      <c r="V511" s="45"/>
      <c r="W511" s="12"/>
      <c r="X511" s="12"/>
      <c r="Y511" s="46"/>
    </row>
    <row r="512" spans="22:25" s="4" customFormat="1" x14ac:dyDescent="0.25">
      <c r="V512" s="45"/>
      <c r="W512" s="12"/>
      <c r="X512" s="12"/>
      <c r="Y512" s="46"/>
    </row>
    <row r="513" spans="22:25" s="4" customFormat="1" x14ac:dyDescent="0.25">
      <c r="V513" s="45"/>
      <c r="W513" s="12"/>
      <c r="X513" s="12"/>
      <c r="Y513" s="46"/>
    </row>
    <row r="514" spans="22:25" s="4" customFormat="1" x14ac:dyDescent="0.25">
      <c r="V514" s="45"/>
      <c r="W514" s="12"/>
      <c r="X514" s="12"/>
      <c r="Y514" s="46"/>
    </row>
    <row r="515" spans="22:25" s="4" customFormat="1" x14ac:dyDescent="0.25">
      <c r="V515" s="45"/>
      <c r="W515" s="12"/>
      <c r="X515" s="12"/>
      <c r="Y515" s="46"/>
    </row>
    <row r="516" spans="22:25" s="4" customFormat="1" x14ac:dyDescent="0.25">
      <c r="V516" s="45"/>
      <c r="W516" s="12"/>
      <c r="X516" s="12"/>
      <c r="Y516" s="46"/>
    </row>
    <row r="517" spans="22:25" s="4" customFormat="1" x14ac:dyDescent="0.25">
      <c r="V517" s="45"/>
      <c r="W517" s="12"/>
      <c r="X517" s="12"/>
      <c r="Y517" s="46"/>
    </row>
    <row r="518" spans="22:25" s="4" customFormat="1" x14ac:dyDescent="0.25">
      <c r="V518" s="45"/>
      <c r="W518" s="12"/>
      <c r="X518" s="12"/>
      <c r="Y518" s="46"/>
    </row>
    <row r="519" spans="22:25" s="4" customFormat="1" x14ac:dyDescent="0.25">
      <c r="V519" s="45"/>
      <c r="W519" s="12"/>
      <c r="X519" s="12"/>
      <c r="Y519" s="46"/>
    </row>
    <row r="520" spans="22:25" s="4" customFormat="1" x14ac:dyDescent="0.25">
      <c r="V520" s="45"/>
      <c r="W520" s="12"/>
      <c r="X520" s="12"/>
      <c r="Y520" s="46"/>
    </row>
    <row r="521" spans="22:25" s="4" customFormat="1" x14ac:dyDescent="0.25">
      <c r="V521" s="45"/>
      <c r="W521" s="12"/>
      <c r="X521" s="12"/>
      <c r="Y521" s="46"/>
    </row>
    <row r="522" spans="22:25" s="4" customFormat="1" x14ac:dyDescent="0.25">
      <c r="V522" s="45"/>
      <c r="W522" s="12"/>
      <c r="X522" s="12"/>
      <c r="Y522" s="46"/>
    </row>
    <row r="523" spans="22:25" s="4" customFormat="1" x14ac:dyDescent="0.25">
      <c r="V523" s="45"/>
      <c r="W523" s="12"/>
      <c r="X523" s="12"/>
      <c r="Y523" s="46"/>
    </row>
    <row r="524" spans="22:25" s="4" customFormat="1" x14ac:dyDescent="0.25">
      <c r="V524" s="45"/>
      <c r="W524" s="12"/>
      <c r="X524" s="12"/>
      <c r="Y524" s="46"/>
    </row>
    <row r="525" spans="22:25" s="4" customFormat="1" x14ac:dyDescent="0.25">
      <c r="V525" s="45"/>
      <c r="W525" s="12"/>
      <c r="X525" s="12"/>
      <c r="Y525" s="46"/>
    </row>
    <row r="526" spans="22:25" s="4" customFormat="1" x14ac:dyDescent="0.25">
      <c r="V526" s="45"/>
      <c r="W526" s="12"/>
      <c r="X526" s="12"/>
      <c r="Y526" s="46"/>
    </row>
    <row r="527" spans="22:25" s="4" customFormat="1" x14ac:dyDescent="0.25">
      <c r="V527" s="45"/>
      <c r="W527" s="12"/>
      <c r="X527" s="12"/>
      <c r="Y527" s="46"/>
    </row>
    <row r="528" spans="22:25" s="4" customFormat="1" x14ac:dyDescent="0.25">
      <c r="V528" s="45"/>
      <c r="W528" s="12"/>
      <c r="X528" s="12"/>
      <c r="Y528" s="46"/>
    </row>
    <row r="529" spans="22:25" s="4" customFormat="1" x14ac:dyDescent="0.25">
      <c r="V529" s="45"/>
      <c r="W529" s="12"/>
      <c r="X529" s="12"/>
      <c r="Y529" s="46"/>
    </row>
    <row r="530" spans="22:25" s="4" customFormat="1" x14ac:dyDescent="0.25">
      <c r="V530" s="45"/>
      <c r="W530" s="12"/>
      <c r="X530" s="12"/>
      <c r="Y530" s="46"/>
    </row>
    <row r="531" spans="22:25" s="4" customFormat="1" x14ac:dyDescent="0.25">
      <c r="V531" s="45"/>
      <c r="W531" s="12"/>
      <c r="X531" s="12"/>
      <c r="Y531" s="46"/>
    </row>
    <row r="532" spans="22:25" s="4" customFormat="1" x14ac:dyDescent="0.25">
      <c r="V532" s="45"/>
      <c r="W532" s="12"/>
      <c r="X532" s="12"/>
      <c r="Y532" s="46"/>
    </row>
    <row r="533" spans="22:25" s="4" customFormat="1" x14ac:dyDescent="0.25">
      <c r="V533" s="45"/>
      <c r="W533" s="12"/>
      <c r="X533" s="12"/>
      <c r="Y533" s="46"/>
    </row>
    <row r="534" spans="22:25" s="4" customFormat="1" x14ac:dyDescent="0.25">
      <c r="V534" s="45"/>
      <c r="W534" s="12"/>
      <c r="X534" s="12"/>
      <c r="Y534" s="46"/>
    </row>
    <row r="535" spans="22:25" s="4" customFormat="1" x14ac:dyDescent="0.25">
      <c r="V535" s="45"/>
      <c r="W535" s="12"/>
      <c r="X535" s="12"/>
      <c r="Y535" s="46"/>
    </row>
    <row r="536" spans="22:25" s="4" customFormat="1" x14ac:dyDescent="0.25">
      <c r="V536" s="45"/>
      <c r="W536" s="12"/>
      <c r="X536" s="12"/>
      <c r="Y536" s="46"/>
    </row>
    <row r="537" spans="22:25" s="4" customFormat="1" x14ac:dyDescent="0.25">
      <c r="V537" s="45"/>
      <c r="W537" s="12"/>
      <c r="X537" s="12"/>
      <c r="Y537" s="46"/>
    </row>
    <row r="538" spans="22:25" s="4" customFormat="1" x14ac:dyDescent="0.25">
      <c r="V538" s="45"/>
      <c r="W538" s="12"/>
      <c r="X538" s="12"/>
      <c r="Y538" s="46"/>
    </row>
    <row r="539" spans="22:25" s="4" customFormat="1" x14ac:dyDescent="0.25">
      <c r="V539" s="45"/>
      <c r="W539" s="12"/>
      <c r="X539" s="12"/>
      <c r="Y539" s="46"/>
    </row>
    <row r="540" spans="22:25" s="4" customFormat="1" x14ac:dyDescent="0.25">
      <c r="V540" s="45"/>
      <c r="W540" s="12"/>
      <c r="X540" s="12"/>
      <c r="Y540" s="46"/>
    </row>
  </sheetData>
  <sheetProtection sort="0"/>
  <mergeCells count="13">
    <mergeCell ref="A250:Y250"/>
    <mergeCell ref="A294:Y294"/>
    <mergeCell ref="A4:Y4"/>
    <mergeCell ref="A90:Y90"/>
    <mergeCell ref="A178:Y178"/>
    <mergeCell ref="A1:Y1"/>
    <mergeCell ref="A2:B2"/>
    <mergeCell ref="C2:E2"/>
    <mergeCell ref="G2:I2"/>
    <mergeCell ref="K2:M2"/>
    <mergeCell ref="O2:Q2"/>
    <mergeCell ref="S2:U2"/>
    <mergeCell ref="W2:Y2"/>
  </mergeCells>
  <phoneticPr fontId="2" type="noConversion"/>
  <printOptions horizontalCentered="1"/>
  <pageMargins left="0.25" right="0.25" top="0.25" bottom="0.25" header="0.5" footer="0.5"/>
  <pageSetup scale="46" orientation="landscape" r:id="rId1"/>
  <headerFooter alignWithMargins="0"/>
  <rowBreaks count="2" manualBreakCount="2">
    <brk id="88" max="22" man="1"/>
    <brk id="177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Y451"/>
  <sheetViews>
    <sheetView zoomScaleNormal="100" zoomScalePageLayoutView="8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I195" sqref="I195"/>
    </sheetView>
  </sheetViews>
  <sheetFormatPr defaultColWidth="8.88671875" defaultRowHeight="13.2" x14ac:dyDescent="0.25"/>
  <cols>
    <col min="1" max="1" width="10" style="7" customWidth="1"/>
    <col min="2" max="2" width="51.6640625" style="7" customWidth="1"/>
    <col min="3" max="3" width="14.109375" style="48" bestFit="1" customWidth="1"/>
    <col min="4" max="4" width="14.109375" style="7" bestFit="1" customWidth="1"/>
    <col min="5" max="5" width="15.109375" style="7" bestFit="1" customWidth="1"/>
    <col min="6" max="6" width="1.109375" style="11" customWidth="1"/>
    <col min="7" max="7" width="14.664062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4" style="48" bestFit="1" customWidth="1"/>
    <col min="16" max="16" width="14" style="7" bestFit="1" customWidth="1"/>
    <col min="17" max="17" width="14.6640625" style="7" bestFit="1" customWidth="1"/>
    <col min="18" max="18" width="1.6640625" style="11" customWidth="1"/>
    <col min="19" max="19" width="14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16384" width="8.88671875" style="7"/>
  </cols>
  <sheetData>
    <row r="1" spans="1:25" s="61" customFormat="1" x14ac:dyDescent="0.25">
      <c r="A1" s="316" t="s">
        <v>103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25" s="61" customFormat="1" x14ac:dyDescent="0.25">
      <c r="A2" s="319">
        <v>44778</v>
      </c>
      <c r="B2" s="320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25" s="72" customFormat="1" ht="26.4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25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25" s="77" customFormat="1" x14ac:dyDescent="0.25">
      <c r="A5" s="73" t="s">
        <v>5</v>
      </c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25" s="61" customFormat="1" x14ac:dyDescent="0.25">
      <c r="A6" s="53"/>
      <c r="B6" s="52"/>
      <c r="C6" s="124">
        <v>0</v>
      </c>
      <c r="D6" s="56">
        <v>0</v>
      </c>
      <c r="E6" s="56">
        <f t="shared" ref="E6:E14" si="0">SUM(C6:D6)</f>
        <v>0</v>
      </c>
      <c r="F6" s="58"/>
      <c r="G6" s="55">
        <f t="shared" ref="G6:G14" si="1">C6*1.05</f>
        <v>0</v>
      </c>
      <c r="H6" s="57">
        <f t="shared" ref="H6:H14" si="2">D6*1.05</f>
        <v>0</v>
      </c>
      <c r="I6" s="57">
        <f t="shared" ref="I6:I14" si="3">SUM(G6:H6)</f>
        <v>0</v>
      </c>
      <c r="J6" s="58"/>
      <c r="K6" s="55">
        <f t="shared" ref="K6:K14" si="4">G6*1.05</f>
        <v>0</v>
      </c>
      <c r="L6" s="57">
        <f t="shared" ref="L6:L14" si="5">H6*1.05</f>
        <v>0</v>
      </c>
      <c r="M6" s="57">
        <f t="shared" ref="M6:M14" si="6">SUM(K6:L6)</f>
        <v>0</v>
      </c>
      <c r="N6" s="58"/>
      <c r="O6" s="55">
        <f t="shared" ref="O6:O14" si="7">K6*1.05</f>
        <v>0</v>
      </c>
      <c r="P6" s="57">
        <f t="shared" ref="P6:P14" si="8">L6*1.05</f>
        <v>0</v>
      </c>
      <c r="Q6" s="57">
        <f t="shared" ref="Q6:Q14" si="9">SUM(O6:P6)</f>
        <v>0</v>
      </c>
      <c r="R6" s="58"/>
      <c r="S6" s="55">
        <f t="shared" ref="S6:S14" si="10">O6*1.05</f>
        <v>0</v>
      </c>
      <c r="T6" s="57">
        <f t="shared" ref="T6:T14" si="11">P6*1.05</f>
        <v>0</v>
      </c>
      <c r="U6" s="57">
        <f t="shared" ref="U6:U14" si="12">SUM(S6:T6)</f>
        <v>0</v>
      </c>
      <c r="V6" s="59"/>
      <c r="W6" s="124">
        <f t="shared" ref="W6:W15" si="13">C6+G6+K6+O6+S6</f>
        <v>0</v>
      </c>
      <c r="X6" s="57">
        <f t="shared" ref="X6:X15" si="14">D6+H6+L6+P6+T6</f>
        <v>0</v>
      </c>
      <c r="Y6" s="84">
        <f t="shared" ref="Y6:Y15" si="15">E6+I6+M6+Q6+U6</f>
        <v>0</v>
      </c>
    </row>
    <row r="7" spans="1:25" s="61" customFormat="1" x14ac:dyDescent="0.25">
      <c r="A7" s="53"/>
      <c r="B7" s="52"/>
      <c r="C7" s="124">
        <v>0</v>
      </c>
      <c r="D7" s="56">
        <v>0</v>
      </c>
      <c r="E7" s="56">
        <f t="shared" si="0"/>
        <v>0</v>
      </c>
      <c r="F7" s="58"/>
      <c r="G7" s="55">
        <f t="shared" si="1"/>
        <v>0</v>
      </c>
      <c r="H7" s="57">
        <f t="shared" si="2"/>
        <v>0</v>
      </c>
      <c r="I7" s="57">
        <f t="shared" si="3"/>
        <v>0</v>
      </c>
      <c r="J7" s="58"/>
      <c r="K7" s="55">
        <f t="shared" si="4"/>
        <v>0</v>
      </c>
      <c r="L7" s="57">
        <f t="shared" si="5"/>
        <v>0</v>
      </c>
      <c r="M7" s="57">
        <f t="shared" si="6"/>
        <v>0</v>
      </c>
      <c r="N7" s="58"/>
      <c r="O7" s="55">
        <f t="shared" si="7"/>
        <v>0</v>
      </c>
      <c r="P7" s="57">
        <f t="shared" si="8"/>
        <v>0</v>
      </c>
      <c r="Q7" s="57">
        <f t="shared" si="9"/>
        <v>0</v>
      </c>
      <c r="R7" s="58"/>
      <c r="S7" s="55">
        <f t="shared" si="10"/>
        <v>0</v>
      </c>
      <c r="T7" s="57">
        <f t="shared" si="11"/>
        <v>0</v>
      </c>
      <c r="U7" s="57">
        <f t="shared" si="12"/>
        <v>0</v>
      </c>
      <c r="V7" s="59"/>
      <c r="W7" s="124">
        <f t="shared" si="13"/>
        <v>0</v>
      </c>
      <c r="X7" s="57">
        <f t="shared" si="14"/>
        <v>0</v>
      </c>
      <c r="Y7" s="84">
        <f t="shared" si="15"/>
        <v>0</v>
      </c>
    </row>
    <row r="8" spans="1:25" s="61" customFormat="1" x14ac:dyDescent="0.25">
      <c r="A8" s="53"/>
      <c r="B8" s="54"/>
      <c r="C8" s="124">
        <v>0</v>
      </c>
      <c r="D8" s="56">
        <v>0</v>
      </c>
      <c r="E8" s="56">
        <f t="shared" si="0"/>
        <v>0</v>
      </c>
      <c r="F8" s="58"/>
      <c r="G8" s="55">
        <f t="shared" si="1"/>
        <v>0</v>
      </c>
      <c r="H8" s="57">
        <f t="shared" si="2"/>
        <v>0</v>
      </c>
      <c r="I8" s="57">
        <f t="shared" si="3"/>
        <v>0</v>
      </c>
      <c r="J8" s="58"/>
      <c r="K8" s="55">
        <f t="shared" si="4"/>
        <v>0</v>
      </c>
      <c r="L8" s="57">
        <f t="shared" si="5"/>
        <v>0</v>
      </c>
      <c r="M8" s="57">
        <f t="shared" si="6"/>
        <v>0</v>
      </c>
      <c r="N8" s="58"/>
      <c r="O8" s="55">
        <f t="shared" si="7"/>
        <v>0</v>
      </c>
      <c r="P8" s="57">
        <f t="shared" si="8"/>
        <v>0</v>
      </c>
      <c r="Q8" s="57">
        <f t="shared" si="9"/>
        <v>0</v>
      </c>
      <c r="R8" s="58"/>
      <c r="S8" s="55">
        <f t="shared" si="10"/>
        <v>0</v>
      </c>
      <c r="T8" s="57">
        <f t="shared" si="11"/>
        <v>0</v>
      </c>
      <c r="U8" s="57">
        <f t="shared" si="12"/>
        <v>0</v>
      </c>
      <c r="V8" s="59"/>
      <c r="W8" s="124">
        <f t="shared" si="13"/>
        <v>0</v>
      </c>
      <c r="X8" s="57">
        <f t="shared" si="14"/>
        <v>0</v>
      </c>
      <c r="Y8" s="84">
        <f t="shared" si="15"/>
        <v>0</v>
      </c>
    </row>
    <row r="9" spans="1:25" s="61" customFormat="1" x14ac:dyDescent="0.25">
      <c r="A9" s="53"/>
      <c r="B9" s="54"/>
      <c r="C9" s="124">
        <v>0</v>
      </c>
      <c r="D9" s="56">
        <v>0</v>
      </c>
      <c r="E9" s="56">
        <f t="shared" si="0"/>
        <v>0</v>
      </c>
      <c r="F9" s="58"/>
      <c r="G9" s="55">
        <f t="shared" si="1"/>
        <v>0</v>
      </c>
      <c r="H9" s="57">
        <f t="shared" si="2"/>
        <v>0</v>
      </c>
      <c r="I9" s="57">
        <f t="shared" si="3"/>
        <v>0</v>
      </c>
      <c r="J9" s="58"/>
      <c r="K9" s="55">
        <f t="shared" si="4"/>
        <v>0</v>
      </c>
      <c r="L9" s="57">
        <f t="shared" si="5"/>
        <v>0</v>
      </c>
      <c r="M9" s="57">
        <f t="shared" si="6"/>
        <v>0</v>
      </c>
      <c r="N9" s="58"/>
      <c r="O9" s="55">
        <f t="shared" si="7"/>
        <v>0</v>
      </c>
      <c r="P9" s="57">
        <f t="shared" si="8"/>
        <v>0</v>
      </c>
      <c r="Q9" s="57">
        <f t="shared" si="9"/>
        <v>0</v>
      </c>
      <c r="R9" s="58"/>
      <c r="S9" s="55">
        <f t="shared" si="10"/>
        <v>0</v>
      </c>
      <c r="T9" s="57">
        <f t="shared" si="11"/>
        <v>0</v>
      </c>
      <c r="U9" s="57">
        <f t="shared" si="12"/>
        <v>0</v>
      </c>
      <c r="V9" s="59"/>
      <c r="W9" s="124">
        <f t="shared" si="13"/>
        <v>0</v>
      </c>
      <c r="X9" s="57">
        <f t="shared" si="14"/>
        <v>0</v>
      </c>
      <c r="Y9" s="84">
        <f t="shared" si="15"/>
        <v>0</v>
      </c>
    </row>
    <row r="10" spans="1:25" s="61" customFormat="1" x14ac:dyDescent="0.25">
      <c r="A10" s="53"/>
      <c r="B10" s="54"/>
      <c r="C10" s="124">
        <v>0</v>
      </c>
      <c r="D10" s="56">
        <v>0</v>
      </c>
      <c r="E10" s="56">
        <f t="shared" si="0"/>
        <v>0</v>
      </c>
      <c r="F10" s="58"/>
      <c r="G10" s="55">
        <f t="shared" si="1"/>
        <v>0</v>
      </c>
      <c r="H10" s="57">
        <f t="shared" si="2"/>
        <v>0</v>
      </c>
      <c r="I10" s="57">
        <f t="shared" si="3"/>
        <v>0</v>
      </c>
      <c r="J10" s="58"/>
      <c r="K10" s="55">
        <f t="shared" si="4"/>
        <v>0</v>
      </c>
      <c r="L10" s="57">
        <f t="shared" si="5"/>
        <v>0</v>
      </c>
      <c r="M10" s="57">
        <f t="shared" si="6"/>
        <v>0</v>
      </c>
      <c r="N10" s="58"/>
      <c r="O10" s="55">
        <f t="shared" si="7"/>
        <v>0</v>
      </c>
      <c r="P10" s="57">
        <f t="shared" si="8"/>
        <v>0</v>
      </c>
      <c r="Q10" s="57">
        <f t="shared" si="9"/>
        <v>0</v>
      </c>
      <c r="R10" s="58"/>
      <c r="S10" s="55">
        <f t="shared" si="10"/>
        <v>0</v>
      </c>
      <c r="T10" s="57">
        <f t="shared" si="11"/>
        <v>0</v>
      </c>
      <c r="U10" s="57">
        <f t="shared" si="12"/>
        <v>0</v>
      </c>
      <c r="V10" s="59"/>
      <c r="W10" s="124">
        <f t="shared" si="13"/>
        <v>0</v>
      </c>
      <c r="X10" s="57">
        <f t="shared" si="14"/>
        <v>0</v>
      </c>
      <c r="Y10" s="84">
        <f t="shared" si="15"/>
        <v>0</v>
      </c>
    </row>
    <row r="11" spans="1:25" s="61" customFormat="1" x14ac:dyDescent="0.25">
      <c r="A11" s="53"/>
      <c r="B11" s="54"/>
      <c r="C11" s="124">
        <v>0</v>
      </c>
      <c r="D11" s="56">
        <v>0</v>
      </c>
      <c r="E11" s="56">
        <f t="shared" si="0"/>
        <v>0</v>
      </c>
      <c r="F11" s="58"/>
      <c r="G11" s="55">
        <f t="shared" si="1"/>
        <v>0</v>
      </c>
      <c r="H11" s="57">
        <f t="shared" si="2"/>
        <v>0</v>
      </c>
      <c r="I11" s="57">
        <f t="shared" si="3"/>
        <v>0</v>
      </c>
      <c r="J11" s="58"/>
      <c r="K11" s="55">
        <f t="shared" si="4"/>
        <v>0</v>
      </c>
      <c r="L11" s="57">
        <f t="shared" si="5"/>
        <v>0</v>
      </c>
      <c r="M11" s="57">
        <f t="shared" si="6"/>
        <v>0</v>
      </c>
      <c r="N11" s="58"/>
      <c r="O11" s="55">
        <f t="shared" si="7"/>
        <v>0</v>
      </c>
      <c r="P11" s="57">
        <f t="shared" si="8"/>
        <v>0</v>
      </c>
      <c r="Q11" s="57">
        <f t="shared" si="9"/>
        <v>0</v>
      </c>
      <c r="R11" s="58"/>
      <c r="S11" s="55">
        <f t="shared" si="10"/>
        <v>0</v>
      </c>
      <c r="T11" s="57">
        <f t="shared" si="11"/>
        <v>0</v>
      </c>
      <c r="U11" s="57">
        <f t="shared" si="12"/>
        <v>0</v>
      </c>
      <c r="V11" s="59"/>
      <c r="W11" s="124">
        <f t="shared" si="13"/>
        <v>0</v>
      </c>
      <c r="X11" s="57">
        <f t="shared" si="14"/>
        <v>0</v>
      </c>
      <c r="Y11" s="84">
        <f t="shared" si="15"/>
        <v>0</v>
      </c>
    </row>
    <row r="12" spans="1:25" s="61" customFormat="1" x14ac:dyDescent="0.25">
      <c r="A12" s="52"/>
      <c r="B12" s="54"/>
      <c r="C12" s="124">
        <v>0</v>
      </c>
      <c r="D12" s="56">
        <v>0</v>
      </c>
      <c r="E12" s="56">
        <f t="shared" si="0"/>
        <v>0</v>
      </c>
      <c r="F12" s="58"/>
      <c r="G12" s="55">
        <f t="shared" si="1"/>
        <v>0</v>
      </c>
      <c r="H12" s="57">
        <f t="shared" si="2"/>
        <v>0</v>
      </c>
      <c r="I12" s="57">
        <f t="shared" si="3"/>
        <v>0</v>
      </c>
      <c r="J12" s="58"/>
      <c r="K12" s="55">
        <f t="shared" si="4"/>
        <v>0</v>
      </c>
      <c r="L12" s="57">
        <f t="shared" si="5"/>
        <v>0</v>
      </c>
      <c r="M12" s="57">
        <f t="shared" si="6"/>
        <v>0</v>
      </c>
      <c r="N12" s="58"/>
      <c r="O12" s="55">
        <f t="shared" si="7"/>
        <v>0</v>
      </c>
      <c r="P12" s="57">
        <f t="shared" si="8"/>
        <v>0</v>
      </c>
      <c r="Q12" s="57">
        <f t="shared" si="9"/>
        <v>0</v>
      </c>
      <c r="R12" s="58"/>
      <c r="S12" s="55">
        <f t="shared" si="10"/>
        <v>0</v>
      </c>
      <c r="T12" s="57">
        <f t="shared" si="11"/>
        <v>0</v>
      </c>
      <c r="U12" s="57">
        <f t="shared" si="12"/>
        <v>0</v>
      </c>
      <c r="V12" s="59"/>
      <c r="W12" s="124">
        <f t="shared" si="13"/>
        <v>0</v>
      </c>
      <c r="X12" s="57">
        <f t="shared" si="14"/>
        <v>0</v>
      </c>
      <c r="Y12" s="84">
        <f t="shared" si="15"/>
        <v>0</v>
      </c>
    </row>
    <row r="13" spans="1:25" s="61" customFormat="1" x14ac:dyDescent="0.25">
      <c r="A13" s="52"/>
      <c r="B13" s="54"/>
      <c r="C13" s="124">
        <v>0</v>
      </c>
      <c r="D13" s="56">
        <v>0</v>
      </c>
      <c r="E13" s="56">
        <f t="shared" si="0"/>
        <v>0</v>
      </c>
      <c r="F13" s="58"/>
      <c r="G13" s="55">
        <f t="shared" si="1"/>
        <v>0</v>
      </c>
      <c r="H13" s="57">
        <f t="shared" si="2"/>
        <v>0</v>
      </c>
      <c r="I13" s="57">
        <f t="shared" si="3"/>
        <v>0</v>
      </c>
      <c r="J13" s="58"/>
      <c r="K13" s="55">
        <f t="shared" si="4"/>
        <v>0</v>
      </c>
      <c r="L13" s="57">
        <f t="shared" si="5"/>
        <v>0</v>
      </c>
      <c r="M13" s="57">
        <f t="shared" si="6"/>
        <v>0</v>
      </c>
      <c r="N13" s="58"/>
      <c r="O13" s="55">
        <f t="shared" si="7"/>
        <v>0</v>
      </c>
      <c r="P13" s="57">
        <f t="shared" si="8"/>
        <v>0</v>
      </c>
      <c r="Q13" s="57">
        <f t="shared" si="9"/>
        <v>0</v>
      </c>
      <c r="R13" s="58"/>
      <c r="S13" s="55">
        <f t="shared" si="10"/>
        <v>0</v>
      </c>
      <c r="T13" s="57">
        <f t="shared" si="11"/>
        <v>0</v>
      </c>
      <c r="U13" s="57">
        <f t="shared" si="12"/>
        <v>0</v>
      </c>
      <c r="V13" s="59"/>
      <c r="W13" s="124">
        <f t="shared" si="13"/>
        <v>0</v>
      </c>
      <c r="X13" s="57">
        <f t="shared" si="14"/>
        <v>0</v>
      </c>
      <c r="Y13" s="84">
        <f t="shared" si="15"/>
        <v>0</v>
      </c>
    </row>
    <row r="14" spans="1:25" s="61" customFormat="1" x14ac:dyDescent="0.25">
      <c r="A14" s="52"/>
      <c r="B14" s="54"/>
      <c r="C14" s="124">
        <v>0</v>
      </c>
      <c r="D14" s="56">
        <v>0</v>
      </c>
      <c r="E14" s="56">
        <f t="shared" si="0"/>
        <v>0</v>
      </c>
      <c r="F14" s="58"/>
      <c r="G14" s="55">
        <f t="shared" si="1"/>
        <v>0</v>
      </c>
      <c r="H14" s="57">
        <f t="shared" si="2"/>
        <v>0</v>
      </c>
      <c r="I14" s="57">
        <f t="shared" si="3"/>
        <v>0</v>
      </c>
      <c r="J14" s="58"/>
      <c r="K14" s="55">
        <f t="shared" si="4"/>
        <v>0</v>
      </c>
      <c r="L14" s="57">
        <f t="shared" si="5"/>
        <v>0</v>
      </c>
      <c r="M14" s="57">
        <f t="shared" si="6"/>
        <v>0</v>
      </c>
      <c r="N14" s="58"/>
      <c r="O14" s="55">
        <f t="shared" si="7"/>
        <v>0</v>
      </c>
      <c r="P14" s="57">
        <f t="shared" si="8"/>
        <v>0</v>
      </c>
      <c r="Q14" s="57">
        <f t="shared" si="9"/>
        <v>0</v>
      </c>
      <c r="R14" s="58"/>
      <c r="S14" s="55">
        <f t="shared" si="10"/>
        <v>0</v>
      </c>
      <c r="T14" s="57">
        <f t="shared" si="11"/>
        <v>0</v>
      </c>
      <c r="U14" s="57">
        <f t="shared" si="12"/>
        <v>0</v>
      </c>
      <c r="V14" s="59"/>
      <c r="W14" s="124">
        <f t="shared" si="13"/>
        <v>0</v>
      </c>
      <c r="X14" s="57">
        <f t="shared" si="14"/>
        <v>0</v>
      </c>
      <c r="Y14" s="84">
        <f t="shared" si="15"/>
        <v>0</v>
      </c>
    </row>
    <row r="15" spans="1:25" s="83" customFormat="1" x14ac:dyDescent="0.25">
      <c r="A15" s="78"/>
      <c r="B15" s="78" t="s">
        <v>9</v>
      </c>
      <c r="C15" s="124">
        <v>0</v>
      </c>
      <c r="D15" s="125">
        <f>SUM(D6:D14)</f>
        <v>0</v>
      </c>
      <c r="E15" s="125">
        <f>SUM(E6:E14)</f>
        <v>0</v>
      </c>
      <c r="F15" s="81"/>
      <c r="G15" s="79">
        <f>SUM(G6:G14)</f>
        <v>0</v>
      </c>
      <c r="H15" s="80">
        <f>SUM(H6:H14)</f>
        <v>0</v>
      </c>
      <c r="I15" s="80">
        <f>SUM(I6:I14)</f>
        <v>0</v>
      </c>
      <c r="J15" s="81"/>
      <c r="K15" s="79">
        <f>SUM(K6:K14)</f>
        <v>0</v>
      </c>
      <c r="L15" s="80">
        <f>SUM(L6:L14)</f>
        <v>0</v>
      </c>
      <c r="M15" s="80">
        <f>SUM(M6:M14)</f>
        <v>0</v>
      </c>
      <c r="N15" s="81"/>
      <c r="O15" s="79">
        <f>SUM(O6:O14)</f>
        <v>0</v>
      </c>
      <c r="P15" s="80">
        <f>SUM(P6:P14)</f>
        <v>0</v>
      </c>
      <c r="Q15" s="80">
        <f>SUM(Q6:Q14)</f>
        <v>0</v>
      </c>
      <c r="R15" s="81"/>
      <c r="S15" s="79">
        <f>SUM(S6:S14)</f>
        <v>0</v>
      </c>
      <c r="T15" s="80">
        <f>SUM(T6:T14)</f>
        <v>0</v>
      </c>
      <c r="U15" s="80">
        <f>SUM(U6:U14)</f>
        <v>0</v>
      </c>
      <c r="V15" s="82"/>
      <c r="W15" s="228">
        <f t="shared" si="13"/>
        <v>0</v>
      </c>
      <c r="X15" s="80">
        <f t="shared" si="14"/>
        <v>0</v>
      </c>
      <c r="Y15" s="80">
        <f t="shared" si="15"/>
        <v>0</v>
      </c>
    </row>
    <row r="16" spans="1:25" s="77" customFormat="1" x14ac:dyDescent="0.25">
      <c r="A16" s="74" t="s">
        <v>12</v>
      </c>
      <c r="B16" s="74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/>
      <c r="W16" s="58"/>
      <c r="X16" s="58"/>
      <c r="Y16" s="74"/>
    </row>
    <row r="17" spans="1:77" s="61" customFormat="1" x14ac:dyDescent="0.25">
      <c r="A17" s="52"/>
      <c r="B17" s="195" t="s">
        <v>71</v>
      </c>
      <c r="C17" s="55">
        <f>(66393.6*1.03)*0.5</f>
        <v>34192.704000000005</v>
      </c>
      <c r="D17" s="56">
        <f>(66393.6*1.03)*(0.5-0.1)</f>
        <v>27354.163200000006</v>
      </c>
      <c r="E17" s="57">
        <f t="shared" ref="E17" si="16">SUM(C17:D17)</f>
        <v>61546.867200000008</v>
      </c>
      <c r="F17" s="58"/>
      <c r="G17" s="55">
        <f>C17*1.03</f>
        <v>35218.485120000005</v>
      </c>
      <c r="H17" s="57">
        <f>D17*1.03</f>
        <v>28174.788096000007</v>
      </c>
      <c r="I17" s="57">
        <f t="shared" ref="I17" si="17">SUM(G17:H17)</f>
        <v>63393.273216000016</v>
      </c>
      <c r="J17" s="58"/>
      <c r="K17" s="55">
        <f>G17*1.03</f>
        <v>36275.039673600004</v>
      </c>
      <c r="L17" s="57">
        <f>H17*1.03</f>
        <v>29020.031738880007</v>
      </c>
      <c r="M17" s="57">
        <f t="shared" ref="M17" si="18">SUM(K17:L17)</f>
        <v>65295.071412480014</v>
      </c>
      <c r="N17" s="58"/>
      <c r="O17" s="55">
        <f>K17*1.03</f>
        <v>37363.290863808004</v>
      </c>
      <c r="P17" s="57">
        <f>L17*1.03</f>
        <v>29890.632691046409</v>
      </c>
      <c r="Q17" s="57">
        <f t="shared" ref="Q17" si="19">SUM(O17:P17)</f>
        <v>67253.923554854409</v>
      </c>
      <c r="R17" s="58"/>
      <c r="S17" s="55">
        <f>O17*1.03</f>
        <v>38484.189589722242</v>
      </c>
      <c r="T17" s="57">
        <f>P17*1.03</f>
        <v>30787.3516717778</v>
      </c>
      <c r="U17" s="57">
        <f t="shared" ref="U17:U25" si="20">SUM(S17:T17)</f>
        <v>69271.541261500039</v>
      </c>
      <c r="V17" s="59"/>
      <c r="W17" s="124">
        <f t="shared" ref="W17:W26" si="21">C17+G17+K17+O17+S17</f>
        <v>181533.70924713026</v>
      </c>
      <c r="X17" s="196">
        <f t="shared" ref="X17:X26" si="22">D17+H17+L17+P17+T17</f>
        <v>145226.96739770423</v>
      </c>
      <c r="Y17" s="194">
        <f t="shared" ref="Y17:Y26" si="23">E17+I17+M17+Q17+U17</f>
        <v>326760.67664483446</v>
      </c>
    </row>
    <row r="18" spans="1:77" s="61" customFormat="1" x14ac:dyDescent="0.25">
      <c r="A18" s="87"/>
      <c r="B18" s="54"/>
      <c r="C18" s="124">
        <v>0</v>
      </c>
      <c r="D18" s="56">
        <v>0</v>
      </c>
      <c r="E18" s="56">
        <f t="shared" ref="E18:E25" si="24">SUM(C18:D18)</f>
        <v>0</v>
      </c>
      <c r="F18" s="58"/>
      <c r="G18" s="55">
        <f t="shared" ref="G18:G25" si="25">C18*1.03</f>
        <v>0</v>
      </c>
      <c r="H18" s="57">
        <f t="shared" ref="H18:H25" si="26">D18*1.03</f>
        <v>0</v>
      </c>
      <c r="I18" s="57">
        <f t="shared" ref="I18:I25" si="27">SUM(G18:H18)</f>
        <v>0</v>
      </c>
      <c r="J18" s="58"/>
      <c r="K18" s="55">
        <f t="shared" ref="K18:K25" si="28">G18*1.03</f>
        <v>0</v>
      </c>
      <c r="L18" s="57">
        <f t="shared" ref="L18:L25" si="29">H18*1.03</f>
        <v>0</v>
      </c>
      <c r="M18" s="57">
        <f t="shared" ref="M18:M25" si="30">SUM(K18:L18)</f>
        <v>0</v>
      </c>
      <c r="N18" s="58"/>
      <c r="O18" s="55">
        <f t="shared" ref="O18:O25" si="31">K18*1.03</f>
        <v>0</v>
      </c>
      <c r="P18" s="57">
        <f t="shared" ref="P18:P25" si="32">L18*1.03</f>
        <v>0</v>
      </c>
      <c r="Q18" s="57">
        <f t="shared" ref="Q18:Q25" si="33">SUM(O18:P18)</f>
        <v>0</v>
      </c>
      <c r="R18" s="58"/>
      <c r="S18" s="55">
        <f t="shared" ref="S18:S25" si="34">O18*1.03</f>
        <v>0</v>
      </c>
      <c r="T18" s="57">
        <f t="shared" ref="T18:T25" si="35">P18*1.03</f>
        <v>0</v>
      </c>
      <c r="U18" s="57">
        <f t="shared" si="20"/>
        <v>0</v>
      </c>
      <c r="V18" s="59"/>
      <c r="W18" s="124">
        <f t="shared" si="21"/>
        <v>0</v>
      </c>
      <c r="X18" s="57">
        <f t="shared" si="22"/>
        <v>0</v>
      </c>
      <c r="Y18" s="84">
        <f t="shared" si="23"/>
        <v>0</v>
      </c>
    </row>
    <row r="19" spans="1:77" s="61" customFormat="1" x14ac:dyDescent="0.25">
      <c r="A19" s="52"/>
      <c r="B19" s="52"/>
      <c r="C19" s="124">
        <v>0</v>
      </c>
      <c r="D19" s="56">
        <v>0</v>
      </c>
      <c r="E19" s="56">
        <f t="shared" si="24"/>
        <v>0</v>
      </c>
      <c r="F19" s="58"/>
      <c r="G19" s="55">
        <f t="shared" si="25"/>
        <v>0</v>
      </c>
      <c r="H19" s="57">
        <f t="shared" si="26"/>
        <v>0</v>
      </c>
      <c r="I19" s="57">
        <f t="shared" si="27"/>
        <v>0</v>
      </c>
      <c r="J19" s="58"/>
      <c r="K19" s="55">
        <f t="shared" si="28"/>
        <v>0</v>
      </c>
      <c r="L19" s="57">
        <f t="shared" si="29"/>
        <v>0</v>
      </c>
      <c r="M19" s="57">
        <f t="shared" si="30"/>
        <v>0</v>
      </c>
      <c r="N19" s="58"/>
      <c r="O19" s="55">
        <f t="shared" si="31"/>
        <v>0</v>
      </c>
      <c r="P19" s="57">
        <f t="shared" si="32"/>
        <v>0</v>
      </c>
      <c r="Q19" s="57">
        <f t="shared" si="33"/>
        <v>0</v>
      </c>
      <c r="R19" s="58"/>
      <c r="S19" s="55">
        <f t="shared" si="34"/>
        <v>0</v>
      </c>
      <c r="T19" s="57">
        <f t="shared" si="35"/>
        <v>0</v>
      </c>
      <c r="U19" s="57">
        <f t="shared" si="20"/>
        <v>0</v>
      </c>
      <c r="V19" s="59"/>
      <c r="W19" s="124">
        <f t="shared" si="21"/>
        <v>0</v>
      </c>
      <c r="X19" s="57">
        <f t="shared" si="22"/>
        <v>0</v>
      </c>
      <c r="Y19" s="84">
        <f t="shared" si="23"/>
        <v>0</v>
      </c>
    </row>
    <row r="20" spans="1:77" s="61" customFormat="1" x14ac:dyDescent="0.25">
      <c r="A20" s="52"/>
      <c r="B20" s="54"/>
      <c r="C20" s="124">
        <v>0</v>
      </c>
      <c r="D20" s="56">
        <v>0</v>
      </c>
      <c r="E20" s="56">
        <f t="shared" si="24"/>
        <v>0</v>
      </c>
      <c r="F20" s="58"/>
      <c r="G20" s="55">
        <f t="shared" si="25"/>
        <v>0</v>
      </c>
      <c r="H20" s="57">
        <f t="shared" si="26"/>
        <v>0</v>
      </c>
      <c r="I20" s="57">
        <f t="shared" si="27"/>
        <v>0</v>
      </c>
      <c r="J20" s="58"/>
      <c r="K20" s="55">
        <f t="shared" si="28"/>
        <v>0</v>
      </c>
      <c r="L20" s="57">
        <f t="shared" si="29"/>
        <v>0</v>
      </c>
      <c r="M20" s="57">
        <f t="shared" si="30"/>
        <v>0</v>
      </c>
      <c r="N20" s="58"/>
      <c r="O20" s="55">
        <f t="shared" si="31"/>
        <v>0</v>
      </c>
      <c r="P20" s="57">
        <f t="shared" si="32"/>
        <v>0</v>
      </c>
      <c r="Q20" s="57">
        <f t="shared" si="33"/>
        <v>0</v>
      </c>
      <c r="R20" s="58"/>
      <c r="S20" s="55">
        <f t="shared" si="34"/>
        <v>0</v>
      </c>
      <c r="T20" s="57">
        <f t="shared" si="35"/>
        <v>0</v>
      </c>
      <c r="U20" s="57">
        <f t="shared" si="20"/>
        <v>0</v>
      </c>
      <c r="V20" s="59"/>
      <c r="W20" s="124">
        <f t="shared" si="21"/>
        <v>0</v>
      </c>
      <c r="X20" s="57">
        <f t="shared" si="22"/>
        <v>0</v>
      </c>
      <c r="Y20" s="84">
        <f t="shared" si="23"/>
        <v>0</v>
      </c>
    </row>
    <row r="21" spans="1:77" s="61" customFormat="1" x14ac:dyDescent="0.25">
      <c r="A21" s="87"/>
      <c r="B21" s="54"/>
      <c r="C21" s="124">
        <v>0</v>
      </c>
      <c r="D21" s="56">
        <v>0</v>
      </c>
      <c r="E21" s="56">
        <f t="shared" si="24"/>
        <v>0</v>
      </c>
      <c r="F21" s="58"/>
      <c r="G21" s="55">
        <f t="shared" si="25"/>
        <v>0</v>
      </c>
      <c r="H21" s="57">
        <f t="shared" si="26"/>
        <v>0</v>
      </c>
      <c r="I21" s="57">
        <f t="shared" si="27"/>
        <v>0</v>
      </c>
      <c r="J21" s="58"/>
      <c r="K21" s="55">
        <f t="shared" si="28"/>
        <v>0</v>
      </c>
      <c r="L21" s="57">
        <f t="shared" si="29"/>
        <v>0</v>
      </c>
      <c r="M21" s="57">
        <f t="shared" si="30"/>
        <v>0</v>
      </c>
      <c r="N21" s="58"/>
      <c r="O21" s="55">
        <f t="shared" si="31"/>
        <v>0</v>
      </c>
      <c r="P21" s="57">
        <f t="shared" si="32"/>
        <v>0</v>
      </c>
      <c r="Q21" s="57">
        <f t="shared" si="33"/>
        <v>0</v>
      </c>
      <c r="R21" s="58"/>
      <c r="S21" s="55">
        <f t="shared" si="34"/>
        <v>0</v>
      </c>
      <c r="T21" s="57">
        <f t="shared" si="35"/>
        <v>0</v>
      </c>
      <c r="U21" s="57">
        <f t="shared" si="20"/>
        <v>0</v>
      </c>
      <c r="V21" s="59"/>
      <c r="W21" s="124">
        <f t="shared" si="21"/>
        <v>0</v>
      </c>
      <c r="X21" s="57">
        <f t="shared" si="22"/>
        <v>0</v>
      </c>
      <c r="Y21" s="84">
        <f t="shared" si="23"/>
        <v>0</v>
      </c>
    </row>
    <row r="22" spans="1:77" s="61" customFormat="1" x14ac:dyDescent="0.25">
      <c r="A22" s="87"/>
      <c r="B22" s="54"/>
      <c r="C22" s="124">
        <v>0</v>
      </c>
      <c r="D22" s="56">
        <v>0</v>
      </c>
      <c r="E22" s="56">
        <f t="shared" si="24"/>
        <v>0</v>
      </c>
      <c r="F22" s="58"/>
      <c r="G22" s="55">
        <f t="shared" si="25"/>
        <v>0</v>
      </c>
      <c r="H22" s="57">
        <f t="shared" si="26"/>
        <v>0</v>
      </c>
      <c r="I22" s="57">
        <f t="shared" si="27"/>
        <v>0</v>
      </c>
      <c r="J22" s="58"/>
      <c r="K22" s="55">
        <f t="shared" si="28"/>
        <v>0</v>
      </c>
      <c r="L22" s="57">
        <f t="shared" si="29"/>
        <v>0</v>
      </c>
      <c r="M22" s="57">
        <f t="shared" si="30"/>
        <v>0</v>
      </c>
      <c r="N22" s="58"/>
      <c r="O22" s="55">
        <f t="shared" si="31"/>
        <v>0</v>
      </c>
      <c r="P22" s="57">
        <f t="shared" si="32"/>
        <v>0</v>
      </c>
      <c r="Q22" s="57">
        <f t="shared" si="33"/>
        <v>0</v>
      </c>
      <c r="R22" s="58"/>
      <c r="S22" s="55">
        <f t="shared" si="34"/>
        <v>0</v>
      </c>
      <c r="T22" s="57">
        <f t="shared" si="35"/>
        <v>0</v>
      </c>
      <c r="U22" s="57">
        <f t="shared" si="20"/>
        <v>0</v>
      </c>
      <c r="V22" s="59"/>
      <c r="W22" s="124">
        <f t="shared" si="21"/>
        <v>0</v>
      </c>
      <c r="X22" s="57">
        <f t="shared" si="22"/>
        <v>0</v>
      </c>
      <c r="Y22" s="84">
        <f t="shared" si="23"/>
        <v>0</v>
      </c>
    </row>
    <row r="23" spans="1:77" s="61" customFormat="1" x14ac:dyDescent="0.25">
      <c r="A23" s="52"/>
      <c r="B23" s="54"/>
      <c r="C23" s="124">
        <v>0</v>
      </c>
      <c r="D23" s="56">
        <v>0</v>
      </c>
      <c r="E23" s="56">
        <f t="shared" si="24"/>
        <v>0</v>
      </c>
      <c r="F23" s="58"/>
      <c r="G23" s="55">
        <f t="shared" si="25"/>
        <v>0</v>
      </c>
      <c r="H23" s="57">
        <f t="shared" si="26"/>
        <v>0</v>
      </c>
      <c r="I23" s="57">
        <f t="shared" si="27"/>
        <v>0</v>
      </c>
      <c r="J23" s="58"/>
      <c r="K23" s="55">
        <f t="shared" si="28"/>
        <v>0</v>
      </c>
      <c r="L23" s="57">
        <f t="shared" si="29"/>
        <v>0</v>
      </c>
      <c r="M23" s="57">
        <f t="shared" si="30"/>
        <v>0</v>
      </c>
      <c r="N23" s="58"/>
      <c r="O23" s="55">
        <f t="shared" si="31"/>
        <v>0</v>
      </c>
      <c r="P23" s="57">
        <f t="shared" si="32"/>
        <v>0</v>
      </c>
      <c r="Q23" s="57">
        <f t="shared" si="33"/>
        <v>0</v>
      </c>
      <c r="R23" s="58"/>
      <c r="S23" s="55">
        <f t="shared" si="34"/>
        <v>0</v>
      </c>
      <c r="T23" s="57">
        <f t="shared" si="35"/>
        <v>0</v>
      </c>
      <c r="U23" s="57">
        <f t="shared" si="20"/>
        <v>0</v>
      </c>
      <c r="V23" s="59"/>
      <c r="W23" s="124">
        <f t="shared" si="21"/>
        <v>0</v>
      </c>
      <c r="X23" s="57">
        <f t="shared" si="22"/>
        <v>0</v>
      </c>
      <c r="Y23" s="84">
        <f t="shared" si="23"/>
        <v>0</v>
      </c>
    </row>
    <row r="24" spans="1:77" s="61" customFormat="1" x14ac:dyDescent="0.25">
      <c r="A24" s="52"/>
      <c r="B24" s="54"/>
      <c r="C24" s="124">
        <v>0</v>
      </c>
      <c r="D24" s="56">
        <v>0</v>
      </c>
      <c r="E24" s="56">
        <f t="shared" si="24"/>
        <v>0</v>
      </c>
      <c r="F24" s="58"/>
      <c r="G24" s="55">
        <f t="shared" si="25"/>
        <v>0</v>
      </c>
      <c r="H24" s="57">
        <f t="shared" si="26"/>
        <v>0</v>
      </c>
      <c r="I24" s="57">
        <f t="shared" si="27"/>
        <v>0</v>
      </c>
      <c r="J24" s="58"/>
      <c r="K24" s="55">
        <f t="shared" si="28"/>
        <v>0</v>
      </c>
      <c r="L24" s="57">
        <f t="shared" si="29"/>
        <v>0</v>
      </c>
      <c r="M24" s="57">
        <f t="shared" si="30"/>
        <v>0</v>
      </c>
      <c r="N24" s="58"/>
      <c r="O24" s="55">
        <f t="shared" si="31"/>
        <v>0</v>
      </c>
      <c r="P24" s="57">
        <f t="shared" si="32"/>
        <v>0</v>
      </c>
      <c r="Q24" s="57">
        <f t="shared" si="33"/>
        <v>0</v>
      </c>
      <c r="R24" s="58"/>
      <c r="S24" s="55">
        <f t="shared" si="34"/>
        <v>0</v>
      </c>
      <c r="T24" s="57">
        <f t="shared" si="35"/>
        <v>0</v>
      </c>
      <c r="U24" s="57">
        <f t="shared" si="20"/>
        <v>0</v>
      </c>
      <c r="V24" s="59"/>
      <c r="W24" s="124">
        <f t="shared" si="21"/>
        <v>0</v>
      </c>
      <c r="X24" s="57">
        <f t="shared" si="22"/>
        <v>0</v>
      </c>
      <c r="Y24" s="84">
        <f t="shared" si="23"/>
        <v>0</v>
      </c>
    </row>
    <row r="25" spans="1:77" s="61" customFormat="1" x14ac:dyDescent="0.25">
      <c r="A25" s="52"/>
      <c r="B25" s="54"/>
      <c r="C25" s="124">
        <v>0</v>
      </c>
      <c r="D25" s="56">
        <v>0</v>
      </c>
      <c r="E25" s="56">
        <f t="shared" si="24"/>
        <v>0</v>
      </c>
      <c r="F25" s="58"/>
      <c r="G25" s="55">
        <f t="shared" si="25"/>
        <v>0</v>
      </c>
      <c r="H25" s="57">
        <f t="shared" si="26"/>
        <v>0</v>
      </c>
      <c r="I25" s="57">
        <f t="shared" si="27"/>
        <v>0</v>
      </c>
      <c r="J25" s="58"/>
      <c r="K25" s="55">
        <f t="shared" si="28"/>
        <v>0</v>
      </c>
      <c r="L25" s="57">
        <f t="shared" si="29"/>
        <v>0</v>
      </c>
      <c r="M25" s="57">
        <f t="shared" si="30"/>
        <v>0</v>
      </c>
      <c r="N25" s="58"/>
      <c r="O25" s="55">
        <f t="shared" si="31"/>
        <v>0</v>
      </c>
      <c r="P25" s="57">
        <f t="shared" si="32"/>
        <v>0</v>
      </c>
      <c r="Q25" s="57">
        <f t="shared" si="33"/>
        <v>0</v>
      </c>
      <c r="R25" s="58"/>
      <c r="S25" s="55">
        <f t="shared" si="34"/>
        <v>0</v>
      </c>
      <c r="T25" s="57">
        <f t="shared" si="35"/>
        <v>0</v>
      </c>
      <c r="U25" s="57">
        <f t="shared" si="20"/>
        <v>0</v>
      </c>
      <c r="V25" s="59"/>
      <c r="W25" s="124">
        <f t="shared" si="21"/>
        <v>0</v>
      </c>
      <c r="X25" s="57">
        <f t="shared" si="22"/>
        <v>0</v>
      </c>
      <c r="Y25" s="84">
        <f t="shared" si="23"/>
        <v>0</v>
      </c>
    </row>
    <row r="26" spans="1:77" s="83" customFormat="1" x14ac:dyDescent="0.25">
      <c r="A26" s="78"/>
      <c r="B26" s="78" t="s">
        <v>9</v>
      </c>
      <c r="C26" s="228">
        <f>SUM(C17:C25)</f>
        <v>34192.704000000005</v>
      </c>
      <c r="D26" s="125">
        <f>SUM(D17:D25)</f>
        <v>27354.163200000006</v>
      </c>
      <c r="E26" s="125">
        <f>SUM(E17:E25)</f>
        <v>61546.867200000008</v>
      </c>
      <c r="F26" s="81"/>
      <c r="G26" s="79">
        <f>SUM(G17:G25)</f>
        <v>35218.485120000005</v>
      </c>
      <c r="H26" s="80">
        <f>SUM(H17:H25)</f>
        <v>28174.788096000007</v>
      </c>
      <c r="I26" s="80">
        <f>SUM(I17:I25)</f>
        <v>63393.273216000016</v>
      </c>
      <c r="J26" s="81"/>
      <c r="K26" s="79">
        <f>SUM(K17:K25)</f>
        <v>36275.039673600004</v>
      </c>
      <c r="L26" s="80">
        <f>SUM(L17:L25)</f>
        <v>29020.031738880007</v>
      </c>
      <c r="M26" s="80">
        <f>SUM(M17:M25)</f>
        <v>65295.071412480014</v>
      </c>
      <c r="N26" s="81"/>
      <c r="O26" s="79">
        <f>SUM(O17:O25)</f>
        <v>37363.290863808004</v>
      </c>
      <c r="P26" s="80">
        <f>SUM(P17:P25)</f>
        <v>29890.632691046409</v>
      </c>
      <c r="Q26" s="80">
        <f>SUM(Q17:Q25)</f>
        <v>67253.923554854409</v>
      </c>
      <c r="R26" s="81"/>
      <c r="S26" s="79">
        <f>SUM(S17:S25)</f>
        <v>38484.189589722242</v>
      </c>
      <c r="T26" s="80">
        <f>SUM(T17:T25)</f>
        <v>30787.3516717778</v>
      </c>
      <c r="U26" s="80">
        <f>SUM(U17:U25)</f>
        <v>69271.541261500039</v>
      </c>
      <c r="V26" s="82"/>
      <c r="W26" s="228">
        <f t="shared" si="21"/>
        <v>181533.70924713026</v>
      </c>
      <c r="X26" s="80">
        <f t="shared" si="22"/>
        <v>145226.96739770423</v>
      </c>
      <c r="Y26" s="80">
        <f t="shared" si="23"/>
        <v>326760.67664483446</v>
      </c>
    </row>
    <row r="27" spans="1:77" s="92" customFormat="1" x14ac:dyDescent="0.25">
      <c r="A27" s="89" t="s">
        <v>16</v>
      </c>
      <c r="B27" s="89"/>
      <c r="C27" s="90">
        <f>C26+C15</f>
        <v>34192.704000000005</v>
      </c>
      <c r="D27" s="90">
        <f t="shared" ref="D27:Y27" si="36">D26+D15</f>
        <v>27354.163200000006</v>
      </c>
      <c r="E27" s="90">
        <f t="shared" si="36"/>
        <v>61546.867200000008</v>
      </c>
      <c r="F27" s="90">
        <f t="shared" si="36"/>
        <v>0</v>
      </c>
      <c r="G27" s="90">
        <f t="shared" si="36"/>
        <v>35218.485120000005</v>
      </c>
      <c r="H27" s="90">
        <f t="shared" si="36"/>
        <v>28174.788096000007</v>
      </c>
      <c r="I27" s="90">
        <f t="shared" si="36"/>
        <v>63393.273216000016</v>
      </c>
      <c r="J27" s="90">
        <f t="shared" si="36"/>
        <v>0</v>
      </c>
      <c r="K27" s="90">
        <f t="shared" si="36"/>
        <v>36275.039673600004</v>
      </c>
      <c r="L27" s="90">
        <f t="shared" si="36"/>
        <v>29020.031738880007</v>
      </c>
      <c r="M27" s="90">
        <f t="shared" si="36"/>
        <v>65295.071412480014</v>
      </c>
      <c r="N27" s="90">
        <f t="shared" si="36"/>
        <v>0</v>
      </c>
      <c r="O27" s="90">
        <f t="shared" si="36"/>
        <v>37363.290863808004</v>
      </c>
      <c r="P27" s="90">
        <f t="shared" si="36"/>
        <v>29890.632691046409</v>
      </c>
      <c r="Q27" s="90">
        <f t="shared" si="36"/>
        <v>67253.923554854409</v>
      </c>
      <c r="R27" s="90">
        <f t="shared" si="36"/>
        <v>0</v>
      </c>
      <c r="S27" s="90">
        <f t="shared" si="36"/>
        <v>38484.189589722242</v>
      </c>
      <c r="T27" s="90">
        <f t="shared" si="36"/>
        <v>30787.3516717778</v>
      </c>
      <c r="U27" s="90">
        <f t="shared" si="36"/>
        <v>69271.541261500039</v>
      </c>
      <c r="V27" s="90">
        <f t="shared" si="36"/>
        <v>0</v>
      </c>
      <c r="W27" s="90">
        <f t="shared" si="36"/>
        <v>181533.70924713026</v>
      </c>
      <c r="X27" s="90">
        <f t="shared" si="36"/>
        <v>145226.96739770423</v>
      </c>
      <c r="Y27" s="90">
        <f t="shared" si="36"/>
        <v>326760.67664483446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>
        <v>0</v>
      </c>
      <c r="D29" s="56">
        <v>0</v>
      </c>
      <c r="E29" s="56">
        <f t="shared" ref="E29:E35" si="37">SUM(C29:D29)</f>
        <v>0</v>
      </c>
      <c r="F29" s="58"/>
      <c r="G29" s="55">
        <f>(G6)*0.37</f>
        <v>0</v>
      </c>
      <c r="H29" s="57">
        <v>0</v>
      </c>
      <c r="I29" s="57">
        <f t="shared" ref="I29:I35" si="38">SUM(G29:H29)</f>
        <v>0</v>
      </c>
      <c r="J29" s="58"/>
      <c r="K29" s="55">
        <f>(K6)*0.37</f>
        <v>0</v>
      </c>
      <c r="L29" s="57">
        <v>0</v>
      </c>
      <c r="M29" s="57">
        <f t="shared" ref="M29:M35" si="39">SUM(K29:L29)</f>
        <v>0</v>
      </c>
      <c r="N29" s="58"/>
      <c r="O29" s="55">
        <f>(O6)*0.37</f>
        <v>0</v>
      </c>
      <c r="P29" s="57">
        <v>0</v>
      </c>
      <c r="Q29" s="57">
        <f t="shared" ref="Q29:Q35" si="40">SUM(O29:P29)</f>
        <v>0</v>
      </c>
      <c r="R29" s="58"/>
      <c r="S29" s="55">
        <f>(S6)*0.37</f>
        <v>0</v>
      </c>
      <c r="T29" s="57">
        <v>0</v>
      </c>
      <c r="U29" s="57">
        <f t="shared" ref="U29:U35" si="41">SUM(S29:T29)</f>
        <v>0</v>
      </c>
      <c r="V29" s="59"/>
      <c r="W29" s="124">
        <f t="shared" ref="W29:Y36" si="42">C29+G29+K29+O29+S29</f>
        <v>0</v>
      </c>
      <c r="X29" s="57">
        <f t="shared" si="42"/>
        <v>0</v>
      </c>
      <c r="Y29" s="84">
        <f t="shared" si="42"/>
        <v>0</v>
      </c>
    </row>
    <row r="30" spans="1:77" s="61" customFormat="1" x14ac:dyDescent="0.25">
      <c r="A30" s="234">
        <v>3.5999999999999997E-2</v>
      </c>
      <c r="B30" s="52" t="s">
        <v>40</v>
      </c>
      <c r="C30" s="124">
        <v>0</v>
      </c>
      <c r="D30" s="56">
        <v>0</v>
      </c>
      <c r="E30" s="56">
        <f t="shared" si="37"/>
        <v>0</v>
      </c>
      <c r="F30" s="58"/>
      <c r="G30" s="55">
        <f>C30*1.03*1.03</f>
        <v>0</v>
      </c>
      <c r="H30" s="57">
        <f>D30*1.03</f>
        <v>0</v>
      </c>
      <c r="I30" s="57">
        <f t="shared" si="38"/>
        <v>0</v>
      </c>
      <c r="J30" s="58"/>
      <c r="K30" s="55">
        <f t="shared" ref="K30:L32" si="43">G30*1.03*1.03</f>
        <v>0</v>
      </c>
      <c r="L30" s="57">
        <f t="shared" si="43"/>
        <v>0</v>
      </c>
      <c r="M30" s="57">
        <f t="shared" si="39"/>
        <v>0</v>
      </c>
      <c r="N30" s="58"/>
      <c r="O30" s="55">
        <f t="shared" ref="O30:P32" si="44">K30*1.03*1.03*1.03</f>
        <v>0</v>
      </c>
      <c r="P30" s="57">
        <f t="shared" si="44"/>
        <v>0</v>
      </c>
      <c r="Q30" s="57">
        <f t="shared" si="40"/>
        <v>0</v>
      </c>
      <c r="R30" s="58"/>
      <c r="S30" s="55">
        <f t="shared" ref="S30:T32" si="45">O30*1.03*1.03*1.03*1.03</f>
        <v>0</v>
      </c>
      <c r="T30" s="57">
        <f t="shared" si="45"/>
        <v>0</v>
      </c>
      <c r="U30" s="57">
        <f t="shared" si="41"/>
        <v>0</v>
      </c>
      <c r="V30" s="59"/>
      <c r="W30" s="124">
        <f t="shared" si="42"/>
        <v>0</v>
      </c>
      <c r="X30" s="57">
        <f t="shared" si="42"/>
        <v>0</v>
      </c>
      <c r="Y30" s="84">
        <f t="shared" si="42"/>
        <v>0</v>
      </c>
    </row>
    <row r="31" spans="1:77" s="61" customFormat="1" x14ac:dyDescent="0.25">
      <c r="A31" s="234">
        <v>8.6999999999999994E-2</v>
      </c>
      <c r="B31" s="52" t="s">
        <v>51</v>
      </c>
      <c r="C31" s="124">
        <v>0</v>
      </c>
      <c r="D31" s="56">
        <v>0</v>
      </c>
      <c r="E31" s="56">
        <f t="shared" si="37"/>
        <v>0</v>
      </c>
      <c r="F31" s="58"/>
      <c r="G31" s="55">
        <f>C31*1.03*1.03</f>
        <v>0</v>
      </c>
      <c r="H31" s="57">
        <f>D31*1.03</f>
        <v>0</v>
      </c>
      <c r="I31" s="57">
        <f t="shared" si="38"/>
        <v>0</v>
      </c>
      <c r="J31" s="58"/>
      <c r="K31" s="55">
        <f t="shared" si="43"/>
        <v>0</v>
      </c>
      <c r="L31" s="57">
        <f t="shared" si="43"/>
        <v>0</v>
      </c>
      <c r="M31" s="57">
        <f t="shared" si="39"/>
        <v>0</v>
      </c>
      <c r="N31" s="58"/>
      <c r="O31" s="55">
        <f t="shared" si="44"/>
        <v>0</v>
      </c>
      <c r="P31" s="57">
        <f t="shared" si="44"/>
        <v>0</v>
      </c>
      <c r="Q31" s="57">
        <f t="shared" si="40"/>
        <v>0</v>
      </c>
      <c r="R31" s="58"/>
      <c r="S31" s="55">
        <f t="shared" si="45"/>
        <v>0</v>
      </c>
      <c r="T31" s="57">
        <f t="shared" si="45"/>
        <v>0</v>
      </c>
      <c r="U31" s="57">
        <f t="shared" si="41"/>
        <v>0</v>
      </c>
      <c r="V31" s="59"/>
      <c r="W31" s="124">
        <f t="shared" si="42"/>
        <v>0</v>
      </c>
      <c r="X31" s="57">
        <f t="shared" si="42"/>
        <v>0</v>
      </c>
      <c r="Y31" s="84">
        <f t="shared" si="42"/>
        <v>0</v>
      </c>
    </row>
    <row r="32" spans="1:77" s="61" customFormat="1" x14ac:dyDescent="0.25">
      <c r="A32" s="234">
        <v>0.30099999999999999</v>
      </c>
      <c r="B32" s="54" t="s">
        <v>52</v>
      </c>
      <c r="C32" s="124">
        <v>0</v>
      </c>
      <c r="D32" s="56">
        <v>0</v>
      </c>
      <c r="E32" s="56">
        <f t="shared" si="37"/>
        <v>0</v>
      </c>
      <c r="F32" s="58"/>
      <c r="G32" s="55">
        <f>C32*1.03*1.03</f>
        <v>0</v>
      </c>
      <c r="H32" s="57">
        <f>D32*1.03</f>
        <v>0</v>
      </c>
      <c r="I32" s="57">
        <f t="shared" si="38"/>
        <v>0</v>
      </c>
      <c r="J32" s="58"/>
      <c r="K32" s="55">
        <f t="shared" si="43"/>
        <v>0</v>
      </c>
      <c r="L32" s="57">
        <f t="shared" si="43"/>
        <v>0</v>
      </c>
      <c r="M32" s="57">
        <f t="shared" si="39"/>
        <v>0</v>
      </c>
      <c r="N32" s="58"/>
      <c r="O32" s="55">
        <f t="shared" si="44"/>
        <v>0</v>
      </c>
      <c r="P32" s="57">
        <f t="shared" si="44"/>
        <v>0</v>
      </c>
      <c r="Q32" s="57">
        <f t="shared" si="40"/>
        <v>0</v>
      </c>
      <c r="R32" s="58"/>
      <c r="S32" s="55">
        <f t="shared" si="45"/>
        <v>0</v>
      </c>
      <c r="T32" s="57">
        <f t="shared" si="45"/>
        <v>0</v>
      </c>
      <c r="U32" s="57">
        <f t="shared" si="41"/>
        <v>0</v>
      </c>
      <c r="V32" s="59"/>
      <c r="W32" s="124">
        <f t="shared" si="42"/>
        <v>0</v>
      </c>
      <c r="X32" s="57">
        <f t="shared" si="42"/>
        <v>0</v>
      </c>
      <c r="Y32" s="84">
        <f t="shared" si="42"/>
        <v>0</v>
      </c>
    </row>
    <row r="33" spans="1:77" s="61" customFormat="1" x14ac:dyDescent="0.25">
      <c r="A33" s="234">
        <v>0.42</v>
      </c>
      <c r="B33" s="195" t="s">
        <v>53</v>
      </c>
      <c r="C33" s="55">
        <f>C26*A33</f>
        <v>14360.935680000002</v>
      </c>
      <c r="D33" s="57">
        <f>D26*A33</f>
        <v>11488.748544000002</v>
      </c>
      <c r="E33" s="57">
        <f t="shared" ref="E33" si="46">SUM(C33:D33)</f>
        <v>25849.684224000004</v>
      </c>
      <c r="F33" s="58"/>
      <c r="G33" s="55">
        <f>G26*A33*1.03</f>
        <v>15235.516662912001</v>
      </c>
      <c r="H33" s="56">
        <f>H26*A33*1.03</f>
        <v>12188.413330329602</v>
      </c>
      <c r="I33" s="57">
        <f t="shared" si="38"/>
        <v>27423.929993241603</v>
      </c>
      <c r="J33" s="58"/>
      <c r="K33" s="55">
        <f>K26*A33*1.03*1.03</f>
        <v>16163.359627683341</v>
      </c>
      <c r="L33" s="57">
        <f>L26*A33*1.03*1.03</f>
        <v>12930.687702146675</v>
      </c>
      <c r="M33" s="57">
        <f t="shared" si="39"/>
        <v>29094.047329830017</v>
      </c>
      <c r="N33" s="58"/>
      <c r="O33" s="55">
        <f>O26*A33*1.03*1.03*1.03</f>
        <v>17147.708229009259</v>
      </c>
      <c r="P33" s="57">
        <f>P26*A33*1.03*1.03*1.03</f>
        <v>13718.16658320741</v>
      </c>
      <c r="Q33" s="57">
        <f t="shared" si="40"/>
        <v>30865.874812216669</v>
      </c>
      <c r="R33" s="58"/>
      <c r="S33" s="55">
        <f>S26*A33*1.03*1.03*1.03*1.03</f>
        <v>18192.003660155922</v>
      </c>
      <c r="T33" s="57">
        <f>T26*A33*1.03*1.03*1.03*1.03</f>
        <v>14553.602928124741</v>
      </c>
      <c r="U33" s="57">
        <f t="shared" si="41"/>
        <v>32745.606588280665</v>
      </c>
      <c r="V33" s="59"/>
      <c r="W33" s="124">
        <f t="shared" si="42"/>
        <v>81099.52385976052</v>
      </c>
      <c r="X33" s="196">
        <f t="shared" si="42"/>
        <v>64879.619087808424</v>
      </c>
      <c r="Y33" s="194">
        <f t="shared" si="42"/>
        <v>145979.14294756897</v>
      </c>
    </row>
    <row r="34" spans="1:77" s="61" customFormat="1" x14ac:dyDescent="0.25">
      <c r="A34" s="6"/>
      <c r="B34" s="54"/>
      <c r="C34" s="124">
        <v>0</v>
      </c>
      <c r="D34" s="56">
        <v>0</v>
      </c>
      <c r="E34" s="56">
        <f t="shared" si="37"/>
        <v>0</v>
      </c>
      <c r="F34" s="58"/>
      <c r="G34" s="55">
        <f>C34*1.03*1.03</f>
        <v>0</v>
      </c>
      <c r="H34" s="57">
        <f>D34*1.03</f>
        <v>0</v>
      </c>
      <c r="I34" s="57">
        <f t="shared" si="38"/>
        <v>0</v>
      </c>
      <c r="J34" s="58"/>
      <c r="K34" s="55">
        <f>G34*1.03*1.03</f>
        <v>0</v>
      </c>
      <c r="L34" s="57">
        <f>H34*1.03*1.03</f>
        <v>0</v>
      </c>
      <c r="M34" s="57">
        <f t="shared" si="39"/>
        <v>0</v>
      </c>
      <c r="N34" s="58"/>
      <c r="O34" s="55">
        <f>K34*1.03*1.03*1.03</f>
        <v>0</v>
      </c>
      <c r="P34" s="57">
        <f>L34*1.03*1.03*1.03</f>
        <v>0</v>
      </c>
      <c r="Q34" s="57">
        <f t="shared" si="40"/>
        <v>0</v>
      </c>
      <c r="R34" s="58"/>
      <c r="S34" s="55">
        <f>O34*1.03*1.03*1.03*1.03</f>
        <v>0</v>
      </c>
      <c r="T34" s="57">
        <f>P34*1.03*1.03*1.03*1.03</f>
        <v>0</v>
      </c>
      <c r="U34" s="57">
        <f t="shared" si="41"/>
        <v>0</v>
      </c>
      <c r="V34" s="59"/>
      <c r="W34" s="124">
        <f t="shared" si="42"/>
        <v>0</v>
      </c>
      <c r="X34" s="57">
        <f t="shared" si="42"/>
        <v>0</v>
      </c>
      <c r="Y34" s="84">
        <f t="shared" si="42"/>
        <v>0</v>
      </c>
    </row>
    <row r="35" spans="1:77" s="61" customFormat="1" x14ac:dyDescent="0.25">
      <c r="A35" s="6"/>
      <c r="B35" s="52"/>
      <c r="C35" s="124">
        <v>0</v>
      </c>
      <c r="D35" s="56">
        <v>0</v>
      </c>
      <c r="E35" s="56">
        <f t="shared" si="37"/>
        <v>0</v>
      </c>
      <c r="F35" s="58"/>
      <c r="G35" s="55">
        <f>C35*1.03*1.03</f>
        <v>0</v>
      </c>
      <c r="H35" s="57">
        <f>D35*1.03</f>
        <v>0</v>
      </c>
      <c r="I35" s="57">
        <f t="shared" si="38"/>
        <v>0</v>
      </c>
      <c r="J35" s="58"/>
      <c r="K35" s="55">
        <f>G35*1.03*1.03</f>
        <v>0</v>
      </c>
      <c r="L35" s="57">
        <f>H35*1.03*1.03</f>
        <v>0</v>
      </c>
      <c r="M35" s="57">
        <f t="shared" si="39"/>
        <v>0</v>
      </c>
      <c r="N35" s="58"/>
      <c r="O35" s="55">
        <f>K35*1.03*1.03*1.03</f>
        <v>0</v>
      </c>
      <c r="P35" s="57">
        <f>L35*1.03*1.03*1.03</f>
        <v>0</v>
      </c>
      <c r="Q35" s="57">
        <f t="shared" si="40"/>
        <v>0</v>
      </c>
      <c r="R35" s="58"/>
      <c r="S35" s="55">
        <f>O35*1.03*1.03*1.03*1.03</f>
        <v>0</v>
      </c>
      <c r="T35" s="57">
        <f>P35*1.03*1.03*1.03*1.03</f>
        <v>0</v>
      </c>
      <c r="U35" s="57">
        <f t="shared" si="41"/>
        <v>0</v>
      </c>
      <c r="V35" s="59"/>
      <c r="W35" s="124">
        <f t="shared" si="42"/>
        <v>0</v>
      </c>
      <c r="X35" s="57">
        <f t="shared" si="42"/>
        <v>0</v>
      </c>
      <c r="Y35" s="84">
        <f t="shared" si="42"/>
        <v>0</v>
      </c>
    </row>
    <row r="36" spans="1:77" s="83" customFormat="1" x14ac:dyDescent="0.25">
      <c r="A36" s="78"/>
      <c r="B36" s="78" t="s">
        <v>9</v>
      </c>
      <c r="C36" s="228">
        <f>SUM(C29:C35)</f>
        <v>14360.935680000002</v>
      </c>
      <c r="D36" s="125">
        <f>SUM(D29:D35)</f>
        <v>11488.748544000002</v>
      </c>
      <c r="E36" s="125">
        <f>SUM(E29:E35)</f>
        <v>25849.684224000004</v>
      </c>
      <c r="F36" s="81"/>
      <c r="G36" s="79">
        <f>SUM(G29:G35)</f>
        <v>15235.516662912001</v>
      </c>
      <c r="H36" s="80">
        <f>SUM(H29:H35)</f>
        <v>12188.413330329602</v>
      </c>
      <c r="I36" s="80">
        <f>SUM(I29:I35)</f>
        <v>27423.929993241603</v>
      </c>
      <c r="J36" s="81"/>
      <c r="K36" s="79">
        <f>SUM(K29:K35)</f>
        <v>16163.359627683341</v>
      </c>
      <c r="L36" s="80">
        <f>SUM(L29:L35)</f>
        <v>12930.687702146675</v>
      </c>
      <c r="M36" s="80">
        <f>SUM(M29:M35)</f>
        <v>29094.047329830017</v>
      </c>
      <c r="N36" s="81"/>
      <c r="O36" s="79">
        <f>SUM(O29:O35)</f>
        <v>17147.708229009259</v>
      </c>
      <c r="P36" s="80">
        <f>SUM(P29:P35)</f>
        <v>13718.16658320741</v>
      </c>
      <c r="Q36" s="80">
        <f>SUM(Q29:Q35)</f>
        <v>30865.874812216669</v>
      </c>
      <c r="R36" s="81"/>
      <c r="S36" s="79">
        <f>SUM(S29:S35)</f>
        <v>18192.003660155922</v>
      </c>
      <c r="T36" s="80">
        <f>SUM(T29:T35)</f>
        <v>14553.602928124741</v>
      </c>
      <c r="U36" s="80">
        <f>SUM(U29:U35)</f>
        <v>32745.606588280665</v>
      </c>
      <c r="V36" s="82"/>
      <c r="W36" s="228">
        <f t="shared" si="42"/>
        <v>81099.52385976052</v>
      </c>
      <c r="X36" s="80">
        <f t="shared" si="42"/>
        <v>64879.619087808424</v>
      </c>
      <c r="Y36" s="80">
        <f t="shared" si="42"/>
        <v>145979.14294756897</v>
      </c>
    </row>
    <row r="37" spans="1:77" s="94" customFormat="1" x14ac:dyDescent="0.25">
      <c r="A37" s="89" t="s">
        <v>17</v>
      </c>
      <c r="B37" s="89"/>
      <c r="C37" s="90">
        <f t="shared" ref="C37:Y37" si="47">C36+C27</f>
        <v>48553.639680000008</v>
      </c>
      <c r="D37" s="90">
        <f t="shared" si="47"/>
        <v>38842.911744000012</v>
      </c>
      <c r="E37" s="90">
        <f t="shared" si="47"/>
        <v>87396.551424000005</v>
      </c>
      <c r="F37" s="90">
        <f t="shared" si="47"/>
        <v>0</v>
      </c>
      <c r="G37" s="90">
        <f t="shared" si="47"/>
        <v>50454.001782912004</v>
      </c>
      <c r="H37" s="90">
        <f t="shared" si="47"/>
        <v>40363.201426329608</v>
      </c>
      <c r="I37" s="90">
        <f t="shared" si="47"/>
        <v>90817.203209241619</v>
      </c>
      <c r="J37" s="90">
        <f t="shared" si="47"/>
        <v>0</v>
      </c>
      <c r="K37" s="90">
        <f t="shared" si="47"/>
        <v>52438.399301283345</v>
      </c>
      <c r="L37" s="90">
        <f t="shared" si="47"/>
        <v>41950.719441026682</v>
      </c>
      <c r="M37" s="90">
        <f t="shared" si="47"/>
        <v>94389.118742310035</v>
      </c>
      <c r="N37" s="90">
        <f t="shared" si="47"/>
        <v>0</v>
      </c>
      <c r="O37" s="90">
        <f t="shared" si="47"/>
        <v>54510.999092817263</v>
      </c>
      <c r="P37" s="90">
        <f t="shared" si="47"/>
        <v>43608.799274253819</v>
      </c>
      <c r="Q37" s="90">
        <f t="shared" si="47"/>
        <v>98119.798367071082</v>
      </c>
      <c r="R37" s="90">
        <f t="shared" si="47"/>
        <v>0</v>
      </c>
      <c r="S37" s="90">
        <f t="shared" si="47"/>
        <v>56676.193249878168</v>
      </c>
      <c r="T37" s="90">
        <f t="shared" si="47"/>
        <v>45340.954599902543</v>
      </c>
      <c r="U37" s="90">
        <f t="shared" si="47"/>
        <v>102017.14784978071</v>
      </c>
      <c r="V37" s="90">
        <f t="shared" si="47"/>
        <v>0</v>
      </c>
      <c r="W37" s="90">
        <f t="shared" si="47"/>
        <v>262633.23310689081</v>
      </c>
      <c r="X37" s="90">
        <f t="shared" si="47"/>
        <v>210106.58648551264</v>
      </c>
      <c r="Y37" s="90">
        <f t="shared" si="47"/>
        <v>472739.81959240342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128"/>
      <c r="D38" s="128"/>
      <c r="E38" s="58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s="61" customFormat="1" x14ac:dyDescent="0.25">
      <c r="A39" s="52"/>
      <c r="B39" s="52"/>
      <c r="C39" s="124">
        <v>0</v>
      </c>
      <c r="D39" s="56">
        <v>0</v>
      </c>
      <c r="E39" s="56">
        <f t="shared" ref="E39:E48" si="48">SUM(C39:D39)</f>
        <v>0</v>
      </c>
      <c r="F39" s="58"/>
      <c r="G39" s="55">
        <v>0</v>
      </c>
      <c r="H39" s="57">
        <v>0</v>
      </c>
      <c r="I39" s="57">
        <f t="shared" ref="I39:I48" si="49">SUM(G39:H39)</f>
        <v>0</v>
      </c>
      <c r="J39" s="58"/>
      <c r="K39" s="55">
        <v>0</v>
      </c>
      <c r="L39" s="57">
        <v>0</v>
      </c>
      <c r="M39" s="57">
        <f t="shared" ref="M39:M48" si="50">SUM(K39:L39)</f>
        <v>0</v>
      </c>
      <c r="N39" s="58"/>
      <c r="O39" s="55">
        <v>0</v>
      </c>
      <c r="P39" s="57">
        <v>0</v>
      </c>
      <c r="Q39" s="57">
        <f t="shared" ref="Q39:Q48" si="51">SUM(O39:P39)</f>
        <v>0</v>
      </c>
      <c r="R39" s="58"/>
      <c r="S39" s="55">
        <v>0</v>
      </c>
      <c r="T39" s="57">
        <v>0</v>
      </c>
      <c r="U39" s="57">
        <f t="shared" ref="U39:U48" si="52">SUM(S39:T39)</f>
        <v>0</v>
      </c>
      <c r="V39" s="59"/>
      <c r="W39" s="124">
        <f t="shared" ref="W39:W49" si="53">C39+G39+K39+O39+S39</f>
        <v>0</v>
      </c>
      <c r="X39" s="57">
        <f t="shared" ref="X39:X49" si="54">D39+H39+L39+P39+T39</f>
        <v>0</v>
      </c>
      <c r="Y39" s="84">
        <f t="shared" ref="Y39:Y49" si="55">E39+I39+M39+Q39+U39</f>
        <v>0</v>
      </c>
    </row>
    <row r="40" spans="1:77" s="61" customFormat="1" x14ac:dyDescent="0.25">
      <c r="A40" s="52"/>
      <c r="B40" s="52"/>
      <c r="C40" s="124">
        <v>0</v>
      </c>
      <c r="D40" s="56">
        <v>0</v>
      </c>
      <c r="E40" s="56">
        <f t="shared" si="48"/>
        <v>0</v>
      </c>
      <c r="F40" s="58"/>
      <c r="G40" s="55">
        <v>0</v>
      </c>
      <c r="H40" s="57">
        <v>0</v>
      </c>
      <c r="I40" s="57">
        <f t="shared" si="49"/>
        <v>0</v>
      </c>
      <c r="J40" s="58"/>
      <c r="K40" s="55">
        <v>0</v>
      </c>
      <c r="L40" s="57">
        <v>0</v>
      </c>
      <c r="M40" s="57">
        <f t="shared" si="50"/>
        <v>0</v>
      </c>
      <c r="N40" s="58"/>
      <c r="O40" s="55">
        <v>0</v>
      </c>
      <c r="P40" s="57">
        <v>0</v>
      </c>
      <c r="Q40" s="57">
        <f t="shared" si="51"/>
        <v>0</v>
      </c>
      <c r="R40" s="58"/>
      <c r="S40" s="55">
        <v>0</v>
      </c>
      <c r="T40" s="57">
        <v>0</v>
      </c>
      <c r="U40" s="57">
        <f t="shared" si="52"/>
        <v>0</v>
      </c>
      <c r="V40" s="59"/>
      <c r="W40" s="124">
        <f t="shared" si="53"/>
        <v>0</v>
      </c>
      <c r="X40" s="57">
        <f t="shared" si="54"/>
        <v>0</v>
      </c>
      <c r="Y40" s="84">
        <f t="shared" si="55"/>
        <v>0</v>
      </c>
    </row>
    <row r="41" spans="1:77" s="61" customFormat="1" x14ac:dyDescent="0.25">
      <c r="A41" s="52"/>
      <c r="B41" s="52"/>
      <c r="C41" s="124">
        <v>0</v>
      </c>
      <c r="D41" s="56">
        <v>0</v>
      </c>
      <c r="E41" s="56">
        <f t="shared" si="48"/>
        <v>0</v>
      </c>
      <c r="F41" s="58"/>
      <c r="G41" s="55">
        <v>0</v>
      </c>
      <c r="H41" s="57">
        <v>0</v>
      </c>
      <c r="I41" s="57">
        <f t="shared" si="49"/>
        <v>0</v>
      </c>
      <c r="J41" s="58"/>
      <c r="K41" s="55">
        <v>0</v>
      </c>
      <c r="L41" s="57">
        <v>0</v>
      </c>
      <c r="M41" s="57">
        <f t="shared" si="50"/>
        <v>0</v>
      </c>
      <c r="N41" s="58"/>
      <c r="O41" s="55">
        <v>0</v>
      </c>
      <c r="P41" s="57">
        <v>0</v>
      </c>
      <c r="Q41" s="57">
        <f t="shared" si="51"/>
        <v>0</v>
      </c>
      <c r="R41" s="58"/>
      <c r="S41" s="55">
        <v>0</v>
      </c>
      <c r="T41" s="57">
        <v>0</v>
      </c>
      <c r="U41" s="57">
        <f t="shared" si="52"/>
        <v>0</v>
      </c>
      <c r="V41" s="59"/>
      <c r="W41" s="124">
        <f t="shared" si="53"/>
        <v>0</v>
      </c>
      <c r="X41" s="57">
        <f t="shared" si="54"/>
        <v>0</v>
      </c>
      <c r="Y41" s="84">
        <f t="shared" si="55"/>
        <v>0</v>
      </c>
    </row>
    <row r="42" spans="1:77" s="61" customFormat="1" x14ac:dyDescent="0.25">
      <c r="A42" s="52"/>
      <c r="B42" s="52"/>
      <c r="C42" s="124">
        <v>0</v>
      </c>
      <c r="D42" s="56">
        <v>0</v>
      </c>
      <c r="E42" s="56">
        <f t="shared" si="48"/>
        <v>0</v>
      </c>
      <c r="F42" s="58"/>
      <c r="G42" s="55">
        <v>0</v>
      </c>
      <c r="H42" s="57">
        <v>0</v>
      </c>
      <c r="I42" s="57">
        <f t="shared" si="49"/>
        <v>0</v>
      </c>
      <c r="J42" s="58"/>
      <c r="K42" s="55">
        <v>0</v>
      </c>
      <c r="L42" s="57">
        <v>0</v>
      </c>
      <c r="M42" s="57">
        <f t="shared" si="50"/>
        <v>0</v>
      </c>
      <c r="N42" s="58"/>
      <c r="O42" s="55">
        <v>0</v>
      </c>
      <c r="P42" s="57">
        <v>0</v>
      </c>
      <c r="Q42" s="57">
        <f t="shared" si="51"/>
        <v>0</v>
      </c>
      <c r="R42" s="58"/>
      <c r="S42" s="55">
        <v>0</v>
      </c>
      <c r="T42" s="57">
        <v>0</v>
      </c>
      <c r="U42" s="57">
        <f t="shared" si="52"/>
        <v>0</v>
      </c>
      <c r="V42" s="59"/>
      <c r="W42" s="124">
        <f t="shared" si="53"/>
        <v>0</v>
      </c>
      <c r="X42" s="57">
        <f t="shared" si="54"/>
        <v>0</v>
      </c>
      <c r="Y42" s="84">
        <f t="shared" si="55"/>
        <v>0</v>
      </c>
    </row>
    <row r="43" spans="1:77" s="61" customFormat="1" x14ac:dyDescent="0.25">
      <c r="A43" s="52"/>
      <c r="B43" s="52"/>
      <c r="C43" s="124">
        <v>0</v>
      </c>
      <c r="D43" s="56">
        <v>0</v>
      </c>
      <c r="E43" s="56">
        <f t="shared" si="48"/>
        <v>0</v>
      </c>
      <c r="F43" s="58"/>
      <c r="G43" s="55">
        <v>0</v>
      </c>
      <c r="H43" s="57">
        <v>0</v>
      </c>
      <c r="I43" s="57">
        <f t="shared" si="49"/>
        <v>0</v>
      </c>
      <c r="J43" s="58"/>
      <c r="K43" s="55">
        <v>0</v>
      </c>
      <c r="L43" s="57">
        <v>0</v>
      </c>
      <c r="M43" s="57">
        <f t="shared" si="50"/>
        <v>0</v>
      </c>
      <c r="N43" s="58"/>
      <c r="O43" s="55">
        <v>0</v>
      </c>
      <c r="P43" s="57">
        <v>0</v>
      </c>
      <c r="Q43" s="57">
        <f t="shared" si="51"/>
        <v>0</v>
      </c>
      <c r="R43" s="58"/>
      <c r="S43" s="55">
        <v>0</v>
      </c>
      <c r="T43" s="57">
        <v>0</v>
      </c>
      <c r="U43" s="57">
        <f t="shared" si="52"/>
        <v>0</v>
      </c>
      <c r="V43" s="59"/>
      <c r="W43" s="124">
        <f t="shared" si="53"/>
        <v>0</v>
      </c>
      <c r="X43" s="57">
        <f t="shared" si="54"/>
        <v>0</v>
      </c>
      <c r="Y43" s="84">
        <f t="shared" si="55"/>
        <v>0</v>
      </c>
    </row>
    <row r="44" spans="1:77" s="61" customFormat="1" x14ac:dyDescent="0.25">
      <c r="A44" s="52"/>
      <c r="B44" s="52"/>
      <c r="C44" s="124">
        <v>0</v>
      </c>
      <c r="D44" s="56">
        <v>0</v>
      </c>
      <c r="E44" s="56">
        <f t="shared" si="48"/>
        <v>0</v>
      </c>
      <c r="F44" s="58"/>
      <c r="G44" s="55">
        <v>0</v>
      </c>
      <c r="H44" s="57">
        <v>0</v>
      </c>
      <c r="I44" s="57">
        <f t="shared" si="49"/>
        <v>0</v>
      </c>
      <c r="J44" s="58"/>
      <c r="K44" s="55">
        <v>0</v>
      </c>
      <c r="L44" s="57">
        <v>0</v>
      </c>
      <c r="M44" s="57">
        <f t="shared" si="50"/>
        <v>0</v>
      </c>
      <c r="N44" s="58"/>
      <c r="O44" s="55">
        <v>0</v>
      </c>
      <c r="P44" s="57">
        <v>0</v>
      </c>
      <c r="Q44" s="57">
        <f t="shared" si="51"/>
        <v>0</v>
      </c>
      <c r="R44" s="58"/>
      <c r="S44" s="55">
        <v>0</v>
      </c>
      <c r="T44" s="57">
        <v>0</v>
      </c>
      <c r="U44" s="57">
        <f t="shared" si="52"/>
        <v>0</v>
      </c>
      <c r="V44" s="59"/>
      <c r="W44" s="124">
        <f t="shared" si="53"/>
        <v>0</v>
      </c>
      <c r="X44" s="57">
        <f t="shared" si="54"/>
        <v>0</v>
      </c>
      <c r="Y44" s="84">
        <f t="shared" si="55"/>
        <v>0</v>
      </c>
    </row>
    <row r="45" spans="1:77" s="61" customFormat="1" x14ac:dyDescent="0.25">
      <c r="A45" s="52"/>
      <c r="B45" s="52"/>
      <c r="C45" s="124">
        <v>0</v>
      </c>
      <c r="D45" s="56">
        <v>0</v>
      </c>
      <c r="E45" s="56">
        <f t="shared" si="48"/>
        <v>0</v>
      </c>
      <c r="F45" s="58"/>
      <c r="G45" s="55">
        <v>0</v>
      </c>
      <c r="H45" s="57">
        <v>0</v>
      </c>
      <c r="I45" s="57">
        <f t="shared" si="49"/>
        <v>0</v>
      </c>
      <c r="J45" s="58"/>
      <c r="K45" s="55">
        <v>0</v>
      </c>
      <c r="L45" s="57">
        <v>0</v>
      </c>
      <c r="M45" s="57">
        <f t="shared" si="50"/>
        <v>0</v>
      </c>
      <c r="N45" s="58"/>
      <c r="O45" s="55">
        <v>0</v>
      </c>
      <c r="P45" s="57">
        <v>0</v>
      </c>
      <c r="Q45" s="57">
        <f t="shared" si="51"/>
        <v>0</v>
      </c>
      <c r="R45" s="58"/>
      <c r="S45" s="55">
        <v>0</v>
      </c>
      <c r="T45" s="57">
        <v>0</v>
      </c>
      <c r="U45" s="57">
        <f t="shared" si="52"/>
        <v>0</v>
      </c>
      <c r="V45" s="59"/>
      <c r="W45" s="124">
        <f t="shared" si="53"/>
        <v>0</v>
      </c>
      <c r="X45" s="57">
        <f t="shared" si="54"/>
        <v>0</v>
      </c>
      <c r="Y45" s="84">
        <f t="shared" si="55"/>
        <v>0</v>
      </c>
    </row>
    <row r="46" spans="1:77" s="61" customFormat="1" x14ac:dyDescent="0.25">
      <c r="A46" s="52"/>
      <c r="B46" s="52"/>
      <c r="C46" s="124">
        <v>0</v>
      </c>
      <c r="D46" s="56">
        <v>0</v>
      </c>
      <c r="E46" s="56">
        <f t="shared" si="48"/>
        <v>0</v>
      </c>
      <c r="F46" s="58"/>
      <c r="G46" s="55">
        <v>0</v>
      </c>
      <c r="H46" s="57">
        <v>0</v>
      </c>
      <c r="I46" s="57">
        <f t="shared" si="49"/>
        <v>0</v>
      </c>
      <c r="J46" s="58"/>
      <c r="K46" s="55">
        <v>0</v>
      </c>
      <c r="L46" s="57">
        <v>0</v>
      </c>
      <c r="M46" s="57">
        <f t="shared" si="50"/>
        <v>0</v>
      </c>
      <c r="N46" s="58"/>
      <c r="O46" s="55">
        <v>0</v>
      </c>
      <c r="P46" s="57">
        <v>0</v>
      </c>
      <c r="Q46" s="57">
        <f t="shared" si="51"/>
        <v>0</v>
      </c>
      <c r="R46" s="58"/>
      <c r="S46" s="55">
        <v>0</v>
      </c>
      <c r="T46" s="57">
        <v>0</v>
      </c>
      <c r="U46" s="57">
        <f t="shared" si="52"/>
        <v>0</v>
      </c>
      <c r="V46" s="59"/>
      <c r="W46" s="124">
        <f t="shared" si="53"/>
        <v>0</v>
      </c>
      <c r="X46" s="57">
        <f t="shared" si="54"/>
        <v>0</v>
      </c>
      <c r="Y46" s="84">
        <f t="shared" si="55"/>
        <v>0</v>
      </c>
    </row>
    <row r="47" spans="1:77" s="61" customFormat="1" x14ac:dyDescent="0.25">
      <c r="A47" s="52"/>
      <c r="B47" s="52"/>
      <c r="C47" s="124">
        <v>0</v>
      </c>
      <c r="D47" s="56">
        <v>0</v>
      </c>
      <c r="E47" s="56">
        <f t="shared" si="48"/>
        <v>0</v>
      </c>
      <c r="F47" s="58"/>
      <c r="G47" s="55">
        <v>0</v>
      </c>
      <c r="H47" s="57">
        <v>0</v>
      </c>
      <c r="I47" s="57">
        <f t="shared" si="49"/>
        <v>0</v>
      </c>
      <c r="J47" s="58"/>
      <c r="K47" s="55">
        <v>0</v>
      </c>
      <c r="L47" s="57">
        <v>0</v>
      </c>
      <c r="M47" s="57">
        <f t="shared" si="50"/>
        <v>0</v>
      </c>
      <c r="N47" s="58"/>
      <c r="O47" s="55">
        <v>0</v>
      </c>
      <c r="P47" s="57">
        <v>0</v>
      </c>
      <c r="Q47" s="57">
        <f t="shared" si="51"/>
        <v>0</v>
      </c>
      <c r="R47" s="58"/>
      <c r="S47" s="55">
        <v>0</v>
      </c>
      <c r="T47" s="57">
        <v>0</v>
      </c>
      <c r="U47" s="57">
        <f t="shared" si="52"/>
        <v>0</v>
      </c>
      <c r="V47" s="59"/>
      <c r="W47" s="124">
        <f t="shared" si="53"/>
        <v>0</v>
      </c>
      <c r="X47" s="57">
        <f t="shared" si="54"/>
        <v>0</v>
      </c>
      <c r="Y47" s="84">
        <f t="shared" si="55"/>
        <v>0</v>
      </c>
    </row>
    <row r="48" spans="1:77" s="61" customFormat="1" x14ac:dyDescent="0.25">
      <c r="A48" s="52"/>
      <c r="B48" s="52"/>
      <c r="C48" s="124">
        <v>0</v>
      </c>
      <c r="D48" s="56">
        <v>0</v>
      </c>
      <c r="E48" s="56">
        <f t="shared" si="48"/>
        <v>0</v>
      </c>
      <c r="F48" s="58"/>
      <c r="G48" s="55">
        <v>0</v>
      </c>
      <c r="H48" s="57">
        <v>0</v>
      </c>
      <c r="I48" s="57">
        <f t="shared" si="49"/>
        <v>0</v>
      </c>
      <c r="J48" s="58"/>
      <c r="K48" s="55">
        <v>0</v>
      </c>
      <c r="L48" s="57">
        <v>0</v>
      </c>
      <c r="M48" s="57">
        <f t="shared" si="50"/>
        <v>0</v>
      </c>
      <c r="N48" s="58"/>
      <c r="O48" s="55">
        <v>0</v>
      </c>
      <c r="P48" s="57">
        <v>0</v>
      </c>
      <c r="Q48" s="57">
        <f t="shared" si="51"/>
        <v>0</v>
      </c>
      <c r="R48" s="58"/>
      <c r="S48" s="55">
        <v>0</v>
      </c>
      <c r="T48" s="57">
        <v>0</v>
      </c>
      <c r="U48" s="57">
        <f t="shared" si="52"/>
        <v>0</v>
      </c>
      <c r="V48" s="59"/>
      <c r="W48" s="124">
        <f t="shared" si="53"/>
        <v>0</v>
      </c>
      <c r="X48" s="57">
        <f t="shared" si="54"/>
        <v>0</v>
      </c>
      <c r="Y48" s="84">
        <f t="shared" si="55"/>
        <v>0</v>
      </c>
    </row>
    <row r="49" spans="1:25" s="83" customFormat="1" x14ac:dyDescent="0.25">
      <c r="A49" s="78"/>
      <c r="B49" s="78" t="s">
        <v>9</v>
      </c>
      <c r="C49" s="228">
        <f>SUM(C39:C48)</f>
        <v>0</v>
      </c>
      <c r="D49" s="125">
        <f>SUM(D39:D48)</f>
        <v>0</v>
      </c>
      <c r="E49" s="125">
        <f>SUM(E39:E48)</f>
        <v>0</v>
      </c>
      <c r="F49" s="81"/>
      <c r="G49" s="79">
        <f>SUM(G39:G48)</f>
        <v>0</v>
      </c>
      <c r="H49" s="80">
        <f>SUM(H39:H48)</f>
        <v>0</v>
      </c>
      <c r="I49" s="80">
        <f>SUM(I39:I48)</f>
        <v>0</v>
      </c>
      <c r="J49" s="81"/>
      <c r="K49" s="79">
        <f>SUM(K39:K48)</f>
        <v>0</v>
      </c>
      <c r="L49" s="125">
        <f>SUM(L39:L48)</f>
        <v>0</v>
      </c>
      <c r="M49" s="125">
        <f>SUM(M39:M48)</f>
        <v>0</v>
      </c>
      <c r="N49" s="81"/>
      <c r="O49" s="79">
        <f>SUM(O39:O48)</f>
        <v>0</v>
      </c>
      <c r="P49" s="125">
        <f>SUM(P39:P48)</f>
        <v>0</v>
      </c>
      <c r="Q49" s="125">
        <f>SUM(Q39:Q48)</f>
        <v>0</v>
      </c>
      <c r="R49" s="81"/>
      <c r="S49" s="79">
        <f>SUM(S39:S48)</f>
        <v>0</v>
      </c>
      <c r="T49" s="125">
        <f>SUM(T39:T48)</f>
        <v>0</v>
      </c>
      <c r="U49" s="125">
        <f>SUM(U39:U48)</f>
        <v>0</v>
      </c>
      <c r="V49" s="82"/>
      <c r="W49" s="228">
        <f t="shared" si="53"/>
        <v>0</v>
      </c>
      <c r="X49" s="80">
        <f t="shared" si="54"/>
        <v>0</v>
      </c>
      <c r="Y49" s="80">
        <f t="shared" si="55"/>
        <v>0</v>
      </c>
    </row>
    <row r="50" spans="1:25" s="77" customFormat="1" x14ac:dyDescent="0.25">
      <c r="A50" s="74" t="s">
        <v>7</v>
      </c>
      <c r="B50" s="74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25" s="61" customFormat="1" x14ac:dyDescent="0.25">
      <c r="A51" s="52"/>
      <c r="B51" s="52"/>
      <c r="C51" s="124">
        <v>0</v>
      </c>
      <c r="D51" s="56">
        <v>0</v>
      </c>
      <c r="E51" s="56">
        <f t="shared" ref="E51:E56" si="56">SUM(C51:D51)</f>
        <v>0</v>
      </c>
      <c r="F51" s="58"/>
      <c r="G51" s="55">
        <v>0</v>
      </c>
      <c r="H51" s="57">
        <v>0</v>
      </c>
      <c r="I51" s="57">
        <f t="shared" ref="I51:I56" si="57">SUM(G51:H51)</f>
        <v>0</v>
      </c>
      <c r="J51" s="58"/>
      <c r="K51" s="55">
        <v>0</v>
      </c>
      <c r="L51" s="57">
        <v>0</v>
      </c>
      <c r="M51" s="57">
        <f t="shared" ref="M51:M56" si="58">SUM(K51:L51)</f>
        <v>0</v>
      </c>
      <c r="N51" s="58"/>
      <c r="O51" s="55">
        <v>0</v>
      </c>
      <c r="P51" s="57">
        <v>0</v>
      </c>
      <c r="Q51" s="57">
        <f t="shared" ref="Q51:Q56" si="59">SUM(O51:P51)</f>
        <v>0</v>
      </c>
      <c r="R51" s="58"/>
      <c r="S51" s="55">
        <v>0</v>
      </c>
      <c r="T51" s="57">
        <v>0</v>
      </c>
      <c r="U51" s="57">
        <f t="shared" ref="U51:U56" si="60">SUM(S51:T51)</f>
        <v>0</v>
      </c>
      <c r="V51" s="59"/>
      <c r="W51" s="124">
        <f t="shared" ref="W51:Y57" si="61">C51+G51+K51+O51+S51</f>
        <v>0</v>
      </c>
      <c r="X51" s="57">
        <f t="shared" si="61"/>
        <v>0</v>
      </c>
      <c r="Y51" s="84">
        <f t="shared" si="61"/>
        <v>0</v>
      </c>
    </row>
    <row r="52" spans="1:25" s="61" customFormat="1" x14ac:dyDescent="0.25">
      <c r="A52" s="87"/>
      <c r="B52" s="52"/>
      <c r="C52" s="124">
        <v>0</v>
      </c>
      <c r="D52" s="56">
        <v>0</v>
      </c>
      <c r="E52" s="56">
        <f t="shared" si="56"/>
        <v>0</v>
      </c>
      <c r="F52" s="58"/>
      <c r="G52" s="55">
        <v>0</v>
      </c>
      <c r="H52" s="57">
        <v>0</v>
      </c>
      <c r="I52" s="57">
        <f t="shared" si="57"/>
        <v>0</v>
      </c>
      <c r="J52" s="58"/>
      <c r="K52" s="55">
        <v>0</v>
      </c>
      <c r="L52" s="57">
        <v>0</v>
      </c>
      <c r="M52" s="57">
        <f t="shared" si="58"/>
        <v>0</v>
      </c>
      <c r="N52" s="58"/>
      <c r="O52" s="55">
        <v>0</v>
      </c>
      <c r="P52" s="57">
        <v>0</v>
      </c>
      <c r="Q52" s="57">
        <f t="shared" si="59"/>
        <v>0</v>
      </c>
      <c r="R52" s="58"/>
      <c r="S52" s="55">
        <v>0</v>
      </c>
      <c r="T52" s="57">
        <v>0</v>
      </c>
      <c r="U52" s="57">
        <f t="shared" si="60"/>
        <v>0</v>
      </c>
      <c r="V52" s="59"/>
      <c r="W52" s="124">
        <f t="shared" si="61"/>
        <v>0</v>
      </c>
      <c r="X52" s="57">
        <f t="shared" si="61"/>
        <v>0</v>
      </c>
      <c r="Y52" s="84">
        <f t="shared" si="61"/>
        <v>0</v>
      </c>
    </row>
    <row r="53" spans="1:25" s="61" customFormat="1" x14ac:dyDescent="0.25">
      <c r="A53" s="87"/>
      <c r="B53" s="52"/>
      <c r="C53" s="124">
        <v>0</v>
      </c>
      <c r="D53" s="56">
        <v>0</v>
      </c>
      <c r="E53" s="56">
        <f t="shared" si="56"/>
        <v>0</v>
      </c>
      <c r="F53" s="58"/>
      <c r="G53" s="55">
        <v>0</v>
      </c>
      <c r="H53" s="57">
        <v>0</v>
      </c>
      <c r="I53" s="57">
        <f t="shared" si="57"/>
        <v>0</v>
      </c>
      <c r="J53" s="58"/>
      <c r="K53" s="55">
        <v>0</v>
      </c>
      <c r="L53" s="57">
        <v>0</v>
      </c>
      <c r="M53" s="57">
        <f t="shared" si="58"/>
        <v>0</v>
      </c>
      <c r="N53" s="58"/>
      <c r="O53" s="55">
        <v>0</v>
      </c>
      <c r="P53" s="57">
        <v>0</v>
      </c>
      <c r="Q53" s="57">
        <f t="shared" si="59"/>
        <v>0</v>
      </c>
      <c r="R53" s="58"/>
      <c r="S53" s="55">
        <v>0</v>
      </c>
      <c r="T53" s="57">
        <v>0</v>
      </c>
      <c r="U53" s="57">
        <f t="shared" si="60"/>
        <v>0</v>
      </c>
      <c r="V53" s="59"/>
      <c r="W53" s="124">
        <f t="shared" si="61"/>
        <v>0</v>
      </c>
      <c r="X53" s="57">
        <f t="shared" si="61"/>
        <v>0</v>
      </c>
      <c r="Y53" s="84">
        <f t="shared" si="61"/>
        <v>0</v>
      </c>
    </row>
    <row r="54" spans="1:25" s="61" customFormat="1" x14ac:dyDescent="0.25">
      <c r="A54" s="52"/>
      <c r="B54" s="52"/>
      <c r="C54" s="124">
        <v>0</v>
      </c>
      <c r="D54" s="56">
        <v>0</v>
      </c>
      <c r="E54" s="56">
        <f t="shared" si="56"/>
        <v>0</v>
      </c>
      <c r="F54" s="58"/>
      <c r="G54" s="55">
        <v>0</v>
      </c>
      <c r="H54" s="57">
        <v>0</v>
      </c>
      <c r="I54" s="57">
        <f t="shared" si="57"/>
        <v>0</v>
      </c>
      <c r="J54" s="58"/>
      <c r="K54" s="55">
        <v>0</v>
      </c>
      <c r="L54" s="57">
        <v>0</v>
      </c>
      <c r="M54" s="57">
        <f t="shared" si="58"/>
        <v>0</v>
      </c>
      <c r="N54" s="58"/>
      <c r="O54" s="55">
        <v>0</v>
      </c>
      <c r="P54" s="57">
        <v>0</v>
      </c>
      <c r="Q54" s="57">
        <f t="shared" si="59"/>
        <v>0</v>
      </c>
      <c r="R54" s="58"/>
      <c r="S54" s="55">
        <v>0</v>
      </c>
      <c r="T54" s="57">
        <v>0</v>
      </c>
      <c r="U54" s="57">
        <f t="shared" si="60"/>
        <v>0</v>
      </c>
      <c r="V54" s="59"/>
      <c r="W54" s="124">
        <f t="shared" si="61"/>
        <v>0</v>
      </c>
      <c r="X54" s="57">
        <f t="shared" si="61"/>
        <v>0</v>
      </c>
      <c r="Y54" s="84">
        <f t="shared" si="61"/>
        <v>0</v>
      </c>
    </row>
    <row r="55" spans="1:25" s="61" customFormat="1" x14ac:dyDescent="0.25">
      <c r="A55" s="52"/>
      <c r="B55" s="52"/>
      <c r="C55" s="124">
        <v>0</v>
      </c>
      <c r="D55" s="56">
        <v>0</v>
      </c>
      <c r="E55" s="56">
        <f t="shared" si="56"/>
        <v>0</v>
      </c>
      <c r="F55" s="58"/>
      <c r="G55" s="55">
        <v>0</v>
      </c>
      <c r="H55" s="57">
        <v>0</v>
      </c>
      <c r="I55" s="57">
        <f t="shared" si="57"/>
        <v>0</v>
      </c>
      <c r="J55" s="58"/>
      <c r="K55" s="55">
        <v>0</v>
      </c>
      <c r="L55" s="57">
        <v>0</v>
      </c>
      <c r="M55" s="57">
        <f t="shared" si="58"/>
        <v>0</v>
      </c>
      <c r="N55" s="58"/>
      <c r="O55" s="55">
        <v>0</v>
      </c>
      <c r="P55" s="57">
        <v>0</v>
      </c>
      <c r="Q55" s="57">
        <f t="shared" si="59"/>
        <v>0</v>
      </c>
      <c r="R55" s="58"/>
      <c r="S55" s="55">
        <v>0</v>
      </c>
      <c r="T55" s="57">
        <v>0</v>
      </c>
      <c r="U55" s="57">
        <f t="shared" si="60"/>
        <v>0</v>
      </c>
      <c r="V55" s="59"/>
      <c r="W55" s="124">
        <f t="shared" si="61"/>
        <v>0</v>
      </c>
      <c r="X55" s="57">
        <f t="shared" si="61"/>
        <v>0</v>
      </c>
      <c r="Y55" s="84">
        <f t="shared" si="61"/>
        <v>0</v>
      </c>
    </row>
    <row r="56" spans="1:25" s="61" customFormat="1" x14ac:dyDescent="0.25">
      <c r="A56" s="52"/>
      <c r="B56" s="52"/>
      <c r="C56" s="124">
        <v>0</v>
      </c>
      <c r="D56" s="56">
        <v>0</v>
      </c>
      <c r="E56" s="56">
        <f t="shared" si="56"/>
        <v>0</v>
      </c>
      <c r="F56" s="58"/>
      <c r="G56" s="55">
        <v>0</v>
      </c>
      <c r="H56" s="57">
        <v>0</v>
      </c>
      <c r="I56" s="57">
        <f t="shared" si="57"/>
        <v>0</v>
      </c>
      <c r="J56" s="58"/>
      <c r="K56" s="55">
        <v>0</v>
      </c>
      <c r="L56" s="57">
        <v>0</v>
      </c>
      <c r="M56" s="57">
        <f t="shared" si="58"/>
        <v>0</v>
      </c>
      <c r="N56" s="58"/>
      <c r="O56" s="55">
        <v>0</v>
      </c>
      <c r="P56" s="57">
        <v>0</v>
      </c>
      <c r="Q56" s="57">
        <f t="shared" si="59"/>
        <v>0</v>
      </c>
      <c r="R56" s="58"/>
      <c r="S56" s="55">
        <v>0</v>
      </c>
      <c r="T56" s="57">
        <v>0</v>
      </c>
      <c r="U56" s="57">
        <f t="shared" si="60"/>
        <v>0</v>
      </c>
      <c r="V56" s="59"/>
      <c r="W56" s="124">
        <f t="shared" si="61"/>
        <v>0</v>
      </c>
      <c r="X56" s="57">
        <f t="shared" si="61"/>
        <v>0</v>
      </c>
      <c r="Y56" s="84">
        <f t="shared" si="61"/>
        <v>0</v>
      </c>
    </row>
    <row r="57" spans="1:25" s="83" customFormat="1" x14ac:dyDescent="0.25">
      <c r="A57" s="78"/>
      <c r="B57" s="78" t="s">
        <v>9</v>
      </c>
      <c r="C57" s="228">
        <f>SUM(C51:C56)</f>
        <v>0</v>
      </c>
      <c r="D57" s="125">
        <f>SUM(D51:D56)</f>
        <v>0</v>
      </c>
      <c r="E57" s="125">
        <f>SUM(E51:E56)</f>
        <v>0</v>
      </c>
      <c r="F57" s="81"/>
      <c r="G57" s="79">
        <f>SUM(G51:G56)</f>
        <v>0</v>
      </c>
      <c r="H57" s="80">
        <f>SUM(H51:H56)</f>
        <v>0</v>
      </c>
      <c r="I57" s="80">
        <f>SUM(I51:I56)</f>
        <v>0</v>
      </c>
      <c r="J57" s="81"/>
      <c r="K57" s="79">
        <f>SUM(K51:K56)</f>
        <v>0</v>
      </c>
      <c r="L57" s="80">
        <f>SUM(L51:L56)</f>
        <v>0</v>
      </c>
      <c r="M57" s="80">
        <f>SUM(M51:M56)</f>
        <v>0</v>
      </c>
      <c r="N57" s="81"/>
      <c r="O57" s="79">
        <f>SUM(O51:O56)</f>
        <v>0</v>
      </c>
      <c r="P57" s="80">
        <f>SUM(P51:P56)</f>
        <v>0</v>
      </c>
      <c r="Q57" s="80">
        <f>SUM(Q51:Q56)</f>
        <v>0</v>
      </c>
      <c r="R57" s="81"/>
      <c r="S57" s="79">
        <f>SUM(S51:S56)</f>
        <v>0</v>
      </c>
      <c r="T57" s="80">
        <f>SUM(T51:T56)</f>
        <v>0</v>
      </c>
      <c r="U57" s="80">
        <f>SUM(U51:U56)</f>
        <v>0</v>
      </c>
      <c r="V57" s="82"/>
      <c r="W57" s="228">
        <f t="shared" si="61"/>
        <v>0</v>
      </c>
      <c r="X57" s="80">
        <f t="shared" si="61"/>
        <v>0</v>
      </c>
      <c r="Y57" s="80">
        <f t="shared" si="61"/>
        <v>0</v>
      </c>
    </row>
    <row r="58" spans="1:25" s="77" customFormat="1" x14ac:dyDescent="0.25">
      <c r="A58" s="74" t="s">
        <v>14</v>
      </c>
      <c r="B58" s="74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129"/>
    </row>
    <row r="59" spans="1:25" s="61" customFormat="1" x14ac:dyDescent="0.25">
      <c r="A59" s="52"/>
      <c r="B59" s="52"/>
      <c r="C59" s="124">
        <v>0</v>
      </c>
      <c r="D59" s="56">
        <v>0</v>
      </c>
      <c r="E59" s="56">
        <f>SUM(C59:D59)</f>
        <v>0</v>
      </c>
      <c r="F59" s="58"/>
      <c r="G59" s="55">
        <v>0</v>
      </c>
      <c r="H59" s="57">
        <v>0</v>
      </c>
      <c r="I59" s="57">
        <f>SUM(G59:H59)</f>
        <v>0</v>
      </c>
      <c r="J59" s="58"/>
      <c r="K59" s="55">
        <v>0</v>
      </c>
      <c r="L59" s="57">
        <v>0</v>
      </c>
      <c r="M59" s="57">
        <f>SUM(K59:L59)</f>
        <v>0</v>
      </c>
      <c r="N59" s="58"/>
      <c r="O59" s="55">
        <v>0</v>
      </c>
      <c r="P59" s="57">
        <v>0</v>
      </c>
      <c r="Q59" s="57">
        <f>SUM(O59:P59)</f>
        <v>0</v>
      </c>
      <c r="R59" s="58"/>
      <c r="S59" s="55">
        <v>0</v>
      </c>
      <c r="T59" s="57">
        <v>0</v>
      </c>
      <c r="U59" s="57">
        <f>SUM(S59:T59)</f>
        <v>0</v>
      </c>
      <c r="V59" s="59"/>
      <c r="W59" s="124">
        <f t="shared" ref="W59:Y63" si="62">C59+G59+K59+O59+S59</f>
        <v>0</v>
      </c>
      <c r="X59" s="57">
        <f t="shared" si="62"/>
        <v>0</v>
      </c>
      <c r="Y59" s="84">
        <f t="shared" si="62"/>
        <v>0</v>
      </c>
    </row>
    <row r="60" spans="1:25" s="61" customFormat="1" x14ac:dyDescent="0.25">
      <c r="A60" s="52"/>
      <c r="B60" s="52" t="s">
        <v>57</v>
      </c>
      <c r="C60" s="124">
        <v>0</v>
      </c>
      <c r="D60" s="56">
        <v>0</v>
      </c>
      <c r="E60" s="56">
        <f>SUM(C60:D60)</f>
        <v>0</v>
      </c>
      <c r="F60" s="58"/>
      <c r="G60" s="55">
        <f>C60</f>
        <v>0</v>
      </c>
      <c r="H60" s="57">
        <v>0</v>
      </c>
      <c r="I60" s="57">
        <f>SUM(G60:H60)</f>
        <v>0</v>
      </c>
      <c r="J60" s="58"/>
      <c r="K60" s="55">
        <f>G60</f>
        <v>0</v>
      </c>
      <c r="L60" s="57">
        <v>0</v>
      </c>
      <c r="M60" s="57">
        <f>SUM(K60:L60)</f>
        <v>0</v>
      </c>
      <c r="N60" s="58"/>
      <c r="O60" s="55">
        <f>K60</f>
        <v>0</v>
      </c>
      <c r="P60" s="57">
        <v>0</v>
      </c>
      <c r="Q60" s="57">
        <f>SUM(O60:P60)</f>
        <v>0</v>
      </c>
      <c r="R60" s="58"/>
      <c r="S60" s="55">
        <f>O60</f>
        <v>0</v>
      </c>
      <c r="T60" s="57">
        <v>0</v>
      </c>
      <c r="U60" s="57">
        <f>SUM(S60:T60)</f>
        <v>0</v>
      </c>
      <c r="V60" s="59"/>
      <c r="W60" s="124">
        <f t="shared" si="62"/>
        <v>0</v>
      </c>
      <c r="X60" s="57">
        <f t="shared" si="62"/>
        <v>0</v>
      </c>
      <c r="Y60" s="84">
        <f t="shared" si="62"/>
        <v>0</v>
      </c>
    </row>
    <row r="61" spans="1:25" s="61" customFormat="1" x14ac:dyDescent="0.25">
      <c r="A61" s="52"/>
      <c r="B61" s="54" t="s">
        <v>57</v>
      </c>
      <c r="C61" s="124">
        <v>0</v>
      </c>
      <c r="D61" s="56">
        <v>0</v>
      </c>
      <c r="E61" s="56">
        <f>SUM(C61:D61)</f>
        <v>0</v>
      </c>
      <c r="F61" s="58"/>
      <c r="G61" s="55">
        <f>C61</f>
        <v>0</v>
      </c>
      <c r="H61" s="57">
        <v>0</v>
      </c>
      <c r="I61" s="57">
        <f>SUM(G61:H61)</f>
        <v>0</v>
      </c>
      <c r="J61" s="58"/>
      <c r="K61" s="55">
        <f>G61</f>
        <v>0</v>
      </c>
      <c r="L61" s="57">
        <v>0</v>
      </c>
      <c r="M61" s="57">
        <f>SUM(K61:L61)</f>
        <v>0</v>
      </c>
      <c r="N61" s="58"/>
      <c r="O61" s="55">
        <f>K61</f>
        <v>0</v>
      </c>
      <c r="P61" s="57">
        <v>0</v>
      </c>
      <c r="Q61" s="57">
        <f>SUM(O61:P61)</f>
        <v>0</v>
      </c>
      <c r="R61" s="58"/>
      <c r="S61" s="55">
        <f>O61</f>
        <v>0</v>
      </c>
      <c r="T61" s="57">
        <v>0</v>
      </c>
      <c r="U61" s="57">
        <f>SUM(S61:T61)</f>
        <v>0</v>
      </c>
      <c r="V61" s="59"/>
      <c r="W61" s="124">
        <f t="shared" si="62"/>
        <v>0</v>
      </c>
      <c r="X61" s="57">
        <f t="shared" si="62"/>
        <v>0</v>
      </c>
      <c r="Y61" s="84">
        <f t="shared" si="62"/>
        <v>0</v>
      </c>
    </row>
    <row r="62" spans="1:25" s="61" customFormat="1" x14ac:dyDescent="0.25">
      <c r="A62" s="52"/>
      <c r="B62" s="52"/>
      <c r="C62" s="124">
        <v>0</v>
      </c>
      <c r="D62" s="56">
        <v>0</v>
      </c>
      <c r="E62" s="56">
        <f>SUM(C62:D62)</f>
        <v>0</v>
      </c>
      <c r="F62" s="58"/>
      <c r="G62" s="55">
        <v>0</v>
      </c>
      <c r="H62" s="57">
        <v>0</v>
      </c>
      <c r="I62" s="57">
        <f>SUM(G62:H62)</f>
        <v>0</v>
      </c>
      <c r="J62" s="58"/>
      <c r="K62" s="55">
        <v>0</v>
      </c>
      <c r="L62" s="57">
        <v>0</v>
      </c>
      <c r="M62" s="57">
        <f>SUM(K62:L62)</f>
        <v>0</v>
      </c>
      <c r="N62" s="58"/>
      <c r="O62" s="55">
        <v>0</v>
      </c>
      <c r="P62" s="57">
        <v>0</v>
      </c>
      <c r="Q62" s="57">
        <f>SUM(O62:P62)</f>
        <v>0</v>
      </c>
      <c r="R62" s="58"/>
      <c r="S62" s="55">
        <v>0</v>
      </c>
      <c r="T62" s="57">
        <v>0</v>
      </c>
      <c r="U62" s="57">
        <f>SUM(S62:T62)</f>
        <v>0</v>
      </c>
      <c r="V62" s="59"/>
      <c r="W62" s="124">
        <f t="shared" si="62"/>
        <v>0</v>
      </c>
      <c r="X62" s="57">
        <f t="shared" si="62"/>
        <v>0</v>
      </c>
      <c r="Y62" s="84">
        <f t="shared" si="62"/>
        <v>0</v>
      </c>
    </row>
    <row r="63" spans="1:25" s="83" customFormat="1" x14ac:dyDescent="0.25">
      <c r="A63" s="78"/>
      <c r="B63" s="78" t="s">
        <v>9</v>
      </c>
      <c r="C63" s="228">
        <f>SUM(C59:C62)</f>
        <v>0</v>
      </c>
      <c r="D63" s="125">
        <f>SUM(D59:D62)</f>
        <v>0</v>
      </c>
      <c r="E63" s="125">
        <f>SUM(E59:E62)</f>
        <v>0</v>
      </c>
      <c r="F63" s="81"/>
      <c r="G63" s="79">
        <f>SUM(G59:G62)</f>
        <v>0</v>
      </c>
      <c r="H63" s="125">
        <f>SUM(H59:H62)</f>
        <v>0</v>
      </c>
      <c r="I63" s="125">
        <f>SUM(I59:I62)</f>
        <v>0</v>
      </c>
      <c r="J63" s="81"/>
      <c r="K63" s="79">
        <f>SUM(K59:K62)</f>
        <v>0</v>
      </c>
      <c r="L63" s="125">
        <f>SUM(L59:L62)</f>
        <v>0</v>
      </c>
      <c r="M63" s="125">
        <f>SUM(M59:M62)</f>
        <v>0</v>
      </c>
      <c r="N63" s="81"/>
      <c r="O63" s="79">
        <f>SUM(O59:O62)</f>
        <v>0</v>
      </c>
      <c r="P63" s="125">
        <f>SUM(P59:P62)</f>
        <v>0</v>
      </c>
      <c r="Q63" s="125">
        <f>SUM(Q59:Q62)</f>
        <v>0</v>
      </c>
      <c r="R63" s="81"/>
      <c r="S63" s="79">
        <f>SUM(S59:S62)</f>
        <v>0</v>
      </c>
      <c r="T63" s="125">
        <f>SUM(T59:T62)</f>
        <v>0</v>
      </c>
      <c r="U63" s="125">
        <f>SUM(U59:U62)</f>
        <v>0</v>
      </c>
      <c r="V63" s="82"/>
      <c r="W63" s="228">
        <f t="shared" si="62"/>
        <v>0</v>
      </c>
      <c r="X63" s="80">
        <f t="shared" si="62"/>
        <v>0</v>
      </c>
      <c r="Y63" s="84">
        <f t="shared" si="62"/>
        <v>0</v>
      </c>
    </row>
    <row r="64" spans="1:25" s="77" customFormat="1" x14ac:dyDescent="0.25">
      <c r="A64" s="74" t="s">
        <v>8</v>
      </c>
      <c r="B64" s="74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129"/>
    </row>
    <row r="65" spans="1:25" s="61" customFormat="1" x14ac:dyDescent="0.25">
      <c r="A65" s="52"/>
      <c r="B65" s="52"/>
      <c r="C65" s="124">
        <v>0</v>
      </c>
      <c r="D65" s="56">
        <v>0</v>
      </c>
      <c r="E65" s="56">
        <f t="shared" ref="E65:E84" si="63">SUM(C65:D65)</f>
        <v>0</v>
      </c>
      <c r="F65" s="58"/>
      <c r="G65" s="55">
        <v>0</v>
      </c>
      <c r="H65" s="57">
        <v>0</v>
      </c>
      <c r="I65" s="57">
        <f t="shared" ref="I65:I84" si="64">SUM(G65:H65)</f>
        <v>0</v>
      </c>
      <c r="J65" s="58"/>
      <c r="K65" s="55">
        <v>0</v>
      </c>
      <c r="L65" s="57">
        <v>0</v>
      </c>
      <c r="M65" s="57">
        <f t="shared" ref="M65:M84" si="65">SUM(K65:L65)</f>
        <v>0</v>
      </c>
      <c r="N65" s="58"/>
      <c r="O65" s="55">
        <v>0</v>
      </c>
      <c r="P65" s="57">
        <v>0</v>
      </c>
      <c r="Q65" s="57">
        <f t="shared" ref="Q65:Q84" si="66">SUM(O65:P65)</f>
        <v>0</v>
      </c>
      <c r="R65" s="58"/>
      <c r="S65" s="55">
        <v>0</v>
      </c>
      <c r="T65" s="57">
        <v>0</v>
      </c>
      <c r="U65" s="57">
        <f t="shared" ref="U65:U84" si="67">SUM(S65:T65)</f>
        <v>0</v>
      </c>
      <c r="V65" s="59"/>
      <c r="W65" s="124">
        <f t="shared" ref="W65:W85" si="68">C65+G65+K65+O65+S65</f>
        <v>0</v>
      </c>
      <c r="X65" s="57">
        <f t="shared" ref="X65:X85" si="69">D65+H65+L65+P65+T65</f>
        <v>0</v>
      </c>
      <c r="Y65" s="84">
        <f t="shared" ref="Y65:Y85" si="70">E65+I65+M65+Q65+U65</f>
        <v>0</v>
      </c>
    </row>
    <row r="66" spans="1:25" s="61" customFormat="1" x14ac:dyDescent="0.25">
      <c r="A66" s="52"/>
      <c r="B66" s="195" t="s">
        <v>117</v>
      </c>
      <c r="C66" s="124">
        <f>60000*0</f>
        <v>0</v>
      </c>
      <c r="D66" s="56">
        <v>80000</v>
      </c>
      <c r="E66" s="56">
        <f t="shared" si="63"/>
        <v>80000</v>
      </c>
      <c r="F66" s="58"/>
      <c r="G66" s="55">
        <f>C66</f>
        <v>0</v>
      </c>
      <c r="H66" s="57">
        <f>D66</f>
        <v>80000</v>
      </c>
      <c r="I66" s="57">
        <f t="shared" si="64"/>
        <v>80000</v>
      </c>
      <c r="J66" s="58"/>
      <c r="K66" s="55">
        <f>G66</f>
        <v>0</v>
      </c>
      <c r="L66" s="57">
        <f>H66</f>
        <v>80000</v>
      </c>
      <c r="M66" s="57">
        <f t="shared" si="65"/>
        <v>80000</v>
      </c>
      <c r="N66" s="58"/>
      <c r="O66" s="55">
        <f>K66</f>
        <v>0</v>
      </c>
      <c r="P66" s="57">
        <f>L66</f>
        <v>80000</v>
      </c>
      <c r="Q66" s="57">
        <f t="shared" si="66"/>
        <v>80000</v>
      </c>
      <c r="R66" s="58"/>
      <c r="S66" s="55">
        <f>O66</f>
        <v>0</v>
      </c>
      <c r="T66" s="57">
        <f>P66</f>
        <v>80000</v>
      </c>
      <c r="U66" s="57">
        <f t="shared" si="67"/>
        <v>80000</v>
      </c>
      <c r="V66" s="59"/>
      <c r="W66" s="124">
        <f t="shared" si="68"/>
        <v>0</v>
      </c>
      <c r="X66" s="196">
        <f t="shared" si="69"/>
        <v>400000</v>
      </c>
      <c r="Y66" s="194">
        <f t="shared" si="70"/>
        <v>400000</v>
      </c>
    </row>
    <row r="67" spans="1:25" s="61" customFormat="1" x14ac:dyDescent="0.25">
      <c r="A67" s="54"/>
      <c r="B67" s="54" t="s">
        <v>57</v>
      </c>
      <c r="C67" s="124">
        <f>7500*0</f>
        <v>0</v>
      </c>
      <c r="D67" s="56">
        <v>0</v>
      </c>
      <c r="E67" s="56">
        <f t="shared" si="63"/>
        <v>0</v>
      </c>
      <c r="F67" s="58"/>
      <c r="G67" s="55">
        <f>C67</f>
        <v>0</v>
      </c>
      <c r="H67" s="57">
        <v>0</v>
      </c>
      <c r="I67" s="57">
        <f t="shared" si="64"/>
        <v>0</v>
      </c>
      <c r="J67" s="58"/>
      <c r="K67" s="55">
        <f>G67</f>
        <v>0</v>
      </c>
      <c r="L67" s="57">
        <v>0</v>
      </c>
      <c r="M67" s="57">
        <f t="shared" si="65"/>
        <v>0</v>
      </c>
      <c r="N67" s="58"/>
      <c r="O67" s="55">
        <f>K67</f>
        <v>0</v>
      </c>
      <c r="P67" s="57">
        <v>0</v>
      </c>
      <c r="Q67" s="57">
        <f t="shared" si="66"/>
        <v>0</v>
      </c>
      <c r="R67" s="58"/>
      <c r="S67" s="55">
        <f>O67</f>
        <v>0</v>
      </c>
      <c r="T67" s="57">
        <v>0</v>
      </c>
      <c r="U67" s="57">
        <f t="shared" si="67"/>
        <v>0</v>
      </c>
      <c r="V67" s="59"/>
      <c r="W67" s="124">
        <f t="shared" si="68"/>
        <v>0</v>
      </c>
      <c r="X67" s="57">
        <f t="shared" si="69"/>
        <v>0</v>
      </c>
      <c r="Y67" s="84">
        <f t="shared" si="70"/>
        <v>0</v>
      </c>
    </row>
    <row r="68" spans="1:25" s="61" customFormat="1" x14ac:dyDescent="0.25">
      <c r="A68" s="54"/>
      <c r="B68" s="54" t="s">
        <v>57</v>
      </c>
      <c r="C68" s="124">
        <v>0</v>
      </c>
      <c r="D68" s="56">
        <v>0</v>
      </c>
      <c r="E68" s="56">
        <f t="shared" si="63"/>
        <v>0</v>
      </c>
      <c r="F68" s="58"/>
      <c r="G68" s="55">
        <v>0</v>
      </c>
      <c r="H68" s="57">
        <v>0</v>
      </c>
      <c r="I68" s="57">
        <f t="shared" si="64"/>
        <v>0</v>
      </c>
      <c r="J68" s="58"/>
      <c r="K68" s="55">
        <v>0</v>
      </c>
      <c r="L68" s="57">
        <v>0</v>
      </c>
      <c r="M68" s="57">
        <f t="shared" si="65"/>
        <v>0</v>
      </c>
      <c r="N68" s="58"/>
      <c r="O68" s="55">
        <v>0</v>
      </c>
      <c r="P68" s="57">
        <v>0</v>
      </c>
      <c r="Q68" s="57">
        <f t="shared" si="66"/>
        <v>0</v>
      </c>
      <c r="R68" s="58"/>
      <c r="S68" s="55">
        <v>0</v>
      </c>
      <c r="T68" s="57">
        <v>0</v>
      </c>
      <c r="U68" s="57">
        <f t="shared" si="67"/>
        <v>0</v>
      </c>
      <c r="V68" s="59"/>
      <c r="W68" s="124">
        <f t="shared" si="68"/>
        <v>0</v>
      </c>
      <c r="X68" s="57">
        <f t="shared" si="69"/>
        <v>0</v>
      </c>
      <c r="Y68" s="84">
        <f t="shared" si="70"/>
        <v>0</v>
      </c>
    </row>
    <row r="69" spans="1:25" s="61" customFormat="1" x14ac:dyDescent="0.25">
      <c r="A69" s="54"/>
      <c r="B69" s="195" t="s">
        <v>76</v>
      </c>
      <c r="C69" s="124">
        <f>35000*0</f>
        <v>0</v>
      </c>
      <c r="D69" s="56">
        <v>35000</v>
      </c>
      <c r="E69" s="56">
        <f t="shared" si="63"/>
        <v>35000</v>
      </c>
      <c r="F69" s="58"/>
      <c r="G69" s="55">
        <f>C69</f>
        <v>0</v>
      </c>
      <c r="H69" s="57">
        <f>35000</f>
        <v>35000</v>
      </c>
      <c r="I69" s="57">
        <f t="shared" si="64"/>
        <v>35000</v>
      </c>
      <c r="J69" s="58"/>
      <c r="K69" s="55">
        <f>G69*0</f>
        <v>0</v>
      </c>
      <c r="L69" s="57">
        <f>H69</f>
        <v>35000</v>
      </c>
      <c r="M69" s="57">
        <f t="shared" si="65"/>
        <v>35000</v>
      </c>
      <c r="N69" s="58"/>
      <c r="O69" s="55">
        <f>K69</f>
        <v>0</v>
      </c>
      <c r="P69" s="57">
        <f>L69</f>
        <v>35000</v>
      </c>
      <c r="Q69" s="57">
        <f t="shared" si="66"/>
        <v>35000</v>
      </c>
      <c r="R69" s="58"/>
      <c r="S69" s="55">
        <f>O69</f>
        <v>0</v>
      </c>
      <c r="T69" s="57">
        <f>P69</f>
        <v>35000</v>
      </c>
      <c r="U69" s="57">
        <f t="shared" si="67"/>
        <v>35000</v>
      </c>
      <c r="V69" s="59"/>
      <c r="W69" s="124">
        <f t="shared" si="68"/>
        <v>0</v>
      </c>
      <c r="X69" s="196">
        <f t="shared" si="69"/>
        <v>175000</v>
      </c>
      <c r="Y69" s="194">
        <f t="shared" si="70"/>
        <v>175000</v>
      </c>
    </row>
    <row r="70" spans="1:25" s="61" customFormat="1" x14ac:dyDescent="0.25">
      <c r="A70" s="54"/>
      <c r="B70" s="52"/>
      <c r="C70" s="124">
        <v>0</v>
      </c>
      <c r="D70" s="56">
        <v>0</v>
      </c>
      <c r="E70" s="56">
        <f t="shared" si="63"/>
        <v>0</v>
      </c>
      <c r="F70" s="58"/>
      <c r="G70" s="55">
        <v>0</v>
      </c>
      <c r="H70" s="57">
        <v>0</v>
      </c>
      <c r="I70" s="57">
        <f t="shared" si="64"/>
        <v>0</v>
      </c>
      <c r="J70" s="58"/>
      <c r="K70" s="55">
        <v>0</v>
      </c>
      <c r="L70" s="57">
        <v>0</v>
      </c>
      <c r="M70" s="57">
        <f t="shared" si="65"/>
        <v>0</v>
      </c>
      <c r="N70" s="58"/>
      <c r="O70" s="55">
        <v>0</v>
      </c>
      <c r="P70" s="57">
        <v>0</v>
      </c>
      <c r="Q70" s="57">
        <f t="shared" si="66"/>
        <v>0</v>
      </c>
      <c r="R70" s="58"/>
      <c r="S70" s="55">
        <v>0</v>
      </c>
      <c r="T70" s="57">
        <v>0</v>
      </c>
      <c r="U70" s="57">
        <f t="shared" si="67"/>
        <v>0</v>
      </c>
      <c r="V70" s="59"/>
      <c r="W70" s="124">
        <f t="shared" si="68"/>
        <v>0</v>
      </c>
      <c r="X70" s="57">
        <f t="shared" si="69"/>
        <v>0</v>
      </c>
      <c r="Y70" s="84">
        <f t="shared" si="70"/>
        <v>0</v>
      </c>
    </row>
    <row r="71" spans="1:25" s="61" customFormat="1" x14ac:dyDescent="0.25">
      <c r="A71" s="54" t="s">
        <v>57</v>
      </c>
      <c r="B71" s="195" t="s">
        <v>192</v>
      </c>
      <c r="C71" s="124">
        <f>1500*5*0</f>
        <v>0</v>
      </c>
      <c r="D71" s="56">
        <f>1500*5</f>
        <v>7500</v>
      </c>
      <c r="E71" s="56">
        <f t="shared" si="63"/>
        <v>7500</v>
      </c>
      <c r="F71" s="58"/>
      <c r="G71" s="55">
        <f>C71</f>
        <v>0</v>
      </c>
      <c r="H71" s="57">
        <f>D71</f>
        <v>7500</v>
      </c>
      <c r="I71" s="57">
        <f t="shared" si="64"/>
        <v>7500</v>
      </c>
      <c r="J71" s="58"/>
      <c r="K71" s="55">
        <f>G71</f>
        <v>0</v>
      </c>
      <c r="L71" s="57">
        <f>H71</f>
        <v>7500</v>
      </c>
      <c r="M71" s="57">
        <f t="shared" si="65"/>
        <v>7500</v>
      </c>
      <c r="N71" s="58"/>
      <c r="O71" s="55">
        <f>K71</f>
        <v>0</v>
      </c>
      <c r="P71" s="57">
        <f>L71</f>
        <v>7500</v>
      </c>
      <c r="Q71" s="57">
        <f t="shared" si="66"/>
        <v>7500</v>
      </c>
      <c r="R71" s="58"/>
      <c r="S71" s="55">
        <f>O71</f>
        <v>0</v>
      </c>
      <c r="T71" s="57">
        <f>P71</f>
        <v>7500</v>
      </c>
      <c r="U71" s="57">
        <f t="shared" si="67"/>
        <v>7500</v>
      </c>
      <c r="V71" s="59"/>
      <c r="W71" s="124">
        <f t="shared" si="68"/>
        <v>0</v>
      </c>
      <c r="X71" s="196">
        <f t="shared" si="69"/>
        <v>37500</v>
      </c>
      <c r="Y71" s="194">
        <f t="shared" si="70"/>
        <v>37500</v>
      </c>
    </row>
    <row r="72" spans="1:25" s="61" customFormat="1" x14ac:dyDescent="0.25">
      <c r="A72" s="54" t="s">
        <v>57</v>
      </c>
      <c r="B72" s="195" t="s">
        <v>193</v>
      </c>
      <c r="C72" s="124">
        <f>(5*4000)+1000-21000</f>
        <v>0</v>
      </c>
      <c r="D72" s="56">
        <f>21000</f>
        <v>21000</v>
      </c>
      <c r="E72" s="56">
        <f t="shared" si="63"/>
        <v>21000</v>
      </c>
      <c r="F72" s="58"/>
      <c r="G72" s="55">
        <f>C72*0</f>
        <v>0</v>
      </c>
      <c r="H72" s="57">
        <v>21000</v>
      </c>
      <c r="I72" s="57">
        <f t="shared" si="64"/>
        <v>21000</v>
      </c>
      <c r="J72" s="58"/>
      <c r="K72" s="55">
        <f>G72*0</f>
        <v>0</v>
      </c>
      <c r="L72" s="57">
        <f>H72</f>
        <v>21000</v>
      </c>
      <c r="M72" s="57">
        <f t="shared" si="65"/>
        <v>21000</v>
      </c>
      <c r="N72" s="58"/>
      <c r="O72" s="55">
        <f>K72*0</f>
        <v>0</v>
      </c>
      <c r="P72" s="57">
        <f>L72</f>
        <v>21000</v>
      </c>
      <c r="Q72" s="57">
        <f t="shared" si="66"/>
        <v>21000</v>
      </c>
      <c r="R72" s="58"/>
      <c r="S72" s="55">
        <f>O72*0</f>
        <v>0</v>
      </c>
      <c r="T72" s="57">
        <f>P72</f>
        <v>21000</v>
      </c>
      <c r="U72" s="57">
        <f t="shared" si="67"/>
        <v>21000</v>
      </c>
      <c r="V72" s="59"/>
      <c r="W72" s="124">
        <f t="shared" si="68"/>
        <v>0</v>
      </c>
      <c r="X72" s="196">
        <f t="shared" si="69"/>
        <v>105000</v>
      </c>
      <c r="Y72" s="194">
        <f t="shared" si="70"/>
        <v>105000</v>
      </c>
    </row>
    <row r="73" spans="1:25" s="61" customFormat="1" x14ac:dyDescent="0.25">
      <c r="A73" s="87"/>
      <c r="B73" s="54"/>
      <c r="C73" s="124">
        <v>0</v>
      </c>
      <c r="D73" s="56">
        <v>0</v>
      </c>
      <c r="E73" s="56">
        <f t="shared" ref="E73" si="71">SUM(C73:D73)</f>
        <v>0</v>
      </c>
      <c r="F73" s="58"/>
      <c r="G73" s="55">
        <v>0</v>
      </c>
      <c r="H73" s="57">
        <v>0</v>
      </c>
      <c r="I73" s="57">
        <f t="shared" ref="I73" si="72">SUM(G73:H73)</f>
        <v>0</v>
      </c>
      <c r="J73" s="58"/>
      <c r="K73" s="55">
        <v>0</v>
      </c>
      <c r="L73" s="57">
        <v>0</v>
      </c>
      <c r="M73" s="57">
        <f t="shared" ref="M73" si="73">SUM(K73:L73)</f>
        <v>0</v>
      </c>
      <c r="N73" s="58"/>
      <c r="O73" s="55">
        <v>0</v>
      </c>
      <c r="P73" s="57">
        <v>0</v>
      </c>
      <c r="Q73" s="57">
        <f t="shared" ref="Q73" si="74">SUM(O73:P73)</f>
        <v>0</v>
      </c>
      <c r="R73" s="58"/>
      <c r="S73" s="55">
        <v>0</v>
      </c>
      <c r="T73" s="57">
        <v>0</v>
      </c>
      <c r="U73" s="57">
        <f t="shared" ref="U73" si="75">SUM(S73:T73)</f>
        <v>0</v>
      </c>
      <c r="V73" s="59"/>
      <c r="W73" s="124">
        <f t="shared" ref="W73" si="76">C73+G73+K73+O73+S73</f>
        <v>0</v>
      </c>
      <c r="X73" s="57">
        <f t="shared" ref="X73" si="77">D73+H73+L73+P73+T73</f>
        <v>0</v>
      </c>
      <c r="Y73" s="84">
        <f t="shared" ref="Y73" si="78">E73+I73+M73+Q73+U73</f>
        <v>0</v>
      </c>
    </row>
    <row r="74" spans="1:25" s="61" customFormat="1" x14ac:dyDescent="0.25">
      <c r="A74" s="87"/>
      <c r="B74" s="54"/>
      <c r="C74" s="124">
        <f>278067-201384-10000-66683</f>
        <v>0</v>
      </c>
      <c r="D74" s="56">
        <v>0</v>
      </c>
      <c r="E74" s="56">
        <f t="shared" si="63"/>
        <v>0</v>
      </c>
      <c r="F74" s="58"/>
      <c r="G74" s="55">
        <v>0</v>
      </c>
      <c r="H74" s="57">
        <v>0</v>
      </c>
      <c r="I74" s="57">
        <f t="shared" si="64"/>
        <v>0</v>
      </c>
      <c r="J74" s="58"/>
      <c r="K74" s="55">
        <v>0</v>
      </c>
      <c r="L74" s="57">
        <v>0</v>
      </c>
      <c r="M74" s="57">
        <f t="shared" si="65"/>
        <v>0</v>
      </c>
      <c r="N74" s="58"/>
      <c r="O74" s="55">
        <v>0</v>
      </c>
      <c r="P74" s="57">
        <v>0</v>
      </c>
      <c r="Q74" s="57">
        <f t="shared" si="66"/>
        <v>0</v>
      </c>
      <c r="R74" s="58"/>
      <c r="S74" s="55">
        <v>0</v>
      </c>
      <c r="T74" s="57">
        <v>0</v>
      </c>
      <c r="U74" s="57">
        <f t="shared" si="67"/>
        <v>0</v>
      </c>
      <c r="V74" s="59"/>
      <c r="W74" s="124">
        <f t="shared" si="68"/>
        <v>0</v>
      </c>
      <c r="X74" s="57">
        <f t="shared" si="69"/>
        <v>0</v>
      </c>
      <c r="Y74" s="84">
        <f t="shared" si="70"/>
        <v>0</v>
      </c>
    </row>
    <row r="75" spans="1:25" s="61" customFormat="1" x14ac:dyDescent="0.25">
      <c r="A75" s="235"/>
      <c r="B75" s="199" t="s">
        <v>57</v>
      </c>
      <c r="C75" s="55"/>
      <c r="D75" s="57">
        <v>0</v>
      </c>
      <c r="E75" s="57">
        <f t="shared" si="63"/>
        <v>0</v>
      </c>
      <c r="F75" s="58"/>
      <c r="G75" s="55">
        <f>10*2000*0</f>
        <v>0</v>
      </c>
      <c r="H75" s="57">
        <f>20000*0</f>
        <v>0</v>
      </c>
      <c r="I75" s="57">
        <f t="shared" si="64"/>
        <v>0</v>
      </c>
      <c r="J75" s="58"/>
      <c r="K75" s="55">
        <v>0</v>
      </c>
      <c r="L75" s="57">
        <v>0</v>
      </c>
      <c r="M75" s="57">
        <f t="shared" si="65"/>
        <v>0</v>
      </c>
      <c r="N75" s="58"/>
      <c r="O75" s="55">
        <v>0</v>
      </c>
      <c r="P75" s="57">
        <v>0</v>
      </c>
      <c r="Q75" s="57">
        <f t="shared" si="66"/>
        <v>0</v>
      </c>
      <c r="R75" s="58"/>
      <c r="S75" s="55">
        <v>0</v>
      </c>
      <c r="T75" s="57">
        <v>0</v>
      </c>
      <c r="U75" s="57">
        <f t="shared" si="67"/>
        <v>0</v>
      </c>
      <c r="V75" s="59"/>
      <c r="W75" s="124">
        <f t="shared" si="68"/>
        <v>0</v>
      </c>
      <c r="X75" s="57">
        <f t="shared" si="69"/>
        <v>0</v>
      </c>
      <c r="Y75" s="202">
        <f t="shared" si="70"/>
        <v>0</v>
      </c>
    </row>
    <row r="76" spans="1:25" s="61" customFormat="1" x14ac:dyDescent="0.25">
      <c r="A76" s="87"/>
      <c r="B76" s="54"/>
      <c r="C76" s="124">
        <v>0</v>
      </c>
      <c r="D76" s="56">
        <v>0</v>
      </c>
      <c r="E76" s="56">
        <f t="shared" si="63"/>
        <v>0</v>
      </c>
      <c r="F76" s="58"/>
      <c r="G76" s="55">
        <v>0</v>
      </c>
      <c r="H76" s="57">
        <v>0</v>
      </c>
      <c r="I76" s="57">
        <f t="shared" si="64"/>
        <v>0</v>
      </c>
      <c r="J76" s="58"/>
      <c r="K76" s="55">
        <v>0</v>
      </c>
      <c r="L76" s="57">
        <v>0</v>
      </c>
      <c r="M76" s="57">
        <f t="shared" si="65"/>
        <v>0</v>
      </c>
      <c r="N76" s="58"/>
      <c r="O76" s="55">
        <v>0</v>
      </c>
      <c r="P76" s="57">
        <v>0</v>
      </c>
      <c r="Q76" s="57">
        <f t="shared" si="66"/>
        <v>0</v>
      </c>
      <c r="R76" s="58"/>
      <c r="S76" s="55">
        <v>0</v>
      </c>
      <c r="T76" s="57">
        <v>0</v>
      </c>
      <c r="U76" s="57">
        <f t="shared" si="67"/>
        <v>0</v>
      </c>
      <c r="V76" s="59"/>
      <c r="W76" s="124">
        <f t="shared" si="68"/>
        <v>0</v>
      </c>
      <c r="X76" s="57">
        <f t="shared" si="69"/>
        <v>0</v>
      </c>
      <c r="Y76" s="84">
        <f t="shared" si="70"/>
        <v>0</v>
      </c>
    </row>
    <row r="77" spans="1:25" s="61" customFormat="1" x14ac:dyDescent="0.25">
      <c r="A77" s="87"/>
      <c r="B77" s="54"/>
      <c r="C77" s="124">
        <v>0</v>
      </c>
      <c r="D77" s="56">
        <v>0</v>
      </c>
      <c r="E77" s="56">
        <f t="shared" si="63"/>
        <v>0</v>
      </c>
      <c r="F77" s="58"/>
      <c r="G77" s="55">
        <v>0</v>
      </c>
      <c r="H77" s="57">
        <v>0</v>
      </c>
      <c r="I77" s="57">
        <f t="shared" si="64"/>
        <v>0</v>
      </c>
      <c r="J77" s="58"/>
      <c r="K77" s="55">
        <v>0</v>
      </c>
      <c r="L77" s="57">
        <v>0</v>
      </c>
      <c r="M77" s="57">
        <f t="shared" si="65"/>
        <v>0</v>
      </c>
      <c r="N77" s="58"/>
      <c r="O77" s="55">
        <v>0</v>
      </c>
      <c r="P77" s="57">
        <v>0</v>
      </c>
      <c r="Q77" s="57">
        <f t="shared" si="66"/>
        <v>0</v>
      </c>
      <c r="R77" s="58"/>
      <c r="S77" s="55">
        <v>0</v>
      </c>
      <c r="T77" s="57">
        <v>0</v>
      </c>
      <c r="U77" s="57">
        <f t="shared" si="67"/>
        <v>0</v>
      </c>
      <c r="V77" s="59"/>
      <c r="W77" s="124">
        <f t="shared" si="68"/>
        <v>0</v>
      </c>
      <c r="X77" s="57">
        <f t="shared" si="69"/>
        <v>0</v>
      </c>
      <c r="Y77" s="84">
        <f t="shared" si="70"/>
        <v>0</v>
      </c>
    </row>
    <row r="78" spans="1:25" s="61" customFormat="1" x14ac:dyDescent="0.25">
      <c r="A78" s="87"/>
      <c r="B78" s="54"/>
      <c r="C78" s="124">
        <v>0</v>
      </c>
      <c r="D78" s="56">
        <v>0</v>
      </c>
      <c r="E78" s="56">
        <f t="shared" si="63"/>
        <v>0</v>
      </c>
      <c r="F78" s="58"/>
      <c r="G78" s="55">
        <v>0</v>
      </c>
      <c r="H78" s="57">
        <v>0</v>
      </c>
      <c r="I78" s="57">
        <f t="shared" si="64"/>
        <v>0</v>
      </c>
      <c r="J78" s="58"/>
      <c r="K78" s="55">
        <v>0</v>
      </c>
      <c r="L78" s="57">
        <v>0</v>
      </c>
      <c r="M78" s="57">
        <f t="shared" si="65"/>
        <v>0</v>
      </c>
      <c r="N78" s="58"/>
      <c r="O78" s="55">
        <v>0</v>
      </c>
      <c r="P78" s="57">
        <v>0</v>
      </c>
      <c r="Q78" s="57">
        <f t="shared" si="66"/>
        <v>0</v>
      </c>
      <c r="R78" s="58"/>
      <c r="S78" s="55">
        <v>0</v>
      </c>
      <c r="T78" s="57">
        <v>0</v>
      </c>
      <c r="U78" s="57">
        <f t="shared" si="67"/>
        <v>0</v>
      </c>
      <c r="V78" s="59"/>
      <c r="W78" s="124">
        <f t="shared" si="68"/>
        <v>0</v>
      </c>
      <c r="X78" s="57">
        <f t="shared" si="69"/>
        <v>0</v>
      </c>
      <c r="Y78" s="84">
        <f t="shared" si="70"/>
        <v>0</v>
      </c>
    </row>
    <row r="79" spans="1:25" s="61" customFormat="1" x14ac:dyDescent="0.25">
      <c r="A79" s="87"/>
      <c r="B79" s="54"/>
      <c r="C79" s="124">
        <v>0</v>
      </c>
      <c r="D79" s="56">
        <v>0</v>
      </c>
      <c r="E79" s="56">
        <f t="shared" si="63"/>
        <v>0</v>
      </c>
      <c r="F79" s="58"/>
      <c r="G79" s="55">
        <v>0</v>
      </c>
      <c r="H79" s="57">
        <v>0</v>
      </c>
      <c r="I79" s="57">
        <f t="shared" si="64"/>
        <v>0</v>
      </c>
      <c r="J79" s="58"/>
      <c r="K79" s="55">
        <v>0</v>
      </c>
      <c r="L79" s="57">
        <v>0</v>
      </c>
      <c r="M79" s="57">
        <f t="shared" si="65"/>
        <v>0</v>
      </c>
      <c r="N79" s="58"/>
      <c r="O79" s="55">
        <v>0</v>
      </c>
      <c r="P79" s="57">
        <v>0</v>
      </c>
      <c r="Q79" s="57">
        <f t="shared" si="66"/>
        <v>0</v>
      </c>
      <c r="R79" s="58"/>
      <c r="S79" s="55">
        <v>0</v>
      </c>
      <c r="T79" s="57">
        <v>0</v>
      </c>
      <c r="U79" s="57">
        <f t="shared" si="67"/>
        <v>0</v>
      </c>
      <c r="V79" s="59"/>
      <c r="W79" s="124">
        <f t="shared" si="68"/>
        <v>0</v>
      </c>
      <c r="X79" s="57">
        <f t="shared" si="69"/>
        <v>0</v>
      </c>
      <c r="Y79" s="84">
        <f t="shared" si="70"/>
        <v>0</v>
      </c>
    </row>
    <row r="80" spans="1:25" s="61" customFormat="1" x14ac:dyDescent="0.25">
      <c r="A80" s="52"/>
      <c r="B80" s="52"/>
      <c r="C80" s="124">
        <v>0</v>
      </c>
      <c r="D80" s="56">
        <v>0</v>
      </c>
      <c r="E80" s="56">
        <f t="shared" si="63"/>
        <v>0</v>
      </c>
      <c r="F80" s="58"/>
      <c r="G80" s="55">
        <v>0</v>
      </c>
      <c r="H80" s="57">
        <v>0</v>
      </c>
      <c r="I80" s="57">
        <f t="shared" si="64"/>
        <v>0</v>
      </c>
      <c r="J80" s="58"/>
      <c r="K80" s="55">
        <v>0</v>
      </c>
      <c r="L80" s="57">
        <v>0</v>
      </c>
      <c r="M80" s="57">
        <f t="shared" si="65"/>
        <v>0</v>
      </c>
      <c r="N80" s="58"/>
      <c r="O80" s="55">
        <v>0</v>
      </c>
      <c r="P80" s="57">
        <v>0</v>
      </c>
      <c r="Q80" s="57">
        <f t="shared" si="66"/>
        <v>0</v>
      </c>
      <c r="R80" s="58"/>
      <c r="S80" s="55">
        <v>0</v>
      </c>
      <c r="T80" s="57">
        <v>0</v>
      </c>
      <c r="U80" s="57">
        <f t="shared" si="67"/>
        <v>0</v>
      </c>
      <c r="V80" s="59"/>
      <c r="W80" s="124">
        <f t="shared" si="68"/>
        <v>0</v>
      </c>
      <c r="X80" s="57">
        <f t="shared" si="69"/>
        <v>0</v>
      </c>
      <c r="Y80" s="84">
        <f t="shared" si="70"/>
        <v>0</v>
      </c>
    </row>
    <row r="81" spans="1:77" s="61" customFormat="1" x14ac:dyDescent="0.25">
      <c r="A81" s="52"/>
      <c r="B81" s="54"/>
      <c r="C81" s="124">
        <v>0</v>
      </c>
      <c r="D81" s="56">
        <v>0</v>
      </c>
      <c r="E81" s="56">
        <f t="shared" si="63"/>
        <v>0</v>
      </c>
      <c r="F81" s="58"/>
      <c r="G81" s="55">
        <v>0</v>
      </c>
      <c r="H81" s="57">
        <v>0</v>
      </c>
      <c r="I81" s="57">
        <f t="shared" si="64"/>
        <v>0</v>
      </c>
      <c r="J81" s="58"/>
      <c r="K81" s="55">
        <v>0</v>
      </c>
      <c r="L81" s="57">
        <v>0</v>
      </c>
      <c r="M81" s="57">
        <f t="shared" si="65"/>
        <v>0</v>
      </c>
      <c r="N81" s="58"/>
      <c r="O81" s="55">
        <v>0</v>
      </c>
      <c r="P81" s="57">
        <v>0</v>
      </c>
      <c r="Q81" s="57">
        <f t="shared" si="66"/>
        <v>0</v>
      </c>
      <c r="R81" s="58"/>
      <c r="S81" s="55">
        <v>0</v>
      </c>
      <c r="T81" s="57">
        <v>0</v>
      </c>
      <c r="U81" s="57">
        <f t="shared" si="67"/>
        <v>0</v>
      </c>
      <c r="V81" s="59"/>
      <c r="W81" s="124">
        <f t="shared" si="68"/>
        <v>0</v>
      </c>
      <c r="X81" s="57">
        <f t="shared" si="69"/>
        <v>0</v>
      </c>
      <c r="Y81" s="84">
        <f t="shared" si="70"/>
        <v>0</v>
      </c>
    </row>
    <row r="82" spans="1:77" s="61" customFormat="1" x14ac:dyDescent="0.25">
      <c r="A82" s="52"/>
      <c r="B82" s="54"/>
      <c r="C82" s="124">
        <v>0</v>
      </c>
      <c r="D82" s="56">
        <v>0</v>
      </c>
      <c r="E82" s="56">
        <f t="shared" si="63"/>
        <v>0</v>
      </c>
      <c r="F82" s="58"/>
      <c r="G82" s="55">
        <v>0</v>
      </c>
      <c r="H82" s="57">
        <v>0</v>
      </c>
      <c r="I82" s="57">
        <f t="shared" si="64"/>
        <v>0</v>
      </c>
      <c r="J82" s="58"/>
      <c r="K82" s="55">
        <v>0</v>
      </c>
      <c r="L82" s="57">
        <v>0</v>
      </c>
      <c r="M82" s="57">
        <f t="shared" si="65"/>
        <v>0</v>
      </c>
      <c r="N82" s="58"/>
      <c r="O82" s="55">
        <v>0</v>
      </c>
      <c r="P82" s="57">
        <v>0</v>
      </c>
      <c r="Q82" s="57">
        <f t="shared" si="66"/>
        <v>0</v>
      </c>
      <c r="R82" s="58"/>
      <c r="S82" s="55">
        <v>0</v>
      </c>
      <c r="T82" s="57">
        <v>0</v>
      </c>
      <c r="U82" s="57">
        <f t="shared" si="67"/>
        <v>0</v>
      </c>
      <c r="V82" s="59"/>
      <c r="W82" s="124">
        <f t="shared" si="68"/>
        <v>0</v>
      </c>
      <c r="X82" s="57">
        <f t="shared" si="69"/>
        <v>0</v>
      </c>
      <c r="Y82" s="84">
        <f t="shared" si="70"/>
        <v>0</v>
      </c>
    </row>
    <row r="83" spans="1:77" s="61" customFormat="1" x14ac:dyDescent="0.25">
      <c r="A83" s="52"/>
      <c r="B83" s="54"/>
      <c r="C83" s="124">
        <v>0</v>
      </c>
      <c r="D83" s="56">
        <v>0</v>
      </c>
      <c r="E83" s="56">
        <f t="shared" si="63"/>
        <v>0</v>
      </c>
      <c r="F83" s="58"/>
      <c r="G83" s="55">
        <v>0</v>
      </c>
      <c r="H83" s="57">
        <v>0</v>
      </c>
      <c r="I83" s="57">
        <f t="shared" si="64"/>
        <v>0</v>
      </c>
      <c r="J83" s="58"/>
      <c r="K83" s="55">
        <v>0</v>
      </c>
      <c r="L83" s="57">
        <v>0</v>
      </c>
      <c r="M83" s="57">
        <f t="shared" si="65"/>
        <v>0</v>
      </c>
      <c r="N83" s="58"/>
      <c r="O83" s="55">
        <v>0</v>
      </c>
      <c r="P83" s="57">
        <v>0</v>
      </c>
      <c r="Q83" s="57">
        <f t="shared" si="66"/>
        <v>0</v>
      </c>
      <c r="R83" s="58"/>
      <c r="S83" s="55">
        <v>0</v>
      </c>
      <c r="T83" s="57">
        <v>0</v>
      </c>
      <c r="U83" s="57">
        <f t="shared" si="67"/>
        <v>0</v>
      </c>
      <c r="V83" s="59"/>
      <c r="W83" s="124">
        <f t="shared" si="68"/>
        <v>0</v>
      </c>
      <c r="X83" s="57">
        <f t="shared" si="69"/>
        <v>0</v>
      </c>
      <c r="Y83" s="84">
        <f t="shared" si="70"/>
        <v>0</v>
      </c>
    </row>
    <row r="84" spans="1:77" s="61" customFormat="1" x14ac:dyDescent="0.25">
      <c r="A84" s="52"/>
      <c r="B84" s="52"/>
      <c r="C84" s="124">
        <v>0</v>
      </c>
      <c r="D84" s="56">
        <v>0</v>
      </c>
      <c r="E84" s="56">
        <f t="shared" si="63"/>
        <v>0</v>
      </c>
      <c r="F84" s="58"/>
      <c r="G84" s="55">
        <v>0</v>
      </c>
      <c r="H84" s="57">
        <v>0</v>
      </c>
      <c r="I84" s="57">
        <f t="shared" si="64"/>
        <v>0</v>
      </c>
      <c r="J84" s="58"/>
      <c r="K84" s="55">
        <v>0</v>
      </c>
      <c r="L84" s="57">
        <v>0</v>
      </c>
      <c r="M84" s="57">
        <f t="shared" si="65"/>
        <v>0</v>
      </c>
      <c r="N84" s="58"/>
      <c r="O84" s="55">
        <v>0</v>
      </c>
      <c r="P84" s="57">
        <v>0</v>
      </c>
      <c r="Q84" s="57">
        <f t="shared" si="66"/>
        <v>0</v>
      </c>
      <c r="R84" s="58"/>
      <c r="S84" s="55">
        <v>0</v>
      </c>
      <c r="T84" s="57">
        <v>0</v>
      </c>
      <c r="U84" s="57">
        <f t="shared" si="67"/>
        <v>0</v>
      </c>
      <c r="V84" s="59"/>
      <c r="W84" s="124">
        <f t="shared" si="68"/>
        <v>0</v>
      </c>
      <c r="X84" s="57">
        <f t="shared" si="69"/>
        <v>0</v>
      </c>
      <c r="Y84" s="84">
        <f t="shared" si="70"/>
        <v>0</v>
      </c>
    </row>
    <row r="85" spans="1:77" s="83" customFormat="1" x14ac:dyDescent="0.25">
      <c r="A85" s="78"/>
      <c r="B85" s="78" t="s">
        <v>9</v>
      </c>
      <c r="C85" s="229">
        <f>SUM(C65:C84)</f>
        <v>0</v>
      </c>
      <c r="D85" s="153">
        <f>SUM(D65:D84)</f>
        <v>143500</v>
      </c>
      <c r="E85" s="153">
        <f>SUM(E65:E84)</f>
        <v>143500</v>
      </c>
      <c r="F85" s="154"/>
      <c r="G85" s="152">
        <f>SUM(G65:G84)</f>
        <v>0</v>
      </c>
      <c r="H85" s="153">
        <f>SUM(H65:H84)</f>
        <v>143500</v>
      </c>
      <c r="I85" s="153">
        <f>SUM(I65:I84)</f>
        <v>143500</v>
      </c>
      <c r="J85" s="154"/>
      <c r="K85" s="152">
        <f>SUM(K65:K84)</f>
        <v>0</v>
      </c>
      <c r="L85" s="153">
        <f>SUM(L65:L84)</f>
        <v>143500</v>
      </c>
      <c r="M85" s="153">
        <f>SUM(M65:M84)</f>
        <v>143500</v>
      </c>
      <c r="N85" s="154"/>
      <c r="O85" s="152">
        <f>SUM(O65:O84)</f>
        <v>0</v>
      </c>
      <c r="P85" s="153">
        <f>SUM(P65:P84)</f>
        <v>143500</v>
      </c>
      <c r="Q85" s="153">
        <f>SUM(Q65:Q84)</f>
        <v>143500</v>
      </c>
      <c r="R85" s="154"/>
      <c r="S85" s="152">
        <f>SUM(S65:S84)</f>
        <v>0</v>
      </c>
      <c r="T85" s="153">
        <f>SUM(T65:T84)</f>
        <v>143500</v>
      </c>
      <c r="U85" s="153">
        <f>SUM(U65:U84)</f>
        <v>143500</v>
      </c>
      <c r="V85" s="82"/>
      <c r="W85" s="228">
        <f t="shared" si="68"/>
        <v>0</v>
      </c>
      <c r="X85" s="80">
        <f t="shared" si="69"/>
        <v>717500</v>
      </c>
      <c r="Y85" s="80">
        <f t="shared" si="70"/>
        <v>717500</v>
      </c>
    </row>
    <row r="86" spans="1:77" s="97" customFormat="1" x14ac:dyDescent="0.25">
      <c r="A86" s="89" t="s">
        <v>28</v>
      </c>
      <c r="B86" s="89"/>
      <c r="C86" s="95">
        <f>C85+C63+C57+C49+C37</f>
        <v>48553.639680000008</v>
      </c>
      <c r="D86" s="95">
        <f t="shared" ref="D86:X86" si="79">D85+D63+D57+D49+D37</f>
        <v>182342.91174400001</v>
      </c>
      <c r="E86" s="95">
        <f>SUM(C86:D86)</f>
        <v>230896.551424</v>
      </c>
      <c r="F86" s="95"/>
      <c r="G86" s="95">
        <f t="shared" si="79"/>
        <v>50454.001782912004</v>
      </c>
      <c r="H86" s="95">
        <f t="shared" si="79"/>
        <v>183863.20142632962</v>
      </c>
      <c r="I86" s="95">
        <f>SUM(G86:H86)</f>
        <v>234317.20320924162</v>
      </c>
      <c r="J86" s="95"/>
      <c r="K86" s="95">
        <f t="shared" si="79"/>
        <v>52438.399301283345</v>
      </c>
      <c r="L86" s="95">
        <f t="shared" si="79"/>
        <v>185450.71944102668</v>
      </c>
      <c r="M86" s="95">
        <f>SUM(K86:L86)</f>
        <v>237889.11874231003</v>
      </c>
      <c r="N86" s="95"/>
      <c r="O86" s="95">
        <f t="shared" si="79"/>
        <v>54510.999092817263</v>
      </c>
      <c r="P86" s="95">
        <f t="shared" si="79"/>
        <v>187108.79927425383</v>
      </c>
      <c r="Q86" s="95">
        <f>SUM(O86:P86)</f>
        <v>241619.79836707108</v>
      </c>
      <c r="R86" s="95"/>
      <c r="S86" s="95">
        <f t="shared" si="79"/>
        <v>56676.193249878168</v>
      </c>
      <c r="T86" s="95">
        <f t="shared" si="79"/>
        <v>188840.95459990256</v>
      </c>
      <c r="U86" s="95">
        <f>SUM(S86:T86)</f>
        <v>245517.14784978074</v>
      </c>
      <c r="V86" s="95"/>
      <c r="W86" s="95">
        <f t="shared" si="79"/>
        <v>262633.23310689081</v>
      </c>
      <c r="X86" s="95">
        <f t="shared" si="79"/>
        <v>927606.58648551267</v>
      </c>
      <c r="Y86" s="95">
        <f>SUM(W86:X86)</f>
        <v>1190239.8195924035</v>
      </c>
      <c r="Z86" s="96"/>
      <c r="AA86" s="96">
        <f>Y86-W86</f>
        <v>927606.58648551267</v>
      </c>
    </row>
    <row r="87" spans="1:77" s="97" customFormat="1" x14ac:dyDescent="0.25">
      <c r="A87" s="89" t="s">
        <v>27</v>
      </c>
      <c r="B87" s="89"/>
      <c r="C87" s="95">
        <f>(C37+C57+C85)*0.5</f>
        <v>24276.819840000004</v>
      </c>
      <c r="D87" s="95">
        <v>0</v>
      </c>
      <c r="E87" s="95">
        <f>SUM(C87:D87)</f>
        <v>24276.819840000004</v>
      </c>
      <c r="F87" s="95"/>
      <c r="G87" s="95">
        <f>(G37+G57+G85)*0.5</f>
        <v>25227.000891456002</v>
      </c>
      <c r="H87" s="95">
        <v>0</v>
      </c>
      <c r="I87" s="95">
        <f>SUM(G87:H87)</f>
        <v>25227.000891456002</v>
      </c>
      <c r="J87" s="95">
        <f>(J37+J57+J85)*0.453</f>
        <v>0</v>
      </c>
      <c r="K87" s="95">
        <f>(K37+K57+K85)*0.5</f>
        <v>26219.199650641673</v>
      </c>
      <c r="L87" s="95">
        <v>0</v>
      </c>
      <c r="M87" s="95">
        <f>SUM(K87:L87)</f>
        <v>26219.199650641673</v>
      </c>
      <c r="N87" s="95">
        <f>(N37+N57+N85)*0.453</f>
        <v>0</v>
      </c>
      <c r="O87" s="95">
        <f>(O37+O57+O85)*0.5</f>
        <v>27255.499546408631</v>
      </c>
      <c r="P87" s="95">
        <v>0</v>
      </c>
      <c r="Q87" s="95">
        <f>SUM(O87:P87)</f>
        <v>27255.499546408631</v>
      </c>
      <c r="R87" s="95">
        <f>(R37+R57+R85)*0.453</f>
        <v>0</v>
      </c>
      <c r="S87" s="95">
        <f>(S37+S57+S85)*0.5</f>
        <v>28338.096624939084</v>
      </c>
      <c r="T87" s="95">
        <v>0</v>
      </c>
      <c r="U87" s="95">
        <f>SUM(S87:T87)</f>
        <v>28338.096624939084</v>
      </c>
      <c r="V87" s="95">
        <f>(V37+V57+V85)*0.453</f>
        <v>0</v>
      </c>
      <c r="W87" s="95">
        <f>(W37+W57+W85)*0.5</f>
        <v>131316.6165534454</v>
      </c>
      <c r="X87" s="95">
        <v>0</v>
      </c>
      <c r="Y87" s="95">
        <f>SUM(W87:X87)</f>
        <v>131316.6165534454</v>
      </c>
      <c r="Z87" s="96"/>
      <c r="AA87" s="96"/>
    </row>
    <row r="88" spans="1:77" s="97" customFormat="1" x14ac:dyDescent="0.25">
      <c r="A88" s="89" t="s">
        <v>29</v>
      </c>
      <c r="B88" s="89"/>
      <c r="C88" s="95">
        <f>SUM(C86:C87)</f>
        <v>72830.459520000004</v>
      </c>
      <c r="D88" s="95">
        <f t="shared" ref="D88:X88" si="80">SUM(D86:D87)</f>
        <v>182342.91174400001</v>
      </c>
      <c r="E88" s="95">
        <f>SUM(C88:D88)</f>
        <v>255173.37126400002</v>
      </c>
      <c r="F88" s="95">
        <f t="shared" si="80"/>
        <v>0</v>
      </c>
      <c r="G88" s="95">
        <f t="shared" si="80"/>
        <v>75681.002674368006</v>
      </c>
      <c r="H88" s="95">
        <f t="shared" si="80"/>
        <v>183863.20142632962</v>
      </c>
      <c r="I88" s="95">
        <f>SUM(G88:H88)</f>
        <v>259544.20410069762</v>
      </c>
      <c r="J88" s="95">
        <f t="shared" si="80"/>
        <v>0</v>
      </c>
      <c r="K88" s="95">
        <f t="shared" si="80"/>
        <v>78657.598951925014</v>
      </c>
      <c r="L88" s="95">
        <f t="shared" si="80"/>
        <v>185450.71944102668</v>
      </c>
      <c r="M88" s="95">
        <f>SUM(K88:L88)</f>
        <v>264108.31839295168</v>
      </c>
      <c r="N88" s="95">
        <f t="shared" si="80"/>
        <v>0</v>
      </c>
      <c r="O88" s="95">
        <f t="shared" si="80"/>
        <v>81766.498639225902</v>
      </c>
      <c r="P88" s="95">
        <f t="shared" si="80"/>
        <v>187108.79927425383</v>
      </c>
      <c r="Q88" s="95">
        <f>SUM(O88:P88)</f>
        <v>268875.29791347974</v>
      </c>
      <c r="R88" s="95">
        <f t="shared" si="80"/>
        <v>0</v>
      </c>
      <c r="S88" s="95">
        <f t="shared" si="80"/>
        <v>85014.289874817245</v>
      </c>
      <c r="T88" s="95">
        <f t="shared" si="80"/>
        <v>188840.95459990256</v>
      </c>
      <c r="U88" s="95">
        <f>SUM(S88:T88)</f>
        <v>273855.2444747198</v>
      </c>
      <c r="V88" s="95">
        <f t="shared" si="80"/>
        <v>0</v>
      </c>
      <c r="W88" s="95">
        <f t="shared" si="80"/>
        <v>393949.84966033621</v>
      </c>
      <c r="X88" s="95">
        <f t="shared" si="80"/>
        <v>927606.58648551267</v>
      </c>
      <c r="Y88" s="95">
        <f>SUM(W88:X88)</f>
        <v>1321556.4361458488</v>
      </c>
      <c r="Z88" s="96"/>
      <c r="AA88" s="96"/>
    </row>
    <row r="89" spans="1:77" s="30" customFormat="1" x14ac:dyDescent="0.25">
      <c r="A89" s="24"/>
      <c r="B89" s="24"/>
      <c r="C89" s="27"/>
      <c r="D89" s="27"/>
      <c r="E89" s="28"/>
      <c r="F89" s="24"/>
      <c r="G89" s="27"/>
      <c r="H89" s="27"/>
      <c r="I89" s="28"/>
      <c r="J89" s="24"/>
      <c r="K89" s="27"/>
      <c r="L89" s="27"/>
      <c r="M89" s="28"/>
      <c r="N89" s="24"/>
      <c r="O89" s="27"/>
      <c r="P89" s="27"/>
      <c r="Q89" s="28"/>
      <c r="R89" s="24"/>
      <c r="S89" s="27"/>
      <c r="T89" s="27"/>
      <c r="U89" s="28"/>
      <c r="V89" s="29"/>
      <c r="W89" s="28"/>
      <c r="X89" s="28"/>
      <c r="Y89" s="27"/>
      <c r="Z89" s="28"/>
      <c r="AA89" s="28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s="61" customFormat="1" x14ac:dyDescent="0.25">
      <c r="A92" s="52"/>
      <c r="B92" s="52"/>
      <c r="C92" s="124">
        <v>0</v>
      </c>
      <c r="D92" s="56">
        <v>0</v>
      </c>
      <c r="E92" s="56">
        <f t="shared" ref="E92:E98" si="81">SUM(C92:D92)</f>
        <v>0</v>
      </c>
      <c r="F92" s="58"/>
      <c r="G92" s="55">
        <f t="shared" ref="G92:G98" si="82">C92*1.035</f>
        <v>0</v>
      </c>
      <c r="H92" s="57">
        <f t="shared" ref="H92:H98" si="83">D92*1.05</f>
        <v>0</v>
      </c>
      <c r="I92" s="57">
        <f t="shared" ref="I92:I98" si="84">SUM(G92:H92)</f>
        <v>0</v>
      </c>
      <c r="J92" s="58"/>
      <c r="K92" s="55">
        <f t="shared" ref="K92:K98" si="85">G92*1.035</f>
        <v>0</v>
      </c>
      <c r="L92" s="57">
        <f t="shared" ref="L92:L98" si="86">H92*1.05</f>
        <v>0</v>
      </c>
      <c r="M92" s="57">
        <f t="shared" ref="M92:M98" si="87">SUM(K92:L92)</f>
        <v>0</v>
      </c>
      <c r="N92" s="58"/>
      <c r="O92" s="55">
        <f t="shared" ref="O92:O98" si="88">K92*1.035</f>
        <v>0</v>
      </c>
      <c r="P92" s="57">
        <f t="shared" ref="P92:P98" si="89">L92*1.05</f>
        <v>0</v>
      </c>
      <c r="Q92" s="57">
        <f t="shared" ref="Q92:Q98" si="90">SUM(O92:P92)</f>
        <v>0</v>
      </c>
      <c r="R92" s="58"/>
      <c r="S92" s="55">
        <f t="shared" ref="S92:S98" si="91">O92*1.035</f>
        <v>0</v>
      </c>
      <c r="T92" s="57">
        <f t="shared" ref="T92:T98" si="92">P92*1.05</f>
        <v>0</v>
      </c>
      <c r="U92" s="57">
        <f t="shared" ref="U92:U98" si="93">SUM(S92:T92)</f>
        <v>0</v>
      </c>
      <c r="V92" s="59"/>
      <c r="W92" s="124">
        <f t="shared" ref="W92:Y99" si="94">C92+G92+K92+O92+S92</f>
        <v>0</v>
      </c>
      <c r="X92" s="57">
        <f t="shared" si="94"/>
        <v>0</v>
      </c>
      <c r="Y92" s="84">
        <f t="shared" si="94"/>
        <v>0</v>
      </c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</row>
    <row r="93" spans="1:77" s="61" customFormat="1" x14ac:dyDescent="0.25">
      <c r="A93" s="52"/>
      <c r="B93" s="84"/>
      <c r="C93" s="124">
        <v>0</v>
      </c>
      <c r="D93" s="56">
        <v>0</v>
      </c>
      <c r="E93" s="56">
        <f t="shared" si="81"/>
        <v>0</v>
      </c>
      <c r="F93" s="58"/>
      <c r="G93" s="55">
        <f t="shared" si="82"/>
        <v>0</v>
      </c>
      <c r="H93" s="57">
        <f t="shared" si="83"/>
        <v>0</v>
      </c>
      <c r="I93" s="57">
        <f t="shared" si="84"/>
        <v>0</v>
      </c>
      <c r="J93" s="58"/>
      <c r="K93" s="55">
        <f t="shared" si="85"/>
        <v>0</v>
      </c>
      <c r="L93" s="57">
        <f t="shared" si="86"/>
        <v>0</v>
      </c>
      <c r="M93" s="57">
        <f t="shared" si="87"/>
        <v>0</v>
      </c>
      <c r="N93" s="58"/>
      <c r="O93" s="55">
        <f t="shared" si="88"/>
        <v>0</v>
      </c>
      <c r="P93" s="57">
        <f t="shared" si="89"/>
        <v>0</v>
      </c>
      <c r="Q93" s="57">
        <f t="shared" si="90"/>
        <v>0</v>
      </c>
      <c r="R93" s="58"/>
      <c r="S93" s="55">
        <f t="shared" si="91"/>
        <v>0</v>
      </c>
      <c r="T93" s="57">
        <f t="shared" si="92"/>
        <v>0</v>
      </c>
      <c r="U93" s="57">
        <f t="shared" si="93"/>
        <v>0</v>
      </c>
      <c r="V93" s="59"/>
      <c r="W93" s="124">
        <f t="shared" si="94"/>
        <v>0</v>
      </c>
      <c r="X93" s="57">
        <f t="shared" si="94"/>
        <v>0</v>
      </c>
      <c r="Y93" s="84">
        <f t="shared" si="94"/>
        <v>0</v>
      </c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</row>
    <row r="94" spans="1:77" s="61" customFormat="1" x14ac:dyDescent="0.25">
      <c r="A94" s="52"/>
      <c r="B94" s="52"/>
      <c r="C94" s="124">
        <v>0</v>
      </c>
      <c r="D94" s="56">
        <v>0</v>
      </c>
      <c r="E94" s="56">
        <f t="shared" si="81"/>
        <v>0</v>
      </c>
      <c r="F94" s="58"/>
      <c r="G94" s="55">
        <f t="shared" si="82"/>
        <v>0</v>
      </c>
      <c r="H94" s="57">
        <f t="shared" si="83"/>
        <v>0</v>
      </c>
      <c r="I94" s="57">
        <f t="shared" si="84"/>
        <v>0</v>
      </c>
      <c r="J94" s="58"/>
      <c r="K94" s="55">
        <f t="shared" si="85"/>
        <v>0</v>
      </c>
      <c r="L94" s="57">
        <f t="shared" si="86"/>
        <v>0</v>
      </c>
      <c r="M94" s="57">
        <f t="shared" si="87"/>
        <v>0</v>
      </c>
      <c r="N94" s="58"/>
      <c r="O94" s="55">
        <f t="shared" si="88"/>
        <v>0</v>
      </c>
      <c r="P94" s="57">
        <f t="shared" si="89"/>
        <v>0</v>
      </c>
      <c r="Q94" s="57">
        <f t="shared" si="90"/>
        <v>0</v>
      </c>
      <c r="R94" s="58"/>
      <c r="S94" s="55">
        <f t="shared" si="91"/>
        <v>0</v>
      </c>
      <c r="T94" s="57">
        <f t="shared" si="92"/>
        <v>0</v>
      </c>
      <c r="U94" s="57">
        <f t="shared" si="93"/>
        <v>0</v>
      </c>
      <c r="V94" s="59"/>
      <c r="W94" s="124">
        <f t="shared" si="94"/>
        <v>0</v>
      </c>
      <c r="X94" s="57">
        <f t="shared" si="94"/>
        <v>0</v>
      </c>
      <c r="Y94" s="84">
        <f t="shared" si="94"/>
        <v>0</v>
      </c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</row>
    <row r="95" spans="1:77" s="61" customFormat="1" x14ac:dyDescent="0.25">
      <c r="A95" s="52"/>
      <c r="B95" s="52"/>
      <c r="C95" s="124">
        <v>0</v>
      </c>
      <c r="D95" s="56">
        <v>0</v>
      </c>
      <c r="E95" s="56">
        <f t="shared" si="81"/>
        <v>0</v>
      </c>
      <c r="F95" s="58"/>
      <c r="G95" s="55">
        <f t="shared" si="82"/>
        <v>0</v>
      </c>
      <c r="H95" s="57">
        <f t="shared" si="83"/>
        <v>0</v>
      </c>
      <c r="I95" s="57">
        <f t="shared" si="84"/>
        <v>0</v>
      </c>
      <c r="J95" s="58"/>
      <c r="K95" s="55">
        <f t="shared" si="85"/>
        <v>0</v>
      </c>
      <c r="L95" s="57">
        <f t="shared" si="86"/>
        <v>0</v>
      </c>
      <c r="M95" s="57">
        <f t="shared" si="87"/>
        <v>0</v>
      </c>
      <c r="N95" s="58"/>
      <c r="O95" s="55">
        <f t="shared" si="88"/>
        <v>0</v>
      </c>
      <c r="P95" s="57">
        <f t="shared" si="89"/>
        <v>0</v>
      </c>
      <c r="Q95" s="57">
        <f t="shared" si="90"/>
        <v>0</v>
      </c>
      <c r="R95" s="58"/>
      <c r="S95" s="55">
        <f t="shared" si="91"/>
        <v>0</v>
      </c>
      <c r="T95" s="57">
        <f t="shared" si="92"/>
        <v>0</v>
      </c>
      <c r="U95" s="57">
        <f t="shared" si="93"/>
        <v>0</v>
      </c>
      <c r="V95" s="59"/>
      <c r="W95" s="124">
        <f t="shared" si="94"/>
        <v>0</v>
      </c>
      <c r="X95" s="57">
        <f t="shared" si="94"/>
        <v>0</v>
      </c>
      <c r="Y95" s="84">
        <f t="shared" si="94"/>
        <v>0</v>
      </c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</row>
    <row r="96" spans="1:77" s="61" customFormat="1" x14ac:dyDescent="0.25">
      <c r="A96" s="52"/>
      <c r="B96" s="52"/>
      <c r="C96" s="124">
        <v>0</v>
      </c>
      <c r="D96" s="56">
        <v>0</v>
      </c>
      <c r="E96" s="56">
        <f t="shared" si="81"/>
        <v>0</v>
      </c>
      <c r="F96" s="58"/>
      <c r="G96" s="55">
        <f t="shared" si="82"/>
        <v>0</v>
      </c>
      <c r="H96" s="57">
        <f t="shared" si="83"/>
        <v>0</v>
      </c>
      <c r="I96" s="57">
        <f t="shared" si="84"/>
        <v>0</v>
      </c>
      <c r="J96" s="58"/>
      <c r="K96" s="55">
        <f t="shared" si="85"/>
        <v>0</v>
      </c>
      <c r="L96" s="57">
        <f t="shared" si="86"/>
        <v>0</v>
      </c>
      <c r="M96" s="57">
        <f t="shared" si="87"/>
        <v>0</v>
      </c>
      <c r="N96" s="58"/>
      <c r="O96" s="55">
        <f t="shared" si="88"/>
        <v>0</v>
      </c>
      <c r="P96" s="57">
        <f t="shared" si="89"/>
        <v>0</v>
      </c>
      <c r="Q96" s="57">
        <f t="shared" si="90"/>
        <v>0</v>
      </c>
      <c r="R96" s="58"/>
      <c r="S96" s="55">
        <f t="shared" si="91"/>
        <v>0</v>
      </c>
      <c r="T96" s="57">
        <f t="shared" si="92"/>
        <v>0</v>
      </c>
      <c r="U96" s="57">
        <f t="shared" si="93"/>
        <v>0</v>
      </c>
      <c r="V96" s="59"/>
      <c r="W96" s="124">
        <f t="shared" si="94"/>
        <v>0</v>
      </c>
      <c r="X96" s="57">
        <f t="shared" si="94"/>
        <v>0</v>
      </c>
      <c r="Y96" s="84">
        <f t="shared" si="94"/>
        <v>0</v>
      </c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</row>
    <row r="97" spans="1:77" s="61" customFormat="1" x14ac:dyDescent="0.25">
      <c r="A97" s="52"/>
      <c r="B97" s="52"/>
      <c r="C97" s="124">
        <v>0</v>
      </c>
      <c r="D97" s="56">
        <v>0</v>
      </c>
      <c r="E97" s="56">
        <f t="shared" si="81"/>
        <v>0</v>
      </c>
      <c r="F97" s="58"/>
      <c r="G97" s="55">
        <f t="shared" si="82"/>
        <v>0</v>
      </c>
      <c r="H97" s="57">
        <f t="shared" si="83"/>
        <v>0</v>
      </c>
      <c r="I97" s="57">
        <f t="shared" si="84"/>
        <v>0</v>
      </c>
      <c r="J97" s="58"/>
      <c r="K97" s="55">
        <f t="shared" si="85"/>
        <v>0</v>
      </c>
      <c r="L97" s="57">
        <f t="shared" si="86"/>
        <v>0</v>
      </c>
      <c r="M97" s="57">
        <f t="shared" si="87"/>
        <v>0</v>
      </c>
      <c r="N97" s="58"/>
      <c r="O97" s="55">
        <f t="shared" si="88"/>
        <v>0</v>
      </c>
      <c r="P97" s="57">
        <f t="shared" si="89"/>
        <v>0</v>
      </c>
      <c r="Q97" s="57">
        <f t="shared" si="90"/>
        <v>0</v>
      </c>
      <c r="R97" s="58"/>
      <c r="S97" s="55">
        <f t="shared" si="91"/>
        <v>0</v>
      </c>
      <c r="T97" s="57">
        <f t="shared" si="92"/>
        <v>0</v>
      </c>
      <c r="U97" s="57">
        <f t="shared" si="93"/>
        <v>0</v>
      </c>
      <c r="V97" s="59"/>
      <c r="W97" s="124">
        <f t="shared" si="94"/>
        <v>0</v>
      </c>
      <c r="X97" s="57">
        <f t="shared" si="94"/>
        <v>0</v>
      </c>
      <c r="Y97" s="84">
        <f t="shared" si="94"/>
        <v>0</v>
      </c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</row>
    <row r="98" spans="1:77" s="61" customFormat="1" x14ac:dyDescent="0.25">
      <c r="A98" s="52"/>
      <c r="B98" s="52"/>
      <c r="C98" s="124">
        <v>0</v>
      </c>
      <c r="D98" s="56">
        <v>0</v>
      </c>
      <c r="E98" s="56">
        <f t="shared" si="81"/>
        <v>0</v>
      </c>
      <c r="F98" s="58"/>
      <c r="G98" s="55">
        <f t="shared" si="82"/>
        <v>0</v>
      </c>
      <c r="H98" s="57">
        <f t="shared" si="83"/>
        <v>0</v>
      </c>
      <c r="I98" s="57">
        <f t="shared" si="84"/>
        <v>0</v>
      </c>
      <c r="J98" s="58"/>
      <c r="K98" s="55">
        <f t="shared" si="85"/>
        <v>0</v>
      </c>
      <c r="L98" s="57">
        <f t="shared" si="86"/>
        <v>0</v>
      </c>
      <c r="M98" s="57">
        <f t="shared" si="87"/>
        <v>0</v>
      </c>
      <c r="N98" s="58"/>
      <c r="O98" s="55">
        <f t="shared" si="88"/>
        <v>0</v>
      </c>
      <c r="P98" s="57">
        <f t="shared" si="89"/>
        <v>0</v>
      </c>
      <c r="Q98" s="57">
        <f t="shared" si="90"/>
        <v>0</v>
      </c>
      <c r="R98" s="58"/>
      <c r="S98" s="55">
        <f t="shared" si="91"/>
        <v>0</v>
      </c>
      <c r="T98" s="57">
        <f t="shared" si="92"/>
        <v>0</v>
      </c>
      <c r="U98" s="57">
        <f t="shared" si="93"/>
        <v>0</v>
      </c>
      <c r="V98" s="59"/>
      <c r="W98" s="124">
        <f t="shared" si="94"/>
        <v>0</v>
      </c>
      <c r="X98" s="57">
        <f t="shared" si="94"/>
        <v>0</v>
      </c>
      <c r="Y98" s="84">
        <f t="shared" si="94"/>
        <v>0</v>
      </c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</row>
    <row r="99" spans="1:77" s="83" customFormat="1" x14ac:dyDescent="0.25">
      <c r="A99" s="78"/>
      <c r="B99" s="78" t="s">
        <v>9</v>
      </c>
      <c r="C99" s="228">
        <f>SUM(C92:C98)</f>
        <v>0</v>
      </c>
      <c r="D99" s="125">
        <f>SUM(D92:D98)</f>
        <v>0</v>
      </c>
      <c r="E99" s="125">
        <f>SUM(E92:E98)</f>
        <v>0</v>
      </c>
      <c r="F99" s="81"/>
      <c r="G99" s="79">
        <f>SUM(G92:G98)</f>
        <v>0</v>
      </c>
      <c r="H99" s="80">
        <f>SUM(H92:H98)</f>
        <v>0</v>
      </c>
      <c r="I99" s="80">
        <f>SUM(I92:I98)</f>
        <v>0</v>
      </c>
      <c r="J99" s="81"/>
      <c r="K99" s="79">
        <f>SUM(K92:K98)</f>
        <v>0</v>
      </c>
      <c r="L99" s="80">
        <f>SUM(L92:L98)</f>
        <v>0</v>
      </c>
      <c r="M99" s="80">
        <f>SUM(M92:M98)</f>
        <v>0</v>
      </c>
      <c r="N99" s="81"/>
      <c r="O99" s="79">
        <f>SUM(O92:O98)</f>
        <v>0</v>
      </c>
      <c r="P99" s="80">
        <f>SUM(P92:P98)</f>
        <v>0</v>
      </c>
      <c r="Q99" s="80">
        <f>SUM(Q92:Q98)</f>
        <v>0</v>
      </c>
      <c r="R99" s="81"/>
      <c r="S99" s="79">
        <f>SUM(S92:S98)</f>
        <v>0</v>
      </c>
      <c r="T99" s="80">
        <f>SUM(T92:T98)</f>
        <v>0</v>
      </c>
      <c r="U99" s="80">
        <f>SUM(U92:U98)</f>
        <v>0</v>
      </c>
      <c r="V99" s="82"/>
      <c r="W99" s="228">
        <f t="shared" si="94"/>
        <v>0</v>
      </c>
      <c r="X99" s="80">
        <f t="shared" si="94"/>
        <v>0</v>
      </c>
      <c r="Y99" s="80">
        <f t="shared" si="94"/>
        <v>0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129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s="61" customFormat="1" x14ac:dyDescent="0.25">
      <c r="A101" s="52"/>
      <c r="B101" s="52"/>
      <c r="C101" s="124">
        <v>0</v>
      </c>
      <c r="D101" s="56">
        <v>0</v>
      </c>
      <c r="E101" s="56">
        <f t="shared" ref="E101:E111" si="95">SUM(C101:D101)</f>
        <v>0</v>
      </c>
      <c r="F101" s="58"/>
      <c r="G101" s="55">
        <f t="shared" ref="G101:G111" si="96">C101*1.035</f>
        <v>0</v>
      </c>
      <c r="H101" s="57">
        <f t="shared" ref="H101:H111" si="97">D101*1.05</f>
        <v>0</v>
      </c>
      <c r="I101" s="57">
        <f t="shared" ref="I101:I111" si="98">SUM(G101:H101)</f>
        <v>0</v>
      </c>
      <c r="J101" s="58"/>
      <c r="K101" s="55">
        <f t="shared" ref="K101:K111" si="99">G101*1.035</f>
        <v>0</v>
      </c>
      <c r="L101" s="57">
        <f t="shared" ref="L101:L111" si="100">H101*1.05</f>
        <v>0</v>
      </c>
      <c r="M101" s="57">
        <f t="shared" ref="M101:M111" si="101">SUM(K101:L101)</f>
        <v>0</v>
      </c>
      <c r="N101" s="58"/>
      <c r="O101" s="55">
        <f t="shared" ref="O101:O111" si="102">K101*1.035</f>
        <v>0</v>
      </c>
      <c r="P101" s="57">
        <f t="shared" ref="P101:P111" si="103">L101*1.05</f>
        <v>0</v>
      </c>
      <c r="Q101" s="57">
        <f t="shared" ref="Q101:Q111" si="104">SUM(O101:P101)</f>
        <v>0</v>
      </c>
      <c r="R101" s="58"/>
      <c r="S101" s="55">
        <f t="shared" ref="S101:S111" si="105">O101*1.035</f>
        <v>0</v>
      </c>
      <c r="T101" s="57">
        <f t="shared" ref="T101:T111" si="106">P101*1.05</f>
        <v>0</v>
      </c>
      <c r="U101" s="57">
        <f t="shared" ref="U101:U111" si="107">SUM(S101:T101)</f>
        <v>0</v>
      </c>
      <c r="V101" s="59"/>
      <c r="W101" s="124">
        <f t="shared" ref="W101:W112" si="108">C101+G101+K101+O101+S101</f>
        <v>0</v>
      </c>
      <c r="X101" s="57">
        <f t="shared" ref="X101:X112" si="109">D101+H101+L101+P101+T101</f>
        <v>0</v>
      </c>
      <c r="Y101" s="84">
        <f t="shared" ref="Y101:Y112" si="110">E101+I101+M101+Q101+U101</f>
        <v>0</v>
      </c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</row>
    <row r="102" spans="1:77" s="61" customFormat="1" x14ac:dyDescent="0.25">
      <c r="A102" s="87"/>
      <c r="B102" s="52"/>
      <c r="C102" s="124">
        <v>0</v>
      </c>
      <c r="D102" s="56">
        <v>0</v>
      </c>
      <c r="E102" s="56">
        <f t="shared" si="95"/>
        <v>0</v>
      </c>
      <c r="F102" s="58"/>
      <c r="G102" s="55">
        <f t="shared" si="96"/>
        <v>0</v>
      </c>
      <c r="H102" s="57">
        <f t="shared" si="97"/>
        <v>0</v>
      </c>
      <c r="I102" s="57">
        <f t="shared" si="98"/>
        <v>0</v>
      </c>
      <c r="J102" s="58"/>
      <c r="K102" s="55">
        <f t="shared" si="99"/>
        <v>0</v>
      </c>
      <c r="L102" s="57">
        <f t="shared" si="100"/>
        <v>0</v>
      </c>
      <c r="M102" s="57">
        <f t="shared" si="101"/>
        <v>0</v>
      </c>
      <c r="N102" s="58"/>
      <c r="O102" s="55">
        <f t="shared" si="102"/>
        <v>0</v>
      </c>
      <c r="P102" s="57">
        <f t="shared" si="103"/>
        <v>0</v>
      </c>
      <c r="Q102" s="57">
        <f t="shared" si="104"/>
        <v>0</v>
      </c>
      <c r="R102" s="58"/>
      <c r="S102" s="55">
        <f t="shared" si="105"/>
        <v>0</v>
      </c>
      <c r="T102" s="57">
        <f t="shared" si="106"/>
        <v>0</v>
      </c>
      <c r="U102" s="57">
        <f t="shared" si="107"/>
        <v>0</v>
      </c>
      <c r="V102" s="59"/>
      <c r="W102" s="124">
        <f t="shared" si="108"/>
        <v>0</v>
      </c>
      <c r="X102" s="57">
        <f t="shared" si="109"/>
        <v>0</v>
      </c>
      <c r="Y102" s="84">
        <f t="shared" si="110"/>
        <v>0</v>
      </c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</row>
    <row r="103" spans="1:77" s="61" customFormat="1" x14ac:dyDescent="0.25">
      <c r="A103" s="52"/>
      <c r="B103" s="54"/>
      <c r="C103" s="124">
        <v>0</v>
      </c>
      <c r="D103" s="56">
        <v>0</v>
      </c>
      <c r="E103" s="56">
        <f t="shared" si="95"/>
        <v>0</v>
      </c>
      <c r="F103" s="58"/>
      <c r="G103" s="55">
        <f t="shared" si="96"/>
        <v>0</v>
      </c>
      <c r="H103" s="57">
        <f t="shared" si="97"/>
        <v>0</v>
      </c>
      <c r="I103" s="57">
        <f t="shared" si="98"/>
        <v>0</v>
      </c>
      <c r="J103" s="58"/>
      <c r="K103" s="55">
        <f t="shared" si="99"/>
        <v>0</v>
      </c>
      <c r="L103" s="57">
        <f t="shared" si="100"/>
        <v>0</v>
      </c>
      <c r="M103" s="57">
        <f t="shared" si="101"/>
        <v>0</v>
      </c>
      <c r="N103" s="58"/>
      <c r="O103" s="55">
        <f t="shared" si="102"/>
        <v>0</v>
      </c>
      <c r="P103" s="57">
        <f t="shared" si="103"/>
        <v>0</v>
      </c>
      <c r="Q103" s="57">
        <f t="shared" si="104"/>
        <v>0</v>
      </c>
      <c r="R103" s="58"/>
      <c r="S103" s="55">
        <f t="shared" si="105"/>
        <v>0</v>
      </c>
      <c r="T103" s="57">
        <f t="shared" si="106"/>
        <v>0</v>
      </c>
      <c r="U103" s="57">
        <f t="shared" si="107"/>
        <v>0</v>
      </c>
      <c r="V103" s="59"/>
      <c r="W103" s="124">
        <f t="shared" si="108"/>
        <v>0</v>
      </c>
      <c r="X103" s="57">
        <f t="shared" si="109"/>
        <v>0</v>
      </c>
      <c r="Y103" s="84">
        <f t="shared" si="110"/>
        <v>0</v>
      </c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</row>
    <row r="104" spans="1:77" s="61" customFormat="1" x14ac:dyDescent="0.25">
      <c r="A104" s="52"/>
      <c r="B104" s="52"/>
      <c r="C104" s="124">
        <v>0</v>
      </c>
      <c r="D104" s="56">
        <v>0</v>
      </c>
      <c r="E104" s="56">
        <f t="shared" si="95"/>
        <v>0</v>
      </c>
      <c r="F104" s="58"/>
      <c r="G104" s="55">
        <f t="shared" si="96"/>
        <v>0</v>
      </c>
      <c r="H104" s="57">
        <f t="shared" si="97"/>
        <v>0</v>
      </c>
      <c r="I104" s="57">
        <f t="shared" si="98"/>
        <v>0</v>
      </c>
      <c r="J104" s="58"/>
      <c r="K104" s="55">
        <f t="shared" si="99"/>
        <v>0</v>
      </c>
      <c r="L104" s="57">
        <f t="shared" si="100"/>
        <v>0</v>
      </c>
      <c r="M104" s="57">
        <f t="shared" si="101"/>
        <v>0</v>
      </c>
      <c r="N104" s="58"/>
      <c r="O104" s="55">
        <f t="shared" si="102"/>
        <v>0</v>
      </c>
      <c r="P104" s="57">
        <f t="shared" si="103"/>
        <v>0</v>
      </c>
      <c r="Q104" s="57">
        <f t="shared" si="104"/>
        <v>0</v>
      </c>
      <c r="R104" s="58"/>
      <c r="S104" s="55">
        <f t="shared" si="105"/>
        <v>0</v>
      </c>
      <c r="T104" s="57">
        <f t="shared" si="106"/>
        <v>0</v>
      </c>
      <c r="U104" s="57">
        <f t="shared" si="107"/>
        <v>0</v>
      </c>
      <c r="V104" s="59"/>
      <c r="W104" s="124">
        <f t="shared" si="108"/>
        <v>0</v>
      </c>
      <c r="X104" s="57">
        <f t="shared" si="109"/>
        <v>0</v>
      </c>
      <c r="Y104" s="84">
        <f t="shared" si="110"/>
        <v>0</v>
      </c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s="61" customFormat="1" x14ac:dyDescent="0.25">
      <c r="A105" s="87"/>
      <c r="B105" s="52"/>
      <c r="C105" s="124">
        <v>0</v>
      </c>
      <c r="D105" s="56">
        <v>0</v>
      </c>
      <c r="E105" s="56">
        <f t="shared" si="95"/>
        <v>0</v>
      </c>
      <c r="F105" s="58"/>
      <c r="G105" s="55">
        <f t="shared" si="96"/>
        <v>0</v>
      </c>
      <c r="H105" s="57">
        <f t="shared" si="97"/>
        <v>0</v>
      </c>
      <c r="I105" s="57">
        <f t="shared" si="98"/>
        <v>0</v>
      </c>
      <c r="J105" s="58"/>
      <c r="K105" s="55">
        <f t="shared" si="99"/>
        <v>0</v>
      </c>
      <c r="L105" s="57">
        <f t="shared" si="100"/>
        <v>0</v>
      </c>
      <c r="M105" s="57">
        <f t="shared" si="101"/>
        <v>0</v>
      </c>
      <c r="N105" s="58"/>
      <c r="O105" s="55">
        <f t="shared" si="102"/>
        <v>0</v>
      </c>
      <c r="P105" s="57">
        <f t="shared" si="103"/>
        <v>0</v>
      </c>
      <c r="Q105" s="57">
        <f t="shared" si="104"/>
        <v>0</v>
      </c>
      <c r="R105" s="58"/>
      <c r="S105" s="55">
        <f t="shared" si="105"/>
        <v>0</v>
      </c>
      <c r="T105" s="57">
        <f t="shared" si="106"/>
        <v>0</v>
      </c>
      <c r="U105" s="57">
        <f t="shared" si="107"/>
        <v>0</v>
      </c>
      <c r="V105" s="59"/>
      <c r="W105" s="124">
        <f t="shared" si="108"/>
        <v>0</v>
      </c>
      <c r="X105" s="57">
        <f t="shared" si="109"/>
        <v>0</v>
      </c>
      <c r="Y105" s="84">
        <f t="shared" si="110"/>
        <v>0</v>
      </c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s="61" customFormat="1" x14ac:dyDescent="0.25">
      <c r="A106" s="87"/>
      <c r="B106" s="52"/>
      <c r="C106" s="124">
        <v>0</v>
      </c>
      <c r="D106" s="56">
        <v>0</v>
      </c>
      <c r="E106" s="56">
        <f t="shared" si="95"/>
        <v>0</v>
      </c>
      <c r="F106" s="58"/>
      <c r="G106" s="55">
        <f t="shared" si="96"/>
        <v>0</v>
      </c>
      <c r="H106" s="57">
        <f t="shared" si="97"/>
        <v>0</v>
      </c>
      <c r="I106" s="57">
        <f t="shared" si="98"/>
        <v>0</v>
      </c>
      <c r="J106" s="58"/>
      <c r="K106" s="55">
        <f t="shared" si="99"/>
        <v>0</v>
      </c>
      <c r="L106" s="57">
        <f t="shared" si="100"/>
        <v>0</v>
      </c>
      <c r="M106" s="57">
        <f t="shared" si="101"/>
        <v>0</v>
      </c>
      <c r="N106" s="58"/>
      <c r="O106" s="55">
        <f t="shared" si="102"/>
        <v>0</v>
      </c>
      <c r="P106" s="57">
        <f t="shared" si="103"/>
        <v>0</v>
      </c>
      <c r="Q106" s="57">
        <f t="shared" si="104"/>
        <v>0</v>
      </c>
      <c r="R106" s="58"/>
      <c r="S106" s="55">
        <f t="shared" si="105"/>
        <v>0</v>
      </c>
      <c r="T106" s="57">
        <f t="shared" si="106"/>
        <v>0</v>
      </c>
      <c r="U106" s="57">
        <f t="shared" si="107"/>
        <v>0</v>
      </c>
      <c r="V106" s="59"/>
      <c r="W106" s="124">
        <f t="shared" si="108"/>
        <v>0</v>
      </c>
      <c r="X106" s="57">
        <f t="shared" si="109"/>
        <v>0</v>
      </c>
      <c r="Y106" s="84">
        <f t="shared" si="110"/>
        <v>0</v>
      </c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</row>
    <row r="107" spans="1:77" s="61" customFormat="1" x14ac:dyDescent="0.25">
      <c r="A107" s="52"/>
      <c r="B107" s="52"/>
      <c r="C107" s="124">
        <v>0</v>
      </c>
      <c r="D107" s="56">
        <v>0</v>
      </c>
      <c r="E107" s="56">
        <f t="shared" si="95"/>
        <v>0</v>
      </c>
      <c r="F107" s="58"/>
      <c r="G107" s="55">
        <f t="shared" si="96"/>
        <v>0</v>
      </c>
      <c r="H107" s="57">
        <f t="shared" si="97"/>
        <v>0</v>
      </c>
      <c r="I107" s="57">
        <f t="shared" si="98"/>
        <v>0</v>
      </c>
      <c r="J107" s="58"/>
      <c r="K107" s="55">
        <f t="shared" si="99"/>
        <v>0</v>
      </c>
      <c r="L107" s="57">
        <f t="shared" si="100"/>
        <v>0</v>
      </c>
      <c r="M107" s="57">
        <f t="shared" si="101"/>
        <v>0</v>
      </c>
      <c r="N107" s="58"/>
      <c r="O107" s="55">
        <f t="shared" si="102"/>
        <v>0</v>
      </c>
      <c r="P107" s="57">
        <f t="shared" si="103"/>
        <v>0</v>
      </c>
      <c r="Q107" s="57">
        <f t="shared" si="104"/>
        <v>0</v>
      </c>
      <c r="R107" s="58"/>
      <c r="S107" s="55">
        <f t="shared" si="105"/>
        <v>0</v>
      </c>
      <c r="T107" s="57">
        <f t="shared" si="106"/>
        <v>0</v>
      </c>
      <c r="U107" s="57">
        <f t="shared" si="107"/>
        <v>0</v>
      </c>
      <c r="V107" s="59"/>
      <c r="W107" s="124">
        <f t="shared" si="108"/>
        <v>0</v>
      </c>
      <c r="X107" s="57">
        <f t="shared" si="109"/>
        <v>0</v>
      </c>
      <c r="Y107" s="84">
        <f t="shared" si="110"/>
        <v>0</v>
      </c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</row>
    <row r="108" spans="1:77" s="61" customFormat="1" x14ac:dyDescent="0.25">
      <c r="A108" s="52"/>
      <c r="B108" s="54"/>
      <c r="C108" s="124">
        <v>0</v>
      </c>
      <c r="D108" s="56">
        <v>0</v>
      </c>
      <c r="E108" s="56">
        <f t="shared" si="95"/>
        <v>0</v>
      </c>
      <c r="F108" s="58"/>
      <c r="G108" s="55">
        <f t="shared" si="96"/>
        <v>0</v>
      </c>
      <c r="H108" s="57">
        <f t="shared" si="97"/>
        <v>0</v>
      </c>
      <c r="I108" s="57">
        <f t="shared" si="98"/>
        <v>0</v>
      </c>
      <c r="J108" s="58"/>
      <c r="K108" s="55">
        <f t="shared" si="99"/>
        <v>0</v>
      </c>
      <c r="L108" s="57">
        <f t="shared" si="100"/>
        <v>0</v>
      </c>
      <c r="M108" s="57">
        <f t="shared" si="101"/>
        <v>0</v>
      </c>
      <c r="N108" s="58"/>
      <c r="O108" s="55">
        <f t="shared" si="102"/>
        <v>0</v>
      </c>
      <c r="P108" s="57">
        <f t="shared" si="103"/>
        <v>0</v>
      </c>
      <c r="Q108" s="57">
        <f t="shared" si="104"/>
        <v>0</v>
      </c>
      <c r="R108" s="58"/>
      <c r="S108" s="55">
        <f t="shared" si="105"/>
        <v>0</v>
      </c>
      <c r="T108" s="57">
        <f t="shared" si="106"/>
        <v>0</v>
      </c>
      <c r="U108" s="57">
        <f t="shared" si="107"/>
        <v>0</v>
      </c>
      <c r="V108" s="59"/>
      <c r="W108" s="124">
        <f t="shared" si="108"/>
        <v>0</v>
      </c>
      <c r="X108" s="57">
        <f t="shared" si="109"/>
        <v>0</v>
      </c>
      <c r="Y108" s="84">
        <f t="shared" si="110"/>
        <v>0</v>
      </c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</row>
    <row r="109" spans="1:77" s="61" customFormat="1" x14ac:dyDescent="0.25">
      <c r="A109" s="52"/>
      <c r="B109" s="52"/>
      <c r="C109" s="124">
        <v>0</v>
      </c>
      <c r="D109" s="56">
        <v>0</v>
      </c>
      <c r="E109" s="56">
        <f t="shared" si="95"/>
        <v>0</v>
      </c>
      <c r="F109" s="74"/>
      <c r="G109" s="55">
        <f t="shared" si="96"/>
        <v>0</v>
      </c>
      <c r="H109" s="57">
        <f t="shared" si="97"/>
        <v>0</v>
      </c>
      <c r="I109" s="57">
        <f t="shared" si="98"/>
        <v>0</v>
      </c>
      <c r="J109" s="74"/>
      <c r="K109" s="55">
        <f t="shared" si="99"/>
        <v>0</v>
      </c>
      <c r="L109" s="57">
        <f t="shared" si="100"/>
        <v>0</v>
      </c>
      <c r="M109" s="57">
        <f t="shared" si="101"/>
        <v>0</v>
      </c>
      <c r="N109" s="74"/>
      <c r="O109" s="55">
        <f t="shared" si="102"/>
        <v>0</v>
      </c>
      <c r="P109" s="57">
        <f t="shared" si="103"/>
        <v>0</v>
      </c>
      <c r="Q109" s="57">
        <f t="shared" si="104"/>
        <v>0</v>
      </c>
      <c r="R109" s="74"/>
      <c r="S109" s="55">
        <f t="shared" si="105"/>
        <v>0</v>
      </c>
      <c r="T109" s="57">
        <f t="shared" si="106"/>
        <v>0</v>
      </c>
      <c r="U109" s="57">
        <f t="shared" si="107"/>
        <v>0</v>
      </c>
      <c r="V109" s="59"/>
      <c r="W109" s="124">
        <f t="shared" si="108"/>
        <v>0</v>
      </c>
      <c r="X109" s="57">
        <f t="shared" si="109"/>
        <v>0</v>
      </c>
      <c r="Y109" s="84">
        <f t="shared" si="110"/>
        <v>0</v>
      </c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</row>
    <row r="110" spans="1:77" s="61" customFormat="1" x14ac:dyDescent="0.25">
      <c r="A110" s="87"/>
      <c r="B110" s="52"/>
      <c r="C110" s="124">
        <v>0</v>
      </c>
      <c r="D110" s="56">
        <v>0</v>
      </c>
      <c r="E110" s="56">
        <f t="shared" si="95"/>
        <v>0</v>
      </c>
      <c r="F110" s="74"/>
      <c r="G110" s="55">
        <f t="shared" si="96"/>
        <v>0</v>
      </c>
      <c r="H110" s="57">
        <f t="shared" si="97"/>
        <v>0</v>
      </c>
      <c r="I110" s="57">
        <f t="shared" si="98"/>
        <v>0</v>
      </c>
      <c r="J110" s="74"/>
      <c r="K110" s="55">
        <f t="shared" si="99"/>
        <v>0</v>
      </c>
      <c r="L110" s="57">
        <f t="shared" si="100"/>
        <v>0</v>
      </c>
      <c r="M110" s="57">
        <f t="shared" si="101"/>
        <v>0</v>
      </c>
      <c r="N110" s="74"/>
      <c r="O110" s="55">
        <f t="shared" si="102"/>
        <v>0</v>
      </c>
      <c r="P110" s="57">
        <f t="shared" si="103"/>
        <v>0</v>
      </c>
      <c r="Q110" s="57">
        <f t="shared" si="104"/>
        <v>0</v>
      </c>
      <c r="R110" s="74"/>
      <c r="S110" s="55">
        <f t="shared" si="105"/>
        <v>0</v>
      </c>
      <c r="T110" s="57">
        <f t="shared" si="106"/>
        <v>0</v>
      </c>
      <c r="U110" s="57">
        <f t="shared" si="107"/>
        <v>0</v>
      </c>
      <c r="V110" s="59"/>
      <c r="W110" s="124">
        <f t="shared" si="108"/>
        <v>0</v>
      </c>
      <c r="X110" s="57">
        <f t="shared" si="109"/>
        <v>0</v>
      </c>
      <c r="Y110" s="84">
        <f t="shared" si="110"/>
        <v>0</v>
      </c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</row>
    <row r="111" spans="1:77" s="61" customFormat="1" x14ac:dyDescent="0.25">
      <c r="A111" s="87"/>
      <c r="B111" s="52"/>
      <c r="C111" s="124">
        <v>0</v>
      </c>
      <c r="D111" s="56">
        <v>0</v>
      </c>
      <c r="E111" s="56">
        <f t="shared" si="95"/>
        <v>0</v>
      </c>
      <c r="F111" s="74"/>
      <c r="G111" s="55">
        <f t="shared" si="96"/>
        <v>0</v>
      </c>
      <c r="H111" s="57">
        <f t="shared" si="97"/>
        <v>0</v>
      </c>
      <c r="I111" s="57">
        <f t="shared" si="98"/>
        <v>0</v>
      </c>
      <c r="J111" s="74"/>
      <c r="K111" s="55">
        <f t="shared" si="99"/>
        <v>0</v>
      </c>
      <c r="L111" s="57">
        <f t="shared" si="100"/>
        <v>0</v>
      </c>
      <c r="M111" s="57">
        <f t="shared" si="101"/>
        <v>0</v>
      </c>
      <c r="N111" s="74"/>
      <c r="O111" s="55">
        <f t="shared" si="102"/>
        <v>0</v>
      </c>
      <c r="P111" s="57">
        <f t="shared" si="103"/>
        <v>0</v>
      </c>
      <c r="Q111" s="57">
        <f t="shared" si="104"/>
        <v>0</v>
      </c>
      <c r="R111" s="74"/>
      <c r="S111" s="55">
        <f t="shared" si="105"/>
        <v>0</v>
      </c>
      <c r="T111" s="57">
        <f t="shared" si="106"/>
        <v>0</v>
      </c>
      <c r="U111" s="57">
        <f t="shared" si="107"/>
        <v>0</v>
      </c>
      <c r="V111" s="59"/>
      <c r="W111" s="124">
        <f t="shared" si="108"/>
        <v>0</v>
      </c>
      <c r="X111" s="57">
        <f t="shared" si="109"/>
        <v>0</v>
      </c>
      <c r="Y111" s="84">
        <f t="shared" si="110"/>
        <v>0</v>
      </c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</row>
    <row r="112" spans="1:77" s="83" customFormat="1" x14ac:dyDescent="0.25">
      <c r="A112" s="78"/>
      <c r="B112" s="78" t="s">
        <v>9</v>
      </c>
      <c r="C112" s="228">
        <f>SUM(C101:C111)</f>
        <v>0</v>
      </c>
      <c r="D112" s="125">
        <f>SUM(D101:D111)</f>
        <v>0</v>
      </c>
      <c r="E112" s="125">
        <f>SUM(E101:E111)</f>
        <v>0</v>
      </c>
      <c r="F112" s="81"/>
      <c r="G112" s="79">
        <f>SUM(G101:G111)</f>
        <v>0</v>
      </c>
      <c r="H112" s="80">
        <f>SUM(H101:H111)</f>
        <v>0</v>
      </c>
      <c r="I112" s="80">
        <f>SUM(I101:I111)</f>
        <v>0</v>
      </c>
      <c r="J112" s="81"/>
      <c r="K112" s="79">
        <f>SUM(K101:K111)</f>
        <v>0</v>
      </c>
      <c r="L112" s="80">
        <f>SUM(L101:L111)</f>
        <v>0</v>
      </c>
      <c r="M112" s="80">
        <f>SUM(M101:M111)</f>
        <v>0</v>
      </c>
      <c r="N112" s="81"/>
      <c r="O112" s="79">
        <f>SUM(O101:O111)</f>
        <v>0</v>
      </c>
      <c r="P112" s="80">
        <f>SUM(P101:P111)</f>
        <v>0</v>
      </c>
      <c r="Q112" s="80">
        <f>SUM(Q101:Q111)</f>
        <v>0</v>
      </c>
      <c r="R112" s="81"/>
      <c r="S112" s="79">
        <f>SUM(S101:S111)</f>
        <v>0</v>
      </c>
      <c r="T112" s="80">
        <f>SUM(T101:T111)</f>
        <v>0</v>
      </c>
      <c r="U112" s="80">
        <f>SUM(U101:U111)</f>
        <v>0</v>
      </c>
      <c r="V112" s="82"/>
      <c r="W112" s="228">
        <f t="shared" si="108"/>
        <v>0</v>
      </c>
      <c r="X112" s="80">
        <f t="shared" si="109"/>
        <v>0</v>
      </c>
      <c r="Y112" s="80">
        <f t="shared" si="110"/>
        <v>0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100"/>
      <c r="C113" s="101">
        <f>C112+C99</f>
        <v>0</v>
      </c>
      <c r="D113" s="101">
        <f t="shared" ref="D113:Y113" si="111">D112+D99</f>
        <v>0</v>
      </c>
      <c r="E113" s="101">
        <f t="shared" si="111"/>
        <v>0</v>
      </c>
      <c r="F113" s="101">
        <f t="shared" si="111"/>
        <v>0</v>
      </c>
      <c r="G113" s="101">
        <f t="shared" si="111"/>
        <v>0</v>
      </c>
      <c r="H113" s="101">
        <f t="shared" si="111"/>
        <v>0</v>
      </c>
      <c r="I113" s="101">
        <f t="shared" si="111"/>
        <v>0</v>
      </c>
      <c r="J113" s="101">
        <f t="shared" si="111"/>
        <v>0</v>
      </c>
      <c r="K113" s="101">
        <f t="shared" si="111"/>
        <v>0</v>
      </c>
      <c r="L113" s="101">
        <f t="shared" si="111"/>
        <v>0</v>
      </c>
      <c r="M113" s="101">
        <f t="shared" si="111"/>
        <v>0</v>
      </c>
      <c r="N113" s="101">
        <f t="shared" si="111"/>
        <v>0</v>
      </c>
      <c r="O113" s="101">
        <f t="shared" si="111"/>
        <v>0</v>
      </c>
      <c r="P113" s="101">
        <f t="shared" si="111"/>
        <v>0</v>
      </c>
      <c r="Q113" s="101">
        <f t="shared" si="111"/>
        <v>0</v>
      </c>
      <c r="R113" s="101">
        <f t="shared" si="111"/>
        <v>0</v>
      </c>
      <c r="S113" s="101">
        <f t="shared" si="111"/>
        <v>0</v>
      </c>
      <c r="T113" s="101">
        <f t="shared" si="111"/>
        <v>0</v>
      </c>
      <c r="U113" s="101">
        <f t="shared" si="111"/>
        <v>0</v>
      </c>
      <c r="V113" s="101">
        <f t="shared" si="111"/>
        <v>0</v>
      </c>
      <c r="W113" s="101">
        <f t="shared" si="111"/>
        <v>0</v>
      </c>
      <c r="X113" s="101">
        <f t="shared" si="111"/>
        <v>0</v>
      </c>
      <c r="Y113" s="101">
        <f t="shared" si="111"/>
        <v>0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129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s="61" customFormat="1" x14ac:dyDescent="0.25">
      <c r="A115" s="52"/>
      <c r="B115" s="52"/>
      <c r="C115" s="124">
        <v>0</v>
      </c>
      <c r="D115" s="56">
        <v>0</v>
      </c>
      <c r="E115" s="56">
        <f t="shared" ref="E115:E121" si="112">SUM(C115:D115)</f>
        <v>0</v>
      </c>
      <c r="F115" s="58"/>
      <c r="G115" s="55">
        <f>G92*0.35</f>
        <v>0</v>
      </c>
      <c r="H115" s="57">
        <v>0</v>
      </c>
      <c r="I115" s="57">
        <f t="shared" ref="I115:I121" si="113">SUM(G115:H115)</f>
        <v>0</v>
      </c>
      <c r="J115" s="58"/>
      <c r="K115" s="55">
        <f>K92*0.35</f>
        <v>0</v>
      </c>
      <c r="L115" s="57">
        <v>0</v>
      </c>
      <c r="M115" s="57">
        <f t="shared" ref="M115:M121" si="114">SUM(K115:L115)</f>
        <v>0</v>
      </c>
      <c r="N115" s="58"/>
      <c r="O115" s="55">
        <f>O92*0.35</f>
        <v>0</v>
      </c>
      <c r="P115" s="57">
        <v>0</v>
      </c>
      <c r="Q115" s="57">
        <f t="shared" ref="Q115:Q121" si="115">SUM(O115:P115)</f>
        <v>0</v>
      </c>
      <c r="R115" s="58"/>
      <c r="S115" s="55">
        <f>S92*0.35</f>
        <v>0</v>
      </c>
      <c r="T115" s="57">
        <v>0</v>
      </c>
      <c r="U115" s="57">
        <f t="shared" ref="U115:U121" si="116">SUM(S115:T115)</f>
        <v>0</v>
      </c>
      <c r="V115" s="59"/>
      <c r="W115" s="124">
        <f t="shared" ref="W115:Y121" si="117">C115+G115+K115+O115+S115</f>
        <v>0</v>
      </c>
      <c r="X115" s="57">
        <f t="shared" si="117"/>
        <v>0</v>
      </c>
      <c r="Y115" s="84">
        <f t="shared" si="117"/>
        <v>0</v>
      </c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</row>
    <row r="116" spans="1:77" s="61" customFormat="1" x14ac:dyDescent="0.25">
      <c r="A116" s="3">
        <v>0.04</v>
      </c>
      <c r="B116" s="52" t="s">
        <v>37</v>
      </c>
      <c r="C116" s="124">
        <v>0</v>
      </c>
      <c r="D116" s="56">
        <v>0</v>
      </c>
      <c r="E116" s="56">
        <f t="shared" si="112"/>
        <v>0</v>
      </c>
      <c r="F116" s="58"/>
      <c r="G116" s="55">
        <f>C116*1.03</f>
        <v>0</v>
      </c>
      <c r="H116" s="57">
        <f t="shared" ref="H116:H121" si="118">D116*1.05</f>
        <v>0</v>
      </c>
      <c r="I116" s="57">
        <f t="shared" si="113"/>
        <v>0</v>
      </c>
      <c r="J116" s="58"/>
      <c r="K116" s="55">
        <f>G116*1.03</f>
        <v>0</v>
      </c>
      <c r="L116" s="57">
        <f t="shared" ref="L116:L121" si="119">H116*1.05</f>
        <v>0</v>
      </c>
      <c r="M116" s="57">
        <f t="shared" si="114"/>
        <v>0</v>
      </c>
      <c r="N116" s="58"/>
      <c r="O116" s="55">
        <f>K116*1.03</f>
        <v>0</v>
      </c>
      <c r="P116" s="57">
        <f t="shared" ref="P116:P121" si="120">L116*1.05</f>
        <v>0</v>
      </c>
      <c r="Q116" s="57">
        <f t="shared" si="115"/>
        <v>0</v>
      </c>
      <c r="R116" s="58"/>
      <c r="S116" s="55">
        <f>O116*1.03</f>
        <v>0</v>
      </c>
      <c r="T116" s="57">
        <f t="shared" ref="T116:T121" si="121">P116*1.05</f>
        <v>0</v>
      </c>
      <c r="U116" s="57">
        <f t="shared" si="116"/>
        <v>0</v>
      </c>
      <c r="V116" s="59"/>
      <c r="W116" s="124">
        <f t="shared" si="117"/>
        <v>0</v>
      </c>
      <c r="X116" s="57">
        <f t="shared" si="117"/>
        <v>0</v>
      </c>
      <c r="Y116" s="84">
        <f t="shared" si="117"/>
        <v>0</v>
      </c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</row>
    <row r="117" spans="1:77" s="61" customFormat="1" x14ac:dyDescent="0.25">
      <c r="A117" s="3">
        <v>0.09</v>
      </c>
      <c r="B117" s="52" t="s">
        <v>38</v>
      </c>
      <c r="C117" s="124">
        <v>0</v>
      </c>
      <c r="D117" s="56">
        <v>0</v>
      </c>
      <c r="E117" s="56">
        <f t="shared" si="112"/>
        <v>0</v>
      </c>
      <c r="F117" s="58"/>
      <c r="G117" s="55">
        <f>C117*1.03</f>
        <v>0</v>
      </c>
      <c r="H117" s="57">
        <f t="shared" si="118"/>
        <v>0</v>
      </c>
      <c r="I117" s="57">
        <f t="shared" si="113"/>
        <v>0</v>
      </c>
      <c r="J117" s="58"/>
      <c r="K117" s="55">
        <f>G117*1.03</f>
        <v>0</v>
      </c>
      <c r="L117" s="57">
        <f t="shared" si="119"/>
        <v>0</v>
      </c>
      <c r="M117" s="57">
        <f t="shared" si="114"/>
        <v>0</v>
      </c>
      <c r="N117" s="58"/>
      <c r="O117" s="55">
        <f>K117*1.03</f>
        <v>0</v>
      </c>
      <c r="P117" s="57">
        <f t="shared" si="120"/>
        <v>0</v>
      </c>
      <c r="Q117" s="57">
        <f t="shared" si="115"/>
        <v>0</v>
      </c>
      <c r="R117" s="58"/>
      <c r="S117" s="55">
        <f>O117*1.03</f>
        <v>0</v>
      </c>
      <c r="T117" s="57">
        <f t="shared" si="121"/>
        <v>0</v>
      </c>
      <c r="U117" s="57">
        <f t="shared" si="116"/>
        <v>0</v>
      </c>
      <c r="V117" s="59"/>
      <c r="W117" s="124">
        <f t="shared" si="117"/>
        <v>0</v>
      </c>
      <c r="X117" s="57">
        <f t="shared" si="117"/>
        <v>0</v>
      </c>
      <c r="Y117" s="84">
        <f t="shared" si="117"/>
        <v>0</v>
      </c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</row>
    <row r="118" spans="1:77" s="61" customFormat="1" x14ac:dyDescent="0.25">
      <c r="A118" s="3">
        <v>0.09</v>
      </c>
      <c r="B118" s="52" t="s">
        <v>39</v>
      </c>
      <c r="C118" s="124">
        <v>0</v>
      </c>
      <c r="D118" s="56">
        <f>D108*0.29</f>
        <v>0</v>
      </c>
      <c r="E118" s="56">
        <f t="shared" si="112"/>
        <v>0</v>
      </c>
      <c r="F118" s="58"/>
      <c r="G118" s="55">
        <f>C118*1.03</f>
        <v>0</v>
      </c>
      <c r="H118" s="57">
        <f t="shared" si="118"/>
        <v>0</v>
      </c>
      <c r="I118" s="57">
        <f t="shared" si="113"/>
        <v>0</v>
      </c>
      <c r="J118" s="58"/>
      <c r="K118" s="55">
        <f>G118*1.03</f>
        <v>0</v>
      </c>
      <c r="L118" s="57">
        <f t="shared" si="119"/>
        <v>0</v>
      </c>
      <c r="M118" s="57">
        <f t="shared" si="114"/>
        <v>0</v>
      </c>
      <c r="N118" s="58"/>
      <c r="O118" s="55">
        <f>K118*1.03</f>
        <v>0</v>
      </c>
      <c r="P118" s="57">
        <f t="shared" si="120"/>
        <v>0</v>
      </c>
      <c r="Q118" s="57">
        <f t="shared" si="115"/>
        <v>0</v>
      </c>
      <c r="R118" s="58"/>
      <c r="S118" s="55">
        <f>O118*1.03</f>
        <v>0</v>
      </c>
      <c r="T118" s="57">
        <f t="shared" si="121"/>
        <v>0</v>
      </c>
      <c r="U118" s="57">
        <f t="shared" si="116"/>
        <v>0</v>
      </c>
      <c r="V118" s="59"/>
      <c r="W118" s="124">
        <f t="shared" si="117"/>
        <v>0</v>
      </c>
      <c r="X118" s="57">
        <f t="shared" si="117"/>
        <v>0</v>
      </c>
      <c r="Y118" s="84">
        <f t="shared" si="117"/>
        <v>0</v>
      </c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</row>
    <row r="119" spans="1:77" s="61" customFormat="1" x14ac:dyDescent="0.25">
      <c r="A119" s="3">
        <v>0.19689999999999999</v>
      </c>
      <c r="B119" s="52" t="s">
        <v>55</v>
      </c>
      <c r="C119" s="124">
        <v>0</v>
      </c>
      <c r="D119" s="56">
        <v>0</v>
      </c>
      <c r="E119" s="56">
        <f t="shared" si="112"/>
        <v>0</v>
      </c>
      <c r="F119" s="58"/>
      <c r="G119" s="55">
        <f>C119*1.03</f>
        <v>0</v>
      </c>
      <c r="H119" s="57">
        <f t="shared" si="118"/>
        <v>0</v>
      </c>
      <c r="I119" s="57">
        <f t="shared" si="113"/>
        <v>0</v>
      </c>
      <c r="J119" s="58"/>
      <c r="K119" s="55">
        <f>G119*1.03</f>
        <v>0</v>
      </c>
      <c r="L119" s="57">
        <f t="shared" si="119"/>
        <v>0</v>
      </c>
      <c r="M119" s="57">
        <f t="shared" si="114"/>
        <v>0</v>
      </c>
      <c r="N119" s="58"/>
      <c r="O119" s="55">
        <f>K119*1.03</f>
        <v>0</v>
      </c>
      <c r="P119" s="57">
        <f t="shared" si="120"/>
        <v>0</v>
      </c>
      <c r="Q119" s="57">
        <f t="shared" si="115"/>
        <v>0</v>
      </c>
      <c r="R119" s="58"/>
      <c r="S119" s="55">
        <f>O119*1.03</f>
        <v>0</v>
      </c>
      <c r="T119" s="57">
        <f t="shared" si="121"/>
        <v>0</v>
      </c>
      <c r="U119" s="57">
        <f t="shared" si="116"/>
        <v>0</v>
      </c>
      <c r="V119" s="59"/>
      <c r="W119" s="124">
        <f t="shared" si="117"/>
        <v>0</v>
      </c>
      <c r="X119" s="57">
        <f t="shared" si="117"/>
        <v>0</v>
      </c>
      <c r="Y119" s="84">
        <f t="shared" si="117"/>
        <v>0</v>
      </c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</row>
    <row r="120" spans="1:77" s="61" customFormat="1" x14ac:dyDescent="0.25">
      <c r="A120" s="3">
        <v>0.2079</v>
      </c>
      <c r="B120" s="52" t="s">
        <v>67</v>
      </c>
      <c r="C120" s="124">
        <v>0</v>
      </c>
      <c r="D120" s="56">
        <v>0</v>
      </c>
      <c r="E120" s="56">
        <f t="shared" si="112"/>
        <v>0</v>
      </c>
      <c r="F120" s="58"/>
      <c r="G120" s="55">
        <f>C120*1.03</f>
        <v>0</v>
      </c>
      <c r="H120" s="57">
        <f t="shared" si="118"/>
        <v>0</v>
      </c>
      <c r="I120" s="57">
        <f t="shared" si="113"/>
        <v>0</v>
      </c>
      <c r="J120" s="58"/>
      <c r="K120" s="55">
        <f>G120*1.03</f>
        <v>0</v>
      </c>
      <c r="L120" s="57">
        <f t="shared" si="119"/>
        <v>0</v>
      </c>
      <c r="M120" s="57">
        <f t="shared" si="114"/>
        <v>0</v>
      </c>
      <c r="N120" s="58"/>
      <c r="O120" s="55">
        <f>K120*1.03</f>
        <v>0</v>
      </c>
      <c r="P120" s="57">
        <f t="shared" si="120"/>
        <v>0</v>
      </c>
      <c r="Q120" s="57">
        <f t="shared" si="115"/>
        <v>0</v>
      </c>
      <c r="R120" s="58"/>
      <c r="S120" s="55">
        <f>O120*1.03</f>
        <v>0</v>
      </c>
      <c r="T120" s="57">
        <f t="shared" si="121"/>
        <v>0</v>
      </c>
      <c r="U120" s="57">
        <f t="shared" si="116"/>
        <v>0</v>
      </c>
      <c r="V120" s="59"/>
      <c r="W120" s="124">
        <f t="shared" si="117"/>
        <v>0</v>
      </c>
      <c r="X120" s="57">
        <f t="shared" si="117"/>
        <v>0</v>
      </c>
      <c r="Y120" s="84">
        <f t="shared" si="117"/>
        <v>0</v>
      </c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</row>
    <row r="121" spans="1:77" s="61" customFormat="1" x14ac:dyDescent="0.25">
      <c r="A121" s="51">
        <v>12500</v>
      </c>
      <c r="B121" s="52" t="s">
        <v>36</v>
      </c>
      <c r="C121" s="124">
        <v>0</v>
      </c>
      <c r="D121" s="56">
        <v>0</v>
      </c>
      <c r="E121" s="56">
        <f t="shared" si="112"/>
        <v>0</v>
      </c>
      <c r="F121" s="58"/>
      <c r="G121" s="55">
        <f>C121*1.1</f>
        <v>0</v>
      </c>
      <c r="H121" s="57">
        <f t="shared" si="118"/>
        <v>0</v>
      </c>
      <c r="I121" s="57">
        <f t="shared" si="113"/>
        <v>0</v>
      </c>
      <c r="J121" s="58"/>
      <c r="K121" s="55">
        <f>G121*1.1</f>
        <v>0</v>
      </c>
      <c r="L121" s="57">
        <f t="shared" si="119"/>
        <v>0</v>
      </c>
      <c r="M121" s="57">
        <f t="shared" si="114"/>
        <v>0</v>
      </c>
      <c r="N121" s="58"/>
      <c r="O121" s="55">
        <f>K121*1.1</f>
        <v>0</v>
      </c>
      <c r="P121" s="57">
        <f t="shared" si="120"/>
        <v>0</v>
      </c>
      <c r="Q121" s="57">
        <f t="shared" si="115"/>
        <v>0</v>
      </c>
      <c r="R121" s="58"/>
      <c r="S121" s="55">
        <f>O121*1.1</f>
        <v>0</v>
      </c>
      <c r="T121" s="57">
        <f t="shared" si="121"/>
        <v>0</v>
      </c>
      <c r="U121" s="57">
        <f t="shared" si="116"/>
        <v>0</v>
      </c>
      <c r="V121" s="59"/>
      <c r="W121" s="124">
        <f t="shared" si="117"/>
        <v>0</v>
      </c>
      <c r="X121" s="57">
        <f t="shared" si="117"/>
        <v>0</v>
      </c>
      <c r="Y121" s="84">
        <f t="shared" si="117"/>
        <v>0</v>
      </c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</row>
    <row r="122" spans="1:77" s="61" customFormat="1" x14ac:dyDescent="0.25">
      <c r="A122" s="51"/>
      <c r="B122" s="52"/>
      <c r="C122" s="124">
        <v>0</v>
      </c>
      <c r="D122" s="56"/>
      <c r="E122" s="56"/>
      <c r="F122" s="58"/>
      <c r="G122" s="55"/>
      <c r="H122" s="57"/>
      <c r="I122" s="57"/>
      <c r="J122" s="58"/>
      <c r="K122" s="55"/>
      <c r="L122" s="57"/>
      <c r="M122" s="57"/>
      <c r="N122" s="58"/>
      <c r="O122" s="55"/>
      <c r="P122" s="57"/>
      <c r="Q122" s="57"/>
      <c r="R122" s="58"/>
      <c r="S122" s="55"/>
      <c r="T122" s="57"/>
      <c r="U122" s="57"/>
      <c r="V122" s="59"/>
      <c r="W122" s="124"/>
      <c r="X122" s="57"/>
      <c r="Y122" s="8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</row>
    <row r="123" spans="1:77" s="61" customFormat="1" x14ac:dyDescent="0.25">
      <c r="A123" s="51"/>
      <c r="B123" s="52"/>
      <c r="C123" s="124">
        <v>0</v>
      </c>
      <c r="D123" s="56"/>
      <c r="E123" s="56"/>
      <c r="F123" s="58"/>
      <c r="G123" s="55"/>
      <c r="H123" s="57"/>
      <c r="I123" s="57"/>
      <c r="J123" s="58"/>
      <c r="K123" s="55"/>
      <c r="L123" s="57"/>
      <c r="M123" s="57"/>
      <c r="N123" s="58"/>
      <c r="O123" s="55"/>
      <c r="P123" s="57"/>
      <c r="Q123" s="57"/>
      <c r="R123" s="58"/>
      <c r="S123" s="55"/>
      <c r="T123" s="57"/>
      <c r="U123" s="57"/>
      <c r="V123" s="59"/>
      <c r="W123" s="124"/>
      <c r="X123" s="57"/>
      <c r="Y123" s="8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28">
        <f>SUM(C115:C123)</f>
        <v>0</v>
      </c>
      <c r="D124" s="125">
        <f>SUM(D115:D123)</f>
        <v>0</v>
      </c>
      <c r="E124" s="125">
        <f>SUM(E115:E123)</f>
        <v>0</v>
      </c>
      <c r="F124" s="81"/>
      <c r="G124" s="79">
        <f>SUM(G115:G123)</f>
        <v>0</v>
      </c>
      <c r="H124" s="80">
        <f>SUM(H115:H123)</f>
        <v>0</v>
      </c>
      <c r="I124" s="80">
        <f>SUM(I115:I123)</f>
        <v>0</v>
      </c>
      <c r="J124" s="81"/>
      <c r="K124" s="79">
        <f>SUM(K115:K123)</f>
        <v>0</v>
      </c>
      <c r="L124" s="80">
        <f>SUM(L115:L123)</f>
        <v>0</v>
      </c>
      <c r="M124" s="80">
        <f>SUM(M115:M123)</f>
        <v>0</v>
      </c>
      <c r="N124" s="81"/>
      <c r="O124" s="79">
        <f>SUM(O115:O123)</f>
        <v>0</v>
      </c>
      <c r="P124" s="80">
        <f>SUM(P115:P123)</f>
        <v>0</v>
      </c>
      <c r="Q124" s="80">
        <f>SUM(Q115:Q123)</f>
        <v>0</v>
      </c>
      <c r="R124" s="81"/>
      <c r="S124" s="79">
        <f>SUM(S115:S123)</f>
        <v>0</v>
      </c>
      <c r="T124" s="80">
        <f>SUM(T115:T123)</f>
        <v>0</v>
      </c>
      <c r="U124" s="80">
        <f>SUM(U115:U123)</f>
        <v>0</v>
      </c>
      <c r="V124" s="82"/>
      <c r="W124" s="228">
        <f>C124+G124+K124+O124+S124</f>
        <v>0</v>
      </c>
      <c r="X124" s="80">
        <f>D124+H124+L124+P124+T124</f>
        <v>0</v>
      </c>
      <c r="Y124" s="84">
        <f>E124+I124+M124+Q124+U124</f>
        <v>0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103" customFormat="1" x14ac:dyDescent="0.25">
      <c r="A125" s="100" t="s">
        <v>17</v>
      </c>
      <c r="B125" s="100"/>
      <c r="C125" s="101">
        <f t="shared" ref="C125:Y125" si="122">C124+C113</f>
        <v>0</v>
      </c>
      <c r="D125" s="101">
        <f t="shared" si="122"/>
        <v>0</v>
      </c>
      <c r="E125" s="101">
        <f t="shared" si="122"/>
        <v>0</v>
      </c>
      <c r="F125" s="101">
        <f t="shared" si="122"/>
        <v>0</v>
      </c>
      <c r="G125" s="101">
        <f t="shared" si="122"/>
        <v>0</v>
      </c>
      <c r="H125" s="101">
        <f t="shared" si="122"/>
        <v>0</v>
      </c>
      <c r="I125" s="101">
        <f t="shared" si="122"/>
        <v>0</v>
      </c>
      <c r="J125" s="101">
        <f t="shared" si="122"/>
        <v>0</v>
      </c>
      <c r="K125" s="101">
        <f t="shared" si="122"/>
        <v>0</v>
      </c>
      <c r="L125" s="101">
        <f t="shared" si="122"/>
        <v>0</v>
      </c>
      <c r="M125" s="101">
        <f t="shared" si="122"/>
        <v>0</v>
      </c>
      <c r="N125" s="101">
        <f t="shared" si="122"/>
        <v>0</v>
      </c>
      <c r="O125" s="101">
        <f t="shared" si="122"/>
        <v>0</v>
      </c>
      <c r="P125" s="101">
        <f t="shared" si="122"/>
        <v>0</v>
      </c>
      <c r="Q125" s="101">
        <f t="shared" si="122"/>
        <v>0</v>
      </c>
      <c r="R125" s="101">
        <f t="shared" si="122"/>
        <v>0</v>
      </c>
      <c r="S125" s="101">
        <f t="shared" si="122"/>
        <v>0</v>
      </c>
      <c r="T125" s="101">
        <f t="shared" si="122"/>
        <v>0</v>
      </c>
      <c r="U125" s="101">
        <f t="shared" si="122"/>
        <v>0</v>
      </c>
      <c r="V125" s="101">
        <f t="shared" si="122"/>
        <v>0</v>
      </c>
      <c r="W125" s="101">
        <f t="shared" si="122"/>
        <v>0</v>
      </c>
      <c r="X125" s="101">
        <f t="shared" si="122"/>
        <v>0</v>
      </c>
      <c r="Y125" s="101">
        <f t="shared" si="122"/>
        <v>0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s="77" customFormat="1" x14ac:dyDescent="0.25">
      <c r="A126" s="74" t="s">
        <v>18</v>
      </c>
      <c r="B126" s="127"/>
      <c r="C126" s="128"/>
      <c r="D126" s="128"/>
      <c r="E126" s="58"/>
      <c r="F126" s="128"/>
      <c r="G126" s="128"/>
      <c r="H126" s="128"/>
      <c r="I126" s="58"/>
      <c r="J126" s="128"/>
      <c r="K126" s="128"/>
      <c r="L126" s="58"/>
      <c r="M126" s="58"/>
      <c r="N126" s="128"/>
      <c r="O126" s="128"/>
      <c r="P126" s="58"/>
      <c r="Q126" s="58"/>
      <c r="R126" s="128"/>
      <c r="S126" s="128"/>
      <c r="T126" s="58"/>
      <c r="U126" s="58"/>
      <c r="V126" s="59"/>
      <c r="W126" s="58"/>
      <c r="X126" s="58"/>
      <c r="Y126" s="129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s="61" customFormat="1" x14ac:dyDescent="0.25">
      <c r="A127" s="52"/>
      <c r="B127" s="52"/>
      <c r="C127" s="124">
        <v>0</v>
      </c>
      <c r="D127" s="56">
        <v>0</v>
      </c>
      <c r="E127" s="56">
        <f t="shared" ref="E127:E140" si="123">SUM(C127:D127)</f>
        <v>0</v>
      </c>
      <c r="F127" s="58"/>
      <c r="G127" s="55">
        <v>0</v>
      </c>
      <c r="H127" s="57">
        <v>0</v>
      </c>
      <c r="I127" s="57">
        <f t="shared" ref="I127:I140" si="124">SUM(G127:H127)</f>
        <v>0</v>
      </c>
      <c r="J127" s="58"/>
      <c r="K127" s="55">
        <v>0</v>
      </c>
      <c r="L127" s="57">
        <v>0</v>
      </c>
      <c r="M127" s="57">
        <f t="shared" ref="M127:M140" si="125">SUM(K127:L127)</f>
        <v>0</v>
      </c>
      <c r="N127" s="58"/>
      <c r="O127" s="55">
        <v>0</v>
      </c>
      <c r="P127" s="57">
        <v>0</v>
      </c>
      <c r="Q127" s="57">
        <f t="shared" ref="Q127:Q140" si="126">SUM(O127:P127)</f>
        <v>0</v>
      </c>
      <c r="R127" s="58"/>
      <c r="S127" s="55">
        <v>0</v>
      </c>
      <c r="T127" s="57">
        <v>0</v>
      </c>
      <c r="U127" s="57">
        <f t="shared" ref="U127:U140" si="127">SUM(S127:T127)</f>
        <v>0</v>
      </c>
      <c r="V127" s="59"/>
      <c r="W127" s="124">
        <f t="shared" ref="W127:W141" si="128">C127+G127+K127+O127+S127</f>
        <v>0</v>
      </c>
      <c r="X127" s="57">
        <f t="shared" ref="X127:X141" si="129">D127+H127+L127+P127+T127</f>
        <v>0</v>
      </c>
      <c r="Y127" s="84">
        <f t="shared" ref="Y127:Y141" si="130">E127+I127+M127+Q127+U127</f>
        <v>0</v>
      </c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</row>
    <row r="128" spans="1:77" s="61" customFormat="1" x14ac:dyDescent="0.25">
      <c r="A128" s="52"/>
      <c r="B128" s="52"/>
      <c r="C128" s="124">
        <v>0</v>
      </c>
      <c r="D128" s="56">
        <v>0</v>
      </c>
      <c r="E128" s="56">
        <f t="shared" si="123"/>
        <v>0</v>
      </c>
      <c r="F128" s="58"/>
      <c r="G128" s="55">
        <v>0</v>
      </c>
      <c r="H128" s="57">
        <v>0</v>
      </c>
      <c r="I128" s="57">
        <f t="shared" si="124"/>
        <v>0</v>
      </c>
      <c r="J128" s="58"/>
      <c r="K128" s="55">
        <v>0</v>
      </c>
      <c r="L128" s="57">
        <v>0</v>
      </c>
      <c r="M128" s="57">
        <f t="shared" si="125"/>
        <v>0</v>
      </c>
      <c r="N128" s="58"/>
      <c r="O128" s="55">
        <v>0</v>
      </c>
      <c r="P128" s="57">
        <v>0</v>
      </c>
      <c r="Q128" s="57">
        <f t="shared" si="126"/>
        <v>0</v>
      </c>
      <c r="R128" s="58"/>
      <c r="S128" s="55">
        <v>0</v>
      </c>
      <c r="T128" s="57">
        <v>0</v>
      </c>
      <c r="U128" s="57">
        <f t="shared" si="127"/>
        <v>0</v>
      </c>
      <c r="V128" s="59"/>
      <c r="W128" s="124">
        <f t="shared" si="128"/>
        <v>0</v>
      </c>
      <c r="X128" s="57">
        <f t="shared" si="129"/>
        <v>0</v>
      </c>
      <c r="Y128" s="84">
        <f t="shared" si="130"/>
        <v>0</v>
      </c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</row>
    <row r="129" spans="1:77" s="61" customFormat="1" x14ac:dyDescent="0.25">
      <c r="A129" s="52"/>
      <c r="B129" s="52"/>
      <c r="C129" s="124">
        <v>0</v>
      </c>
      <c r="D129" s="56">
        <v>0</v>
      </c>
      <c r="E129" s="56">
        <f t="shared" si="123"/>
        <v>0</v>
      </c>
      <c r="F129" s="58"/>
      <c r="G129" s="55">
        <v>0</v>
      </c>
      <c r="H129" s="57">
        <v>0</v>
      </c>
      <c r="I129" s="57">
        <f t="shared" si="124"/>
        <v>0</v>
      </c>
      <c r="J129" s="58"/>
      <c r="K129" s="55">
        <v>0</v>
      </c>
      <c r="L129" s="57">
        <v>0</v>
      </c>
      <c r="M129" s="57">
        <f t="shared" si="125"/>
        <v>0</v>
      </c>
      <c r="N129" s="58"/>
      <c r="O129" s="55">
        <v>0</v>
      </c>
      <c r="P129" s="57">
        <v>0</v>
      </c>
      <c r="Q129" s="57">
        <f t="shared" si="126"/>
        <v>0</v>
      </c>
      <c r="R129" s="58"/>
      <c r="S129" s="55">
        <v>0</v>
      </c>
      <c r="T129" s="57">
        <v>0</v>
      </c>
      <c r="U129" s="57">
        <f t="shared" si="127"/>
        <v>0</v>
      </c>
      <c r="V129" s="59"/>
      <c r="W129" s="124">
        <f t="shared" si="128"/>
        <v>0</v>
      </c>
      <c r="X129" s="57">
        <f t="shared" si="129"/>
        <v>0</v>
      </c>
      <c r="Y129" s="84">
        <f t="shared" si="130"/>
        <v>0</v>
      </c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</row>
    <row r="130" spans="1:77" s="61" customFormat="1" x14ac:dyDescent="0.25">
      <c r="A130" s="52"/>
      <c r="B130" s="52"/>
      <c r="C130" s="124">
        <v>0</v>
      </c>
      <c r="D130" s="56">
        <v>0</v>
      </c>
      <c r="E130" s="56">
        <f t="shared" si="123"/>
        <v>0</v>
      </c>
      <c r="F130" s="58"/>
      <c r="G130" s="55">
        <v>0</v>
      </c>
      <c r="H130" s="57">
        <v>0</v>
      </c>
      <c r="I130" s="57">
        <f t="shared" si="124"/>
        <v>0</v>
      </c>
      <c r="J130" s="58"/>
      <c r="K130" s="55">
        <v>0</v>
      </c>
      <c r="L130" s="57">
        <v>0</v>
      </c>
      <c r="M130" s="57">
        <f t="shared" si="125"/>
        <v>0</v>
      </c>
      <c r="N130" s="58"/>
      <c r="O130" s="55">
        <v>0</v>
      </c>
      <c r="P130" s="57">
        <v>0</v>
      </c>
      <c r="Q130" s="57">
        <f t="shared" si="126"/>
        <v>0</v>
      </c>
      <c r="R130" s="58"/>
      <c r="S130" s="55">
        <v>0</v>
      </c>
      <c r="T130" s="57">
        <v>0</v>
      </c>
      <c r="U130" s="57">
        <f t="shared" si="127"/>
        <v>0</v>
      </c>
      <c r="V130" s="59"/>
      <c r="W130" s="124">
        <f t="shared" si="128"/>
        <v>0</v>
      </c>
      <c r="X130" s="57">
        <f t="shared" si="129"/>
        <v>0</v>
      </c>
      <c r="Y130" s="84">
        <f t="shared" si="130"/>
        <v>0</v>
      </c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</row>
    <row r="131" spans="1:77" s="61" customFormat="1" x14ac:dyDescent="0.25">
      <c r="A131" s="52"/>
      <c r="B131" s="52"/>
      <c r="C131" s="124">
        <v>0</v>
      </c>
      <c r="D131" s="56">
        <v>0</v>
      </c>
      <c r="E131" s="56">
        <f t="shared" si="123"/>
        <v>0</v>
      </c>
      <c r="F131" s="58"/>
      <c r="G131" s="55">
        <v>0</v>
      </c>
      <c r="H131" s="57">
        <v>0</v>
      </c>
      <c r="I131" s="57">
        <f t="shared" si="124"/>
        <v>0</v>
      </c>
      <c r="J131" s="58"/>
      <c r="K131" s="55">
        <v>0</v>
      </c>
      <c r="L131" s="57">
        <v>0</v>
      </c>
      <c r="M131" s="57">
        <f t="shared" si="125"/>
        <v>0</v>
      </c>
      <c r="N131" s="58"/>
      <c r="O131" s="55">
        <v>0</v>
      </c>
      <c r="P131" s="57">
        <v>0</v>
      </c>
      <c r="Q131" s="57">
        <f t="shared" si="126"/>
        <v>0</v>
      </c>
      <c r="R131" s="58"/>
      <c r="S131" s="55">
        <v>0</v>
      </c>
      <c r="T131" s="57">
        <v>0</v>
      </c>
      <c r="U131" s="57">
        <f t="shared" si="127"/>
        <v>0</v>
      </c>
      <c r="V131" s="59"/>
      <c r="W131" s="124">
        <f t="shared" si="128"/>
        <v>0</v>
      </c>
      <c r="X131" s="57">
        <f t="shared" si="129"/>
        <v>0</v>
      </c>
      <c r="Y131" s="84">
        <f t="shared" si="130"/>
        <v>0</v>
      </c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</row>
    <row r="132" spans="1:77" s="61" customFormat="1" x14ac:dyDescent="0.25">
      <c r="A132" s="52"/>
      <c r="B132" s="52"/>
      <c r="C132" s="124">
        <v>0</v>
      </c>
      <c r="D132" s="56">
        <v>0</v>
      </c>
      <c r="E132" s="56">
        <f t="shared" si="123"/>
        <v>0</v>
      </c>
      <c r="F132" s="58"/>
      <c r="G132" s="55">
        <v>0</v>
      </c>
      <c r="H132" s="57">
        <v>0</v>
      </c>
      <c r="I132" s="57">
        <f t="shared" si="124"/>
        <v>0</v>
      </c>
      <c r="J132" s="58"/>
      <c r="K132" s="55">
        <v>0</v>
      </c>
      <c r="L132" s="57">
        <v>0</v>
      </c>
      <c r="M132" s="57">
        <f t="shared" si="125"/>
        <v>0</v>
      </c>
      <c r="N132" s="58"/>
      <c r="O132" s="55">
        <v>0</v>
      </c>
      <c r="P132" s="57">
        <v>0</v>
      </c>
      <c r="Q132" s="57">
        <f t="shared" si="126"/>
        <v>0</v>
      </c>
      <c r="R132" s="58"/>
      <c r="S132" s="55">
        <v>0</v>
      </c>
      <c r="T132" s="57">
        <v>0</v>
      </c>
      <c r="U132" s="57">
        <f t="shared" si="127"/>
        <v>0</v>
      </c>
      <c r="V132" s="59"/>
      <c r="W132" s="124">
        <f t="shared" si="128"/>
        <v>0</v>
      </c>
      <c r="X132" s="57">
        <f t="shared" si="129"/>
        <v>0</v>
      </c>
      <c r="Y132" s="84">
        <f t="shared" si="130"/>
        <v>0</v>
      </c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</row>
    <row r="133" spans="1:77" s="61" customFormat="1" x14ac:dyDescent="0.25">
      <c r="A133" s="52"/>
      <c r="B133" s="52"/>
      <c r="C133" s="124">
        <v>0</v>
      </c>
      <c r="D133" s="56">
        <v>0</v>
      </c>
      <c r="E133" s="56">
        <f t="shared" si="123"/>
        <v>0</v>
      </c>
      <c r="F133" s="58"/>
      <c r="G133" s="55">
        <v>0</v>
      </c>
      <c r="H133" s="57">
        <v>0</v>
      </c>
      <c r="I133" s="57">
        <f t="shared" si="124"/>
        <v>0</v>
      </c>
      <c r="J133" s="58"/>
      <c r="K133" s="55">
        <v>0</v>
      </c>
      <c r="L133" s="57">
        <v>0</v>
      </c>
      <c r="M133" s="57">
        <f t="shared" si="125"/>
        <v>0</v>
      </c>
      <c r="N133" s="58"/>
      <c r="O133" s="55">
        <v>0</v>
      </c>
      <c r="P133" s="57">
        <v>0</v>
      </c>
      <c r="Q133" s="57">
        <f t="shared" si="126"/>
        <v>0</v>
      </c>
      <c r="R133" s="58"/>
      <c r="S133" s="55">
        <v>0</v>
      </c>
      <c r="T133" s="57">
        <v>0</v>
      </c>
      <c r="U133" s="57">
        <f t="shared" si="127"/>
        <v>0</v>
      </c>
      <c r="V133" s="59"/>
      <c r="W133" s="124">
        <f t="shared" si="128"/>
        <v>0</v>
      </c>
      <c r="X133" s="57">
        <f t="shared" si="129"/>
        <v>0</v>
      </c>
      <c r="Y133" s="84">
        <f t="shared" si="130"/>
        <v>0</v>
      </c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</row>
    <row r="134" spans="1:77" s="61" customFormat="1" x14ac:dyDescent="0.25">
      <c r="A134" s="52"/>
      <c r="B134" s="52"/>
      <c r="C134" s="124">
        <v>0</v>
      </c>
      <c r="D134" s="56">
        <v>0</v>
      </c>
      <c r="E134" s="56">
        <f t="shared" si="123"/>
        <v>0</v>
      </c>
      <c r="F134" s="58"/>
      <c r="G134" s="55">
        <v>0</v>
      </c>
      <c r="H134" s="57">
        <v>0</v>
      </c>
      <c r="I134" s="57">
        <f t="shared" si="124"/>
        <v>0</v>
      </c>
      <c r="J134" s="58"/>
      <c r="K134" s="55">
        <v>0</v>
      </c>
      <c r="L134" s="57">
        <v>0</v>
      </c>
      <c r="M134" s="57">
        <f t="shared" si="125"/>
        <v>0</v>
      </c>
      <c r="N134" s="58"/>
      <c r="O134" s="55">
        <v>0</v>
      </c>
      <c r="P134" s="57">
        <v>0</v>
      </c>
      <c r="Q134" s="57">
        <f t="shared" si="126"/>
        <v>0</v>
      </c>
      <c r="R134" s="58"/>
      <c r="S134" s="55">
        <v>0</v>
      </c>
      <c r="T134" s="57">
        <v>0</v>
      </c>
      <c r="U134" s="57">
        <f t="shared" si="127"/>
        <v>0</v>
      </c>
      <c r="V134" s="59"/>
      <c r="W134" s="124">
        <f t="shared" si="128"/>
        <v>0</v>
      </c>
      <c r="X134" s="57">
        <f t="shared" si="129"/>
        <v>0</v>
      </c>
      <c r="Y134" s="84">
        <f t="shared" si="130"/>
        <v>0</v>
      </c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</row>
    <row r="135" spans="1:77" s="61" customFormat="1" x14ac:dyDescent="0.25">
      <c r="A135" s="52"/>
      <c r="B135" s="52"/>
      <c r="C135" s="124">
        <v>0</v>
      </c>
      <c r="D135" s="56">
        <v>0</v>
      </c>
      <c r="E135" s="56">
        <f t="shared" si="123"/>
        <v>0</v>
      </c>
      <c r="F135" s="58"/>
      <c r="G135" s="55">
        <v>0</v>
      </c>
      <c r="H135" s="57">
        <v>0</v>
      </c>
      <c r="I135" s="57">
        <f t="shared" si="124"/>
        <v>0</v>
      </c>
      <c r="J135" s="58"/>
      <c r="K135" s="55">
        <v>0</v>
      </c>
      <c r="L135" s="57">
        <v>0</v>
      </c>
      <c r="M135" s="57">
        <f t="shared" si="125"/>
        <v>0</v>
      </c>
      <c r="N135" s="58"/>
      <c r="O135" s="55">
        <v>0</v>
      </c>
      <c r="P135" s="57">
        <v>0</v>
      </c>
      <c r="Q135" s="57">
        <f t="shared" si="126"/>
        <v>0</v>
      </c>
      <c r="R135" s="58"/>
      <c r="S135" s="55">
        <v>0</v>
      </c>
      <c r="T135" s="57">
        <v>0</v>
      </c>
      <c r="U135" s="57">
        <f t="shared" si="127"/>
        <v>0</v>
      </c>
      <c r="V135" s="59"/>
      <c r="W135" s="124">
        <f t="shared" si="128"/>
        <v>0</v>
      </c>
      <c r="X135" s="57">
        <f t="shared" si="129"/>
        <v>0</v>
      </c>
      <c r="Y135" s="84">
        <f t="shared" si="130"/>
        <v>0</v>
      </c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</row>
    <row r="136" spans="1:77" s="61" customFormat="1" x14ac:dyDescent="0.25">
      <c r="A136" s="52"/>
      <c r="B136" s="52"/>
      <c r="C136" s="124">
        <v>0</v>
      </c>
      <c r="D136" s="56">
        <v>0</v>
      </c>
      <c r="E136" s="56">
        <f t="shared" si="123"/>
        <v>0</v>
      </c>
      <c r="F136" s="58"/>
      <c r="G136" s="55">
        <v>0</v>
      </c>
      <c r="H136" s="57">
        <v>0</v>
      </c>
      <c r="I136" s="57">
        <f t="shared" si="124"/>
        <v>0</v>
      </c>
      <c r="J136" s="58"/>
      <c r="K136" s="55">
        <v>0</v>
      </c>
      <c r="L136" s="57">
        <v>0</v>
      </c>
      <c r="M136" s="57">
        <f t="shared" si="125"/>
        <v>0</v>
      </c>
      <c r="N136" s="58"/>
      <c r="O136" s="55">
        <v>0</v>
      </c>
      <c r="P136" s="57">
        <v>0</v>
      </c>
      <c r="Q136" s="57">
        <f t="shared" si="126"/>
        <v>0</v>
      </c>
      <c r="R136" s="58"/>
      <c r="S136" s="55">
        <v>0</v>
      </c>
      <c r="T136" s="57">
        <v>0</v>
      </c>
      <c r="U136" s="57">
        <f t="shared" si="127"/>
        <v>0</v>
      </c>
      <c r="V136" s="59"/>
      <c r="W136" s="124">
        <f t="shared" si="128"/>
        <v>0</v>
      </c>
      <c r="X136" s="57">
        <f t="shared" si="129"/>
        <v>0</v>
      </c>
      <c r="Y136" s="84">
        <f t="shared" si="130"/>
        <v>0</v>
      </c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</row>
    <row r="137" spans="1:77" s="61" customFormat="1" x14ac:dyDescent="0.25">
      <c r="A137" s="52"/>
      <c r="B137" s="52"/>
      <c r="C137" s="124">
        <v>0</v>
      </c>
      <c r="D137" s="56">
        <v>0</v>
      </c>
      <c r="E137" s="56">
        <f t="shared" si="123"/>
        <v>0</v>
      </c>
      <c r="F137" s="58"/>
      <c r="G137" s="55">
        <v>0</v>
      </c>
      <c r="H137" s="57">
        <v>0</v>
      </c>
      <c r="I137" s="57">
        <f t="shared" si="124"/>
        <v>0</v>
      </c>
      <c r="J137" s="58"/>
      <c r="K137" s="55">
        <v>0</v>
      </c>
      <c r="L137" s="57">
        <v>0</v>
      </c>
      <c r="M137" s="57">
        <f t="shared" si="125"/>
        <v>0</v>
      </c>
      <c r="N137" s="58"/>
      <c r="O137" s="55">
        <v>0</v>
      </c>
      <c r="P137" s="57">
        <v>0</v>
      </c>
      <c r="Q137" s="57">
        <f t="shared" si="126"/>
        <v>0</v>
      </c>
      <c r="R137" s="58"/>
      <c r="S137" s="55">
        <v>0</v>
      </c>
      <c r="T137" s="57">
        <v>0</v>
      </c>
      <c r="U137" s="57">
        <f t="shared" si="127"/>
        <v>0</v>
      </c>
      <c r="V137" s="59"/>
      <c r="W137" s="124">
        <f t="shared" si="128"/>
        <v>0</v>
      </c>
      <c r="X137" s="57">
        <f t="shared" si="129"/>
        <v>0</v>
      </c>
      <c r="Y137" s="84">
        <f t="shared" si="130"/>
        <v>0</v>
      </c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</row>
    <row r="138" spans="1:77" s="61" customFormat="1" x14ac:dyDescent="0.25">
      <c r="A138" s="52"/>
      <c r="B138" s="52"/>
      <c r="C138" s="124">
        <v>0</v>
      </c>
      <c r="D138" s="56">
        <v>0</v>
      </c>
      <c r="E138" s="56">
        <f t="shared" si="123"/>
        <v>0</v>
      </c>
      <c r="F138" s="58"/>
      <c r="G138" s="55">
        <v>0</v>
      </c>
      <c r="H138" s="57">
        <v>0</v>
      </c>
      <c r="I138" s="57">
        <f t="shared" si="124"/>
        <v>0</v>
      </c>
      <c r="J138" s="58"/>
      <c r="K138" s="55">
        <v>0</v>
      </c>
      <c r="L138" s="57">
        <v>0</v>
      </c>
      <c r="M138" s="57">
        <f t="shared" si="125"/>
        <v>0</v>
      </c>
      <c r="N138" s="58"/>
      <c r="O138" s="55">
        <v>0</v>
      </c>
      <c r="P138" s="57">
        <v>0</v>
      </c>
      <c r="Q138" s="57">
        <f t="shared" si="126"/>
        <v>0</v>
      </c>
      <c r="R138" s="58"/>
      <c r="S138" s="55">
        <v>0</v>
      </c>
      <c r="T138" s="57">
        <v>0</v>
      </c>
      <c r="U138" s="57">
        <f t="shared" si="127"/>
        <v>0</v>
      </c>
      <c r="V138" s="59"/>
      <c r="W138" s="124">
        <f t="shared" si="128"/>
        <v>0</v>
      </c>
      <c r="X138" s="57">
        <f t="shared" si="129"/>
        <v>0</v>
      </c>
      <c r="Y138" s="84">
        <f t="shared" si="130"/>
        <v>0</v>
      </c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</row>
    <row r="139" spans="1:77" s="61" customFormat="1" x14ac:dyDescent="0.25">
      <c r="A139" s="52"/>
      <c r="B139" s="52"/>
      <c r="C139" s="124">
        <v>0</v>
      </c>
      <c r="D139" s="56">
        <v>0</v>
      </c>
      <c r="E139" s="56">
        <f t="shared" si="123"/>
        <v>0</v>
      </c>
      <c r="F139" s="58"/>
      <c r="G139" s="55">
        <v>0</v>
      </c>
      <c r="H139" s="57">
        <v>0</v>
      </c>
      <c r="I139" s="57">
        <f t="shared" si="124"/>
        <v>0</v>
      </c>
      <c r="J139" s="58"/>
      <c r="K139" s="55">
        <v>0</v>
      </c>
      <c r="L139" s="57">
        <v>0</v>
      </c>
      <c r="M139" s="57">
        <f t="shared" si="125"/>
        <v>0</v>
      </c>
      <c r="N139" s="58"/>
      <c r="O139" s="55">
        <v>0</v>
      </c>
      <c r="P139" s="57">
        <v>0</v>
      </c>
      <c r="Q139" s="57">
        <f t="shared" si="126"/>
        <v>0</v>
      </c>
      <c r="R139" s="58"/>
      <c r="S139" s="55">
        <v>0</v>
      </c>
      <c r="T139" s="57">
        <v>0</v>
      </c>
      <c r="U139" s="57">
        <f t="shared" si="127"/>
        <v>0</v>
      </c>
      <c r="V139" s="59"/>
      <c r="W139" s="124">
        <f t="shared" si="128"/>
        <v>0</v>
      </c>
      <c r="X139" s="57">
        <f t="shared" si="129"/>
        <v>0</v>
      </c>
      <c r="Y139" s="84">
        <f t="shared" si="130"/>
        <v>0</v>
      </c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</row>
    <row r="140" spans="1:77" s="61" customFormat="1" x14ac:dyDescent="0.25">
      <c r="A140" s="52"/>
      <c r="B140" s="52"/>
      <c r="C140" s="124">
        <v>0</v>
      </c>
      <c r="D140" s="56">
        <v>0</v>
      </c>
      <c r="E140" s="56">
        <f t="shared" si="123"/>
        <v>0</v>
      </c>
      <c r="F140" s="58"/>
      <c r="G140" s="55">
        <v>0</v>
      </c>
      <c r="H140" s="57">
        <v>0</v>
      </c>
      <c r="I140" s="57">
        <f t="shared" si="124"/>
        <v>0</v>
      </c>
      <c r="J140" s="58"/>
      <c r="K140" s="55">
        <v>0</v>
      </c>
      <c r="L140" s="57">
        <v>0</v>
      </c>
      <c r="M140" s="57">
        <f t="shared" si="125"/>
        <v>0</v>
      </c>
      <c r="N140" s="58"/>
      <c r="O140" s="55">
        <v>0</v>
      </c>
      <c r="P140" s="57">
        <v>0</v>
      </c>
      <c r="Q140" s="57">
        <f t="shared" si="126"/>
        <v>0</v>
      </c>
      <c r="R140" s="58"/>
      <c r="S140" s="55">
        <v>0</v>
      </c>
      <c r="T140" s="57">
        <v>0</v>
      </c>
      <c r="U140" s="57">
        <f t="shared" si="127"/>
        <v>0</v>
      </c>
      <c r="V140" s="59"/>
      <c r="W140" s="124">
        <f t="shared" si="128"/>
        <v>0</v>
      </c>
      <c r="X140" s="57">
        <f t="shared" si="129"/>
        <v>0</v>
      </c>
      <c r="Y140" s="84">
        <f t="shared" si="130"/>
        <v>0</v>
      </c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</row>
    <row r="141" spans="1:77" s="83" customFormat="1" x14ac:dyDescent="0.25">
      <c r="A141" s="78"/>
      <c r="B141" s="78" t="s">
        <v>9</v>
      </c>
      <c r="C141" s="228">
        <f>SUM(C127:C140)</f>
        <v>0</v>
      </c>
      <c r="D141" s="125">
        <f>SUM(D127:D140)</f>
        <v>0</v>
      </c>
      <c r="E141" s="125">
        <f>SUM(E127:E140)</f>
        <v>0</v>
      </c>
      <c r="F141" s="81"/>
      <c r="G141" s="79">
        <f>SUM(G127:G140)</f>
        <v>0</v>
      </c>
      <c r="H141" s="125">
        <f>SUM(H127:H140)</f>
        <v>0</v>
      </c>
      <c r="I141" s="125">
        <f>SUM(I127:I140)</f>
        <v>0</v>
      </c>
      <c r="J141" s="81"/>
      <c r="K141" s="79">
        <f>SUM(K127:K140)</f>
        <v>0</v>
      </c>
      <c r="L141" s="80">
        <f>SUM(L127:L140)</f>
        <v>0</v>
      </c>
      <c r="M141" s="80">
        <f>SUM(M127:M140)</f>
        <v>0</v>
      </c>
      <c r="N141" s="81"/>
      <c r="O141" s="79">
        <f>SUM(O127:O140)</f>
        <v>0</v>
      </c>
      <c r="P141" s="80">
        <f>SUM(P127:P140)</f>
        <v>0</v>
      </c>
      <c r="Q141" s="80">
        <f>SUM(Q127:Q140)</f>
        <v>0</v>
      </c>
      <c r="R141" s="81"/>
      <c r="S141" s="79">
        <f>SUM(S127:S140)</f>
        <v>0</v>
      </c>
      <c r="T141" s="80">
        <f>SUM(T127:T140)</f>
        <v>0</v>
      </c>
      <c r="U141" s="80">
        <f>SUM(U127:U140)</f>
        <v>0</v>
      </c>
      <c r="V141" s="82"/>
      <c r="W141" s="228">
        <f t="shared" si="128"/>
        <v>0</v>
      </c>
      <c r="X141" s="80">
        <f t="shared" si="129"/>
        <v>0</v>
      </c>
      <c r="Y141" s="80">
        <f t="shared" si="130"/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s="61" customFormat="1" x14ac:dyDescent="0.25">
      <c r="A143" s="52"/>
      <c r="B143" s="52"/>
      <c r="C143" s="124">
        <v>0</v>
      </c>
      <c r="D143" s="56">
        <v>0</v>
      </c>
      <c r="E143" s="56">
        <f t="shared" ref="E143:E148" si="131">SUM(C143:D143)</f>
        <v>0</v>
      </c>
      <c r="F143" s="58"/>
      <c r="G143" s="55">
        <v>0</v>
      </c>
      <c r="H143" s="57">
        <v>0</v>
      </c>
      <c r="I143" s="57">
        <f t="shared" ref="I143:I148" si="132">SUM(G143:H143)</f>
        <v>0</v>
      </c>
      <c r="J143" s="58"/>
      <c r="K143" s="55">
        <v>0</v>
      </c>
      <c r="L143" s="57">
        <v>0</v>
      </c>
      <c r="M143" s="57">
        <f t="shared" ref="M143:M148" si="133">SUM(K143:L143)</f>
        <v>0</v>
      </c>
      <c r="N143" s="58"/>
      <c r="O143" s="55">
        <v>0</v>
      </c>
      <c r="P143" s="57">
        <v>0</v>
      </c>
      <c r="Q143" s="57">
        <f t="shared" ref="Q143:Q148" si="134">SUM(O143:P143)</f>
        <v>0</v>
      </c>
      <c r="R143" s="58"/>
      <c r="S143" s="55">
        <v>0</v>
      </c>
      <c r="T143" s="57">
        <v>0</v>
      </c>
      <c r="U143" s="57">
        <f t="shared" ref="U143:U148" si="135">SUM(S143:T143)</f>
        <v>0</v>
      </c>
      <c r="V143" s="59"/>
      <c r="W143" s="124">
        <f t="shared" ref="W143:Y149" si="136">C143+G143+K143+O143+S143</f>
        <v>0</v>
      </c>
      <c r="X143" s="57">
        <f t="shared" si="136"/>
        <v>0</v>
      </c>
      <c r="Y143" s="84">
        <f t="shared" si="136"/>
        <v>0</v>
      </c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</row>
    <row r="144" spans="1:77" s="61" customFormat="1" x14ac:dyDescent="0.25">
      <c r="A144" s="52"/>
      <c r="B144" s="52"/>
      <c r="C144" s="124">
        <v>0</v>
      </c>
      <c r="D144" s="56">
        <v>0</v>
      </c>
      <c r="E144" s="56">
        <f t="shared" si="131"/>
        <v>0</v>
      </c>
      <c r="F144" s="58"/>
      <c r="G144" s="55">
        <v>0</v>
      </c>
      <c r="H144" s="57">
        <v>0</v>
      </c>
      <c r="I144" s="57">
        <f t="shared" si="132"/>
        <v>0</v>
      </c>
      <c r="J144" s="58"/>
      <c r="K144" s="55">
        <v>0</v>
      </c>
      <c r="L144" s="57">
        <v>0</v>
      </c>
      <c r="M144" s="57">
        <f t="shared" si="133"/>
        <v>0</v>
      </c>
      <c r="N144" s="58"/>
      <c r="O144" s="55">
        <v>0</v>
      </c>
      <c r="P144" s="57">
        <v>0</v>
      </c>
      <c r="Q144" s="57">
        <f t="shared" si="134"/>
        <v>0</v>
      </c>
      <c r="R144" s="58"/>
      <c r="S144" s="55">
        <v>0</v>
      </c>
      <c r="T144" s="57">
        <v>0</v>
      </c>
      <c r="U144" s="57">
        <f t="shared" si="135"/>
        <v>0</v>
      </c>
      <c r="V144" s="59"/>
      <c r="W144" s="124">
        <f t="shared" si="136"/>
        <v>0</v>
      </c>
      <c r="X144" s="57">
        <f t="shared" si="136"/>
        <v>0</v>
      </c>
      <c r="Y144" s="84">
        <f t="shared" si="136"/>
        <v>0</v>
      </c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</row>
    <row r="145" spans="1:77" s="61" customFormat="1" x14ac:dyDescent="0.25">
      <c r="A145" s="52"/>
      <c r="B145" s="52"/>
      <c r="C145" s="124">
        <v>0</v>
      </c>
      <c r="D145" s="56">
        <v>0</v>
      </c>
      <c r="E145" s="56">
        <f t="shared" si="131"/>
        <v>0</v>
      </c>
      <c r="F145" s="58"/>
      <c r="G145" s="55">
        <v>0</v>
      </c>
      <c r="H145" s="57">
        <v>0</v>
      </c>
      <c r="I145" s="57">
        <f t="shared" si="132"/>
        <v>0</v>
      </c>
      <c r="J145" s="58"/>
      <c r="K145" s="55">
        <v>0</v>
      </c>
      <c r="L145" s="57">
        <v>0</v>
      </c>
      <c r="M145" s="57">
        <f t="shared" si="133"/>
        <v>0</v>
      </c>
      <c r="N145" s="58"/>
      <c r="O145" s="55">
        <v>0</v>
      </c>
      <c r="P145" s="57">
        <v>0</v>
      </c>
      <c r="Q145" s="57">
        <f t="shared" si="134"/>
        <v>0</v>
      </c>
      <c r="R145" s="58"/>
      <c r="S145" s="55">
        <v>0</v>
      </c>
      <c r="T145" s="57">
        <v>0</v>
      </c>
      <c r="U145" s="57">
        <f t="shared" si="135"/>
        <v>0</v>
      </c>
      <c r="V145" s="59"/>
      <c r="W145" s="124">
        <f t="shared" si="136"/>
        <v>0</v>
      </c>
      <c r="X145" s="57">
        <f t="shared" si="136"/>
        <v>0</v>
      </c>
      <c r="Y145" s="84">
        <f t="shared" si="136"/>
        <v>0</v>
      </c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</row>
    <row r="146" spans="1:77" s="61" customFormat="1" x14ac:dyDescent="0.25">
      <c r="A146" s="87"/>
      <c r="B146" s="52"/>
      <c r="C146" s="124">
        <v>0</v>
      </c>
      <c r="D146" s="56">
        <v>0</v>
      </c>
      <c r="E146" s="56">
        <f t="shared" si="131"/>
        <v>0</v>
      </c>
      <c r="F146" s="58"/>
      <c r="G146" s="55">
        <v>0</v>
      </c>
      <c r="H146" s="57">
        <v>0</v>
      </c>
      <c r="I146" s="57">
        <f t="shared" si="132"/>
        <v>0</v>
      </c>
      <c r="J146" s="58"/>
      <c r="K146" s="55">
        <v>0</v>
      </c>
      <c r="L146" s="57">
        <v>0</v>
      </c>
      <c r="M146" s="57">
        <f t="shared" si="133"/>
        <v>0</v>
      </c>
      <c r="N146" s="58"/>
      <c r="O146" s="55">
        <v>0</v>
      </c>
      <c r="P146" s="57">
        <v>0</v>
      </c>
      <c r="Q146" s="57">
        <f t="shared" si="134"/>
        <v>0</v>
      </c>
      <c r="R146" s="58"/>
      <c r="S146" s="55">
        <v>0</v>
      </c>
      <c r="T146" s="57">
        <v>0</v>
      </c>
      <c r="U146" s="57">
        <f t="shared" si="135"/>
        <v>0</v>
      </c>
      <c r="V146" s="59"/>
      <c r="W146" s="124">
        <f t="shared" si="136"/>
        <v>0</v>
      </c>
      <c r="X146" s="57">
        <f t="shared" si="136"/>
        <v>0</v>
      </c>
      <c r="Y146" s="84">
        <f t="shared" si="136"/>
        <v>0</v>
      </c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</row>
    <row r="147" spans="1:77" s="61" customFormat="1" x14ac:dyDescent="0.25">
      <c r="A147" s="87"/>
      <c r="B147" s="52"/>
      <c r="C147" s="124">
        <v>0</v>
      </c>
      <c r="D147" s="56">
        <v>0</v>
      </c>
      <c r="E147" s="56">
        <f t="shared" si="131"/>
        <v>0</v>
      </c>
      <c r="F147" s="58"/>
      <c r="G147" s="55">
        <v>0</v>
      </c>
      <c r="H147" s="57">
        <v>0</v>
      </c>
      <c r="I147" s="57">
        <f t="shared" si="132"/>
        <v>0</v>
      </c>
      <c r="J147" s="58"/>
      <c r="K147" s="55">
        <v>0</v>
      </c>
      <c r="L147" s="57">
        <v>0</v>
      </c>
      <c r="M147" s="57">
        <f t="shared" si="133"/>
        <v>0</v>
      </c>
      <c r="N147" s="58"/>
      <c r="O147" s="55">
        <v>0</v>
      </c>
      <c r="P147" s="57">
        <v>0</v>
      </c>
      <c r="Q147" s="57">
        <f t="shared" si="134"/>
        <v>0</v>
      </c>
      <c r="R147" s="58"/>
      <c r="S147" s="55">
        <v>0</v>
      </c>
      <c r="T147" s="57">
        <v>0</v>
      </c>
      <c r="U147" s="57">
        <f t="shared" si="135"/>
        <v>0</v>
      </c>
      <c r="V147" s="59"/>
      <c r="W147" s="124">
        <f t="shared" si="136"/>
        <v>0</v>
      </c>
      <c r="X147" s="57">
        <f t="shared" si="136"/>
        <v>0</v>
      </c>
      <c r="Y147" s="84">
        <f t="shared" si="136"/>
        <v>0</v>
      </c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</row>
    <row r="148" spans="1:77" s="61" customFormat="1" x14ac:dyDescent="0.25">
      <c r="A148" s="52"/>
      <c r="B148" s="52"/>
      <c r="C148" s="124">
        <v>0</v>
      </c>
      <c r="D148" s="56">
        <v>0</v>
      </c>
      <c r="E148" s="56">
        <f t="shared" si="131"/>
        <v>0</v>
      </c>
      <c r="F148" s="58"/>
      <c r="G148" s="55">
        <v>0</v>
      </c>
      <c r="H148" s="57">
        <v>0</v>
      </c>
      <c r="I148" s="57">
        <f t="shared" si="132"/>
        <v>0</v>
      </c>
      <c r="J148" s="58"/>
      <c r="K148" s="55">
        <v>0</v>
      </c>
      <c r="L148" s="57">
        <v>0</v>
      </c>
      <c r="M148" s="57">
        <f t="shared" si="133"/>
        <v>0</v>
      </c>
      <c r="N148" s="58"/>
      <c r="O148" s="55">
        <v>0</v>
      </c>
      <c r="P148" s="57">
        <v>0</v>
      </c>
      <c r="Q148" s="57">
        <f t="shared" si="134"/>
        <v>0</v>
      </c>
      <c r="R148" s="58"/>
      <c r="S148" s="55">
        <v>0</v>
      </c>
      <c r="T148" s="57">
        <v>0</v>
      </c>
      <c r="U148" s="57">
        <f t="shared" si="135"/>
        <v>0</v>
      </c>
      <c r="V148" s="59"/>
      <c r="W148" s="124">
        <f t="shared" si="136"/>
        <v>0</v>
      </c>
      <c r="X148" s="57">
        <f t="shared" si="136"/>
        <v>0</v>
      </c>
      <c r="Y148" s="84">
        <f t="shared" si="136"/>
        <v>0</v>
      </c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</row>
    <row r="149" spans="1:77" s="83" customFormat="1" x14ac:dyDescent="0.25">
      <c r="A149" s="78"/>
      <c r="B149" s="78" t="s">
        <v>9</v>
      </c>
      <c r="C149" s="228">
        <f>SUM(C143:C148)</f>
        <v>0</v>
      </c>
      <c r="D149" s="125">
        <f>SUM(D143:D148)</f>
        <v>0</v>
      </c>
      <c r="E149" s="125">
        <f>SUM(E143:E148)</f>
        <v>0</v>
      </c>
      <c r="F149" s="81"/>
      <c r="G149" s="79">
        <f>SUM(G143:G148)</f>
        <v>0</v>
      </c>
      <c r="H149" s="80">
        <f>SUM(H143:H148)</f>
        <v>0</v>
      </c>
      <c r="I149" s="80">
        <f>SUM(I143:I148)</f>
        <v>0</v>
      </c>
      <c r="J149" s="81"/>
      <c r="K149" s="79">
        <f>SUM(K143:K148)</f>
        <v>0</v>
      </c>
      <c r="L149" s="80">
        <f>SUM(L143:L148)</f>
        <v>0</v>
      </c>
      <c r="M149" s="80">
        <f>SUM(M143:M148)</f>
        <v>0</v>
      </c>
      <c r="N149" s="81"/>
      <c r="O149" s="79">
        <f>SUM(O143:O148)</f>
        <v>0</v>
      </c>
      <c r="P149" s="80">
        <f>SUM(P143:P148)</f>
        <v>0</v>
      </c>
      <c r="Q149" s="80">
        <f>SUM(Q143:Q148)</f>
        <v>0</v>
      </c>
      <c r="R149" s="81"/>
      <c r="S149" s="79">
        <f>SUM(S143:S148)</f>
        <v>0</v>
      </c>
      <c r="T149" s="80">
        <f>SUM(T143:T148)</f>
        <v>0</v>
      </c>
      <c r="U149" s="80">
        <f>SUM(U143:U148)</f>
        <v>0</v>
      </c>
      <c r="V149" s="82"/>
      <c r="W149" s="228">
        <f t="shared" si="136"/>
        <v>0</v>
      </c>
      <c r="X149" s="80">
        <f t="shared" si="136"/>
        <v>0</v>
      </c>
      <c r="Y149" s="80">
        <f t="shared" si="136"/>
        <v>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129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s="77" customFormat="1" x14ac:dyDescent="0.25">
      <c r="A151" s="54"/>
      <c r="B151" s="54"/>
      <c r="C151" s="124">
        <v>0</v>
      </c>
      <c r="D151" s="56">
        <v>0</v>
      </c>
      <c r="E151" s="56">
        <f>SUM(C151:D151)</f>
        <v>0</v>
      </c>
      <c r="F151" s="58"/>
      <c r="G151" s="55">
        <v>0</v>
      </c>
      <c r="H151" s="56">
        <v>0</v>
      </c>
      <c r="I151" s="56">
        <f>SUM(G151:H151)</f>
        <v>0</v>
      </c>
      <c r="J151" s="58"/>
      <c r="K151" s="55">
        <v>0</v>
      </c>
      <c r="L151" s="56">
        <v>0</v>
      </c>
      <c r="M151" s="56">
        <f>SUM(K151:L151)</f>
        <v>0</v>
      </c>
      <c r="N151" s="58"/>
      <c r="O151" s="55">
        <v>0</v>
      </c>
      <c r="P151" s="56">
        <v>0</v>
      </c>
      <c r="Q151" s="56">
        <f>SUM(O151:P151)</f>
        <v>0</v>
      </c>
      <c r="R151" s="58"/>
      <c r="S151" s="55">
        <v>0</v>
      </c>
      <c r="T151" s="56">
        <v>0</v>
      </c>
      <c r="U151" s="56">
        <f>SUM(S151:T151)</f>
        <v>0</v>
      </c>
      <c r="V151" s="59"/>
      <c r="W151" s="124">
        <f t="shared" ref="W151:Y155" si="137">C151+G151+K151+O151+S151</f>
        <v>0</v>
      </c>
      <c r="X151" s="57">
        <f t="shared" si="137"/>
        <v>0</v>
      </c>
      <c r="Y151" s="84">
        <f t="shared" si="137"/>
        <v>0</v>
      </c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</row>
    <row r="152" spans="1:77" s="77" customFormat="1" x14ac:dyDescent="0.25">
      <c r="A152" s="54"/>
      <c r="B152" s="54"/>
      <c r="C152" s="124">
        <v>0</v>
      </c>
      <c r="D152" s="56">
        <v>0</v>
      </c>
      <c r="E152" s="56">
        <f>SUM(C152:D152)</f>
        <v>0</v>
      </c>
      <c r="F152" s="58"/>
      <c r="G152" s="55">
        <v>0</v>
      </c>
      <c r="H152" s="56">
        <v>0</v>
      </c>
      <c r="I152" s="56">
        <f>SUM(G152:H152)</f>
        <v>0</v>
      </c>
      <c r="J152" s="58"/>
      <c r="K152" s="55">
        <v>0</v>
      </c>
      <c r="L152" s="56">
        <v>0</v>
      </c>
      <c r="M152" s="56">
        <f>SUM(K152:L152)</f>
        <v>0</v>
      </c>
      <c r="N152" s="58"/>
      <c r="O152" s="55">
        <v>0</v>
      </c>
      <c r="P152" s="56">
        <v>0</v>
      </c>
      <c r="Q152" s="56">
        <f>SUM(O152:P152)</f>
        <v>0</v>
      </c>
      <c r="R152" s="58"/>
      <c r="S152" s="55">
        <v>0</v>
      </c>
      <c r="T152" s="56">
        <v>0</v>
      </c>
      <c r="U152" s="56">
        <f>SUM(S152:T152)</f>
        <v>0</v>
      </c>
      <c r="V152" s="59"/>
      <c r="W152" s="124">
        <f t="shared" si="137"/>
        <v>0</v>
      </c>
      <c r="X152" s="57">
        <f t="shared" si="137"/>
        <v>0</v>
      </c>
      <c r="Y152" s="84">
        <f t="shared" si="137"/>
        <v>0</v>
      </c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</row>
    <row r="153" spans="1:77" s="77" customFormat="1" x14ac:dyDescent="0.25">
      <c r="A153" s="54"/>
      <c r="B153" s="54"/>
      <c r="C153" s="124">
        <v>0</v>
      </c>
      <c r="D153" s="56">
        <v>0</v>
      </c>
      <c r="E153" s="56">
        <f>SUM(C153:D153)</f>
        <v>0</v>
      </c>
      <c r="F153" s="58"/>
      <c r="G153" s="55">
        <v>0</v>
      </c>
      <c r="H153" s="56">
        <v>0</v>
      </c>
      <c r="I153" s="56">
        <f>SUM(G153:H153)</f>
        <v>0</v>
      </c>
      <c r="J153" s="58"/>
      <c r="K153" s="55">
        <v>0</v>
      </c>
      <c r="L153" s="56">
        <v>0</v>
      </c>
      <c r="M153" s="56">
        <f>SUM(K153:L153)</f>
        <v>0</v>
      </c>
      <c r="N153" s="58"/>
      <c r="O153" s="55">
        <v>0</v>
      </c>
      <c r="P153" s="56">
        <v>0</v>
      </c>
      <c r="Q153" s="56">
        <f>SUM(O153:P153)</f>
        <v>0</v>
      </c>
      <c r="R153" s="58"/>
      <c r="S153" s="55">
        <v>0</v>
      </c>
      <c r="T153" s="56">
        <v>0</v>
      </c>
      <c r="U153" s="56">
        <f>SUM(S153:T153)</f>
        <v>0</v>
      </c>
      <c r="V153" s="59"/>
      <c r="W153" s="124">
        <f t="shared" si="137"/>
        <v>0</v>
      </c>
      <c r="X153" s="57">
        <f t="shared" si="137"/>
        <v>0</v>
      </c>
      <c r="Y153" s="84">
        <f t="shared" si="137"/>
        <v>0</v>
      </c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</row>
    <row r="154" spans="1:77" s="61" customFormat="1" x14ac:dyDescent="0.25">
      <c r="A154" s="54"/>
      <c r="B154" s="54"/>
      <c r="C154" s="124">
        <v>0</v>
      </c>
      <c r="D154" s="56">
        <v>0</v>
      </c>
      <c r="E154" s="56">
        <f>SUM(C154:D154)</f>
        <v>0</v>
      </c>
      <c r="F154" s="58"/>
      <c r="G154" s="55">
        <v>0</v>
      </c>
      <c r="H154" s="56">
        <v>0</v>
      </c>
      <c r="I154" s="56">
        <f>SUM(G154:H154)</f>
        <v>0</v>
      </c>
      <c r="J154" s="58"/>
      <c r="K154" s="55">
        <v>0</v>
      </c>
      <c r="L154" s="56">
        <v>0</v>
      </c>
      <c r="M154" s="56">
        <f>SUM(K154:L154)</f>
        <v>0</v>
      </c>
      <c r="N154" s="58"/>
      <c r="O154" s="55">
        <v>0</v>
      </c>
      <c r="P154" s="56">
        <v>0</v>
      </c>
      <c r="Q154" s="56">
        <f>SUM(O154:P154)</f>
        <v>0</v>
      </c>
      <c r="R154" s="58"/>
      <c r="S154" s="55">
        <v>0</v>
      </c>
      <c r="T154" s="56">
        <v>0</v>
      </c>
      <c r="U154" s="56">
        <f>SUM(S154:T154)</f>
        <v>0</v>
      </c>
      <c r="V154" s="59"/>
      <c r="W154" s="124">
        <f t="shared" si="137"/>
        <v>0</v>
      </c>
      <c r="X154" s="57">
        <f t="shared" si="137"/>
        <v>0</v>
      </c>
      <c r="Y154" s="84">
        <f t="shared" si="137"/>
        <v>0</v>
      </c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</row>
    <row r="155" spans="1:77" s="83" customFormat="1" x14ac:dyDescent="0.25">
      <c r="A155" s="78"/>
      <c r="B155" s="78" t="s">
        <v>9</v>
      </c>
      <c r="C155" s="228">
        <f>SUM(C151:C154)</f>
        <v>0</v>
      </c>
      <c r="D155" s="125">
        <f>SUM(D151:D154)</f>
        <v>0</v>
      </c>
      <c r="E155" s="125">
        <f>SUM(E151:E154)</f>
        <v>0</v>
      </c>
      <c r="F155" s="81"/>
      <c r="G155" s="79">
        <f>SUM(G151:G154)</f>
        <v>0</v>
      </c>
      <c r="H155" s="80">
        <f>SUM(H151:H154)</f>
        <v>0</v>
      </c>
      <c r="I155" s="80">
        <f>SUM(I151:I154)</f>
        <v>0</v>
      </c>
      <c r="J155" s="81"/>
      <c r="K155" s="79">
        <f>SUM(K151:K154)</f>
        <v>0</v>
      </c>
      <c r="L155" s="80">
        <f>SUM(L151:L154)</f>
        <v>0</v>
      </c>
      <c r="M155" s="80">
        <f>SUM(M151:M154)</f>
        <v>0</v>
      </c>
      <c r="N155" s="81"/>
      <c r="O155" s="79">
        <f>SUM(O151:O154)</f>
        <v>0</v>
      </c>
      <c r="P155" s="80">
        <f>SUM(P151:P154)</f>
        <v>0</v>
      </c>
      <c r="Q155" s="80">
        <f>SUM(Q151:Q154)</f>
        <v>0</v>
      </c>
      <c r="R155" s="81"/>
      <c r="S155" s="79">
        <f>SUM(S151:S154)</f>
        <v>0</v>
      </c>
      <c r="T155" s="80">
        <f>SUM(T151:T154)</f>
        <v>0</v>
      </c>
      <c r="U155" s="80">
        <f>SUM(U151:U154)</f>
        <v>0</v>
      </c>
      <c r="V155" s="82"/>
      <c r="W155" s="228">
        <f t="shared" si="137"/>
        <v>0</v>
      </c>
      <c r="X155" s="80">
        <f t="shared" si="137"/>
        <v>0</v>
      </c>
      <c r="Y155" s="80">
        <f t="shared" si="137"/>
        <v>0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129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s="61" customFormat="1" x14ac:dyDescent="0.25">
      <c r="A157" s="52"/>
      <c r="B157" s="52"/>
      <c r="C157" s="124">
        <v>0</v>
      </c>
      <c r="D157" s="56">
        <v>0</v>
      </c>
      <c r="E157" s="56">
        <f t="shared" ref="E157:E172" si="138">SUM(C157:D157)</f>
        <v>0</v>
      </c>
      <c r="F157" s="58"/>
      <c r="G157" s="55">
        <v>0</v>
      </c>
      <c r="H157" s="57">
        <v>0</v>
      </c>
      <c r="I157" s="57">
        <f t="shared" ref="I157:I172" si="139">SUM(G157:H157)</f>
        <v>0</v>
      </c>
      <c r="J157" s="58"/>
      <c r="K157" s="55">
        <v>0</v>
      </c>
      <c r="L157" s="57">
        <v>0</v>
      </c>
      <c r="M157" s="57">
        <f t="shared" ref="M157:M172" si="140">SUM(K157:L157)</f>
        <v>0</v>
      </c>
      <c r="N157" s="58"/>
      <c r="O157" s="55">
        <v>0</v>
      </c>
      <c r="P157" s="57">
        <v>0</v>
      </c>
      <c r="Q157" s="57">
        <f t="shared" ref="Q157:Q172" si="141">SUM(O157:P157)</f>
        <v>0</v>
      </c>
      <c r="R157" s="58"/>
      <c r="S157" s="55">
        <v>0</v>
      </c>
      <c r="T157" s="57">
        <v>0</v>
      </c>
      <c r="U157" s="57">
        <f t="shared" ref="U157:U172" si="142">SUM(S157:T157)</f>
        <v>0</v>
      </c>
      <c r="V157" s="59"/>
      <c r="W157" s="124">
        <f t="shared" ref="W157:W173" si="143">C157+G157+K157+O157+S157</f>
        <v>0</v>
      </c>
      <c r="X157" s="57">
        <f t="shared" ref="X157:X173" si="144">D157+H157+L157+P157+T157</f>
        <v>0</v>
      </c>
      <c r="Y157" s="84">
        <f t="shared" ref="Y157:Y173" si="145">E157+I157+M157+Q157+U157</f>
        <v>0</v>
      </c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</row>
    <row r="158" spans="1:77" s="61" customFormat="1" x14ac:dyDescent="0.25">
      <c r="A158" s="203" t="s">
        <v>57</v>
      </c>
      <c r="B158" s="52" t="s">
        <v>57</v>
      </c>
      <c r="C158" s="124">
        <f>20000*0</f>
        <v>0</v>
      </c>
      <c r="D158" s="56">
        <v>0</v>
      </c>
      <c r="E158" s="56">
        <f t="shared" si="138"/>
        <v>0</v>
      </c>
      <c r="F158" s="58"/>
      <c r="G158" s="55">
        <f>C158</f>
        <v>0</v>
      </c>
      <c r="H158" s="57">
        <v>0</v>
      </c>
      <c r="I158" s="57">
        <f t="shared" si="139"/>
        <v>0</v>
      </c>
      <c r="J158" s="58"/>
      <c r="K158" s="55">
        <f>G158</f>
        <v>0</v>
      </c>
      <c r="L158" s="57">
        <v>0</v>
      </c>
      <c r="M158" s="57">
        <f t="shared" si="140"/>
        <v>0</v>
      </c>
      <c r="N158" s="58"/>
      <c r="O158" s="55">
        <f>K158</f>
        <v>0</v>
      </c>
      <c r="P158" s="57">
        <v>0</v>
      </c>
      <c r="Q158" s="57">
        <f t="shared" si="141"/>
        <v>0</v>
      </c>
      <c r="R158" s="58"/>
      <c r="S158" s="55">
        <f>O158</f>
        <v>0</v>
      </c>
      <c r="T158" s="57">
        <v>0</v>
      </c>
      <c r="U158" s="57">
        <f t="shared" si="142"/>
        <v>0</v>
      </c>
      <c r="V158" s="59"/>
      <c r="W158" s="124">
        <f t="shared" si="143"/>
        <v>0</v>
      </c>
      <c r="X158" s="57">
        <f t="shared" si="144"/>
        <v>0</v>
      </c>
      <c r="Y158" s="84">
        <f t="shared" si="145"/>
        <v>0</v>
      </c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</row>
    <row r="159" spans="1:77" s="61" customFormat="1" x14ac:dyDescent="0.25">
      <c r="A159" s="52"/>
      <c r="B159" s="52"/>
      <c r="C159" s="124">
        <f>278067+101686+46790+28841-240384-40000-10000-108335-32273-24392</f>
        <v>0</v>
      </c>
      <c r="D159" s="56">
        <v>0</v>
      </c>
      <c r="E159" s="56">
        <f t="shared" si="138"/>
        <v>0</v>
      </c>
      <c r="F159" s="58"/>
      <c r="G159" s="55">
        <v>0</v>
      </c>
      <c r="H159" s="57">
        <v>0</v>
      </c>
      <c r="I159" s="57">
        <f t="shared" si="139"/>
        <v>0</v>
      </c>
      <c r="J159" s="58"/>
      <c r="K159" s="55">
        <v>0</v>
      </c>
      <c r="L159" s="57">
        <v>0</v>
      </c>
      <c r="M159" s="57">
        <f t="shared" si="140"/>
        <v>0</v>
      </c>
      <c r="N159" s="58"/>
      <c r="O159" s="55">
        <v>0</v>
      </c>
      <c r="P159" s="57">
        <v>0</v>
      </c>
      <c r="Q159" s="57">
        <f t="shared" si="141"/>
        <v>0</v>
      </c>
      <c r="R159" s="58"/>
      <c r="S159" s="55">
        <v>0</v>
      </c>
      <c r="T159" s="57">
        <v>0</v>
      </c>
      <c r="U159" s="57">
        <f t="shared" si="142"/>
        <v>0</v>
      </c>
      <c r="V159" s="59"/>
      <c r="W159" s="124">
        <f t="shared" si="143"/>
        <v>0</v>
      </c>
      <c r="X159" s="57">
        <f t="shared" si="144"/>
        <v>0</v>
      </c>
      <c r="Y159" s="84">
        <f t="shared" si="145"/>
        <v>0</v>
      </c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</row>
    <row r="160" spans="1:77" s="61" customFormat="1" x14ac:dyDescent="0.25">
      <c r="A160" s="87"/>
      <c r="B160" s="52"/>
      <c r="C160" s="124">
        <v>0</v>
      </c>
      <c r="D160" s="56">
        <v>0</v>
      </c>
      <c r="E160" s="56">
        <f t="shared" si="138"/>
        <v>0</v>
      </c>
      <c r="F160" s="58"/>
      <c r="G160" s="55">
        <v>0</v>
      </c>
      <c r="H160" s="57">
        <v>0</v>
      </c>
      <c r="I160" s="57">
        <f t="shared" si="139"/>
        <v>0</v>
      </c>
      <c r="J160" s="58"/>
      <c r="K160" s="55">
        <v>0</v>
      </c>
      <c r="L160" s="57">
        <v>0</v>
      </c>
      <c r="M160" s="57">
        <f t="shared" si="140"/>
        <v>0</v>
      </c>
      <c r="N160" s="58"/>
      <c r="O160" s="55">
        <v>0</v>
      </c>
      <c r="P160" s="57">
        <v>0</v>
      </c>
      <c r="Q160" s="57">
        <f t="shared" si="141"/>
        <v>0</v>
      </c>
      <c r="R160" s="58"/>
      <c r="S160" s="55">
        <v>0</v>
      </c>
      <c r="T160" s="57">
        <v>0</v>
      </c>
      <c r="U160" s="57">
        <f t="shared" si="142"/>
        <v>0</v>
      </c>
      <c r="V160" s="59"/>
      <c r="W160" s="124">
        <f t="shared" si="143"/>
        <v>0</v>
      </c>
      <c r="X160" s="57">
        <f t="shared" si="144"/>
        <v>0</v>
      </c>
      <c r="Y160" s="84">
        <f t="shared" si="145"/>
        <v>0</v>
      </c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</row>
    <row r="161" spans="1:77" s="61" customFormat="1" x14ac:dyDescent="0.25">
      <c r="A161" s="52"/>
      <c r="B161" s="52"/>
      <c r="C161" s="124">
        <v>0</v>
      </c>
      <c r="D161" s="56">
        <v>0</v>
      </c>
      <c r="E161" s="56">
        <f t="shared" si="138"/>
        <v>0</v>
      </c>
      <c r="F161" s="58"/>
      <c r="G161" s="55">
        <v>0</v>
      </c>
      <c r="H161" s="57">
        <v>0</v>
      </c>
      <c r="I161" s="57">
        <f t="shared" si="139"/>
        <v>0</v>
      </c>
      <c r="J161" s="58"/>
      <c r="K161" s="55">
        <v>0</v>
      </c>
      <c r="L161" s="57">
        <v>0</v>
      </c>
      <c r="M161" s="57">
        <f t="shared" si="140"/>
        <v>0</v>
      </c>
      <c r="N161" s="58"/>
      <c r="O161" s="55">
        <v>0</v>
      </c>
      <c r="P161" s="57">
        <v>0</v>
      </c>
      <c r="Q161" s="57">
        <f t="shared" si="141"/>
        <v>0</v>
      </c>
      <c r="R161" s="58"/>
      <c r="S161" s="55">
        <v>0</v>
      </c>
      <c r="T161" s="57">
        <v>0</v>
      </c>
      <c r="U161" s="57">
        <f t="shared" si="142"/>
        <v>0</v>
      </c>
      <c r="V161" s="59"/>
      <c r="W161" s="124">
        <f t="shared" si="143"/>
        <v>0</v>
      </c>
      <c r="X161" s="57">
        <f t="shared" si="144"/>
        <v>0</v>
      </c>
      <c r="Y161" s="84">
        <f t="shared" si="145"/>
        <v>0</v>
      </c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1" customFormat="1" x14ac:dyDescent="0.25">
      <c r="A162" s="52"/>
      <c r="B162" s="52"/>
      <c r="C162" s="124">
        <v>0</v>
      </c>
      <c r="D162" s="56">
        <v>0</v>
      </c>
      <c r="E162" s="56">
        <f t="shared" si="138"/>
        <v>0</v>
      </c>
      <c r="F162" s="58"/>
      <c r="G162" s="55">
        <v>0</v>
      </c>
      <c r="H162" s="57">
        <v>0</v>
      </c>
      <c r="I162" s="57">
        <f t="shared" si="139"/>
        <v>0</v>
      </c>
      <c r="J162" s="58"/>
      <c r="K162" s="55">
        <v>0</v>
      </c>
      <c r="L162" s="57">
        <v>0</v>
      </c>
      <c r="M162" s="57">
        <f t="shared" si="140"/>
        <v>0</v>
      </c>
      <c r="N162" s="58"/>
      <c r="O162" s="55">
        <v>0</v>
      </c>
      <c r="P162" s="57">
        <v>0</v>
      </c>
      <c r="Q162" s="57">
        <f t="shared" si="141"/>
        <v>0</v>
      </c>
      <c r="R162" s="58"/>
      <c r="S162" s="55">
        <v>0</v>
      </c>
      <c r="T162" s="57">
        <v>0</v>
      </c>
      <c r="U162" s="57">
        <f t="shared" si="142"/>
        <v>0</v>
      </c>
      <c r="V162" s="59"/>
      <c r="W162" s="124">
        <f t="shared" si="143"/>
        <v>0</v>
      </c>
      <c r="X162" s="57">
        <f t="shared" si="144"/>
        <v>0</v>
      </c>
      <c r="Y162" s="84">
        <f t="shared" si="145"/>
        <v>0</v>
      </c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</row>
    <row r="163" spans="1:77" s="61" customFormat="1" x14ac:dyDescent="0.25">
      <c r="A163" s="87"/>
      <c r="B163" s="52"/>
      <c r="C163" s="124">
        <v>0</v>
      </c>
      <c r="D163" s="56">
        <v>0</v>
      </c>
      <c r="E163" s="56">
        <f t="shared" si="138"/>
        <v>0</v>
      </c>
      <c r="F163" s="58"/>
      <c r="G163" s="55">
        <v>0</v>
      </c>
      <c r="H163" s="57">
        <v>0</v>
      </c>
      <c r="I163" s="57">
        <f t="shared" si="139"/>
        <v>0</v>
      </c>
      <c r="J163" s="58"/>
      <c r="K163" s="55">
        <v>0</v>
      </c>
      <c r="L163" s="57">
        <v>0</v>
      </c>
      <c r="M163" s="57">
        <f t="shared" si="140"/>
        <v>0</v>
      </c>
      <c r="N163" s="58"/>
      <c r="O163" s="55">
        <v>0</v>
      </c>
      <c r="P163" s="57">
        <v>0</v>
      </c>
      <c r="Q163" s="57">
        <f t="shared" si="141"/>
        <v>0</v>
      </c>
      <c r="R163" s="58"/>
      <c r="S163" s="55">
        <v>0</v>
      </c>
      <c r="T163" s="57">
        <v>0</v>
      </c>
      <c r="U163" s="57">
        <f t="shared" si="142"/>
        <v>0</v>
      </c>
      <c r="V163" s="59"/>
      <c r="W163" s="124">
        <f t="shared" si="143"/>
        <v>0</v>
      </c>
      <c r="X163" s="57">
        <f t="shared" si="144"/>
        <v>0</v>
      </c>
      <c r="Y163" s="84">
        <f t="shared" si="145"/>
        <v>0</v>
      </c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s="61" customFormat="1" x14ac:dyDescent="0.25">
      <c r="A164" s="52"/>
      <c r="B164" s="52"/>
      <c r="C164" s="124">
        <v>0</v>
      </c>
      <c r="D164" s="56">
        <v>0</v>
      </c>
      <c r="E164" s="56">
        <f t="shared" si="138"/>
        <v>0</v>
      </c>
      <c r="F164" s="58"/>
      <c r="G164" s="55">
        <v>0</v>
      </c>
      <c r="H164" s="57">
        <v>0</v>
      </c>
      <c r="I164" s="57">
        <f t="shared" si="139"/>
        <v>0</v>
      </c>
      <c r="J164" s="58"/>
      <c r="K164" s="55">
        <v>0</v>
      </c>
      <c r="L164" s="57">
        <v>0</v>
      </c>
      <c r="M164" s="57">
        <f t="shared" si="140"/>
        <v>0</v>
      </c>
      <c r="N164" s="58"/>
      <c r="O164" s="55">
        <v>0</v>
      </c>
      <c r="P164" s="57">
        <v>0</v>
      </c>
      <c r="Q164" s="57">
        <f t="shared" si="141"/>
        <v>0</v>
      </c>
      <c r="R164" s="58"/>
      <c r="S164" s="55">
        <v>0</v>
      </c>
      <c r="T164" s="57">
        <v>0</v>
      </c>
      <c r="U164" s="57">
        <f t="shared" si="142"/>
        <v>0</v>
      </c>
      <c r="V164" s="59"/>
      <c r="W164" s="124">
        <f t="shared" si="143"/>
        <v>0</v>
      </c>
      <c r="X164" s="57">
        <f t="shared" si="144"/>
        <v>0</v>
      </c>
      <c r="Y164" s="84">
        <f t="shared" si="145"/>
        <v>0</v>
      </c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s="61" customFormat="1" x14ac:dyDescent="0.25">
      <c r="A165" s="52"/>
      <c r="B165" s="52"/>
      <c r="C165" s="124">
        <v>0</v>
      </c>
      <c r="D165" s="56">
        <v>0</v>
      </c>
      <c r="E165" s="56">
        <f t="shared" si="138"/>
        <v>0</v>
      </c>
      <c r="F165" s="58"/>
      <c r="G165" s="55">
        <v>0</v>
      </c>
      <c r="H165" s="57">
        <v>0</v>
      </c>
      <c r="I165" s="57">
        <f t="shared" si="139"/>
        <v>0</v>
      </c>
      <c r="J165" s="58"/>
      <c r="K165" s="55">
        <v>0</v>
      </c>
      <c r="L165" s="57">
        <v>0</v>
      </c>
      <c r="M165" s="57">
        <f t="shared" si="140"/>
        <v>0</v>
      </c>
      <c r="N165" s="58"/>
      <c r="O165" s="55">
        <v>0</v>
      </c>
      <c r="P165" s="57">
        <v>0</v>
      </c>
      <c r="Q165" s="57">
        <f t="shared" si="141"/>
        <v>0</v>
      </c>
      <c r="R165" s="58"/>
      <c r="S165" s="55">
        <v>0</v>
      </c>
      <c r="T165" s="57">
        <v>0</v>
      </c>
      <c r="U165" s="57">
        <f t="shared" si="142"/>
        <v>0</v>
      </c>
      <c r="V165" s="59"/>
      <c r="W165" s="124">
        <f t="shared" si="143"/>
        <v>0</v>
      </c>
      <c r="X165" s="57">
        <f t="shared" si="144"/>
        <v>0</v>
      </c>
      <c r="Y165" s="84">
        <f t="shared" si="145"/>
        <v>0</v>
      </c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</row>
    <row r="166" spans="1:77" s="61" customFormat="1" x14ac:dyDescent="0.25">
      <c r="A166" s="87"/>
      <c r="B166" s="52"/>
      <c r="C166" s="124">
        <v>0</v>
      </c>
      <c r="D166" s="56">
        <v>0</v>
      </c>
      <c r="E166" s="56">
        <f t="shared" si="138"/>
        <v>0</v>
      </c>
      <c r="F166" s="58"/>
      <c r="G166" s="55">
        <v>0</v>
      </c>
      <c r="H166" s="57">
        <v>0</v>
      </c>
      <c r="I166" s="57">
        <f t="shared" si="139"/>
        <v>0</v>
      </c>
      <c r="J166" s="58"/>
      <c r="K166" s="55">
        <v>0</v>
      </c>
      <c r="L166" s="57">
        <v>0</v>
      </c>
      <c r="M166" s="57">
        <f t="shared" si="140"/>
        <v>0</v>
      </c>
      <c r="N166" s="58"/>
      <c r="O166" s="55">
        <v>0</v>
      </c>
      <c r="P166" s="57">
        <v>0</v>
      </c>
      <c r="Q166" s="57">
        <f t="shared" si="141"/>
        <v>0</v>
      </c>
      <c r="R166" s="58"/>
      <c r="S166" s="55">
        <v>0</v>
      </c>
      <c r="T166" s="57">
        <v>0</v>
      </c>
      <c r="U166" s="57">
        <f t="shared" si="142"/>
        <v>0</v>
      </c>
      <c r="V166" s="59"/>
      <c r="W166" s="124">
        <f t="shared" si="143"/>
        <v>0</v>
      </c>
      <c r="X166" s="57">
        <f t="shared" si="144"/>
        <v>0</v>
      </c>
      <c r="Y166" s="84">
        <f t="shared" si="145"/>
        <v>0</v>
      </c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</row>
    <row r="167" spans="1:77" s="61" customFormat="1" x14ac:dyDescent="0.25">
      <c r="A167" s="87"/>
      <c r="B167" s="52"/>
      <c r="C167" s="124">
        <v>0</v>
      </c>
      <c r="D167" s="56">
        <v>0</v>
      </c>
      <c r="E167" s="56">
        <f t="shared" si="138"/>
        <v>0</v>
      </c>
      <c r="F167" s="58"/>
      <c r="G167" s="55">
        <v>0</v>
      </c>
      <c r="H167" s="57">
        <v>0</v>
      </c>
      <c r="I167" s="57">
        <f t="shared" si="139"/>
        <v>0</v>
      </c>
      <c r="J167" s="58"/>
      <c r="K167" s="55">
        <v>0</v>
      </c>
      <c r="L167" s="57">
        <v>0</v>
      </c>
      <c r="M167" s="57">
        <f t="shared" si="140"/>
        <v>0</v>
      </c>
      <c r="N167" s="58"/>
      <c r="O167" s="55">
        <v>0</v>
      </c>
      <c r="P167" s="57">
        <v>0</v>
      </c>
      <c r="Q167" s="57">
        <f t="shared" si="141"/>
        <v>0</v>
      </c>
      <c r="R167" s="58"/>
      <c r="S167" s="55">
        <v>0</v>
      </c>
      <c r="T167" s="57">
        <v>0</v>
      </c>
      <c r="U167" s="57">
        <f t="shared" si="142"/>
        <v>0</v>
      </c>
      <c r="V167" s="59"/>
      <c r="W167" s="124">
        <f t="shared" si="143"/>
        <v>0</v>
      </c>
      <c r="X167" s="57">
        <f t="shared" si="144"/>
        <v>0</v>
      </c>
      <c r="Y167" s="84">
        <f t="shared" si="145"/>
        <v>0</v>
      </c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</row>
    <row r="168" spans="1:77" s="61" customFormat="1" x14ac:dyDescent="0.25">
      <c r="A168" s="52"/>
      <c r="B168" s="52"/>
      <c r="C168" s="124">
        <v>0</v>
      </c>
      <c r="D168" s="56">
        <v>0</v>
      </c>
      <c r="E168" s="56">
        <f t="shared" si="138"/>
        <v>0</v>
      </c>
      <c r="F168" s="58"/>
      <c r="G168" s="55">
        <v>0</v>
      </c>
      <c r="H168" s="57">
        <v>0</v>
      </c>
      <c r="I168" s="57">
        <f t="shared" si="139"/>
        <v>0</v>
      </c>
      <c r="J168" s="58"/>
      <c r="K168" s="55">
        <v>0</v>
      </c>
      <c r="L168" s="57">
        <v>0</v>
      </c>
      <c r="M168" s="57">
        <f t="shared" si="140"/>
        <v>0</v>
      </c>
      <c r="N168" s="58"/>
      <c r="O168" s="55">
        <v>0</v>
      </c>
      <c r="P168" s="57">
        <v>0</v>
      </c>
      <c r="Q168" s="57">
        <f t="shared" si="141"/>
        <v>0</v>
      </c>
      <c r="R168" s="58"/>
      <c r="S168" s="55">
        <v>0</v>
      </c>
      <c r="T168" s="57">
        <v>0</v>
      </c>
      <c r="U168" s="57">
        <f t="shared" si="142"/>
        <v>0</v>
      </c>
      <c r="V168" s="59"/>
      <c r="W168" s="124">
        <f t="shared" si="143"/>
        <v>0</v>
      </c>
      <c r="X168" s="57">
        <f t="shared" si="144"/>
        <v>0</v>
      </c>
      <c r="Y168" s="84">
        <f t="shared" si="145"/>
        <v>0</v>
      </c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</row>
    <row r="169" spans="1:77" s="61" customFormat="1" x14ac:dyDescent="0.25">
      <c r="A169" s="52"/>
      <c r="B169" s="52"/>
      <c r="C169" s="124">
        <v>0</v>
      </c>
      <c r="D169" s="56">
        <v>0</v>
      </c>
      <c r="E169" s="56">
        <f t="shared" si="138"/>
        <v>0</v>
      </c>
      <c r="F169" s="58"/>
      <c r="G169" s="55">
        <v>0</v>
      </c>
      <c r="H169" s="57">
        <v>0</v>
      </c>
      <c r="I169" s="57">
        <f t="shared" si="139"/>
        <v>0</v>
      </c>
      <c r="J169" s="58"/>
      <c r="K169" s="55">
        <v>0</v>
      </c>
      <c r="L169" s="57">
        <v>0</v>
      </c>
      <c r="M169" s="57">
        <f t="shared" si="140"/>
        <v>0</v>
      </c>
      <c r="N169" s="58"/>
      <c r="O169" s="55">
        <v>0</v>
      </c>
      <c r="P169" s="57">
        <v>0</v>
      </c>
      <c r="Q169" s="57">
        <f t="shared" si="141"/>
        <v>0</v>
      </c>
      <c r="R169" s="58"/>
      <c r="S169" s="55">
        <v>0</v>
      </c>
      <c r="T169" s="57">
        <v>0</v>
      </c>
      <c r="U169" s="57">
        <f t="shared" si="142"/>
        <v>0</v>
      </c>
      <c r="V169" s="59"/>
      <c r="W169" s="124">
        <f t="shared" si="143"/>
        <v>0</v>
      </c>
      <c r="X169" s="57">
        <f t="shared" si="144"/>
        <v>0</v>
      </c>
      <c r="Y169" s="84">
        <f t="shared" si="145"/>
        <v>0</v>
      </c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</row>
    <row r="170" spans="1:77" s="61" customFormat="1" x14ac:dyDescent="0.25">
      <c r="A170" s="52"/>
      <c r="B170" s="52"/>
      <c r="C170" s="124">
        <v>0</v>
      </c>
      <c r="D170" s="56">
        <v>0</v>
      </c>
      <c r="E170" s="56">
        <f t="shared" si="138"/>
        <v>0</v>
      </c>
      <c r="F170" s="58"/>
      <c r="G170" s="55">
        <v>0</v>
      </c>
      <c r="H170" s="57">
        <v>0</v>
      </c>
      <c r="I170" s="57">
        <f t="shared" si="139"/>
        <v>0</v>
      </c>
      <c r="J170" s="58"/>
      <c r="K170" s="55">
        <v>0</v>
      </c>
      <c r="L170" s="57">
        <v>0</v>
      </c>
      <c r="M170" s="57">
        <f t="shared" si="140"/>
        <v>0</v>
      </c>
      <c r="N170" s="58"/>
      <c r="O170" s="55">
        <v>0</v>
      </c>
      <c r="P170" s="57">
        <v>0</v>
      </c>
      <c r="Q170" s="57">
        <f t="shared" si="141"/>
        <v>0</v>
      </c>
      <c r="R170" s="58"/>
      <c r="S170" s="55">
        <v>0</v>
      </c>
      <c r="T170" s="57">
        <v>0</v>
      </c>
      <c r="U170" s="57">
        <f t="shared" si="142"/>
        <v>0</v>
      </c>
      <c r="V170" s="59"/>
      <c r="W170" s="124">
        <f t="shared" si="143"/>
        <v>0</v>
      </c>
      <c r="X170" s="57">
        <f t="shared" si="144"/>
        <v>0</v>
      </c>
      <c r="Y170" s="84">
        <f t="shared" si="145"/>
        <v>0</v>
      </c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</row>
    <row r="171" spans="1:77" s="61" customFormat="1" x14ac:dyDescent="0.25">
      <c r="A171" s="52"/>
      <c r="B171" s="52"/>
      <c r="C171" s="124">
        <v>0</v>
      </c>
      <c r="D171" s="56">
        <v>0</v>
      </c>
      <c r="E171" s="56">
        <f t="shared" si="138"/>
        <v>0</v>
      </c>
      <c r="F171" s="58"/>
      <c r="G171" s="55">
        <v>0</v>
      </c>
      <c r="H171" s="57">
        <v>0</v>
      </c>
      <c r="I171" s="57">
        <f t="shared" si="139"/>
        <v>0</v>
      </c>
      <c r="J171" s="58"/>
      <c r="K171" s="55">
        <v>0</v>
      </c>
      <c r="L171" s="57">
        <v>0</v>
      </c>
      <c r="M171" s="57">
        <f t="shared" si="140"/>
        <v>0</v>
      </c>
      <c r="N171" s="58"/>
      <c r="O171" s="55">
        <v>0</v>
      </c>
      <c r="P171" s="57">
        <v>0</v>
      </c>
      <c r="Q171" s="57">
        <f t="shared" si="141"/>
        <v>0</v>
      </c>
      <c r="R171" s="58"/>
      <c r="S171" s="55">
        <v>0</v>
      </c>
      <c r="T171" s="57">
        <v>0</v>
      </c>
      <c r="U171" s="57">
        <f t="shared" si="142"/>
        <v>0</v>
      </c>
      <c r="V171" s="59"/>
      <c r="W171" s="124">
        <f t="shared" si="143"/>
        <v>0</v>
      </c>
      <c r="X171" s="57">
        <f t="shared" si="144"/>
        <v>0</v>
      </c>
      <c r="Y171" s="84">
        <f t="shared" si="145"/>
        <v>0</v>
      </c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</row>
    <row r="172" spans="1:77" s="61" customFormat="1" x14ac:dyDescent="0.25">
      <c r="A172" s="52"/>
      <c r="B172" s="52"/>
      <c r="C172" s="124">
        <v>0</v>
      </c>
      <c r="D172" s="56">
        <v>0</v>
      </c>
      <c r="E172" s="56">
        <f t="shared" si="138"/>
        <v>0</v>
      </c>
      <c r="F172" s="58"/>
      <c r="G172" s="55">
        <v>0</v>
      </c>
      <c r="H172" s="57">
        <v>0</v>
      </c>
      <c r="I172" s="57">
        <f t="shared" si="139"/>
        <v>0</v>
      </c>
      <c r="J172" s="58"/>
      <c r="K172" s="55">
        <v>0</v>
      </c>
      <c r="L172" s="57">
        <v>0</v>
      </c>
      <c r="M172" s="57">
        <f t="shared" si="140"/>
        <v>0</v>
      </c>
      <c r="N172" s="58"/>
      <c r="O172" s="55">
        <v>0</v>
      </c>
      <c r="P172" s="57">
        <v>0</v>
      </c>
      <c r="Q172" s="57">
        <f t="shared" si="141"/>
        <v>0</v>
      </c>
      <c r="R172" s="58"/>
      <c r="S172" s="55">
        <v>0</v>
      </c>
      <c r="T172" s="57">
        <v>0</v>
      </c>
      <c r="U172" s="57">
        <f t="shared" si="142"/>
        <v>0</v>
      </c>
      <c r="V172" s="59"/>
      <c r="W172" s="124">
        <f t="shared" si="143"/>
        <v>0</v>
      </c>
      <c r="X172" s="57">
        <f t="shared" si="144"/>
        <v>0</v>
      </c>
      <c r="Y172" s="84">
        <f t="shared" si="145"/>
        <v>0</v>
      </c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</row>
    <row r="173" spans="1:77" s="83" customFormat="1" x14ac:dyDescent="0.25">
      <c r="A173" s="78"/>
      <c r="B173" s="78" t="s">
        <v>9</v>
      </c>
      <c r="C173" s="229">
        <f>SUM(C157:C172)</f>
        <v>0</v>
      </c>
      <c r="D173" s="153">
        <f>SUM(D157:D172)</f>
        <v>0</v>
      </c>
      <c r="E173" s="153">
        <f>SUM(E157:E172)</f>
        <v>0</v>
      </c>
      <c r="F173" s="154"/>
      <c r="G173" s="152">
        <f>SUM(G157:G172)</f>
        <v>0</v>
      </c>
      <c r="H173" s="155">
        <f>SUM(H157:H172)</f>
        <v>0</v>
      </c>
      <c r="I173" s="155">
        <f>SUM(I157:I172)</f>
        <v>0</v>
      </c>
      <c r="J173" s="154"/>
      <c r="K173" s="152">
        <f>SUM(K157:K172)</f>
        <v>0</v>
      </c>
      <c r="L173" s="155">
        <f>SUM(L157:L172)</f>
        <v>0</v>
      </c>
      <c r="M173" s="155">
        <f>SUM(M157:M172)</f>
        <v>0</v>
      </c>
      <c r="N173" s="154"/>
      <c r="O173" s="152">
        <f>SUM(O157:O172)</f>
        <v>0</v>
      </c>
      <c r="P173" s="155">
        <f>SUM(P157:P172)</f>
        <v>0</v>
      </c>
      <c r="Q173" s="155">
        <f>SUM(Q157:Q172)</f>
        <v>0</v>
      </c>
      <c r="R173" s="154"/>
      <c r="S173" s="152">
        <f>SUM(S157:S172)</f>
        <v>0</v>
      </c>
      <c r="T173" s="155">
        <f>SUM(T157:T172)</f>
        <v>0</v>
      </c>
      <c r="U173" s="155">
        <f>SUM(U157:U172)</f>
        <v>0</v>
      </c>
      <c r="V173" s="82"/>
      <c r="W173" s="228">
        <f t="shared" si="143"/>
        <v>0</v>
      </c>
      <c r="X173" s="80">
        <f t="shared" si="144"/>
        <v>0</v>
      </c>
      <c r="Y173" s="80">
        <f t="shared" si="145"/>
        <v>0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102" customFormat="1" x14ac:dyDescent="0.25">
      <c r="A174" s="100" t="s">
        <v>30</v>
      </c>
      <c r="B174" s="100"/>
      <c r="C174" s="104">
        <f>(C173+ C155+C149+C141+C125)</f>
        <v>0</v>
      </c>
      <c r="D174" s="104">
        <f t="shared" ref="D174:Y174" si="146">(D173+ D155+D149+D141+D125)</f>
        <v>0</v>
      </c>
      <c r="E174" s="104">
        <f t="shared" si="146"/>
        <v>0</v>
      </c>
      <c r="F174" s="104">
        <f t="shared" si="146"/>
        <v>0</v>
      </c>
      <c r="G174" s="104">
        <f t="shared" si="146"/>
        <v>0</v>
      </c>
      <c r="H174" s="104">
        <f t="shared" si="146"/>
        <v>0</v>
      </c>
      <c r="I174" s="104">
        <f t="shared" si="146"/>
        <v>0</v>
      </c>
      <c r="J174" s="104">
        <f t="shared" si="146"/>
        <v>0</v>
      </c>
      <c r="K174" s="104">
        <f t="shared" si="146"/>
        <v>0</v>
      </c>
      <c r="L174" s="104">
        <f t="shared" si="146"/>
        <v>0</v>
      </c>
      <c r="M174" s="104">
        <f t="shared" si="146"/>
        <v>0</v>
      </c>
      <c r="N174" s="104">
        <f t="shared" si="146"/>
        <v>0</v>
      </c>
      <c r="O174" s="104">
        <f t="shared" si="146"/>
        <v>0</v>
      </c>
      <c r="P174" s="104">
        <f t="shared" si="146"/>
        <v>0</v>
      </c>
      <c r="Q174" s="104">
        <f t="shared" si="146"/>
        <v>0</v>
      </c>
      <c r="R174" s="104">
        <f t="shared" si="146"/>
        <v>0</v>
      </c>
      <c r="S174" s="104">
        <f t="shared" si="146"/>
        <v>0</v>
      </c>
      <c r="T174" s="104">
        <f t="shared" si="146"/>
        <v>0</v>
      </c>
      <c r="U174" s="104">
        <f t="shared" si="146"/>
        <v>0</v>
      </c>
      <c r="V174" s="104">
        <f t="shared" si="146"/>
        <v>0</v>
      </c>
      <c r="W174" s="104">
        <f t="shared" si="146"/>
        <v>0</v>
      </c>
      <c r="X174" s="104">
        <f t="shared" si="146"/>
        <v>0</v>
      </c>
      <c r="Y174" s="104">
        <f t="shared" si="146"/>
        <v>0</v>
      </c>
      <c r="Z174" s="105">
        <f>(SUM(C174+G174+K174)/3)</f>
        <v>0</v>
      </c>
      <c r="AA174" s="105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</row>
    <row r="175" spans="1:77" s="102" customFormat="1" x14ac:dyDescent="0.25">
      <c r="A175" s="100" t="s">
        <v>31</v>
      </c>
      <c r="B175" s="100"/>
      <c r="C175" s="104">
        <f>(C125+C149+C173)*0.405</f>
        <v>0</v>
      </c>
      <c r="D175" s="104">
        <v>0</v>
      </c>
      <c r="E175" s="104">
        <f>C175</f>
        <v>0</v>
      </c>
      <c r="F175" s="104">
        <f>(F125+F149+F173)*0.39</f>
        <v>0</v>
      </c>
      <c r="G175" s="104">
        <f>(G125+G149+G173)*0.405</f>
        <v>0</v>
      </c>
      <c r="H175" s="104">
        <v>0</v>
      </c>
      <c r="I175" s="104">
        <f>G175</f>
        <v>0</v>
      </c>
      <c r="J175" s="104">
        <f>(J125+J149+J173)*0.39</f>
        <v>0</v>
      </c>
      <c r="K175" s="104">
        <f>(K125+K149+K173)*0.405</f>
        <v>0</v>
      </c>
      <c r="L175" s="104">
        <v>0</v>
      </c>
      <c r="M175" s="104">
        <f>K175</f>
        <v>0</v>
      </c>
      <c r="N175" s="104">
        <f>(N125+N149+N173)*0.39</f>
        <v>0</v>
      </c>
      <c r="O175" s="104">
        <f>(O125+O149+O173)*0.405</f>
        <v>0</v>
      </c>
      <c r="P175" s="104">
        <v>0</v>
      </c>
      <c r="Q175" s="104">
        <f>O175</f>
        <v>0</v>
      </c>
      <c r="R175" s="104">
        <f>(R125+R149+R173)*0.39</f>
        <v>0</v>
      </c>
      <c r="S175" s="104">
        <f>(S125+S149+S173)*0.405</f>
        <v>0</v>
      </c>
      <c r="T175" s="104">
        <v>0</v>
      </c>
      <c r="U175" s="104">
        <f>S175</f>
        <v>0</v>
      </c>
      <c r="V175" s="104">
        <f>(V125+V149+V173)*0.39</f>
        <v>0</v>
      </c>
      <c r="W175" s="104">
        <f>(W125+W149+W173)*0.405</f>
        <v>0</v>
      </c>
      <c r="X175" s="104">
        <v>0</v>
      </c>
      <c r="Y175" s="104">
        <f>W175</f>
        <v>0</v>
      </c>
      <c r="Z175" s="105"/>
      <c r="AA175" s="105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</row>
    <row r="176" spans="1:77" s="102" customFormat="1" x14ac:dyDescent="0.25">
      <c r="A176" s="100" t="s">
        <v>32</v>
      </c>
      <c r="B176" s="100"/>
      <c r="C176" s="104">
        <f>C174+C175</f>
        <v>0</v>
      </c>
      <c r="D176" s="104">
        <f t="shared" ref="D176:Y176" si="147">D174+D175</f>
        <v>0</v>
      </c>
      <c r="E176" s="104">
        <f t="shared" si="147"/>
        <v>0</v>
      </c>
      <c r="F176" s="104">
        <f t="shared" si="147"/>
        <v>0</v>
      </c>
      <c r="G176" s="104">
        <f t="shared" si="147"/>
        <v>0</v>
      </c>
      <c r="H176" s="104">
        <f t="shared" si="147"/>
        <v>0</v>
      </c>
      <c r="I176" s="104">
        <f t="shared" si="147"/>
        <v>0</v>
      </c>
      <c r="J176" s="104">
        <f t="shared" si="147"/>
        <v>0</v>
      </c>
      <c r="K176" s="104">
        <f t="shared" si="147"/>
        <v>0</v>
      </c>
      <c r="L176" s="104">
        <f t="shared" si="147"/>
        <v>0</v>
      </c>
      <c r="M176" s="104">
        <f t="shared" si="147"/>
        <v>0</v>
      </c>
      <c r="N176" s="104">
        <f t="shared" si="147"/>
        <v>0</v>
      </c>
      <c r="O176" s="104">
        <f t="shared" si="147"/>
        <v>0</v>
      </c>
      <c r="P176" s="104">
        <f t="shared" si="147"/>
        <v>0</v>
      </c>
      <c r="Q176" s="104">
        <f t="shared" si="147"/>
        <v>0</v>
      </c>
      <c r="R176" s="104">
        <f t="shared" si="147"/>
        <v>0</v>
      </c>
      <c r="S176" s="104">
        <f t="shared" si="147"/>
        <v>0</v>
      </c>
      <c r="T176" s="104">
        <f t="shared" si="147"/>
        <v>0</v>
      </c>
      <c r="U176" s="104">
        <f t="shared" si="147"/>
        <v>0</v>
      </c>
      <c r="V176" s="104">
        <f t="shared" si="147"/>
        <v>0</v>
      </c>
      <c r="W176" s="104">
        <f t="shared" si="147"/>
        <v>0</v>
      </c>
      <c r="X176" s="104">
        <f t="shared" si="147"/>
        <v>0</v>
      </c>
      <c r="Y176" s="104">
        <f t="shared" si="147"/>
        <v>0</v>
      </c>
      <c r="Z176" s="105"/>
      <c r="AA176" s="105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</row>
    <row r="177" spans="1:77" s="30" customFormat="1" x14ac:dyDescent="0.25">
      <c r="A177" s="24"/>
      <c r="B177" s="24"/>
      <c r="C177" s="27"/>
      <c r="D177" s="27"/>
      <c r="E177" s="28"/>
      <c r="F177" s="24"/>
      <c r="G177" s="27"/>
      <c r="H177" s="27"/>
      <c r="I177" s="28"/>
      <c r="J177" s="24"/>
      <c r="K177" s="27"/>
      <c r="L177" s="27"/>
      <c r="M177" s="28"/>
      <c r="N177" s="24"/>
      <c r="O177" s="27"/>
      <c r="P177" s="27"/>
      <c r="Q177" s="28"/>
      <c r="R177" s="24"/>
      <c r="S177" s="27"/>
      <c r="T177" s="27"/>
      <c r="U177" s="28"/>
      <c r="V177" s="29"/>
      <c r="W177" s="28"/>
      <c r="X177" s="28"/>
      <c r="Y177" s="27"/>
      <c r="Z177" s="28"/>
      <c r="AA177" s="28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77" customFormat="1" x14ac:dyDescent="0.25">
      <c r="A179" s="74" t="s">
        <v>5</v>
      </c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5"/>
      <c r="W179" s="74"/>
      <c r="X179" s="74"/>
      <c r="Y179" s="7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</row>
    <row r="180" spans="1:77" s="61" customFormat="1" x14ac:dyDescent="0.25">
      <c r="A180" s="52"/>
      <c r="B180" s="52"/>
      <c r="C180" s="124">
        <v>0</v>
      </c>
      <c r="D180" s="56">
        <v>0</v>
      </c>
      <c r="E180" s="56">
        <f t="shared" ref="E180:E185" si="148">SUM(C180:D180)</f>
        <v>0</v>
      </c>
      <c r="F180" s="58"/>
      <c r="G180" s="55">
        <f t="shared" ref="G180:H185" si="149">C180*1.05</f>
        <v>0</v>
      </c>
      <c r="H180" s="57">
        <f t="shared" si="149"/>
        <v>0</v>
      </c>
      <c r="I180" s="57">
        <f t="shared" ref="I180:I185" si="150">SUM(G180:H180)</f>
        <v>0</v>
      </c>
      <c r="J180" s="58"/>
      <c r="K180" s="55">
        <f t="shared" ref="K180:L185" si="151">G180*1.05</f>
        <v>0</v>
      </c>
      <c r="L180" s="57">
        <f t="shared" si="151"/>
        <v>0</v>
      </c>
      <c r="M180" s="57">
        <f t="shared" ref="M180:M185" si="152">SUM(K180:L180)</f>
        <v>0</v>
      </c>
      <c r="N180" s="58"/>
      <c r="O180" s="55">
        <f t="shared" ref="O180:P185" si="153">K180*1.05</f>
        <v>0</v>
      </c>
      <c r="P180" s="57">
        <f t="shared" si="153"/>
        <v>0</v>
      </c>
      <c r="Q180" s="57">
        <f t="shared" ref="Q180:Q185" si="154">SUM(O180:P180)</f>
        <v>0</v>
      </c>
      <c r="R180" s="58"/>
      <c r="S180" s="55">
        <f t="shared" ref="S180:T185" si="155">O180*1.05</f>
        <v>0</v>
      </c>
      <c r="T180" s="57">
        <f t="shared" si="155"/>
        <v>0</v>
      </c>
      <c r="U180" s="57">
        <f t="shared" ref="U180:U185" si="156">SUM(S180:T180)</f>
        <v>0</v>
      </c>
      <c r="V180" s="59"/>
      <c r="W180" s="124">
        <f t="shared" ref="W180:Y186" si="157">C180+G180+K180+O180+S180</f>
        <v>0</v>
      </c>
      <c r="X180" s="57">
        <f t="shared" si="157"/>
        <v>0</v>
      </c>
      <c r="Y180" s="84">
        <f t="shared" si="157"/>
        <v>0</v>
      </c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</row>
    <row r="181" spans="1:77" s="61" customFormat="1" x14ac:dyDescent="0.25">
      <c r="A181" s="52"/>
      <c r="B181" s="52"/>
      <c r="C181" s="124">
        <v>0</v>
      </c>
      <c r="D181" s="56">
        <v>0</v>
      </c>
      <c r="E181" s="56">
        <f t="shared" si="148"/>
        <v>0</v>
      </c>
      <c r="F181" s="58"/>
      <c r="G181" s="55">
        <f t="shared" si="149"/>
        <v>0</v>
      </c>
      <c r="H181" s="57">
        <f t="shared" si="149"/>
        <v>0</v>
      </c>
      <c r="I181" s="57">
        <f t="shared" si="150"/>
        <v>0</v>
      </c>
      <c r="J181" s="58"/>
      <c r="K181" s="55">
        <f t="shared" si="151"/>
        <v>0</v>
      </c>
      <c r="L181" s="57">
        <f t="shared" si="151"/>
        <v>0</v>
      </c>
      <c r="M181" s="57">
        <f t="shared" si="152"/>
        <v>0</v>
      </c>
      <c r="N181" s="58"/>
      <c r="O181" s="55">
        <f t="shared" si="153"/>
        <v>0</v>
      </c>
      <c r="P181" s="57">
        <f t="shared" si="153"/>
        <v>0</v>
      </c>
      <c r="Q181" s="57">
        <f t="shared" si="154"/>
        <v>0</v>
      </c>
      <c r="R181" s="58"/>
      <c r="S181" s="55">
        <f t="shared" si="155"/>
        <v>0</v>
      </c>
      <c r="T181" s="57">
        <f t="shared" si="155"/>
        <v>0</v>
      </c>
      <c r="U181" s="57">
        <f t="shared" si="156"/>
        <v>0</v>
      </c>
      <c r="V181" s="59"/>
      <c r="W181" s="124">
        <f t="shared" si="157"/>
        <v>0</v>
      </c>
      <c r="X181" s="57">
        <f t="shared" si="157"/>
        <v>0</v>
      </c>
      <c r="Y181" s="84">
        <f t="shared" si="157"/>
        <v>0</v>
      </c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</row>
    <row r="182" spans="1:77" s="61" customFormat="1" x14ac:dyDescent="0.25">
      <c r="A182" s="52"/>
      <c r="B182" s="52"/>
      <c r="C182" s="124">
        <v>0</v>
      </c>
      <c r="D182" s="56">
        <v>0</v>
      </c>
      <c r="E182" s="56">
        <f t="shared" si="148"/>
        <v>0</v>
      </c>
      <c r="F182" s="58"/>
      <c r="G182" s="55">
        <f t="shared" si="149"/>
        <v>0</v>
      </c>
      <c r="H182" s="57">
        <f t="shared" si="149"/>
        <v>0</v>
      </c>
      <c r="I182" s="57">
        <f t="shared" si="150"/>
        <v>0</v>
      </c>
      <c r="J182" s="58"/>
      <c r="K182" s="55">
        <f t="shared" si="151"/>
        <v>0</v>
      </c>
      <c r="L182" s="57">
        <f t="shared" si="151"/>
        <v>0</v>
      </c>
      <c r="M182" s="57">
        <f t="shared" si="152"/>
        <v>0</v>
      </c>
      <c r="N182" s="58"/>
      <c r="O182" s="55">
        <f t="shared" si="153"/>
        <v>0</v>
      </c>
      <c r="P182" s="57">
        <f t="shared" si="153"/>
        <v>0</v>
      </c>
      <c r="Q182" s="57">
        <f t="shared" si="154"/>
        <v>0</v>
      </c>
      <c r="R182" s="58"/>
      <c r="S182" s="55">
        <f t="shared" si="155"/>
        <v>0</v>
      </c>
      <c r="T182" s="57">
        <f t="shared" si="155"/>
        <v>0</v>
      </c>
      <c r="U182" s="57">
        <f t="shared" si="156"/>
        <v>0</v>
      </c>
      <c r="V182" s="59"/>
      <c r="W182" s="124">
        <f t="shared" si="157"/>
        <v>0</v>
      </c>
      <c r="X182" s="57">
        <f t="shared" si="157"/>
        <v>0</v>
      </c>
      <c r="Y182" s="84">
        <f t="shared" si="157"/>
        <v>0</v>
      </c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</row>
    <row r="183" spans="1:77" s="61" customFormat="1" x14ac:dyDescent="0.25">
      <c r="A183" s="52"/>
      <c r="B183" s="52"/>
      <c r="C183" s="124">
        <v>0</v>
      </c>
      <c r="D183" s="56">
        <v>0</v>
      </c>
      <c r="E183" s="56">
        <f t="shared" si="148"/>
        <v>0</v>
      </c>
      <c r="F183" s="58"/>
      <c r="G183" s="55">
        <f t="shared" ref="G183" si="158">C183*1.05</f>
        <v>0</v>
      </c>
      <c r="H183" s="57">
        <f t="shared" ref="H183" si="159">D183*1.05</f>
        <v>0</v>
      </c>
      <c r="I183" s="57">
        <f t="shared" si="150"/>
        <v>0</v>
      </c>
      <c r="J183" s="58"/>
      <c r="K183" s="55">
        <f t="shared" ref="K183" si="160">G183*1.05</f>
        <v>0</v>
      </c>
      <c r="L183" s="57">
        <f t="shared" ref="L183" si="161">H183*1.05</f>
        <v>0</v>
      </c>
      <c r="M183" s="57">
        <f t="shared" si="152"/>
        <v>0</v>
      </c>
      <c r="N183" s="58"/>
      <c r="O183" s="55">
        <f t="shared" ref="O183" si="162">K183*1.05</f>
        <v>0</v>
      </c>
      <c r="P183" s="57">
        <f t="shared" ref="P183" si="163">L183*1.05</f>
        <v>0</v>
      </c>
      <c r="Q183" s="57">
        <f t="shared" si="154"/>
        <v>0</v>
      </c>
      <c r="R183" s="58"/>
      <c r="S183" s="55">
        <f t="shared" ref="S183" si="164">O183*1.05</f>
        <v>0</v>
      </c>
      <c r="T183" s="57">
        <f t="shared" ref="T183" si="165">P183*1.05</f>
        <v>0</v>
      </c>
      <c r="U183" s="57">
        <f t="shared" si="156"/>
        <v>0</v>
      </c>
      <c r="V183" s="59"/>
      <c r="W183" s="124">
        <f t="shared" ref="W183" si="166">C183+G183+K183+O183+S183</f>
        <v>0</v>
      </c>
      <c r="X183" s="57">
        <f t="shared" ref="X183" si="167">D183+H183+L183+P183+T183</f>
        <v>0</v>
      </c>
      <c r="Y183" s="84">
        <f t="shared" ref="Y183" si="168">E183+I183+M183+Q183+U183</f>
        <v>0</v>
      </c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</row>
    <row r="184" spans="1:77" s="61" customFormat="1" x14ac:dyDescent="0.25">
      <c r="A184" s="52"/>
      <c r="B184" s="52"/>
      <c r="C184" s="124">
        <v>0</v>
      </c>
      <c r="D184" s="56">
        <v>0</v>
      </c>
      <c r="E184" s="56">
        <f t="shared" si="148"/>
        <v>0</v>
      </c>
      <c r="F184" s="58"/>
      <c r="G184" s="55">
        <f t="shared" si="149"/>
        <v>0</v>
      </c>
      <c r="H184" s="57">
        <f t="shared" si="149"/>
        <v>0</v>
      </c>
      <c r="I184" s="57">
        <f t="shared" si="150"/>
        <v>0</v>
      </c>
      <c r="J184" s="58"/>
      <c r="K184" s="55">
        <f t="shared" si="151"/>
        <v>0</v>
      </c>
      <c r="L184" s="57">
        <f t="shared" si="151"/>
        <v>0</v>
      </c>
      <c r="M184" s="57">
        <f t="shared" si="152"/>
        <v>0</v>
      </c>
      <c r="N184" s="58"/>
      <c r="O184" s="55">
        <f t="shared" si="153"/>
        <v>0</v>
      </c>
      <c r="P184" s="57">
        <f t="shared" si="153"/>
        <v>0</v>
      </c>
      <c r="Q184" s="57">
        <f t="shared" si="154"/>
        <v>0</v>
      </c>
      <c r="R184" s="58"/>
      <c r="S184" s="55">
        <f t="shared" si="155"/>
        <v>0</v>
      </c>
      <c r="T184" s="57">
        <f t="shared" si="155"/>
        <v>0</v>
      </c>
      <c r="U184" s="57">
        <f t="shared" si="156"/>
        <v>0</v>
      </c>
      <c r="V184" s="59"/>
      <c r="W184" s="124">
        <f t="shared" si="157"/>
        <v>0</v>
      </c>
      <c r="X184" s="57">
        <f t="shared" si="157"/>
        <v>0</v>
      </c>
      <c r="Y184" s="84">
        <f t="shared" si="157"/>
        <v>0</v>
      </c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</row>
    <row r="185" spans="1:77" s="61" customFormat="1" x14ac:dyDescent="0.25">
      <c r="A185" s="52"/>
      <c r="B185" s="52"/>
      <c r="C185" s="124">
        <v>0</v>
      </c>
      <c r="D185" s="56">
        <v>0</v>
      </c>
      <c r="E185" s="56">
        <f t="shared" si="148"/>
        <v>0</v>
      </c>
      <c r="F185" s="58"/>
      <c r="G185" s="55">
        <f t="shared" si="149"/>
        <v>0</v>
      </c>
      <c r="H185" s="57">
        <f t="shared" si="149"/>
        <v>0</v>
      </c>
      <c r="I185" s="57">
        <f t="shared" si="150"/>
        <v>0</v>
      </c>
      <c r="J185" s="58"/>
      <c r="K185" s="55">
        <f t="shared" si="151"/>
        <v>0</v>
      </c>
      <c r="L185" s="57">
        <f t="shared" si="151"/>
        <v>0</v>
      </c>
      <c r="M185" s="57">
        <f t="shared" si="152"/>
        <v>0</v>
      </c>
      <c r="N185" s="58"/>
      <c r="O185" s="55">
        <f t="shared" si="153"/>
        <v>0</v>
      </c>
      <c r="P185" s="57">
        <f t="shared" si="153"/>
        <v>0</v>
      </c>
      <c r="Q185" s="57">
        <f t="shared" si="154"/>
        <v>0</v>
      </c>
      <c r="R185" s="58"/>
      <c r="S185" s="55">
        <f t="shared" si="155"/>
        <v>0</v>
      </c>
      <c r="T185" s="57">
        <f t="shared" si="155"/>
        <v>0</v>
      </c>
      <c r="U185" s="57">
        <f t="shared" si="156"/>
        <v>0</v>
      </c>
      <c r="V185" s="59"/>
      <c r="W185" s="124">
        <f t="shared" si="157"/>
        <v>0</v>
      </c>
      <c r="X185" s="57">
        <f t="shared" si="157"/>
        <v>0</v>
      </c>
      <c r="Y185" s="84">
        <f t="shared" si="157"/>
        <v>0</v>
      </c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</row>
    <row r="186" spans="1:77" s="83" customFormat="1" x14ac:dyDescent="0.25">
      <c r="A186" s="78"/>
      <c r="B186" s="78" t="s">
        <v>9</v>
      </c>
      <c r="C186" s="228">
        <f>SUM(C180:C185)</f>
        <v>0</v>
      </c>
      <c r="D186" s="125">
        <f>SUM(D180:D185)</f>
        <v>0</v>
      </c>
      <c r="E186" s="125">
        <f>SUM(E180:E185)</f>
        <v>0</v>
      </c>
      <c r="F186" s="81"/>
      <c r="G186" s="79">
        <f>SUM(G180:G185)</f>
        <v>0</v>
      </c>
      <c r="H186" s="80">
        <f>SUM(H180:H185)</f>
        <v>0</v>
      </c>
      <c r="I186" s="80">
        <f>SUM(I180:I185)</f>
        <v>0</v>
      </c>
      <c r="J186" s="81"/>
      <c r="K186" s="79">
        <f>SUM(K180:K185)</f>
        <v>0</v>
      </c>
      <c r="L186" s="80">
        <f>SUM(L180:L185)</f>
        <v>0</v>
      </c>
      <c r="M186" s="80">
        <f>SUM(M180:M185)</f>
        <v>0</v>
      </c>
      <c r="N186" s="81"/>
      <c r="O186" s="79">
        <f>SUM(O180:O185)</f>
        <v>0</v>
      </c>
      <c r="P186" s="80">
        <f>SUM(P180:P185)</f>
        <v>0</v>
      </c>
      <c r="Q186" s="80">
        <f>SUM(Q180:Q185)</f>
        <v>0</v>
      </c>
      <c r="R186" s="81"/>
      <c r="S186" s="79">
        <f>SUM(S180:S185)</f>
        <v>0</v>
      </c>
      <c r="T186" s="80">
        <f>SUM(T180:T185)</f>
        <v>0</v>
      </c>
      <c r="U186" s="80">
        <f>SUM(U180:U185)</f>
        <v>0</v>
      </c>
      <c r="V186" s="82"/>
      <c r="W186" s="228">
        <f t="shared" si="157"/>
        <v>0</v>
      </c>
      <c r="X186" s="80">
        <f t="shared" si="157"/>
        <v>0</v>
      </c>
      <c r="Y186" s="80">
        <f t="shared" si="157"/>
        <v>0</v>
      </c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</row>
    <row r="187" spans="1:77" s="77" customFormat="1" x14ac:dyDescent="0.25">
      <c r="A187" s="74" t="s">
        <v>12</v>
      </c>
      <c r="B187" s="74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9"/>
      <c r="W187" s="58"/>
      <c r="X187" s="58"/>
      <c r="Y187" s="129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1" customFormat="1" x14ac:dyDescent="0.25">
      <c r="A188" s="52"/>
      <c r="B188" s="52"/>
      <c r="C188" s="124">
        <v>0</v>
      </c>
      <c r="D188" s="56">
        <v>0</v>
      </c>
      <c r="E188" s="56">
        <f t="shared" ref="E188:E194" si="169">SUM(C188:D188)</f>
        <v>0</v>
      </c>
      <c r="F188" s="58"/>
      <c r="G188" s="55">
        <f t="shared" ref="G188:H194" si="170">C188*1.05</f>
        <v>0</v>
      </c>
      <c r="H188" s="57">
        <f t="shared" si="170"/>
        <v>0</v>
      </c>
      <c r="I188" s="57">
        <f t="shared" ref="I188:I194" si="171">SUM(G188:H188)</f>
        <v>0</v>
      </c>
      <c r="J188" s="58"/>
      <c r="K188" s="55">
        <f t="shared" ref="K188:L194" si="172">G188*1.05</f>
        <v>0</v>
      </c>
      <c r="L188" s="57">
        <f t="shared" si="172"/>
        <v>0</v>
      </c>
      <c r="M188" s="57">
        <f t="shared" ref="M188:M194" si="173">SUM(K188:L188)</f>
        <v>0</v>
      </c>
      <c r="N188" s="58"/>
      <c r="O188" s="55">
        <f t="shared" ref="O188:P194" si="174">K188*1.05</f>
        <v>0</v>
      </c>
      <c r="P188" s="57">
        <f t="shared" si="174"/>
        <v>0</v>
      </c>
      <c r="Q188" s="57">
        <f t="shared" ref="Q188:Q194" si="175">SUM(O188:P188)</f>
        <v>0</v>
      </c>
      <c r="R188" s="58"/>
      <c r="S188" s="55">
        <f t="shared" ref="S188:T194" si="176">O188*1.05</f>
        <v>0</v>
      </c>
      <c r="T188" s="57">
        <f t="shared" si="176"/>
        <v>0</v>
      </c>
      <c r="U188" s="57">
        <f t="shared" ref="U188:U194" si="177">SUM(S188:T188)</f>
        <v>0</v>
      </c>
      <c r="V188" s="59"/>
      <c r="W188" s="124">
        <f t="shared" ref="W188:Y195" si="178">C188+G188+K188+O188+S188</f>
        <v>0</v>
      </c>
      <c r="X188" s="57">
        <f t="shared" si="178"/>
        <v>0</v>
      </c>
      <c r="Y188" s="84">
        <f t="shared" si="178"/>
        <v>0</v>
      </c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</row>
    <row r="189" spans="1:77" s="61" customFormat="1" x14ac:dyDescent="0.25">
      <c r="A189" s="52"/>
      <c r="B189" s="54"/>
      <c r="C189" s="124">
        <v>0</v>
      </c>
      <c r="D189" s="56">
        <v>0</v>
      </c>
      <c r="E189" s="56">
        <f t="shared" si="169"/>
        <v>0</v>
      </c>
      <c r="F189" s="58"/>
      <c r="G189" s="55">
        <f t="shared" si="170"/>
        <v>0</v>
      </c>
      <c r="H189" s="57">
        <f t="shared" si="170"/>
        <v>0</v>
      </c>
      <c r="I189" s="57">
        <f t="shared" si="171"/>
        <v>0</v>
      </c>
      <c r="J189" s="58"/>
      <c r="K189" s="55">
        <f t="shared" si="172"/>
        <v>0</v>
      </c>
      <c r="L189" s="57">
        <f t="shared" si="172"/>
        <v>0</v>
      </c>
      <c r="M189" s="57">
        <f t="shared" si="173"/>
        <v>0</v>
      </c>
      <c r="N189" s="58"/>
      <c r="O189" s="55">
        <f t="shared" si="174"/>
        <v>0</v>
      </c>
      <c r="P189" s="57">
        <f t="shared" si="174"/>
        <v>0</v>
      </c>
      <c r="Q189" s="57">
        <f t="shared" si="175"/>
        <v>0</v>
      </c>
      <c r="R189" s="58"/>
      <c r="S189" s="55">
        <f t="shared" si="176"/>
        <v>0</v>
      </c>
      <c r="T189" s="57">
        <f t="shared" si="176"/>
        <v>0</v>
      </c>
      <c r="U189" s="57">
        <f t="shared" si="177"/>
        <v>0</v>
      </c>
      <c r="V189" s="59"/>
      <c r="W189" s="124">
        <f t="shared" si="178"/>
        <v>0</v>
      </c>
      <c r="X189" s="57">
        <f t="shared" si="178"/>
        <v>0</v>
      </c>
      <c r="Y189" s="84">
        <f t="shared" si="178"/>
        <v>0</v>
      </c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</row>
    <row r="190" spans="1:77" s="61" customFormat="1" x14ac:dyDescent="0.25">
      <c r="A190" s="52"/>
      <c r="B190" s="52"/>
      <c r="C190" s="124">
        <v>0</v>
      </c>
      <c r="D190" s="56">
        <v>0</v>
      </c>
      <c r="E190" s="56">
        <f t="shared" si="169"/>
        <v>0</v>
      </c>
      <c r="F190" s="58"/>
      <c r="G190" s="55">
        <f t="shared" si="170"/>
        <v>0</v>
      </c>
      <c r="H190" s="57">
        <f t="shared" si="170"/>
        <v>0</v>
      </c>
      <c r="I190" s="57">
        <f t="shared" si="171"/>
        <v>0</v>
      </c>
      <c r="J190" s="58"/>
      <c r="K190" s="55">
        <f t="shared" si="172"/>
        <v>0</v>
      </c>
      <c r="L190" s="57">
        <f t="shared" si="172"/>
        <v>0</v>
      </c>
      <c r="M190" s="57">
        <f t="shared" si="173"/>
        <v>0</v>
      </c>
      <c r="N190" s="58"/>
      <c r="O190" s="55">
        <f t="shared" si="174"/>
        <v>0</v>
      </c>
      <c r="P190" s="57">
        <f t="shared" si="174"/>
        <v>0</v>
      </c>
      <c r="Q190" s="57">
        <f t="shared" si="175"/>
        <v>0</v>
      </c>
      <c r="R190" s="58"/>
      <c r="S190" s="55">
        <f t="shared" si="176"/>
        <v>0</v>
      </c>
      <c r="T190" s="57">
        <f t="shared" si="176"/>
        <v>0</v>
      </c>
      <c r="U190" s="57">
        <f t="shared" si="177"/>
        <v>0</v>
      </c>
      <c r="V190" s="59"/>
      <c r="W190" s="124">
        <f t="shared" si="178"/>
        <v>0</v>
      </c>
      <c r="X190" s="57">
        <f t="shared" si="178"/>
        <v>0</v>
      </c>
      <c r="Y190" s="84">
        <f t="shared" si="178"/>
        <v>0</v>
      </c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s="61" customFormat="1" x14ac:dyDescent="0.25">
      <c r="A191" s="87"/>
      <c r="B191" s="52"/>
      <c r="C191" s="124">
        <v>0</v>
      </c>
      <c r="D191" s="56">
        <v>0</v>
      </c>
      <c r="E191" s="56">
        <f t="shared" si="169"/>
        <v>0</v>
      </c>
      <c r="F191" s="58"/>
      <c r="G191" s="55">
        <f t="shared" si="170"/>
        <v>0</v>
      </c>
      <c r="H191" s="57">
        <f t="shared" si="170"/>
        <v>0</v>
      </c>
      <c r="I191" s="57">
        <f t="shared" si="171"/>
        <v>0</v>
      </c>
      <c r="J191" s="58"/>
      <c r="K191" s="55">
        <f t="shared" si="172"/>
        <v>0</v>
      </c>
      <c r="L191" s="57">
        <f t="shared" si="172"/>
        <v>0</v>
      </c>
      <c r="M191" s="57">
        <f t="shared" si="173"/>
        <v>0</v>
      </c>
      <c r="N191" s="58"/>
      <c r="O191" s="55">
        <f t="shared" si="174"/>
        <v>0</v>
      </c>
      <c r="P191" s="57">
        <f t="shared" si="174"/>
        <v>0</v>
      </c>
      <c r="Q191" s="57">
        <f t="shared" si="175"/>
        <v>0</v>
      </c>
      <c r="R191" s="58"/>
      <c r="S191" s="55">
        <f t="shared" si="176"/>
        <v>0</v>
      </c>
      <c r="T191" s="57">
        <f t="shared" si="176"/>
        <v>0</v>
      </c>
      <c r="U191" s="57">
        <f t="shared" si="177"/>
        <v>0</v>
      </c>
      <c r="V191" s="59"/>
      <c r="W191" s="124">
        <f t="shared" si="178"/>
        <v>0</v>
      </c>
      <c r="X191" s="57">
        <f t="shared" si="178"/>
        <v>0</v>
      </c>
      <c r="Y191" s="84">
        <f t="shared" si="178"/>
        <v>0</v>
      </c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</row>
    <row r="192" spans="1:77" s="61" customFormat="1" x14ac:dyDescent="0.25">
      <c r="A192" s="52"/>
      <c r="B192" s="52"/>
      <c r="C192" s="124">
        <v>0</v>
      </c>
      <c r="D192" s="56">
        <v>0</v>
      </c>
      <c r="E192" s="56">
        <f t="shared" si="169"/>
        <v>0</v>
      </c>
      <c r="F192" s="58"/>
      <c r="G192" s="55">
        <f t="shared" si="170"/>
        <v>0</v>
      </c>
      <c r="H192" s="57">
        <f t="shared" si="170"/>
        <v>0</v>
      </c>
      <c r="I192" s="57">
        <f t="shared" si="171"/>
        <v>0</v>
      </c>
      <c r="J192" s="58"/>
      <c r="K192" s="55">
        <f t="shared" si="172"/>
        <v>0</v>
      </c>
      <c r="L192" s="57">
        <f t="shared" si="172"/>
        <v>0</v>
      </c>
      <c r="M192" s="57">
        <f t="shared" si="173"/>
        <v>0</v>
      </c>
      <c r="N192" s="58"/>
      <c r="O192" s="55">
        <f t="shared" si="174"/>
        <v>0</v>
      </c>
      <c r="P192" s="57">
        <f t="shared" si="174"/>
        <v>0</v>
      </c>
      <c r="Q192" s="57">
        <f t="shared" si="175"/>
        <v>0</v>
      </c>
      <c r="R192" s="58"/>
      <c r="S192" s="55">
        <f t="shared" si="176"/>
        <v>0</v>
      </c>
      <c r="T192" s="57">
        <f t="shared" si="176"/>
        <v>0</v>
      </c>
      <c r="U192" s="57">
        <f t="shared" si="177"/>
        <v>0</v>
      </c>
      <c r="V192" s="59"/>
      <c r="W192" s="124">
        <f t="shared" si="178"/>
        <v>0</v>
      </c>
      <c r="X192" s="57">
        <f t="shared" si="178"/>
        <v>0</v>
      </c>
      <c r="Y192" s="84">
        <f t="shared" si="178"/>
        <v>0</v>
      </c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</row>
    <row r="193" spans="1:77" s="61" customFormat="1" x14ac:dyDescent="0.25">
      <c r="A193" s="52"/>
      <c r="B193" s="54"/>
      <c r="C193" s="124">
        <v>0</v>
      </c>
      <c r="D193" s="56">
        <v>0</v>
      </c>
      <c r="E193" s="56">
        <f t="shared" si="169"/>
        <v>0</v>
      </c>
      <c r="F193" s="58"/>
      <c r="G193" s="55">
        <f t="shared" si="170"/>
        <v>0</v>
      </c>
      <c r="H193" s="57">
        <f t="shared" si="170"/>
        <v>0</v>
      </c>
      <c r="I193" s="57">
        <f t="shared" si="171"/>
        <v>0</v>
      </c>
      <c r="J193" s="58"/>
      <c r="K193" s="55">
        <f t="shared" si="172"/>
        <v>0</v>
      </c>
      <c r="L193" s="57">
        <f t="shared" si="172"/>
        <v>0</v>
      </c>
      <c r="M193" s="57">
        <f t="shared" si="173"/>
        <v>0</v>
      </c>
      <c r="N193" s="58"/>
      <c r="O193" s="55">
        <f t="shared" si="174"/>
        <v>0</v>
      </c>
      <c r="P193" s="57">
        <f t="shared" si="174"/>
        <v>0</v>
      </c>
      <c r="Q193" s="57">
        <f t="shared" si="175"/>
        <v>0</v>
      </c>
      <c r="R193" s="58"/>
      <c r="S193" s="55">
        <f t="shared" si="176"/>
        <v>0</v>
      </c>
      <c r="T193" s="57">
        <f t="shared" si="176"/>
        <v>0</v>
      </c>
      <c r="U193" s="57">
        <f t="shared" si="177"/>
        <v>0</v>
      </c>
      <c r="V193" s="59"/>
      <c r="W193" s="124">
        <f t="shared" si="178"/>
        <v>0</v>
      </c>
      <c r="X193" s="57">
        <f t="shared" si="178"/>
        <v>0</v>
      </c>
      <c r="Y193" s="84">
        <f t="shared" si="178"/>
        <v>0</v>
      </c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</row>
    <row r="194" spans="1:77" s="61" customFormat="1" x14ac:dyDescent="0.25">
      <c r="A194" s="52"/>
      <c r="B194" s="52"/>
      <c r="C194" s="124">
        <v>0</v>
      </c>
      <c r="D194" s="56">
        <v>0</v>
      </c>
      <c r="E194" s="56">
        <f t="shared" si="169"/>
        <v>0</v>
      </c>
      <c r="F194" s="74"/>
      <c r="G194" s="55">
        <f t="shared" si="170"/>
        <v>0</v>
      </c>
      <c r="H194" s="57">
        <f t="shared" si="170"/>
        <v>0</v>
      </c>
      <c r="I194" s="57">
        <f t="shared" si="171"/>
        <v>0</v>
      </c>
      <c r="J194" s="74"/>
      <c r="K194" s="55">
        <f t="shared" si="172"/>
        <v>0</v>
      </c>
      <c r="L194" s="57">
        <f t="shared" si="172"/>
        <v>0</v>
      </c>
      <c r="M194" s="57">
        <f t="shared" si="173"/>
        <v>0</v>
      </c>
      <c r="N194" s="74"/>
      <c r="O194" s="55">
        <f t="shared" si="174"/>
        <v>0</v>
      </c>
      <c r="P194" s="57">
        <f t="shared" si="174"/>
        <v>0</v>
      </c>
      <c r="Q194" s="57">
        <f t="shared" si="175"/>
        <v>0</v>
      </c>
      <c r="R194" s="74"/>
      <c r="S194" s="55">
        <f t="shared" si="176"/>
        <v>0</v>
      </c>
      <c r="T194" s="57">
        <f t="shared" si="176"/>
        <v>0</v>
      </c>
      <c r="U194" s="57">
        <f t="shared" si="177"/>
        <v>0</v>
      </c>
      <c r="V194" s="59"/>
      <c r="W194" s="124">
        <f t="shared" si="178"/>
        <v>0</v>
      </c>
      <c r="X194" s="57">
        <f t="shared" si="178"/>
        <v>0</v>
      </c>
      <c r="Y194" s="84">
        <f t="shared" si="178"/>
        <v>0</v>
      </c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</row>
    <row r="195" spans="1:77" s="83" customFormat="1" x14ac:dyDescent="0.25">
      <c r="A195" s="78"/>
      <c r="B195" s="78" t="s">
        <v>9</v>
      </c>
      <c r="C195" s="228">
        <f>SUM(C188:C194)</f>
        <v>0</v>
      </c>
      <c r="D195" s="125">
        <f>SUM(D188:D194)</f>
        <v>0</v>
      </c>
      <c r="E195" s="125">
        <f>SUM(E188:E194)</f>
        <v>0</v>
      </c>
      <c r="F195" s="81"/>
      <c r="G195" s="79">
        <f>SUM(G188:G194)</f>
        <v>0</v>
      </c>
      <c r="H195" s="80">
        <f>SUM(H188:H194)</f>
        <v>0</v>
      </c>
      <c r="I195" s="80">
        <f>SUM(I188:I194)</f>
        <v>0</v>
      </c>
      <c r="J195" s="81"/>
      <c r="K195" s="79">
        <f>SUM(K188:K194)</f>
        <v>0</v>
      </c>
      <c r="L195" s="80">
        <f>SUM(L188:L194)</f>
        <v>0</v>
      </c>
      <c r="M195" s="80">
        <f>SUM(M188:M194)</f>
        <v>0</v>
      </c>
      <c r="N195" s="81"/>
      <c r="O195" s="79">
        <f>SUM(O188:O194)</f>
        <v>0</v>
      </c>
      <c r="P195" s="80">
        <f>SUM(P188:P194)</f>
        <v>0</v>
      </c>
      <c r="Q195" s="80">
        <f>SUM(Q188:Q194)</f>
        <v>0</v>
      </c>
      <c r="R195" s="81"/>
      <c r="S195" s="79">
        <f>SUM(S188:S194)</f>
        <v>0</v>
      </c>
      <c r="T195" s="80">
        <f>SUM(T188:T194)</f>
        <v>0</v>
      </c>
      <c r="U195" s="80">
        <f>SUM(U188:U194)</f>
        <v>0</v>
      </c>
      <c r="V195" s="82"/>
      <c r="W195" s="228">
        <f t="shared" si="178"/>
        <v>0</v>
      </c>
      <c r="X195" s="80">
        <f t="shared" si="178"/>
        <v>0</v>
      </c>
      <c r="Y195" s="80">
        <f t="shared" si="178"/>
        <v>0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109" customFormat="1" x14ac:dyDescent="0.25">
      <c r="A196" s="106" t="s">
        <v>16</v>
      </c>
      <c r="B196" s="106"/>
      <c r="C196" s="107">
        <f>C195+C186</f>
        <v>0</v>
      </c>
      <c r="D196" s="107">
        <f t="shared" ref="D196:X196" si="179">D195+D186</f>
        <v>0</v>
      </c>
      <c r="E196" s="107">
        <f t="shared" si="179"/>
        <v>0</v>
      </c>
      <c r="F196" s="107">
        <f t="shared" si="179"/>
        <v>0</v>
      </c>
      <c r="G196" s="107">
        <f t="shared" si="179"/>
        <v>0</v>
      </c>
      <c r="H196" s="107">
        <f t="shared" si="179"/>
        <v>0</v>
      </c>
      <c r="I196" s="107">
        <f t="shared" si="179"/>
        <v>0</v>
      </c>
      <c r="J196" s="107">
        <f t="shared" si="179"/>
        <v>0</v>
      </c>
      <c r="K196" s="107">
        <f t="shared" si="179"/>
        <v>0</v>
      </c>
      <c r="L196" s="107">
        <f t="shared" si="179"/>
        <v>0</v>
      </c>
      <c r="M196" s="107">
        <f t="shared" si="179"/>
        <v>0</v>
      </c>
      <c r="N196" s="107">
        <f t="shared" si="179"/>
        <v>0</v>
      </c>
      <c r="O196" s="107">
        <f t="shared" si="179"/>
        <v>0</v>
      </c>
      <c r="P196" s="107">
        <f t="shared" si="179"/>
        <v>0</v>
      </c>
      <c r="Q196" s="107">
        <f t="shared" si="179"/>
        <v>0</v>
      </c>
      <c r="R196" s="107">
        <f t="shared" si="179"/>
        <v>0</v>
      </c>
      <c r="S196" s="107">
        <f t="shared" si="179"/>
        <v>0</v>
      </c>
      <c r="T196" s="107">
        <f t="shared" si="179"/>
        <v>0</v>
      </c>
      <c r="U196" s="107">
        <f t="shared" si="179"/>
        <v>0</v>
      </c>
      <c r="V196" s="107">
        <f t="shared" si="179"/>
        <v>0</v>
      </c>
      <c r="W196" s="107">
        <f t="shared" si="179"/>
        <v>0</v>
      </c>
      <c r="X196" s="107">
        <f t="shared" si="179"/>
        <v>0</v>
      </c>
      <c r="Y196" s="108">
        <f>E196+I196+M196+Q196+U196</f>
        <v>0</v>
      </c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</row>
    <row r="197" spans="1:77" s="77" customFormat="1" x14ac:dyDescent="0.25">
      <c r="A197" s="74" t="s">
        <v>6</v>
      </c>
      <c r="B197" s="74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129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s="61" customFormat="1" x14ac:dyDescent="0.25">
      <c r="A198" s="50">
        <v>3.6999999999999998E-2</v>
      </c>
      <c r="B198" s="52" t="s">
        <v>107</v>
      </c>
      <c r="C198" s="124">
        <f>C180*0.35</f>
        <v>0</v>
      </c>
      <c r="D198" s="56">
        <v>0</v>
      </c>
      <c r="E198" s="56">
        <f t="shared" ref="E198:E203" si="180">SUM(C198:D198)</f>
        <v>0</v>
      </c>
      <c r="F198" s="58"/>
      <c r="G198" s="55">
        <f>G180*0.35</f>
        <v>0</v>
      </c>
      <c r="H198" s="57">
        <v>0</v>
      </c>
      <c r="I198" s="57">
        <f t="shared" ref="I198:I203" si="181">SUM(G198:H198)</f>
        <v>0</v>
      </c>
      <c r="J198" s="58"/>
      <c r="K198" s="55">
        <f>K180*0.35</f>
        <v>0</v>
      </c>
      <c r="L198" s="57">
        <v>0</v>
      </c>
      <c r="M198" s="57">
        <f t="shared" ref="M198:M203" si="182">SUM(K198:L198)</f>
        <v>0</v>
      </c>
      <c r="N198" s="58"/>
      <c r="O198" s="55">
        <f>O180*0.35</f>
        <v>0</v>
      </c>
      <c r="P198" s="57">
        <v>0</v>
      </c>
      <c r="Q198" s="57">
        <f t="shared" ref="Q198:Q203" si="183">SUM(O198:P198)</f>
        <v>0</v>
      </c>
      <c r="R198" s="58"/>
      <c r="S198" s="55">
        <f>S180*0.35</f>
        <v>0</v>
      </c>
      <c r="T198" s="57">
        <v>0</v>
      </c>
      <c r="U198" s="57">
        <f t="shared" ref="U198:U203" si="184">SUM(S198:T198)</f>
        <v>0</v>
      </c>
      <c r="V198" s="59"/>
      <c r="W198" s="124">
        <f t="shared" ref="W198:Y204" si="185">C198+G198+K198+O198+S198</f>
        <v>0</v>
      </c>
      <c r="X198" s="57">
        <f t="shared" si="185"/>
        <v>0</v>
      </c>
      <c r="Y198" s="84">
        <f t="shared" si="185"/>
        <v>0</v>
      </c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</row>
    <row r="199" spans="1:77" s="61" customFormat="1" x14ac:dyDescent="0.25">
      <c r="A199" s="50">
        <v>0.105</v>
      </c>
      <c r="B199" s="52" t="s">
        <v>108</v>
      </c>
      <c r="C199" s="124">
        <f>C185*0.35</f>
        <v>0</v>
      </c>
      <c r="D199" s="56">
        <v>0</v>
      </c>
      <c r="E199" s="56">
        <f t="shared" si="180"/>
        <v>0</v>
      </c>
      <c r="F199" s="58"/>
      <c r="G199" s="55">
        <f>C199*1.05</f>
        <v>0</v>
      </c>
      <c r="H199" s="57">
        <f>D199*1.05</f>
        <v>0</v>
      </c>
      <c r="I199" s="57">
        <f t="shared" si="181"/>
        <v>0</v>
      </c>
      <c r="J199" s="58"/>
      <c r="K199" s="55">
        <f>G199*1.05</f>
        <v>0</v>
      </c>
      <c r="L199" s="57">
        <f>H199*1.05</f>
        <v>0</v>
      </c>
      <c r="M199" s="57">
        <f t="shared" si="182"/>
        <v>0</v>
      </c>
      <c r="N199" s="58"/>
      <c r="O199" s="55">
        <f>K199*1.05</f>
        <v>0</v>
      </c>
      <c r="P199" s="57">
        <f>L199*1.05</f>
        <v>0</v>
      </c>
      <c r="Q199" s="57">
        <f t="shared" si="183"/>
        <v>0</v>
      </c>
      <c r="R199" s="58"/>
      <c r="S199" s="55">
        <f>O199*1.05</f>
        <v>0</v>
      </c>
      <c r="T199" s="57">
        <f>P199*1.05</f>
        <v>0</v>
      </c>
      <c r="U199" s="57">
        <f t="shared" si="184"/>
        <v>0</v>
      </c>
      <c r="V199" s="59"/>
      <c r="W199" s="124">
        <f t="shared" si="185"/>
        <v>0</v>
      </c>
      <c r="X199" s="57">
        <f t="shared" si="185"/>
        <v>0</v>
      </c>
      <c r="Y199" s="84">
        <f t="shared" si="185"/>
        <v>0</v>
      </c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</row>
    <row r="200" spans="1:77" s="61" customFormat="1" x14ac:dyDescent="0.25">
      <c r="A200" s="3">
        <v>0.36099999999999999</v>
      </c>
      <c r="B200" s="52" t="s">
        <v>52</v>
      </c>
      <c r="C200" s="124">
        <v>0</v>
      </c>
      <c r="D200" s="56">
        <v>0</v>
      </c>
      <c r="E200" s="56">
        <f t="shared" si="180"/>
        <v>0</v>
      </c>
      <c r="F200" s="58"/>
      <c r="G200" s="55">
        <f>C200*1.05</f>
        <v>0</v>
      </c>
      <c r="H200" s="57">
        <f>D200*1.05</f>
        <v>0</v>
      </c>
      <c r="I200" s="57">
        <f t="shared" si="181"/>
        <v>0</v>
      </c>
      <c r="J200" s="58"/>
      <c r="K200" s="55">
        <f>G200*1.05</f>
        <v>0</v>
      </c>
      <c r="L200" s="57">
        <f>H200*1.05</f>
        <v>0</v>
      </c>
      <c r="M200" s="57">
        <f t="shared" si="182"/>
        <v>0</v>
      </c>
      <c r="N200" s="58"/>
      <c r="O200" s="55">
        <f>K200*1.05</f>
        <v>0</v>
      </c>
      <c r="P200" s="57">
        <f>L200*1.05</f>
        <v>0</v>
      </c>
      <c r="Q200" s="57">
        <f t="shared" si="183"/>
        <v>0</v>
      </c>
      <c r="R200" s="58"/>
      <c r="S200" s="55">
        <f>O200*1.05</f>
        <v>0</v>
      </c>
      <c r="T200" s="57">
        <f>P200*1.05</f>
        <v>0</v>
      </c>
      <c r="U200" s="57">
        <f t="shared" si="184"/>
        <v>0</v>
      </c>
      <c r="V200" s="59"/>
      <c r="W200" s="124">
        <f t="shared" si="185"/>
        <v>0</v>
      </c>
      <c r="X200" s="57">
        <f t="shared" si="185"/>
        <v>0</v>
      </c>
      <c r="Y200" s="84">
        <f t="shared" si="185"/>
        <v>0</v>
      </c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</row>
    <row r="201" spans="1:77" s="61" customFormat="1" x14ac:dyDescent="0.25">
      <c r="A201" s="50">
        <v>0.34899999999999998</v>
      </c>
      <c r="B201" s="52" t="s">
        <v>109</v>
      </c>
      <c r="C201" s="124">
        <f>C189*0.43</f>
        <v>0</v>
      </c>
      <c r="D201" s="56">
        <v>0</v>
      </c>
      <c r="E201" s="56">
        <f t="shared" si="180"/>
        <v>0</v>
      </c>
      <c r="F201" s="58"/>
      <c r="G201" s="55">
        <f>C201*1.1</f>
        <v>0</v>
      </c>
      <c r="H201" s="57">
        <f>D201*1.1</f>
        <v>0</v>
      </c>
      <c r="I201" s="57">
        <f t="shared" si="181"/>
        <v>0</v>
      </c>
      <c r="J201" s="58"/>
      <c r="K201" s="55">
        <f>G201*1.1</f>
        <v>0</v>
      </c>
      <c r="L201" s="57">
        <f>H201*1.1</f>
        <v>0</v>
      </c>
      <c r="M201" s="57">
        <f t="shared" si="182"/>
        <v>0</v>
      </c>
      <c r="N201" s="58"/>
      <c r="O201" s="55">
        <f>K201*1.1</f>
        <v>0</v>
      </c>
      <c r="P201" s="57">
        <f>L201*1.1</f>
        <v>0</v>
      </c>
      <c r="Q201" s="57">
        <f t="shared" si="183"/>
        <v>0</v>
      </c>
      <c r="R201" s="58"/>
      <c r="S201" s="55">
        <f>O201*1.1</f>
        <v>0</v>
      </c>
      <c r="T201" s="57">
        <f>P201*1.1</f>
        <v>0</v>
      </c>
      <c r="U201" s="57">
        <f t="shared" si="184"/>
        <v>0</v>
      </c>
      <c r="V201" s="59"/>
      <c r="W201" s="124">
        <f t="shared" si="185"/>
        <v>0</v>
      </c>
      <c r="X201" s="57">
        <f t="shared" si="185"/>
        <v>0</v>
      </c>
      <c r="Y201" s="84">
        <f t="shared" si="185"/>
        <v>0</v>
      </c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</row>
    <row r="202" spans="1:77" s="61" customFormat="1" x14ac:dyDescent="0.25">
      <c r="A202" s="50">
        <v>0.56200000000000006</v>
      </c>
      <c r="B202" s="54" t="s">
        <v>110</v>
      </c>
      <c r="C202" s="124">
        <f>C190*0.089</f>
        <v>0</v>
      </c>
      <c r="D202" s="56">
        <v>0</v>
      </c>
      <c r="E202" s="56">
        <f t="shared" si="180"/>
        <v>0</v>
      </c>
      <c r="F202" s="58"/>
      <c r="G202" s="55">
        <f>C202*1.05</f>
        <v>0</v>
      </c>
      <c r="H202" s="57">
        <f>D202*1.05</f>
        <v>0</v>
      </c>
      <c r="I202" s="57">
        <f t="shared" si="181"/>
        <v>0</v>
      </c>
      <c r="J202" s="58"/>
      <c r="K202" s="55">
        <f>G202*1.05</f>
        <v>0</v>
      </c>
      <c r="L202" s="57">
        <f>H202*1.05</f>
        <v>0</v>
      </c>
      <c r="M202" s="57">
        <f t="shared" si="182"/>
        <v>0</v>
      </c>
      <c r="N202" s="58"/>
      <c r="O202" s="55">
        <f>K202*1.05</f>
        <v>0</v>
      </c>
      <c r="P202" s="57">
        <f>L202*1.05</f>
        <v>0</v>
      </c>
      <c r="Q202" s="57">
        <f t="shared" si="183"/>
        <v>0</v>
      </c>
      <c r="R202" s="58"/>
      <c r="S202" s="55">
        <f>O202*1.05</f>
        <v>0</v>
      </c>
      <c r="T202" s="57">
        <f>P202*1.05</f>
        <v>0</v>
      </c>
      <c r="U202" s="57">
        <f t="shared" si="184"/>
        <v>0</v>
      </c>
      <c r="V202" s="59"/>
      <c r="W202" s="124">
        <f t="shared" si="185"/>
        <v>0</v>
      </c>
      <c r="X202" s="57">
        <f t="shared" si="185"/>
        <v>0</v>
      </c>
      <c r="Y202" s="84">
        <f t="shared" si="185"/>
        <v>0</v>
      </c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</row>
    <row r="203" spans="1:77" s="61" customFormat="1" x14ac:dyDescent="0.25">
      <c r="A203" s="52"/>
      <c r="B203" s="52"/>
      <c r="C203" s="124">
        <f>C191*0.089</f>
        <v>0</v>
      </c>
      <c r="D203" s="56">
        <v>0</v>
      </c>
      <c r="E203" s="56">
        <f t="shared" si="180"/>
        <v>0</v>
      </c>
      <c r="F203" s="58"/>
      <c r="G203" s="55">
        <f>C203*1.05</f>
        <v>0</v>
      </c>
      <c r="H203" s="57">
        <f>D203*1.05</f>
        <v>0</v>
      </c>
      <c r="I203" s="57">
        <f t="shared" si="181"/>
        <v>0</v>
      </c>
      <c r="J203" s="58"/>
      <c r="K203" s="55">
        <f>G203*1.05</f>
        <v>0</v>
      </c>
      <c r="L203" s="57">
        <f>H203*1.05</f>
        <v>0</v>
      </c>
      <c r="M203" s="57">
        <f t="shared" si="182"/>
        <v>0</v>
      </c>
      <c r="N203" s="58"/>
      <c r="O203" s="55">
        <f>K203*1.05</f>
        <v>0</v>
      </c>
      <c r="P203" s="57">
        <f>L203*1.05</f>
        <v>0</v>
      </c>
      <c r="Q203" s="57">
        <f t="shared" si="183"/>
        <v>0</v>
      </c>
      <c r="R203" s="58"/>
      <c r="S203" s="55">
        <f>O203*1.05</f>
        <v>0</v>
      </c>
      <c r="T203" s="57">
        <f>P203*1.05</f>
        <v>0</v>
      </c>
      <c r="U203" s="57">
        <f t="shared" si="184"/>
        <v>0</v>
      </c>
      <c r="V203" s="59"/>
      <c r="W203" s="124">
        <f t="shared" si="185"/>
        <v>0</v>
      </c>
      <c r="X203" s="57">
        <f t="shared" si="185"/>
        <v>0</v>
      </c>
      <c r="Y203" s="84">
        <f t="shared" si="185"/>
        <v>0</v>
      </c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</row>
    <row r="204" spans="1:77" s="83" customFormat="1" x14ac:dyDescent="0.25">
      <c r="A204" s="78"/>
      <c r="B204" s="78" t="s">
        <v>9</v>
      </c>
      <c r="C204" s="228">
        <f>SUM(C198:C203)</f>
        <v>0</v>
      </c>
      <c r="D204" s="125">
        <f>SUM(D198:D203)</f>
        <v>0</v>
      </c>
      <c r="E204" s="125">
        <f>SUM(E198:E203)</f>
        <v>0</v>
      </c>
      <c r="F204" s="81"/>
      <c r="G204" s="79">
        <f>SUM(G198:G203)</f>
        <v>0</v>
      </c>
      <c r="H204" s="80">
        <f>SUM(H198:H203)</f>
        <v>0</v>
      </c>
      <c r="I204" s="80">
        <f>SUM(I198:I203)</f>
        <v>0</v>
      </c>
      <c r="J204" s="81"/>
      <c r="K204" s="79">
        <f>SUM(K198:K203)</f>
        <v>0</v>
      </c>
      <c r="L204" s="80">
        <f>SUM(L198:L203)</f>
        <v>0</v>
      </c>
      <c r="M204" s="80">
        <f>SUM(M198:M203)</f>
        <v>0</v>
      </c>
      <c r="N204" s="81"/>
      <c r="O204" s="79">
        <f>SUM(O198:O203)</f>
        <v>0</v>
      </c>
      <c r="P204" s="80">
        <f>SUM(P198:P203)</f>
        <v>0</v>
      </c>
      <c r="Q204" s="80">
        <f>SUM(Q198:Q203)</f>
        <v>0</v>
      </c>
      <c r="R204" s="81"/>
      <c r="S204" s="79">
        <f>SUM(S198:S203)</f>
        <v>0</v>
      </c>
      <c r="T204" s="80">
        <f>SUM(T198:T203)</f>
        <v>0</v>
      </c>
      <c r="U204" s="80">
        <f>SUM(U198:U203)</f>
        <v>0</v>
      </c>
      <c r="V204" s="82"/>
      <c r="W204" s="228">
        <f t="shared" si="185"/>
        <v>0</v>
      </c>
      <c r="X204" s="80">
        <f t="shared" si="185"/>
        <v>0</v>
      </c>
      <c r="Y204" s="80">
        <f t="shared" si="185"/>
        <v>0</v>
      </c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</row>
    <row r="205" spans="1:77" s="110" customFormat="1" x14ac:dyDescent="0.25">
      <c r="A205" s="106" t="s">
        <v>17</v>
      </c>
      <c r="B205" s="106"/>
      <c r="C205" s="107">
        <f t="shared" ref="C205:Y205" si="186">C204+C196</f>
        <v>0</v>
      </c>
      <c r="D205" s="107">
        <f t="shared" si="186"/>
        <v>0</v>
      </c>
      <c r="E205" s="107">
        <f t="shared" si="186"/>
        <v>0</v>
      </c>
      <c r="F205" s="107">
        <f t="shared" si="186"/>
        <v>0</v>
      </c>
      <c r="G205" s="107">
        <f t="shared" si="186"/>
        <v>0</v>
      </c>
      <c r="H205" s="107">
        <f t="shared" si="186"/>
        <v>0</v>
      </c>
      <c r="I205" s="107">
        <f t="shared" si="186"/>
        <v>0</v>
      </c>
      <c r="J205" s="107">
        <f t="shared" si="186"/>
        <v>0</v>
      </c>
      <c r="K205" s="107">
        <f t="shared" si="186"/>
        <v>0</v>
      </c>
      <c r="L205" s="107">
        <f t="shared" si="186"/>
        <v>0</v>
      </c>
      <c r="M205" s="107">
        <f t="shared" si="186"/>
        <v>0</v>
      </c>
      <c r="N205" s="107">
        <f t="shared" si="186"/>
        <v>0</v>
      </c>
      <c r="O205" s="107">
        <f t="shared" si="186"/>
        <v>0</v>
      </c>
      <c r="P205" s="107">
        <f t="shared" si="186"/>
        <v>0</v>
      </c>
      <c r="Q205" s="107">
        <f t="shared" si="186"/>
        <v>0</v>
      </c>
      <c r="R205" s="107">
        <f t="shared" si="186"/>
        <v>0</v>
      </c>
      <c r="S205" s="107">
        <f t="shared" si="186"/>
        <v>0</v>
      </c>
      <c r="T205" s="107">
        <f t="shared" si="186"/>
        <v>0</v>
      </c>
      <c r="U205" s="107">
        <f t="shared" si="186"/>
        <v>0</v>
      </c>
      <c r="V205" s="107">
        <f t="shared" si="186"/>
        <v>0</v>
      </c>
      <c r="W205" s="107">
        <f t="shared" si="186"/>
        <v>0</v>
      </c>
      <c r="X205" s="107">
        <f t="shared" si="186"/>
        <v>0</v>
      </c>
      <c r="Y205" s="107">
        <f t="shared" si="186"/>
        <v>0</v>
      </c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</row>
    <row r="206" spans="1:77" s="77" customFormat="1" x14ac:dyDescent="0.25">
      <c r="A206" s="74" t="s">
        <v>18</v>
      </c>
      <c r="B206" s="127"/>
      <c r="C206" s="128"/>
      <c r="D206" s="128"/>
      <c r="E206" s="58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s="61" customFormat="1" x14ac:dyDescent="0.25">
      <c r="A207" s="52"/>
      <c r="B207" s="52"/>
      <c r="C207" s="124">
        <v>0</v>
      </c>
      <c r="D207" s="56">
        <v>0</v>
      </c>
      <c r="E207" s="56">
        <f t="shared" ref="E207:E216" si="187">SUM(C207:D207)</f>
        <v>0</v>
      </c>
      <c r="F207" s="58"/>
      <c r="G207" s="55">
        <v>0</v>
      </c>
      <c r="H207" s="57">
        <v>0</v>
      </c>
      <c r="I207" s="57">
        <f t="shared" ref="I207:I216" si="188">SUM(G207:H207)</f>
        <v>0</v>
      </c>
      <c r="J207" s="58"/>
      <c r="K207" s="55">
        <v>0</v>
      </c>
      <c r="L207" s="57">
        <v>0</v>
      </c>
      <c r="M207" s="57">
        <f t="shared" ref="M207:M216" si="189">SUM(K207:L207)</f>
        <v>0</v>
      </c>
      <c r="N207" s="58"/>
      <c r="O207" s="55">
        <v>0</v>
      </c>
      <c r="P207" s="57">
        <v>0</v>
      </c>
      <c r="Q207" s="57">
        <f t="shared" ref="Q207:Q216" si="190">SUM(O207:P207)</f>
        <v>0</v>
      </c>
      <c r="R207" s="58"/>
      <c r="S207" s="55">
        <v>0</v>
      </c>
      <c r="T207" s="57">
        <v>0</v>
      </c>
      <c r="U207" s="57">
        <f t="shared" ref="U207:U216" si="191">SUM(S207:T207)</f>
        <v>0</v>
      </c>
      <c r="V207" s="59"/>
      <c r="W207" s="124">
        <f t="shared" ref="W207:W217" si="192">C207+G207+K207+O207+S207</f>
        <v>0</v>
      </c>
      <c r="X207" s="57">
        <f t="shared" ref="X207:X217" si="193">D207+H207+L207+P207+T207</f>
        <v>0</v>
      </c>
      <c r="Y207" s="84">
        <f t="shared" ref="Y207:Y217" si="194">E207+I207+M207+Q207+U207</f>
        <v>0</v>
      </c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s="61" customFormat="1" x14ac:dyDescent="0.25">
      <c r="A208" s="52"/>
      <c r="B208" s="52"/>
      <c r="C208" s="124">
        <v>0</v>
      </c>
      <c r="D208" s="56">
        <v>0</v>
      </c>
      <c r="E208" s="56">
        <f t="shared" si="187"/>
        <v>0</v>
      </c>
      <c r="F208" s="58"/>
      <c r="G208" s="55">
        <v>0</v>
      </c>
      <c r="H208" s="57">
        <v>0</v>
      </c>
      <c r="I208" s="57">
        <f t="shared" si="188"/>
        <v>0</v>
      </c>
      <c r="J208" s="58"/>
      <c r="K208" s="55">
        <v>0</v>
      </c>
      <c r="L208" s="57">
        <v>0</v>
      </c>
      <c r="M208" s="57">
        <f t="shared" si="189"/>
        <v>0</v>
      </c>
      <c r="N208" s="58"/>
      <c r="O208" s="55">
        <v>0</v>
      </c>
      <c r="P208" s="57">
        <v>0</v>
      </c>
      <c r="Q208" s="57">
        <f t="shared" si="190"/>
        <v>0</v>
      </c>
      <c r="R208" s="58"/>
      <c r="S208" s="55">
        <v>0</v>
      </c>
      <c r="T208" s="57">
        <v>0</v>
      </c>
      <c r="U208" s="57">
        <f t="shared" si="191"/>
        <v>0</v>
      </c>
      <c r="V208" s="59"/>
      <c r="W208" s="124">
        <f t="shared" si="192"/>
        <v>0</v>
      </c>
      <c r="X208" s="57">
        <f t="shared" si="193"/>
        <v>0</v>
      </c>
      <c r="Y208" s="84">
        <f t="shared" si="194"/>
        <v>0</v>
      </c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s="61" customFormat="1" x14ac:dyDescent="0.25">
      <c r="A209" s="52"/>
      <c r="B209" s="52"/>
      <c r="C209" s="124">
        <v>0</v>
      </c>
      <c r="D209" s="56">
        <v>0</v>
      </c>
      <c r="E209" s="56">
        <f t="shared" si="187"/>
        <v>0</v>
      </c>
      <c r="F209" s="58"/>
      <c r="G209" s="55">
        <v>0</v>
      </c>
      <c r="H209" s="57">
        <v>0</v>
      </c>
      <c r="I209" s="57">
        <f t="shared" si="188"/>
        <v>0</v>
      </c>
      <c r="J209" s="58"/>
      <c r="K209" s="55">
        <v>0</v>
      </c>
      <c r="L209" s="57">
        <v>0</v>
      </c>
      <c r="M209" s="57">
        <f t="shared" si="189"/>
        <v>0</v>
      </c>
      <c r="N209" s="58"/>
      <c r="O209" s="55">
        <v>0</v>
      </c>
      <c r="P209" s="57">
        <v>0</v>
      </c>
      <c r="Q209" s="57">
        <f t="shared" si="190"/>
        <v>0</v>
      </c>
      <c r="R209" s="58"/>
      <c r="S209" s="55">
        <v>0</v>
      </c>
      <c r="T209" s="57">
        <v>0</v>
      </c>
      <c r="U209" s="57">
        <f t="shared" si="191"/>
        <v>0</v>
      </c>
      <c r="V209" s="59"/>
      <c r="W209" s="124">
        <f t="shared" si="192"/>
        <v>0</v>
      </c>
      <c r="X209" s="57">
        <f t="shared" si="193"/>
        <v>0</v>
      </c>
      <c r="Y209" s="84">
        <f t="shared" si="194"/>
        <v>0</v>
      </c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</row>
    <row r="210" spans="1:77" s="61" customFormat="1" x14ac:dyDescent="0.25">
      <c r="A210" s="52"/>
      <c r="B210" s="52"/>
      <c r="C210" s="124">
        <v>0</v>
      </c>
      <c r="D210" s="56">
        <v>0</v>
      </c>
      <c r="E210" s="56">
        <f t="shared" si="187"/>
        <v>0</v>
      </c>
      <c r="F210" s="58"/>
      <c r="G210" s="55">
        <v>0</v>
      </c>
      <c r="H210" s="57">
        <v>0</v>
      </c>
      <c r="I210" s="57">
        <f t="shared" si="188"/>
        <v>0</v>
      </c>
      <c r="J210" s="58"/>
      <c r="K210" s="55">
        <v>0</v>
      </c>
      <c r="L210" s="57">
        <v>0</v>
      </c>
      <c r="M210" s="57">
        <f t="shared" si="189"/>
        <v>0</v>
      </c>
      <c r="N210" s="58"/>
      <c r="O210" s="55">
        <v>0</v>
      </c>
      <c r="P210" s="57">
        <v>0</v>
      </c>
      <c r="Q210" s="57">
        <f t="shared" si="190"/>
        <v>0</v>
      </c>
      <c r="R210" s="58"/>
      <c r="S210" s="55">
        <v>0</v>
      </c>
      <c r="T210" s="57">
        <v>0</v>
      </c>
      <c r="U210" s="57">
        <f t="shared" si="191"/>
        <v>0</v>
      </c>
      <c r="V210" s="59"/>
      <c r="W210" s="124">
        <f t="shared" si="192"/>
        <v>0</v>
      </c>
      <c r="X210" s="57">
        <f t="shared" si="193"/>
        <v>0</v>
      </c>
      <c r="Y210" s="84">
        <f t="shared" si="194"/>
        <v>0</v>
      </c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</row>
    <row r="211" spans="1:77" s="61" customFormat="1" x14ac:dyDescent="0.25">
      <c r="A211" s="52"/>
      <c r="B211" s="52"/>
      <c r="C211" s="124">
        <v>0</v>
      </c>
      <c r="D211" s="56">
        <v>0</v>
      </c>
      <c r="E211" s="56">
        <f t="shared" si="187"/>
        <v>0</v>
      </c>
      <c r="F211" s="58"/>
      <c r="G211" s="55">
        <v>0</v>
      </c>
      <c r="H211" s="57">
        <v>0</v>
      </c>
      <c r="I211" s="57">
        <f t="shared" si="188"/>
        <v>0</v>
      </c>
      <c r="J211" s="58"/>
      <c r="K211" s="55">
        <v>0</v>
      </c>
      <c r="L211" s="57">
        <v>0</v>
      </c>
      <c r="M211" s="57">
        <f t="shared" si="189"/>
        <v>0</v>
      </c>
      <c r="N211" s="58"/>
      <c r="O211" s="55">
        <v>0</v>
      </c>
      <c r="P211" s="57">
        <v>0</v>
      </c>
      <c r="Q211" s="57">
        <f t="shared" si="190"/>
        <v>0</v>
      </c>
      <c r="R211" s="58"/>
      <c r="S211" s="55">
        <v>0</v>
      </c>
      <c r="T211" s="57">
        <v>0</v>
      </c>
      <c r="U211" s="57">
        <f t="shared" si="191"/>
        <v>0</v>
      </c>
      <c r="V211" s="59"/>
      <c r="W211" s="124">
        <f t="shared" si="192"/>
        <v>0</v>
      </c>
      <c r="X211" s="57">
        <f t="shared" si="193"/>
        <v>0</v>
      </c>
      <c r="Y211" s="84">
        <f t="shared" si="194"/>
        <v>0</v>
      </c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</row>
    <row r="212" spans="1:77" s="61" customFormat="1" x14ac:dyDescent="0.25">
      <c r="A212" s="52"/>
      <c r="B212" s="52"/>
      <c r="C212" s="124">
        <v>0</v>
      </c>
      <c r="D212" s="56">
        <v>0</v>
      </c>
      <c r="E212" s="56">
        <f t="shared" si="187"/>
        <v>0</v>
      </c>
      <c r="F212" s="58"/>
      <c r="G212" s="55">
        <v>0</v>
      </c>
      <c r="H212" s="57">
        <v>0</v>
      </c>
      <c r="I212" s="57">
        <f t="shared" si="188"/>
        <v>0</v>
      </c>
      <c r="J212" s="58"/>
      <c r="K212" s="55">
        <v>0</v>
      </c>
      <c r="L212" s="57">
        <v>0</v>
      </c>
      <c r="M212" s="57">
        <f t="shared" si="189"/>
        <v>0</v>
      </c>
      <c r="N212" s="58"/>
      <c r="O212" s="55">
        <v>0</v>
      </c>
      <c r="P212" s="57">
        <v>0</v>
      </c>
      <c r="Q212" s="57">
        <f t="shared" si="190"/>
        <v>0</v>
      </c>
      <c r="R212" s="58"/>
      <c r="S212" s="55">
        <v>0</v>
      </c>
      <c r="T212" s="57">
        <v>0</v>
      </c>
      <c r="U212" s="57">
        <f t="shared" si="191"/>
        <v>0</v>
      </c>
      <c r="V212" s="59"/>
      <c r="W212" s="124">
        <f t="shared" si="192"/>
        <v>0</v>
      </c>
      <c r="X212" s="57">
        <f t="shared" si="193"/>
        <v>0</v>
      </c>
      <c r="Y212" s="84">
        <f t="shared" si="194"/>
        <v>0</v>
      </c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</row>
    <row r="213" spans="1:77" s="61" customFormat="1" x14ac:dyDescent="0.25">
      <c r="A213" s="52"/>
      <c r="B213" s="52"/>
      <c r="C213" s="124">
        <v>0</v>
      </c>
      <c r="D213" s="56">
        <v>0</v>
      </c>
      <c r="E213" s="56">
        <f t="shared" si="187"/>
        <v>0</v>
      </c>
      <c r="F213" s="58"/>
      <c r="G213" s="55">
        <v>0</v>
      </c>
      <c r="H213" s="57">
        <v>0</v>
      </c>
      <c r="I213" s="57">
        <f t="shared" si="188"/>
        <v>0</v>
      </c>
      <c r="J213" s="58"/>
      <c r="K213" s="55">
        <v>0</v>
      </c>
      <c r="L213" s="57">
        <v>0</v>
      </c>
      <c r="M213" s="57">
        <f t="shared" si="189"/>
        <v>0</v>
      </c>
      <c r="N213" s="58"/>
      <c r="O213" s="55">
        <v>0</v>
      </c>
      <c r="P213" s="57">
        <v>0</v>
      </c>
      <c r="Q213" s="57">
        <f t="shared" si="190"/>
        <v>0</v>
      </c>
      <c r="R213" s="58"/>
      <c r="S213" s="55">
        <v>0</v>
      </c>
      <c r="T213" s="57">
        <v>0</v>
      </c>
      <c r="U213" s="57">
        <f t="shared" si="191"/>
        <v>0</v>
      </c>
      <c r="V213" s="59"/>
      <c r="W213" s="124">
        <f t="shared" si="192"/>
        <v>0</v>
      </c>
      <c r="X213" s="57">
        <f t="shared" si="193"/>
        <v>0</v>
      </c>
      <c r="Y213" s="84">
        <f t="shared" si="194"/>
        <v>0</v>
      </c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</row>
    <row r="214" spans="1:77" s="61" customFormat="1" x14ac:dyDescent="0.25">
      <c r="A214" s="52"/>
      <c r="B214" s="52"/>
      <c r="C214" s="124">
        <v>0</v>
      </c>
      <c r="D214" s="56">
        <v>0</v>
      </c>
      <c r="E214" s="56">
        <f t="shared" si="187"/>
        <v>0</v>
      </c>
      <c r="F214" s="58"/>
      <c r="G214" s="55">
        <v>0</v>
      </c>
      <c r="H214" s="57">
        <v>0</v>
      </c>
      <c r="I214" s="57">
        <f t="shared" si="188"/>
        <v>0</v>
      </c>
      <c r="J214" s="58"/>
      <c r="K214" s="55">
        <v>0</v>
      </c>
      <c r="L214" s="57">
        <v>0</v>
      </c>
      <c r="M214" s="57">
        <f t="shared" si="189"/>
        <v>0</v>
      </c>
      <c r="N214" s="58"/>
      <c r="O214" s="55">
        <v>0</v>
      </c>
      <c r="P214" s="57">
        <v>0</v>
      </c>
      <c r="Q214" s="57">
        <f t="shared" si="190"/>
        <v>0</v>
      </c>
      <c r="R214" s="58"/>
      <c r="S214" s="55">
        <v>0</v>
      </c>
      <c r="T214" s="57">
        <v>0</v>
      </c>
      <c r="U214" s="57">
        <f t="shared" si="191"/>
        <v>0</v>
      </c>
      <c r="V214" s="59"/>
      <c r="W214" s="124">
        <f t="shared" si="192"/>
        <v>0</v>
      </c>
      <c r="X214" s="57">
        <f t="shared" si="193"/>
        <v>0</v>
      </c>
      <c r="Y214" s="84">
        <f t="shared" si="194"/>
        <v>0</v>
      </c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</row>
    <row r="215" spans="1:77" s="61" customFormat="1" x14ac:dyDescent="0.25">
      <c r="A215" s="52"/>
      <c r="B215" s="52"/>
      <c r="C215" s="124">
        <v>0</v>
      </c>
      <c r="D215" s="56">
        <v>0</v>
      </c>
      <c r="E215" s="56">
        <f t="shared" si="187"/>
        <v>0</v>
      </c>
      <c r="F215" s="58"/>
      <c r="G215" s="55">
        <v>0</v>
      </c>
      <c r="H215" s="57">
        <v>0</v>
      </c>
      <c r="I215" s="57">
        <f t="shared" si="188"/>
        <v>0</v>
      </c>
      <c r="J215" s="58"/>
      <c r="K215" s="55">
        <v>0</v>
      </c>
      <c r="L215" s="57">
        <v>0</v>
      </c>
      <c r="M215" s="57">
        <f t="shared" si="189"/>
        <v>0</v>
      </c>
      <c r="N215" s="58"/>
      <c r="O215" s="55">
        <v>0</v>
      </c>
      <c r="P215" s="57">
        <v>0</v>
      </c>
      <c r="Q215" s="57">
        <f t="shared" si="190"/>
        <v>0</v>
      </c>
      <c r="R215" s="58"/>
      <c r="S215" s="55">
        <v>0</v>
      </c>
      <c r="T215" s="57">
        <v>0</v>
      </c>
      <c r="U215" s="57">
        <f t="shared" si="191"/>
        <v>0</v>
      </c>
      <c r="V215" s="59"/>
      <c r="W215" s="124">
        <f t="shared" si="192"/>
        <v>0</v>
      </c>
      <c r="X215" s="57">
        <f t="shared" si="193"/>
        <v>0</v>
      </c>
      <c r="Y215" s="84">
        <f t="shared" si="194"/>
        <v>0</v>
      </c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</row>
    <row r="216" spans="1:77" s="61" customFormat="1" x14ac:dyDescent="0.25">
      <c r="A216" s="52"/>
      <c r="B216" s="52"/>
      <c r="C216" s="124">
        <v>0</v>
      </c>
      <c r="D216" s="56">
        <v>0</v>
      </c>
      <c r="E216" s="56">
        <f t="shared" si="187"/>
        <v>0</v>
      </c>
      <c r="F216" s="58"/>
      <c r="G216" s="55">
        <v>0</v>
      </c>
      <c r="H216" s="57">
        <v>0</v>
      </c>
      <c r="I216" s="57">
        <f t="shared" si="188"/>
        <v>0</v>
      </c>
      <c r="J216" s="58"/>
      <c r="K216" s="55">
        <v>0</v>
      </c>
      <c r="L216" s="57">
        <v>0</v>
      </c>
      <c r="M216" s="57">
        <f t="shared" si="189"/>
        <v>0</v>
      </c>
      <c r="N216" s="58"/>
      <c r="O216" s="55">
        <v>0</v>
      </c>
      <c r="P216" s="57">
        <v>0</v>
      </c>
      <c r="Q216" s="57">
        <f t="shared" si="190"/>
        <v>0</v>
      </c>
      <c r="R216" s="58"/>
      <c r="S216" s="55">
        <v>0</v>
      </c>
      <c r="T216" s="57">
        <v>0</v>
      </c>
      <c r="U216" s="57">
        <f t="shared" si="191"/>
        <v>0</v>
      </c>
      <c r="V216" s="59"/>
      <c r="W216" s="124">
        <f t="shared" si="192"/>
        <v>0</v>
      </c>
      <c r="X216" s="57">
        <f t="shared" si="193"/>
        <v>0</v>
      </c>
      <c r="Y216" s="84">
        <f t="shared" si="194"/>
        <v>0</v>
      </c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</row>
    <row r="217" spans="1:77" s="83" customFormat="1" x14ac:dyDescent="0.25">
      <c r="A217" s="78"/>
      <c r="B217" s="78" t="s">
        <v>9</v>
      </c>
      <c r="C217" s="228">
        <f>SUM(C207:C216)</f>
        <v>0</v>
      </c>
      <c r="D217" s="125">
        <f>SUM(D207:D216)</f>
        <v>0</v>
      </c>
      <c r="E217" s="125">
        <f>SUM(E207:E216)</f>
        <v>0</v>
      </c>
      <c r="F217" s="81"/>
      <c r="G217" s="79">
        <f>SUM(G207:G216)</f>
        <v>0</v>
      </c>
      <c r="H217" s="125">
        <f>SUM(H207:H216)</f>
        <v>0</v>
      </c>
      <c r="I217" s="125">
        <f>SUM(I207:I216)</f>
        <v>0</v>
      </c>
      <c r="J217" s="81"/>
      <c r="K217" s="79">
        <f>SUM(K207:K216)</f>
        <v>0</v>
      </c>
      <c r="L217" s="80">
        <f>SUM(L207:L216)</f>
        <v>0</v>
      </c>
      <c r="M217" s="80">
        <f>SUM(M207:M216)</f>
        <v>0</v>
      </c>
      <c r="N217" s="81"/>
      <c r="O217" s="79">
        <f>SUM(O207:O216)</f>
        <v>0</v>
      </c>
      <c r="P217" s="80">
        <f>SUM(P207:P216)</f>
        <v>0</v>
      </c>
      <c r="Q217" s="80">
        <f>SUM(Q207:Q216)</f>
        <v>0</v>
      </c>
      <c r="R217" s="81"/>
      <c r="S217" s="79">
        <f>SUM(S207:S216)</f>
        <v>0</v>
      </c>
      <c r="T217" s="80">
        <f>SUM(T207:T216)</f>
        <v>0</v>
      </c>
      <c r="U217" s="80">
        <f>SUM(U207:U216)</f>
        <v>0</v>
      </c>
      <c r="V217" s="82"/>
      <c r="W217" s="228">
        <f t="shared" si="192"/>
        <v>0</v>
      </c>
      <c r="X217" s="80">
        <f t="shared" si="193"/>
        <v>0</v>
      </c>
      <c r="Y217" s="80">
        <f t="shared" si="194"/>
        <v>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129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s="61" customFormat="1" x14ac:dyDescent="0.25">
      <c r="A219" s="52"/>
      <c r="B219" s="52"/>
      <c r="C219" s="124">
        <v>0</v>
      </c>
      <c r="D219" s="56">
        <v>0</v>
      </c>
      <c r="E219" s="56">
        <f t="shared" ref="E219:E224" si="195">SUM(C219:D219)</f>
        <v>0</v>
      </c>
      <c r="F219" s="58"/>
      <c r="G219" s="55">
        <v>0</v>
      </c>
      <c r="H219" s="57">
        <v>0</v>
      </c>
      <c r="I219" s="57">
        <f t="shared" ref="I219:I224" si="196">SUM(G219:H219)</f>
        <v>0</v>
      </c>
      <c r="J219" s="58"/>
      <c r="K219" s="55">
        <v>0</v>
      </c>
      <c r="L219" s="57">
        <v>0</v>
      </c>
      <c r="M219" s="57">
        <f t="shared" ref="M219:M224" si="197">SUM(K219:L219)</f>
        <v>0</v>
      </c>
      <c r="N219" s="58"/>
      <c r="O219" s="55">
        <v>0</v>
      </c>
      <c r="P219" s="57">
        <v>0</v>
      </c>
      <c r="Q219" s="57">
        <f t="shared" ref="Q219:Q224" si="198">SUM(O219:P219)</f>
        <v>0</v>
      </c>
      <c r="R219" s="58"/>
      <c r="S219" s="55">
        <v>0</v>
      </c>
      <c r="T219" s="57">
        <v>0</v>
      </c>
      <c r="U219" s="57">
        <f t="shared" ref="U219:U224" si="199">SUM(S219:T219)</f>
        <v>0</v>
      </c>
      <c r="V219" s="59"/>
      <c r="W219" s="124">
        <f t="shared" ref="W219:Y225" si="200">C219+G219+K219+O219+S219</f>
        <v>0</v>
      </c>
      <c r="X219" s="57">
        <f t="shared" si="200"/>
        <v>0</v>
      </c>
      <c r="Y219" s="84">
        <f t="shared" si="200"/>
        <v>0</v>
      </c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</row>
    <row r="220" spans="1:77" s="61" customFormat="1" x14ac:dyDescent="0.25">
      <c r="A220" s="87"/>
      <c r="B220" s="52"/>
      <c r="C220" s="124">
        <v>0</v>
      </c>
      <c r="D220" s="56">
        <v>0</v>
      </c>
      <c r="E220" s="56">
        <f t="shared" si="195"/>
        <v>0</v>
      </c>
      <c r="F220" s="58"/>
      <c r="G220" s="55">
        <v>0</v>
      </c>
      <c r="H220" s="57">
        <v>0</v>
      </c>
      <c r="I220" s="57">
        <f t="shared" si="196"/>
        <v>0</v>
      </c>
      <c r="J220" s="58"/>
      <c r="K220" s="55">
        <v>0</v>
      </c>
      <c r="L220" s="57">
        <v>0</v>
      </c>
      <c r="M220" s="57">
        <f t="shared" si="197"/>
        <v>0</v>
      </c>
      <c r="N220" s="58"/>
      <c r="O220" s="55">
        <v>0</v>
      </c>
      <c r="P220" s="57">
        <v>0</v>
      </c>
      <c r="Q220" s="57">
        <f t="shared" si="198"/>
        <v>0</v>
      </c>
      <c r="R220" s="58"/>
      <c r="S220" s="55">
        <v>0</v>
      </c>
      <c r="T220" s="57">
        <v>0</v>
      </c>
      <c r="U220" s="57">
        <f t="shared" si="199"/>
        <v>0</v>
      </c>
      <c r="V220" s="59"/>
      <c r="W220" s="124">
        <f t="shared" si="200"/>
        <v>0</v>
      </c>
      <c r="X220" s="57">
        <f t="shared" si="200"/>
        <v>0</v>
      </c>
      <c r="Y220" s="84">
        <f t="shared" si="200"/>
        <v>0</v>
      </c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</row>
    <row r="221" spans="1:77" s="61" customFormat="1" x14ac:dyDescent="0.25">
      <c r="A221" s="52"/>
      <c r="B221" s="52"/>
      <c r="C221" s="124">
        <v>0</v>
      </c>
      <c r="D221" s="56">
        <v>0</v>
      </c>
      <c r="E221" s="56">
        <f t="shared" si="195"/>
        <v>0</v>
      </c>
      <c r="F221" s="58"/>
      <c r="G221" s="55">
        <v>0</v>
      </c>
      <c r="H221" s="57">
        <v>0</v>
      </c>
      <c r="I221" s="57">
        <f t="shared" si="196"/>
        <v>0</v>
      </c>
      <c r="J221" s="58"/>
      <c r="K221" s="55">
        <v>0</v>
      </c>
      <c r="L221" s="57">
        <v>0</v>
      </c>
      <c r="M221" s="57">
        <f t="shared" si="197"/>
        <v>0</v>
      </c>
      <c r="N221" s="58"/>
      <c r="O221" s="55">
        <v>0</v>
      </c>
      <c r="P221" s="57">
        <v>0</v>
      </c>
      <c r="Q221" s="57">
        <f t="shared" si="198"/>
        <v>0</v>
      </c>
      <c r="R221" s="58"/>
      <c r="S221" s="55">
        <v>0</v>
      </c>
      <c r="T221" s="57">
        <v>0</v>
      </c>
      <c r="U221" s="57">
        <f t="shared" si="199"/>
        <v>0</v>
      </c>
      <c r="V221" s="59"/>
      <c r="W221" s="124">
        <f t="shared" si="200"/>
        <v>0</v>
      </c>
      <c r="X221" s="57">
        <f t="shared" si="200"/>
        <v>0</v>
      </c>
      <c r="Y221" s="84">
        <f t="shared" si="200"/>
        <v>0</v>
      </c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</row>
    <row r="222" spans="1:77" s="61" customFormat="1" x14ac:dyDescent="0.25">
      <c r="A222" s="52"/>
      <c r="B222" s="52"/>
      <c r="C222" s="124">
        <v>0</v>
      </c>
      <c r="D222" s="56">
        <v>0</v>
      </c>
      <c r="E222" s="56">
        <f t="shared" si="195"/>
        <v>0</v>
      </c>
      <c r="F222" s="58"/>
      <c r="G222" s="55">
        <v>0</v>
      </c>
      <c r="H222" s="57">
        <v>0</v>
      </c>
      <c r="I222" s="57">
        <f t="shared" si="196"/>
        <v>0</v>
      </c>
      <c r="J222" s="58"/>
      <c r="K222" s="55">
        <v>0</v>
      </c>
      <c r="L222" s="57">
        <v>0</v>
      </c>
      <c r="M222" s="57">
        <f t="shared" si="197"/>
        <v>0</v>
      </c>
      <c r="N222" s="58"/>
      <c r="O222" s="55">
        <v>0</v>
      </c>
      <c r="P222" s="57">
        <v>0</v>
      </c>
      <c r="Q222" s="57">
        <f t="shared" si="198"/>
        <v>0</v>
      </c>
      <c r="R222" s="58"/>
      <c r="S222" s="55">
        <v>0</v>
      </c>
      <c r="T222" s="57">
        <v>0</v>
      </c>
      <c r="U222" s="57">
        <f t="shared" si="199"/>
        <v>0</v>
      </c>
      <c r="V222" s="59"/>
      <c r="W222" s="124">
        <f t="shared" si="200"/>
        <v>0</v>
      </c>
      <c r="X222" s="57">
        <f t="shared" si="200"/>
        <v>0</v>
      </c>
      <c r="Y222" s="84">
        <f t="shared" si="200"/>
        <v>0</v>
      </c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</row>
    <row r="223" spans="1:77" s="61" customFormat="1" x14ac:dyDescent="0.25">
      <c r="A223" s="87"/>
      <c r="B223" s="52"/>
      <c r="C223" s="124">
        <v>0</v>
      </c>
      <c r="D223" s="56">
        <v>0</v>
      </c>
      <c r="E223" s="56">
        <f t="shared" si="195"/>
        <v>0</v>
      </c>
      <c r="F223" s="58"/>
      <c r="G223" s="55">
        <v>0</v>
      </c>
      <c r="H223" s="57">
        <v>0</v>
      </c>
      <c r="I223" s="57">
        <f t="shared" si="196"/>
        <v>0</v>
      </c>
      <c r="J223" s="58"/>
      <c r="K223" s="55">
        <v>0</v>
      </c>
      <c r="L223" s="57">
        <v>0</v>
      </c>
      <c r="M223" s="57">
        <f t="shared" si="197"/>
        <v>0</v>
      </c>
      <c r="N223" s="58"/>
      <c r="O223" s="55">
        <v>0</v>
      </c>
      <c r="P223" s="57">
        <v>0</v>
      </c>
      <c r="Q223" s="57">
        <f t="shared" si="198"/>
        <v>0</v>
      </c>
      <c r="R223" s="58"/>
      <c r="S223" s="55">
        <v>0</v>
      </c>
      <c r="T223" s="57">
        <v>0</v>
      </c>
      <c r="U223" s="57">
        <f t="shared" si="199"/>
        <v>0</v>
      </c>
      <c r="V223" s="59"/>
      <c r="W223" s="124">
        <f t="shared" si="200"/>
        <v>0</v>
      </c>
      <c r="X223" s="57">
        <f t="shared" si="200"/>
        <v>0</v>
      </c>
      <c r="Y223" s="84">
        <f t="shared" si="200"/>
        <v>0</v>
      </c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s="61" customFormat="1" x14ac:dyDescent="0.25">
      <c r="A224" s="52"/>
      <c r="B224" s="52"/>
      <c r="C224" s="124">
        <v>0</v>
      </c>
      <c r="D224" s="56">
        <v>0</v>
      </c>
      <c r="E224" s="56">
        <f t="shared" si="195"/>
        <v>0</v>
      </c>
      <c r="F224" s="58"/>
      <c r="G224" s="55">
        <v>0</v>
      </c>
      <c r="H224" s="57">
        <v>0</v>
      </c>
      <c r="I224" s="57">
        <f t="shared" si="196"/>
        <v>0</v>
      </c>
      <c r="J224" s="58"/>
      <c r="K224" s="55">
        <v>0</v>
      </c>
      <c r="L224" s="57">
        <v>0</v>
      </c>
      <c r="M224" s="57">
        <f t="shared" si="197"/>
        <v>0</v>
      </c>
      <c r="N224" s="58"/>
      <c r="O224" s="55">
        <v>0</v>
      </c>
      <c r="P224" s="57">
        <v>0</v>
      </c>
      <c r="Q224" s="57">
        <f t="shared" si="198"/>
        <v>0</v>
      </c>
      <c r="R224" s="58"/>
      <c r="S224" s="55">
        <v>0</v>
      </c>
      <c r="T224" s="57">
        <v>0</v>
      </c>
      <c r="U224" s="57">
        <f t="shared" si="199"/>
        <v>0</v>
      </c>
      <c r="V224" s="59"/>
      <c r="W224" s="124">
        <f t="shared" si="200"/>
        <v>0</v>
      </c>
      <c r="X224" s="57">
        <f t="shared" si="200"/>
        <v>0</v>
      </c>
      <c r="Y224" s="84">
        <f t="shared" si="200"/>
        <v>0</v>
      </c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s="83" customFormat="1" x14ac:dyDescent="0.25">
      <c r="A225" s="78"/>
      <c r="B225" s="78" t="s">
        <v>9</v>
      </c>
      <c r="C225" s="228">
        <f>SUM(C219:C224)</f>
        <v>0</v>
      </c>
      <c r="D225" s="125">
        <f>SUM(D219:D224)</f>
        <v>0</v>
      </c>
      <c r="E225" s="125">
        <f>SUM(E219:E224)</f>
        <v>0</v>
      </c>
      <c r="F225" s="81"/>
      <c r="G225" s="79">
        <f>SUM(G219:G224)</f>
        <v>0</v>
      </c>
      <c r="H225" s="80">
        <f>SUM(H219:H224)</f>
        <v>0</v>
      </c>
      <c r="I225" s="80">
        <f>SUM(I219:I224)</f>
        <v>0</v>
      </c>
      <c r="J225" s="81"/>
      <c r="K225" s="79">
        <f>SUM(K219:K224)</f>
        <v>0</v>
      </c>
      <c r="L225" s="80">
        <f>SUM(L219:L224)</f>
        <v>0</v>
      </c>
      <c r="M225" s="80">
        <f>SUM(M219:M224)</f>
        <v>0</v>
      </c>
      <c r="N225" s="81"/>
      <c r="O225" s="79">
        <f>SUM(O219:O224)</f>
        <v>0</v>
      </c>
      <c r="P225" s="80">
        <f>SUM(P219:P224)</f>
        <v>0</v>
      </c>
      <c r="Q225" s="80">
        <f>SUM(Q219:Q224)</f>
        <v>0</v>
      </c>
      <c r="R225" s="81"/>
      <c r="S225" s="79">
        <f>SUM(S219:S224)</f>
        <v>0</v>
      </c>
      <c r="T225" s="80">
        <f>SUM(T219:T224)</f>
        <v>0</v>
      </c>
      <c r="U225" s="80">
        <f>SUM(U219:U224)</f>
        <v>0</v>
      </c>
      <c r="V225" s="82"/>
      <c r="W225" s="228">
        <f t="shared" si="200"/>
        <v>0</v>
      </c>
      <c r="X225" s="80">
        <f t="shared" si="200"/>
        <v>0</v>
      </c>
      <c r="Y225" s="80">
        <f t="shared" si="200"/>
        <v>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129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s="77" customFormat="1" x14ac:dyDescent="0.25">
      <c r="A227" s="54"/>
      <c r="B227" s="54"/>
      <c r="C227" s="124">
        <v>0</v>
      </c>
      <c r="D227" s="56">
        <v>0</v>
      </c>
      <c r="E227" s="56">
        <f>SUM(C227:D227)</f>
        <v>0</v>
      </c>
      <c r="F227" s="58"/>
      <c r="G227" s="55">
        <v>0</v>
      </c>
      <c r="H227" s="56">
        <v>0</v>
      </c>
      <c r="I227" s="56">
        <f>SUM(G227:H227)</f>
        <v>0</v>
      </c>
      <c r="J227" s="58"/>
      <c r="K227" s="55">
        <v>0</v>
      </c>
      <c r="L227" s="56">
        <v>0</v>
      </c>
      <c r="M227" s="56">
        <f>SUM(K227:L227)</f>
        <v>0</v>
      </c>
      <c r="N227" s="58"/>
      <c r="O227" s="55">
        <v>0</v>
      </c>
      <c r="P227" s="56">
        <v>0</v>
      </c>
      <c r="Q227" s="56">
        <f>SUM(O227:P227)</f>
        <v>0</v>
      </c>
      <c r="R227" s="58"/>
      <c r="S227" s="55">
        <v>0</v>
      </c>
      <c r="T227" s="56">
        <v>0</v>
      </c>
      <c r="U227" s="56">
        <f>SUM(S227:T227)</f>
        <v>0</v>
      </c>
      <c r="V227" s="59"/>
      <c r="W227" s="124">
        <f t="shared" ref="W227:Y231" si="201">C227+G227+K227+O227+S227</f>
        <v>0</v>
      </c>
      <c r="X227" s="57">
        <f t="shared" si="201"/>
        <v>0</v>
      </c>
      <c r="Y227" s="84">
        <f t="shared" si="201"/>
        <v>0</v>
      </c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</row>
    <row r="228" spans="1:77" s="77" customFormat="1" x14ac:dyDescent="0.25">
      <c r="A228" s="54"/>
      <c r="B228" s="54"/>
      <c r="C228" s="124">
        <v>0</v>
      </c>
      <c r="D228" s="56">
        <v>0</v>
      </c>
      <c r="E228" s="56">
        <f>SUM(C228:D228)</f>
        <v>0</v>
      </c>
      <c r="F228" s="58"/>
      <c r="G228" s="55">
        <v>0</v>
      </c>
      <c r="H228" s="56">
        <v>0</v>
      </c>
      <c r="I228" s="56">
        <f>SUM(G228:H228)</f>
        <v>0</v>
      </c>
      <c r="J228" s="58"/>
      <c r="K228" s="55">
        <v>0</v>
      </c>
      <c r="L228" s="56">
        <v>0</v>
      </c>
      <c r="M228" s="56">
        <f>SUM(K228:L228)</f>
        <v>0</v>
      </c>
      <c r="N228" s="58"/>
      <c r="O228" s="55">
        <v>0</v>
      </c>
      <c r="P228" s="56">
        <v>0</v>
      </c>
      <c r="Q228" s="56">
        <f>SUM(O228:P228)</f>
        <v>0</v>
      </c>
      <c r="R228" s="58"/>
      <c r="S228" s="55">
        <v>0</v>
      </c>
      <c r="T228" s="56">
        <v>0</v>
      </c>
      <c r="U228" s="56">
        <f>SUM(S228:T228)</f>
        <v>0</v>
      </c>
      <c r="V228" s="59"/>
      <c r="W228" s="124">
        <f t="shared" si="201"/>
        <v>0</v>
      </c>
      <c r="X228" s="57">
        <f t="shared" si="201"/>
        <v>0</v>
      </c>
      <c r="Y228" s="84">
        <f t="shared" si="201"/>
        <v>0</v>
      </c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77" customFormat="1" x14ac:dyDescent="0.25">
      <c r="A229" s="54"/>
      <c r="B229" s="54"/>
      <c r="C229" s="124">
        <v>0</v>
      </c>
      <c r="D229" s="56">
        <v>0</v>
      </c>
      <c r="E229" s="56">
        <f>SUM(C229:D229)</f>
        <v>0</v>
      </c>
      <c r="F229" s="58"/>
      <c r="G229" s="55">
        <v>0</v>
      </c>
      <c r="H229" s="56">
        <v>0</v>
      </c>
      <c r="I229" s="56">
        <f>SUM(G229:H229)</f>
        <v>0</v>
      </c>
      <c r="J229" s="58"/>
      <c r="K229" s="55">
        <v>0</v>
      </c>
      <c r="L229" s="56">
        <v>0</v>
      </c>
      <c r="M229" s="56">
        <f>SUM(K229:L229)</f>
        <v>0</v>
      </c>
      <c r="N229" s="58"/>
      <c r="O229" s="55">
        <v>0</v>
      </c>
      <c r="P229" s="56">
        <v>0</v>
      </c>
      <c r="Q229" s="56">
        <f>SUM(O229:P229)</f>
        <v>0</v>
      </c>
      <c r="R229" s="58"/>
      <c r="S229" s="55">
        <v>0</v>
      </c>
      <c r="T229" s="56">
        <v>0</v>
      </c>
      <c r="U229" s="56">
        <f>SUM(S229:T229)</f>
        <v>0</v>
      </c>
      <c r="V229" s="59"/>
      <c r="W229" s="124">
        <f t="shared" si="201"/>
        <v>0</v>
      </c>
      <c r="X229" s="57">
        <f t="shared" si="201"/>
        <v>0</v>
      </c>
      <c r="Y229" s="84">
        <f t="shared" si="201"/>
        <v>0</v>
      </c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</row>
    <row r="230" spans="1:77" s="61" customFormat="1" x14ac:dyDescent="0.25">
      <c r="A230" s="54"/>
      <c r="B230" s="54"/>
      <c r="C230" s="124">
        <v>0</v>
      </c>
      <c r="D230" s="56">
        <v>0</v>
      </c>
      <c r="E230" s="56">
        <f>SUM(C230:D230)</f>
        <v>0</v>
      </c>
      <c r="F230" s="58"/>
      <c r="G230" s="55">
        <v>0</v>
      </c>
      <c r="H230" s="56">
        <v>0</v>
      </c>
      <c r="I230" s="56">
        <f>SUM(G230:H230)</f>
        <v>0</v>
      </c>
      <c r="J230" s="58"/>
      <c r="K230" s="55">
        <v>0</v>
      </c>
      <c r="L230" s="56">
        <v>0</v>
      </c>
      <c r="M230" s="56">
        <f>SUM(K230:L230)</f>
        <v>0</v>
      </c>
      <c r="N230" s="58"/>
      <c r="O230" s="55">
        <v>0</v>
      </c>
      <c r="P230" s="56">
        <v>0</v>
      </c>
      <c r="Q230" s="56">
        <f>SUM(O230:P230)</f>
        <v>0</v>
      </c>
      <c r="R230" s="58"/>
      <c r="S230" s="55">
        <v>0</v>
      </c>
      <c r="T230" s="56">
        <v>0</v>
      </c>
      <c r="U230" s="56">
        <f>SUM(S230:T230)</f>
        <v>0</v>
      </c>
      <c r="V230" s="59"/>
      <c r="W230" s="124">
        <f t="shared" si="201"/>
        <v>0</v>
      </c>
      <c r="X230" s="57">
        <f t="shared" si="201"/>
        <v>0</v>
      </c>
      <c r="Y230" s="84">
        <f t="shared" si="201"/>
        <v>0</v>
      </c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</row>
    <row r="231" spans="1:77" s="83" customFormat="1" x14ac:dyDescent="0.25">
      <c r="A231" s="78"/>
      <c r="B231" s="78" t="s">
        <v>9</v>
      </c>
      <c r="C231" s="228">
        <f>SUM(C227:C230)</f>
        <v>0</v>
      </c>
      <c r="D231" s="125">
        <f>SUM(D227:D230)</f>
        <v>0</v>
      </c>
      <c r="E231" s="125">
        <f>SUM(E227:E230)</f>
        <v>0</v>
      </c>
      <c r="F231" s="81"/>
      <c r="G231" s="79">
        <f>SUM(G227:G230)</f>
        <v>0</v>
      </c>
      <c r="H231" s="80">
        <f>SUM(H227:H230)</f>
        <v>0</v>
      </c>
      <c r="I231" s="80">
        <f>SUM(I227:I230)</f>
        <v>0</v>
      </c>
      <c r="J231" s="81"/>
      <c r="K231" s="79">
        <f>SUM(K227:K230)</f>
        <v>0</v>
      </c>
      <c r="L231" s="80">
        <f>SUM(L227:L230)</f>
        <v>0</v>
      </c>
      <c r="M231" s="80">
        <f>SUM(M227:M230)</f>
        <v>0</v>
      </c>
      <c r="N231" s="81"/>
      <c r="O231" s="79">
        <f>SUM(O227:O230)</f>
        <v>0</v>
      </c>
      <c r="P231" s="80">
        <f>SUM(P227:P230)</f>
        <v>0</v>
      </c>
      <c r="Q231" s="80">
        <f>SUM(Q227:Q230)</f>
        <v>0</v>
      </c>
      <c r="R231" s="81"/>
      <c r="S231" s="79">
        <f>SUM(S227:S230)</f>
        <v>0</v>
      </c>
      <c r="T231" s="125">
        <f>SUM(T227:T230)</f>
        <v>0</v>
      </c>
      <c r="U231" s="125">
        <f>SUM(U227:U230)</f>
        <v>0</v>
      </c>
      <c r="V231" s="82"/>
      <c r="W231" s="228">
        <f t="shared" si="201"/>
        <v>0</v>
      </c>
      <c r="X231" s="80">
        <f t="shared" si="201"/>
        <v>0</v>
      </c>
      <c r="Y231" s="80">
        <f t="shared" si="201"/>
        <v>0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129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s="61" customFormat="1" x14ac:dyDescent="0.25">
      <c r="A233" s="52"/>
      <c r="B233" s="52"/>
      <c r="C233" s="124">
        <v>0</v>
      </c>
      <c r="D233" s="56">
        <v>0</v>
      </c>
      <c r="E233" s="56">
        <f t="shared" ref="E233:E244" si="202">SUM(C233:D233)</f>
        <v>0</v>
      </c>
      <c r="F233" s="58"/>
      <c r="G233" s="55">
        <v>0</v>
      </c>
      <c r="H233" s="57">
        <v>0</v>
      </c>
      <c r="I233" s="57">
        <f t="shared" ref="I233:I244" si="203">SUM(G233:H233)</f>
        <v>0</v>
      </c>
      <c r="J233" s="58"/>
      <c r="K233" s="55">
        <v>0</v>
      </c>
      <c r="L233" s="57">
        <v>0</v>
      </c>
      <c r="M233" s="57">
        <f t="shared" ref="M233:M244" si="204">SUM(K233:L233)</f>
        <v>0</v>
      </c>
      <c r="N233" s="58"/>
      <c r="O233" s="55">
        <v>0</v>
      </c>
      <c r="P233" s="57">
        <v>0</v>
      </c>
      <c r="Q233" s="57">
        <f t="shared" ref="Q233:Q244" si="205">SUM(O233:P233)</f>
        <v>0</v>
      </c>
      <c r="R233" s="58"/>
      <c r="S233" s="55">
        <v>0</v>
      </c>
      <c r="T233" s="57">
        <v>0</v>
      </c>
      <c r="U233" s="57">
        <f t="shared" ref="U233:U244" si="206">SUM(S233:T233)</f>
        <v>0</v>
      </c>
      <c r="V233" s="59"/>
      <c r="W233" s="124">
        <f t="shared" ref="W233:W245" si="207">C233+G233+K233+O233+S233</f>
        <v>0</v>
      </c>
      <c r="X233" s="57">
        <f t="shared" ref="X233:X245" si="208">D233+H233+L233+P233+T233</f>
        <v>0</v>
      </c>
      <c r="Y233" s="84">
        <f t="shared" ref="Y233:Y245" si="209">E233+I233+M233+Q233+U233</f>
        <v>0</v>
      </c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</row>
    <row r="234" spans="1:77" s="61" customFormat="1" x14ac:dyDescent="0.25">
      <c r="A234" s="52"/>
      <c r="B234" s="52"/>
      <c r="C234" s="124">
        <v>0</v>
      </c>
      <c r="D234" s="56">
        <v>0</v>
      </c>
      <c r="E234" s="56">
        <f t="shared" si="202"/>
        <v>0</v>
      </c>
      <c r="F234" s="58"/>
      <c r="G234" s="55">
        <v>0</v>
      </c>
      <c r="H234" s="57">
        <v>0</v>
      </c>
      <c r="I234" s="57">
        <f t="shared" si="203"/>
        <v>0</v>
      </c>
      <c r="J234" s="58"/>
      <c r="K234" s="55">
        <v>0</v>
      </c>
      <c r="L234" s="57">
        <v>0</v>
      </c>
      <c r="M234" s="57">
        <f t="shared" si="204"/>
        <v>0</v>
      </c>
      <c r="N234" s="58"/>
      <c r="O234" s="55">
        <v>0</v>
      </c>
      <c r="P234" s="57">
        <v>0</v>
      </c>
      <c r="Q234" s="57">
        <f t="shared" si="205"/>
        <v>0</v>
      </c>
      <c r="R234" s="58"/>
      <c r="S234" s="55">
        <v>0</v>
      </c>
      <c r="T234" s="57">
        <v>0</v>
      </c>
      <c r="U234" s="57">
        <f t="shared" si="206"/>
        <v>0</v>
      </c>
      <c r="V234" s="59"/>
      <c r="W234" s="124">
        <f t="shared" si="207"/>
        <v>0</v>
      </c>
      <c r="X234" s="57">
        <f t="shared" si="208"/>
        <v>0</v>
      </c>
      <c r="Y234" s="84">
        <f t="shared" si="209"/>
        <v>0</v>
      </c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</row>
    <row r="235" spans="1:77" s="61" customFormat="1" x14ac:dyDescent="0.25">
      <c r="A235" s="52"/>
      <c r="B235" s="52"/>
      <c r="C235" s="124">
        <v>0</v>
      </c>
      <c r="D235" s="56">
        <v>0</v>
      </c>
      <c r="E235" s="56">
        <f t="shared" si="202"/>
        <v>0</v>
      </c>
      <c r="F235" s="58"/>
      <c r="G235" s="55">
        <v>0</v>
      </c>
      <c r="H235" s="57">
        <v>0</v>
      </c>
      <c r="I235" s="57">
        <f t="shared" si="203"/>
        <v>0</v>
      </c>
      <c r="J235" s="58"/>
      <c r="K235" s="55">
        <v>0</v>
      </c>
      <c r="L235" s="57">
        <v>0</v>
      </c>
      <c r="M235" s="57">
        <f t="shared" si="204"/>
        <v>0</v>
      </c>
      <c r="N235" s="58"/>
      <c r="O235" s="55">
        <v>0</v>
      </c>
      <c r="P235" s="57">
        <v>0</v>
      </c>
      <c r="Q235" s="57">
        <f t="shared" si="205"/>
        <v>0</v>
      </c>
      <c r="R235" s="58"/>
      <c r="S235" s="55">
        <v>0</v>
      </c>
      <c r="T235" s="57">
        <v>0</v>
      </c>
      <c r="U235" s="57">
        <f t="shared" si="206"/>
        <v>0</v>
      </c>
      <c r="V235" s="59"/>
      <c r="W235" s="124">
        <f t="shared" si="207"/>
        <v>0</v>
      </c>
      <c r="X235" s="57">
        <f t="shared" si="208"/>
        <v>0</v>
      </c>
      <c r="Y235" s="84">
        <f t="shared" si="209"/>
        <v>0</v>
      </c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</row>
    <row r="236" spans="1:77" s="61" customFormat="1" x14ac:dyDescent="0.25">
      <c r="A236" s="52"/>
      <c r="B236" s="52"/>
      <c r="C236" s="124">
        <v>0</v>
      </c>
      <c r="D236" s="56">
        <v>0</v>
      </c>
      <c r="E236" s="56">
        <f t="shared" si="202"/>
        <v>0</v>
      </c>
      <c r="F236" s="58"/>
      <c r="G236" s="55">
        <v>0</v>
      </c>
      <c r="H236" s="57">
        <v>0</v>
      </c>
      <c r="I236" s="57">
        <f t="shared" si="203"/>
        <v>0</v>
      </c>
      <c r="J236" s="58"/>
      <c r="K236" s="55">
        <v>0</v>
      </c>
      <c r="L236" s="57">
        <v>0</v>
      </c>
      <c r="M236" s="57">
        <f t="shared" si="204"/>
        <v>0</v>
      </c>
      <c r="N236" s="58"/>
      <c r="O236" s="55">
        <v>0</v>
      </c>
      <c r="P236" s="57">
        <v>0</v>
      </c>
      <c r="Q236" s="57">
        <f t="shared" si="205"/>
        <v>0</v>
      </c>
      <c r="R236" s="58"/>
      <c r="S236" s="55">
        <v>0</v>
      </c>
      <c r="T236" s="57">
        <v>0</v>
      </c>
      <c r="U236" s="57">
        <f t="shared" si="206"/>
        <v>0</v>
      </c>
      <c r="V236" s="59"/>
      <c r="W236" s="124">
        <f t="shared" si="207"/>
        <v>0</v>
      </c>
      <c r="X236" s="57">
        <f t="shared" si="208"/>
        <v>0</v>
      </c>
      <c r="Y236" s="84">
        <f t="shared" si="209"/>
        <v>0</v>
      </c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</row>
    <row r="237" spans="1:77" s="61" customFormat="1" x14ac:dyDescent="0.25">
      <c r="A237" s="52"/>
      <c r="B237" s="52"/>
      <c r="C237" s="124">
        <v>0</v>
      </c>
      <c r="D237" s="56">
        <v>0</v>
      </c>
      <c r="E237" s="56">
        <f t="shared" si="202"/>
        <v>0</v>
      </c>
      <c r="F237" s="58"/>
      <c r="G237" s="55">
        <v>0</v>
      </c>
      <c r="H237" s="57">
        <v>0</v>
      </c>
      <c r="I237" s="57">
        <f t="shared" si="203"/>
        <v>0</v>
      </c>
      <c r="J237" s="58"/>
      <c r="K237" s="55">
        <v>0</v>
      </c>
      <c r="L237" s="57">
        <v>0</v>
      </c>
      <c r="M237" s="57">
        <f t="shared" si="204"/>
        <v>0</v>
      </c>
      <c r="N237" s="58"/>
      <c r="O237" s="55">
        <v>0</v>
      </c>
      <c r="P237" s="57">
        <v>0</v>
      </c>
      <c r="Q237" s="57">
        <f t="shared" si="205"/>
        <v>0</v>
      </c>
      <c r="R237" s="58"/>
      <c r="S237" s="55">
        <v>0</v>
      </c>
      <c r="T237" s="57">
        <v>0</v>
      </c>
      <c r="U237" s="57">
        <f t="shared" si="206"/>
        <v>0</v>
      </c>
      <c r="V237" s="59"/>
      <c r="W237" s="124">
        <f t="shared" si="207"/>
        <v>0</v>
      </c>
      <c r="X237" s="57">
        <f t="shared" si="208"/>
        <v>0</v>
      </c>
      <c r="Y237" s="84">
        <f t="shared" si="209"/>
        <v>0</v>
      </c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</row>
    <row r="238" spans="1:77" s="61" customFormat="1" x14ac:dyDescent="0.25">
      <c r="A238" s="52"/>
      <c r="B238" s="52"/>
      <c r="C238" s="124">
        <v>0</v>
      </c>
      <c r="D238" s="56">
        <v>0</v>
      </c>
      <c r="E238" s="56">
        <f t="shared" si="202"/>
        <v>0</v>
      </c>
      <c r="F238" s="58"/>
      <c r="G238" s="55">
        <v>0</v>
      </c>
      <c r="H238" s="57">
        <v>0</v>
      </c>
      <c r="I238" s="57">
        <f t="shared" si="203"/>
        <v>0</v>
      </c>
      <c r="J238" s="58"/>
      <c r="K238" s="55">
        <v>0</v>
      </c>
      <c r="L238" s="57">
        <v>0</v>
      </c>
      <c r="M238" s="57">
        <f t="shared" si="204"/>
        <v>0</v>
      </c>
      <c r="N238" s="58"/>
      <c r="O238" s="55">
        <v>0</v>
      </c>
      <c r="P238" s="57">
        <v>0</v>
      </c>
      <c r="Q238" s="57">
        <f t="shared" si="205"/>
        <v>0</v>
      </c>
      <c r="R238" s="58"/>
      <c r="S238" s="55">
        <v>0</v>
      </c>
      <c r="T238" s="57">
        <v>0</v>
      </c>
      <c r="U238" s="57">
        <f t="shared" si="206"/>
        <v>0</v>
      </c>
      <c r="V238" s="59"/>
      <c r="W238" s="124">
        <f t="shared" si="207"/>
        <v>0</v>
      </c>
      <c r="X238" s="57">
        <f t="shared" si="208"/>
        <v>0</v>
      </c>
      <c r="Y238" s="84">
        <f t="shared" si="209"/>
        <v>0</v>
      </c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</row>
    <row r="239" spans="1:77" s="61" customFormat="1" x14ac:dyDescent="0.25">
      <c r="A239" s="52"/>
      <c r="B239" s="52"/>
      <c r="C239" s="124">
        <v>0</v>
      </c>
      <c r="D239" s="56">
        <v>0</v>
      </c>
      <c r="E239" s="56">
        <f t="shared" si="202"/>
        <v>0</v>
      </c>
      <c r="F239" s="58"/>
      <c r="G239" s="55">
        <v>0</v>
      </c>
      <c r="H239" s="57">
        <v>0</v>
      </c>
      <c r="I239" s="57">
        <f t="shared" si="203"/>
        <v>0</v>
      </c>
      <c r="J239" s="58"/>
      <c r="K239" s="55">
        <v>0</v>
      </c>
      <c r="L239" s="57">
        <v>0</v>
      </c>
      <c r="M239" s="57">
        <f t="shared" si="204"/>
        <v>0</v>
      </c>
      <c r="N239" s="58"/>
      <c r="O239" s="55">
        <v>0</v>
      </c>
      <c r="P239" s="57">
        <v>0</v>
      </c>
      <c r="Q239" s="57">
        <f t="shared" si="205"/>
        <v>0</v>
      </c>
      <c r="R239" s="58"/>
      <c r="S239" s="55">
        <v>0</v>
      </c>
      <c r="T239" s="57">
        <v>0</v>
      </c>
      <c r="U239" s="57">
        <f t="shared" si="206"/>
        <v>0</v>
      </c>
      <c r="V239" s="59"/>
      <c r="W239" s="124">
        <f t="shared" si="207"/>
        <v>0</v>
      </c>
      <c r="X239" s="57">
        <f t="shared" si="208"/>
        <v>0</v>
      </c>
      <c r="Y239" s="84">
        <f t="shared" si="209"/>
        <v>0</v>
      </c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</row>
    <row r="240" spans="1:77" s="61" customFormat="1" x14ac:dyDescent="0.25">
      <c r="A240" s="52"/>
      <c r="B240" s="52"/>
      <c r="C240" s="124">
        <v>0</v>
      </c>
      <c r="D240" s="56">
        <v>0</v>
      </c>
      <c r="E240" s="56">
        <f t="shared" si="202"/>
        <v>0</v>
      </c>
      <c r="F240" s="58"/>
      <c r="G240" s="55">
        <v>0</v>
      </c>
      <c r="H240" s="57">
        <v>0</v>
      </c>
      <c r="I240" s="57">
        <f t="shared" si="203"/>
        <v>0</v>
      </c>
      <c r="J240" s="58"/>
      <c r="K240" s="55">
        <v>0</v>
      </c>
      <c r="L240" s="57">
        <v>0</v>
      </c>
      <c r="M240" s="57">
        <f t="shared" si="204"/>
        <v>0</v>
      </c>
      <c r="N240" s="58"/>
      <c r="O240" s="55">
        <v>0</v>
      </c>
      <c r="P240" s="57">
        <v>0</v>
      </c>
      <c r="Q240" s="57">
        <f t="shared" si="205"/>
        <v>0</v>
      </c>
      <c r="R240" s="58"/>
      <c r="S240" s="55">
        <v>0</v>
      </c>
      <c r="T240" s="57">
        <v>0</v>
      </c>
      <c r="U240" s="57">
        <f t="shared" si="206"/>
        <v>0</v>
      </c>
      <c r="V240" s="59"/>
      <c r="W240" s="124">
        <f t="shared" si="207"/>
        <v>0</v>
      </c>
      <c r="X240" s="57">
        <f t="shared" si="208"/>
        <v>0</v>
      </c>
      <c r="Y240" s="84">
        <f t="shared" si="209"/>
        <v>0</v>
      </c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</row>
    <row r="241" spans="1:77" s="61" customFormat="1" x14ac:dyDescent="0.25">
      <c r="A241" s="52"/>
      <c r="B241" s="52"/>
      <c r="C241" s="124">
        <v>0</v>
      </c>
      <c r="D241" s="56">
        <v>0</v>
      </c>
      <c r="E241" s="56">
        <f t="shared" si="202"/>
        <v>0</v>
      </c>
      <c r="F241" s="58"/>
      <c r="G241" s="55">
        <v>0</v>
      </c>
      <c r="H241" s="57">
        <v>0</v>
      </c>
      <c r="I241" s="57">
        <f t="shared" si="203"/>
        <v>0</v>
      </c>
      <c r="J241" s="58"/>
      <c r="K241" s="55">
        <v>0</v>
      </c>
      <c r="L241" s="57">
        <v>0</v>
      </c>
      <c r="M241" s="57">
        <f t="shared" si="204"/>
        <v>0</v>
      </c>
      <c r="N241" s="58"/>
      <c r="O241" s="55">
        <v>0</v>
      </c>
      <c r="P241" s="57">
        <v>0</v>
      </c>
      <c r="Q241" s="57">
        <f t="shared" si="205"/>
        <v>0</v>
      </c>
      <c r="R241" s="58"/>
      <c r="S241" s="55">
        <v>0</v>
      </c>
      <c r="T241" s="57">
        <v>0</v>
      </c>
      <c r="U241" s="57">
        <f t="shared" si="206"/>
        <v>0</v>
      </c>
      <c r="V241" s="59"/>
      <c r="W241" s="124">
        <f t="shared" si="207"/>
        <v>0</v>
      </c>
      <c r="X241" s="57">
        <f t="shared" si="208"/>
        <v>0</v>
      </c>
      <c r="Y241" s="84">
        <f t="shared" si="209"/>
        <v>0</v>
      </c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</row>
    <row r="242" spans="1:77" s="61" customFormat="1" x14ac:dyDescent="0.25">
      <c r="A242" s="52"/>
      <c r="B242" s="52"/>
      <c r="C242" s="124">
        <v>0</v>
      </c>
      <c r="D242" s="56">
        <v>0</v>
      </c>
      <c r="E242" s="56">
        <f t="shared" si="202"/>
        <v>0</v>
      </c>
      <c r="F242" s="58"/>
      <c r="G242" s="55">
        <v>0</v>
      </c>
      <c r="H242" s="57">
        <v>0</v>
      </c>
      <c r="I242" s="57">
        <f t="shared" si="203"/>
        <v>0</v>
      </c>
      <c r="J242" s="58"/>
      <c r="K242" s="55">
        <v>0</v>
      </c>
      <c r="L242" s="57">
        <v>0</v>
      </c>
      <c r="M242" s="57">
        <f t="shared" si="204"/>
        <v>0</v>
      </c>
      <c r="N242" s="58"/>
      <c r="O242" s="55">
        <v>0</v>
      </c>
      <c r="P242" s="57">
        <v>0</v>
      </c>
      <c r="Q242" s="57">
        <f t="shared" si="205"/>
        <v>0</v>
      </c>
      <c r="R242" s="58"/>
      <c r="S242" s="55">
        <v>0</v>
      </c>
      <c r="T242" s="57">
        <v>0</v>
      </c>
      <c r="U242" s="57">
        <f t="shared" si="206"/>
        <v>0</v>
      </c>
      <c r="V242" s="59"/>
      <c r="W242" s="124">
        <f t="shared" si="207"/>
        <v>0</v>
      </c>
      <c r="X242" s="57">
        <f t="shared" si="208"/>
        <v>0</v>
      </c>
      <c r="Y242" s="84">
        <f t="shared" si="209"/>
        <v>0</v>
      </c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</row>
    <row r="243" spans="1:77" s="61" customFormat="1" x14ac:dyDescent="0.25">
      <c r="A243" s="52"/>
      <c r="B243" s="52"/>
      <c r="C243" s="124">
        <v>0</v>
      </c>
      <c r="D243" s="56">
        <v>0</v>
      </c>
      <c r="E243" s="56">
        <f t="shared" si="202"/>
        <v>0</v>
      </c>
      <c r="F243" s="58"/>
      <c r="G243" s="55">
        <v>0</v>
      </c>
      <c r="H243" s="57">
        <v>0</v>
      </c>
      <c r="I243" s="57">
        <f t="shared" si="203"/>
        <v>0</v>
      </c>
      <c r="J243" s="58"/>
      <c r="K243" s="55">
        <v>0</v>
      </c>
      <c r="L243" s="57">
        <v>0</v>
      </c>
      <c r="M243" s="57">
        <f t="shared" si="204"/>
        <v>0</v>
      </c>
      <c r="N243" s="58"/>
      <c r="O243" s="55">
        <v>0</v>
      </c>
      <c r="P243" s="57">
        <v>0</v>
      </c>
      <c r="Q243" s="57">
        <f t="shared" si="205"/>
        <v>0</v>
      </c>
      <c r="R243" s="58"/>
      <c r="S243" s="55">
        <v>0</v>
      </c>
      <c r="T243" s="57">
        <v>0</v>
      </c>
      <c r="U243" s="57">
        <f t="shared" si="206"/>
        <v>0</v>
      </c>
      <c r="V243" s="59"/>
      <c r="W243" s="124">
        <f t="shared" si="207"/>
        <v>0</v>
      </c>
      <c r="X243" s="57">
        <f t="shared" si="208"/>
        <v>0</v>
      </c>
      <c r="Y243" s="84">
        <f t="shared" si="209"/>
        <v>0</v>
      </c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</row>
    <row r="244" spans="1:77" s="61" customFormat="1" x14ac:dyDescent="0.25">
      <c r="A244" s="52"/>
      <c r="B244" s="52"/>
      <c r="C244" s="124">
        <v>0</v>
      </c>
      <c r="D244" s="56">
        <v>0</v>
      </c>
      <c r="E244" s="56">
        <f t="shared" si="202"/>
        <v>0</v>
      </c>
      <c r="F244" s="58"/>
      <c r="G244" s="55">
        <v>0</v>
      </c>
      <c r="H244" s="57">
        <v>0</v>
      </c>
      <c r="I244" s="57">
        <f t="shared" si="203"/>
        <v>0</v>
      </c>
      <c r="J244" s="58"/>
      <c r="K244" s="55">
        <v>0</v>
      </c>
      <c r="L244" s="57">
        <v>0</v>
      </c>
      <c r="M244" s="57">
        <f t="shared" si="204"/>
        <v>0</v>
      </c>
      <c r="N244" s="58"/>
      <c r="O244" s="55">
        <v>0</v>
      </c>
      <c r="P244" s="57">
        <v>0</v>
      </c>
      <c r="Q244" s="57">
        <f t="shared" si="205"/>
        <v>0</v>
      </c>
      <c r="R244" s="58"/>
      <c r="S244" s="55">
        <v>0</v>
      </c>
      <c r="T244" s="57">
        <v>0</v>
      </c>
      <c r="U244" s="57">
        <f t="shared" si="206"/>
        <v>0</v>
      </c>
      <c r="V244" s="59"/>
      <c r="W244" s="124">
        <f t="shared" si="207"/>
        <v>0</v>
      </c>
      <c r="X244" s="57">
        <f t="shared" si="208"/>
        <v>0</v>
      </c>
      <c r="Y244" s="84">
        <f t="shared" si="209"/>
        <v>0</v>
      </c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</row>
    <row r="245" spans="1:77" s="83" customFormat="1" x14ac:dyDescent="0.25">
      <c r="A245" s="78"/>
      <c r="B245" s="78" t="s">
        <v>9</v>
      </c>
      <c r="C245" s="229">
        <f>SUM(C233:C244)</f>
        <v>0</v>
      </c>
      <c r="D245" s="153">
        <f>SUM(D233:D244)</f>
        <v>0</v>
      </c>
      <c r="E245" s="153">
        <f>SUM(E233:E244)</f>
        <v>0</v>
      </c>
      <c r="F245" s="154"/>
      <c r="G245" s="152">
        <f>SUM(G233:G244)</f>
        <v>0</v>
      </c>
      <c r="H245" s="155">
        <f>SUM(H233:H244)</f>
        <v>0</v>
      </c>
      <c r="I245" s="155">
        <f>SUM(I233:I244)</f>
        <v>0</v>
      </c>
      <c r="J245" s="154"/>
      <c r="K245" s="152">
        <f>SUM(K233:K244)</f>
        <v>0</v>
      </c>
      <c r="L245" s="155">
        <f>SUM(L233:L244)</f>
        <v>0</v>
      </c>
      <c r="M245" s="155">
        <f>SUM(M233:M244)</f>
        <v>0</v>
      </c>
      <c r="N245" s="154"/>
      <c r="O245" s="152">
        <f>SUM(O233:O244)</f>
        <v>0</v>
      </c>
      <c r="P245" s="155">
        <f>SUM(P233:P244)</f>
        <v>0</v>
      </c>
      <c r="Q245" s="155">
        <f>SUM(Q233:Q244)</f>
        <v>0</v>
      </c>
      <c r="R245" s="154"/>
      <c r="S245" s="152">
        <f>SUM(S233:S244)</f>
        <v>0</v>
      </c>
      <c r="T245" s="155">
        <f>SUM(T233:T244)</f>
        <v>0</v>
      </c>
      <c r="U245" s="155">
        <f>SUM(U233:U244)</f>
        <v>0</v>
      </c>
      <c r="V245" s="82"/>
      <c r="W245" s="228">
        <f t="shared" si="207"/>
        <v>0</v>
      </c>
      <c r="X245" s="80">
        <f t="shared" si="208"/>
        <v>0</v>
      </c>
      <c r="Y245" s="80">
        <f t="shared" si="209"/>
        <v>0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109" customFormat="1" x14ac:dyDescent="0.25">
      <c r="A246" s="109" t="s">
        <v>33</v>
      </c>
      <c r="C246" s="111">
        <f>SUM(C205+C217+C225+C231+C245)</f>
        <v>0</v>
      </c>
      <c r="D246" s="111">
        <f t="shared" ref="D246:Y246" si="210">SUM(D205+D217+D225+D231+D245)</f>
        <v>0</v>
      </c>
      <c r="E246" s="111">
        <f t="shared" si="210"/>
        <v>0</v>
      </c>
      <c r="F246" s="111">
        <f t="shared" si="210"/>
        <v>0</v>
      </c>
      <c r="G246" s="111">
        <f t="shared" si="210"/>
        <v>0</v>
      </c>
      <c r="H246" s="111">
        <f t="shared" si="210"/>
        <v>0</v>
      </c>
      <c r="I246" s="111">
        <f t="shared" si="210"/>
        <v>0</v>
      </c>
      <c r="J246" s="111">
        <f t="shared" si="210"/>
        <v>0</v>
      </c>
      <c r="K246" s="111">
        <f t="shared" si="210"/>
        <v>0</v>
      </c>
      <c r="L246" s="111">
        <f t="shared" si="210"/>
        <v>0</v>
      </c>
      <c r="M246" s="111">
        <f t="shared" si="210"/>
        <v>0</v>
      </c>
      <c r="N246" s="111">
        <f t="shared" si="210"/>
        <v>0</v>
      </c>
      <c r="O246" s="111">
        <f t="shared" si="210"/>
        <v>0</v>
      </c>
      <c r="P246" s="111">
        <f t="shared" si="210"/>
        <v>0</v>
      </c>
      <c r="Q246" s="111">
        <f t="shared" si="210"/>
        <v>0</v>
      </c>
      <c r="R246" s="111">
        <f t="shared" si="210"/>
        <v>0</v>
      </c>
      <c r="S246" s="111">
        <f t="shared" si="210"/>
        <v>0</v>
      </c>
      <c r="T246" s="111">
        <f t="shared" si="210"/>
        <v>0</v>
      </c>
      <c r="U246" s="111">
        <f t="shared" si="210"/>
        <v>0</v>
      </c>
      <c r="V246" s="111">
        <f t="shared" si="210"/>
        <v>0</v>
      </c>
      <c r="W246" s="111">
        <f t="shared" si="210"/>
        <v>0</v>
      </c>
      <c r="X246" s="111">
        <f t="shared" si="210"/>
        <v>0</v>
      </c>
      <c r="Y246" s="111">
        <f t="shared" si="210"/>
        <v>0</v>
      </c>
      <c r="Z246" s="105"/>
      <c r="AA246" s="105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</row>
    <row r="247" spans="1:77" s="109" customFormat="1" x14ac:dyDescent="0.25">
      <c r="A247" s="109" t="s">
        <v>34</v>
      </c>
      <c r="C247" s="111">
        <f>(C205+C225+C245)*0.42</f>
        <v>0</v>
      </c>
      <c r="D247" s="111">
        <v>0</v>
      </c>
      <c r="E247" s="111">
        <f>C247</f>
        <v>0</v>
      </c>
      <c r="F247" s="111">
        <f>F196*0.47</f>
        <v>0</v>
      </c>
      <c r="G247" s="111">
        <f>(G205+G225+G245)*0.42</f>
        <v>0</v>
      </c>
      <c r="H247" s="111">
        <v>0</v>
      </c>
      <c r="I247" s="111">
        <f>G247</f>
        <v>0</v>
      </c>
      <c r="J247" s="111">
        <f>J196*0.47</f>
        <v>0</v>
      </c>
      <c r="K247" s="111">
        <f>(K205+K225+K245)*0.42</f>
        <v>0</v>
      </c>
      <c r="L247" s="111">
        <v>0</v>
      </c>
      <c r="M247" s="111">
        <f>K247</f>
        <v>0</v>
      </c>
      <c r="N247" s="111">
        <f>N196*0.47</f>
        <v>0</v>
      </c>
      <c r="O247" s="111">
        <f>(O205+O225+O245)*0.42</f>
        <v>0</v>
      </c>
      <c r="P247" s="111">
        <v>0</v>
      </c>
      <c r="Q247" s="111">
        <f>O247</f>
        <v>0</v>
      </c>
      <c r="R247" s="111">
        <f>R196*0.47</f>
        <v>0</v>
      </c>
      <c r="S247" s="111">
        <f>(S205+S225+S245)*0.42</f>
        <v>0</v>
      </c>
      <c r="T247" s="111">
        <v>0</v>
      </c>
      <c r="U247" s="111">
        <f>S247</f>
        <v>0</v>
      </c>
      <c r="V247" s="111">
        <f>V196*0.47</f>
        <v>0</v>
      </c>
      <c r="W247" s="111">
        <f>(W205+W225+W245)*0.42</f>
        <v>0</v>
      </c>
      <c r="X247" s="111">
        <v>0</v>
      </c>
      <c r="Y247" s="111">
        <f>W247</f>
        <v>0</v>
      </c>
      <c r="Z247" s="105"/>
      <c r="AA247" s="105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</row>
    <row r="248" spans="1:77" s="109" customFormat="1" x14ac:dyDescent="0.25">
      <c r="A248" s="109" t="s">
        <v>35</v>
      </c>
      <c r="C248" s="111">
        <f>SUM(C246:C247)</f>
        <v>0</v>
      </c>
      <c r="D248" s="111">
        <f t="shared" ref="D248:Y248" si="211">SUM(D246:D247)</f>
        <v>0</v>
      </c>
      <c r="E248" s="111">
        <f t="shared" si="211"/>
        <v>0</v>
      </c>
      <c r="F248" s="111">
        <f t="shared" si="211"/>
        <v>0</v>
      </c>
      <c r="G248" s="111">
        <f t="shared" si="211"/>
        <v>0</v>
      </c>
      <c r="H248" s="111">
        <f t="shared" si="211"/>
        <v>0</v>
      </c>
      <c r="I248" s="111">
        <f t="shared" si="211"/>
        <v>0</v>
      </c>
      <c r="J248" s="111">
        <f t="shared" si="211"/>
        <v>0</v>
      </c>
      <c r="K248" s="111">
        <f t="shared" si="211"/>
        <v>0</v>
      </c>
      <c r="L248" s="111">
        <f t="shared" si="211"/>
        <v>0</v>
      </c>
      <c r="M248" s="111">
        <f t="shared" si="211"/>
        <v>0</v>
      </c>
      <c r="N248" s="111">
        <f t="shared" si="211"/>
        <v>0</v>
      </c>
      <c r="O248" s="111">
        <f t="shared" si="211"/>
        <v>0</v>
      </c>
      <c r="P248" s="111">
        <f t="shared" si="211"/>
        <v>0</v>
      </c>
      <c r="Q248" s="111">
        <f t="shared" si="211"/>
        <v>0</v>
      </c>
      <c r="R248" s="111">
        <f t="shared" si="211"/>
        <v>0</v>
      </c>
      <c r="S248" s="111">
        <f t="shared" si="211"/>
        <v>0</v>
      </c>
      <c r="T248" s="111">
        <f t="shared" si="211"/>
        <v>0</v>
      </c>
      <c r="U248" s="111">
        <f t="shared" si="211"/>
        <v>0</v>
      </c>
      <c r="V248" s="111">
        <f t="shared" si="211"/>
        <v>0</v>
      </c>
      <c r="W248" s="111">
        <f t="shared" si="211"/>
        <v>0</v>
      </c>
      <c r="X248" s="111">
        <f t="shared" si="211"/>
        <v>0</v>
      </c>
      <c r="Y248" s="111">
        <f t="shared" si="211"/>
        <v>0</v>
      </c>
      <c r="Z248" s="105"/>
      <c r="AA248" s="105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</row>
    <row r="249" spans="1:77" s="13" customFormat="1" x14ac:dyDescent="0.25">
      <c r="C249" s="14"/>
      <c r="D249" s="14"/>
      <c r="E249" s="14"/>
      <c r="F249" s="14"/>
      <c r="G249" s="14"/>
      <c r="H249" s="14"/>
      <c r="I249" s="14"/>
      <c r="J249" s="14"/>
      <c r="K249" s="14"/>
      <c r="M249" s="14"/>
      <c r="N249" s="14"/>
      <c r="O249" s="14"/>
      <c r="Q249" s="14"/>
      <c r="R249" s="14"/>
      <c r="S249" s="14"/>
      <c r="U249" s="14"/>
      <c r="V249" s="16"/>
      <c r="W249" s="14"/>
      <c r="X249" s="14"/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169" customFormat="1" x14ac:dyDescent="0.25">
      <c r="A252" s="170" t="s">
        <v>57</v>
      </c>
      <c r="B252" s="169" t="s">
        <v>57</v>
      </c>
      <c r="C252" s="172">
        <v>0</v>
      </c>
      <c r="D252" s="173">
        <v>0</v>
      </c>
      <c r="E252" s="173">
        <f t="shared" ref="E252:E255" si="212">SUM(C252:D252)</f>
        <v>0</v>
      </c>
      <c r="F252" s="175"/>
      <c r="G252" s="172">
        <f>C252*1.03</f>
        <v>0</v>
      </c>
      <c r="H252" s="173">
        <f>D252*1.03</f>
        <v>0</v>
      </c>
      <c r="I252" s="173">
        <f t="shared" ref="I252:I255" si="213">SUM(G252:H252)</f>
        <v>0</v>
      </c>
      <c r="J252" s="175"/>
      <c r="K252" s="172">
        <f>G252*1.03</f>
        <v>0</v>
      </c>
      <c r="L252" s="173">
        <f>H252*1.03</f>
        <v>0</v>
      </c>
      <c r="M252" s="173">
        <f t="shared" ref="M252:M255" si="214">SUM(K252:L252)</f>
        <v>0</v>
      </c>
      <c r="N252" s="175"/>
      <c r="O252" s="172">
        <f>K252*1.03</f>
        <v>0</v>
      </c>
      <c r="P252" s="173">
        <f>L252*1.03</f>
        <v>0</v>
      </c>
      <c r="Q252" s="173">
        <f t="shared" ref="Q252:Q255" si="215">SUM(O252:P252)</f>
        <v>0</v>
      </c>
      <c r="R252" s="175"/>
      <c r="S252" s="172">
        <f>O252*1.03</f>
        <v>0</v>
      </c>
      <c r="T252" s="173">
        <f>P252*1.03</f>
        <v>0</v>
      </c>
      <c r="U252" s="173">
        <f t="shared" ref="U252:U255" si="216">SUM(S252:T252)</f>
        <v>0</v>
      </c>
      <c r="V252" s="176"/>
      <c r="W252" s="227">
        <f>C252+G252+K252+O252+S252</f>
        <v>0</v>
      </c>
      <c r="X252" s="173">
        <f t="shared" ref="X252:Y256" si="217">D252+H252+L252+P252+T252</f>
        <v>0</v>
      </c>
      <c r="Y252" s="177">
        <f t="shared" si="217"/>
        <v>0</v>
      </c>
    </row>
    <row r="253" spans="1:77" s="61" customFormat="1" x14ac:dyDescent="0.25">
      <c r="A253" s="53" t="s">
        <v>57</v>
      </c>
      <c r="B253" s="169" t="s">
        <v>57</v>
      </c>
      <c r="C253" s="172">
        <v>0</v>
      </c>
      <c r="D253" s="173">
        <v>0</v>
      </c>
      <c r="E253" s="173">
        <f t="shared" si="212"/>
        <v>0</v>
      </c>
      <c r="F253" s="175"/>
      <c r="G253" s="172">
        <f t="shared" ref="G253:H255" si="218">C253*1.03</f>
        <v>0</v>
      </c>
      <c r="H253" s="173">
        <f t="shared" si="218"/>
        <v>0</v>
      </c>
      <c r="I253" s="173">
        <f t="shared" si="213"/>
        <v>0</v>
      </c>
      <c r="J253" s="175"/>
      <c r="K253" s="172">
        <f t="shared" ref="K253:L255" si="219">G253*1.03</f>
        <v>0</v>
      </c>
      <c r="L253" s="173">
        <f t="shared" si="219"/>
        <v>0</v>
      </c>
      <c r="M253" s="173">
        <f t="shared" si="214"/>
        <v>0</v>
      </c>
      <c r="N253" s="175"/>
      <c r="O253" s="172">
        <f t="shared" ref="O253:P255" si="220">K253*1.03</f>
        <v>0</v>
      </c>
      <c r="P253" s="173">
        <f t="shared" si="220"/>
        <v>0</v>
      </c>
      <c r="Q253" s="173">
        <f t="shared" si="215"/>
        <v>0</v>
      </c>
      <c r="R253" s="175"/>
      <c r="S253" s="172">
        <f t="shared" ref="S253:T255" si="221">O253*1.03</f>
        <v>0</v>
      </c>
      <c r="T253" s="173">
        <f t="shared" si="221"/>
        <v>0</v>
      </c>
      <c r="U253" s="173">
        <f t="shared" si="216"/>
        <v>0</v>
      </c>
      <c r="V253" s="176"/>
      <c r="W253" s="227">
        <f t="shared" ref="W253:W256" si="222">C253+G253+K253+O253+S253</f>
        <v>0</v>
      </c>
      <c r="X253" s="173">
        <f t="shared" si="217"/>
        <v>0</v>
      </c>
      <c r="Y253" s="177">
        <f t="shared" si="217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v>0</v>
      </c>
      <c r="D254" s="173">
        <v>0</v>
      </c>
      <c r="E254" s="173">
        <f t="shared" si="212"/>
        <v>0</v>
      </c>
      <c r="F254" s="175"/>
      <c r="G254" s="172">
        <f t="shared" si="218"/>
        <v>0</v>
      </c>
      <c r="H254" s="173">
        <f t="shared" si="218"/>
        <v>0</v>
      </c>
      <c r="I254" s="173">
        <f t="shared" si="213"/>
        <v>0</v>
      </c>
      <c r="J254" s="175"/>
      <c r="K254" s="172">
        <f t="shared" si="219"/>
        <v>0</v>
      </c>
      <c r="L254" s="173">
        <f t="shared" si="219"/>
        <v>0</v>
      </c>
      <c r="M254" s="173">
        <f t="shared" si="214"/>
        <v>0</v>
      </c>
      <c r="N254" s="175"/>
      <c r="O254" s="172">
        <f t="shared" si="220"/>
        <v>0</v>
      </c>
      <c r="P254" s="173">
        <f t="shared" si="220"/>
        <v>0</v>
      </c>
      <c r="Q254" s="173">
        <f t="shared" si="215"/>
        <v>0</v>
      </c>
      <c r="R254" s="175"/>
      <c r="S254" s="172">
        <f t="shared" si="221"/>
        <v>0</v>
      </c>
      <c r="T254" s="173">
        <f t="shared" si="221"/>
        <v>0</v>
      </c>
      <c r="U254" s="173">
        <f t="shared" si="216"/>
        <v>0</v>
      </c>
      <c r="V254" s="176"/>
      <c r="W254" s="227">
        <f t="shared" si="222"/>
        <v>0</v>
      </c>
      <c r="X254" s="173">
        <f t="shared" si="217"/>
        <v>0</v>
      </c>
      <c r="Y254" s="177">
        <f t="shared" si="217"/>
        <v>0</v>
      </c>
    </row>
    <row r="255" spans="1:77" s="61" customFormat="1" x14ac:dyDescent="0.25">
      <c r="A255" s="52"/>
      <c r="B255" s="169" t="s">
        <v>57</v>
      </c>
      <c r="C255" s="172">
        <v>0</v>
      </c>
      <c r="D255" s="173">
        <v>0</v>
      </c>
      <c r="E255" s="173">
        <f t="shared" si="212"/>
        <v>0</v>
      </c>
      <c r="F255" s="175"/>
      <c r="G255" s="172">
        <f t="shared" si="218"/>
        <v>0</v>
      </c>
      <c r="H255" s="173">
        <f t="shared" si="218"/>
        <v>0</v>
      </c>
      <c r="I255" s="173">
        <f t="shared" si="213"/>
        <v>0</v>
      </c>
      <c r="J255" s="175"/>
      <c r="K255" s="172">
        <f t="shared" si="219"/>
        <v>0</v>
      </c>
      <c r="L255" s="173">
        <f t="shared" si="219"/>
        <v>0</v>
      </c>
      <c r="M255" s="173">
        <f t="shared" si="214"/>
        <v>0</v>
      </c>
      <c r="N255" s="175"/>
      <c r="O255" s="172">
        <f t="shared" si="220"/>
        <v>0</v>
      </c>
      <c r="P255" s="173">
        <f t="shared" si="220"/>
        <v>0</v>
      </c>
      <c r="Q255" s="173">
        <f t="shared" si="215"/>
        <v>0</v>
      </c>
      <c r="R255" s="175"/>
      <c r="S255" s="172">
        <f t="shared" si="221"/>
        <v>0</v>
      </c>
      <c r="T255" s="173">
        <f t="shared" si="221"/>
        <v>0</v>
      </c>
      <c r="U255" s="173">
        <f t="shared" si="216"/>
        <v>0</v>
      </c>
      <c r="V255" s="176"/>
      <c r="W255" s="227">
        <f t="shared" si="222"/>
        <v>0</v>
      </c>
      <c r="X255" s="173">
        <f t="shared" si="217"/>
        <v>0</v>
      </c>
      <c r="Y255" s="177">
        <f t="shared" si="217"/>
        <v>0</v>
      </c>
    </row>
    <row r="256" spans="1:77" s="83" customFormat="1" x14ac:dyDescent="0.25">
      <c r="A256" s="78"/>
      <c r="B256" s="78" t="s">
        <v>9</v>
      </c>
      <c r="C256" s="228">
        <f>SUM(C252:C255)</f>
        <v>0</v>
      </c>
      <c r="D256" s="125">
        <f>SUM(D252:D255)</f>
        <v>0</v>
      </c>
      <c r="E256" s="125">
        <f>SUM(E252:E255)</f>
        <v>0</v>
      </c>
      <c r="F256" s="81"/>
      <c r="G256" s="79">
        <f>SUM(G252:G255)</f>
        <v>0</v>
      </c>
      <c r="H256" s="80">
        <f>SUM(H252:H255)</f>
        <v>0</v>
      </c>
      <c r="I256" s="80">
        <f>SUM(I252:I255)</f>
        <v>0</v>
      </c>
      <c r="J256" s="81"/>
      <c r="K256" s="79">
        <f>SUM(K252:K255)</f>
        <v>0</v>
      </c>
      <c r="L256" s="80">
        <f>SUM(L252:L255)</f>
        <v>0</v>
      </c>
      <c r="M256" s="80">
        <f>SUM(M252:M255)</f>
        <v>0</v>
      </c>
      <c r="N256" s="81"/>
      <c r="O256" s="79">
        <f>SUM(O252:O255)</f>
        <v>0</v>
      </c>
      <c r="P256" s="80">
        <f>SUM(P252:P255)</f>
        <v>0</v>
      </c>
      <c r="Q256" s="80">
        <f>SUM(Q252:Q255)</f>
        <v>0</v>
      </c>
      <c r="R256" s="81"/>
      <c r="S256" s="79">
        <f>SUM(S252:S255)</f>
        <v>0</v>
      </c>
      <c r="T256" s="80">
        <f>SUM(T252:T255)</f>
        <v>0</v>
      </c>
      <c r="U256" s="80">
        <f>SUM(U252:U255)</f>
        <v>0</v>
      </c>
      <c r="V256" s="82"/>
      <c r="W256" s="228">
        <f t="shared" si="222"/>
        <v>0</v>
      </c>
      <c r="X256" s="80">
        <f t="shared" si="217"/>
        <v>0</v>
      </c>
      <c r="Y256" s="80">
        <f t="shared" si="217"/>
        <v>0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24">
        <v>0</v>
      </c>
      <c r="D258" s="56">
        <v>0</v>
      </c>
      <c r="E258" s="56">
        <f>SUM(C258:D258)</f>
        <v>0</v>
      </c>
      <c r="F258" s="58"/>
      <c r="G258" s="55">
        <f>C258*1.03</f>
        <v>0</v>
      </c>
      <c r="H258" s="57">
        <f>D258*1.03</f>
        <v>0</v>
      </c>
      <c r="I258" s="57">
        <f>SUM(G258:H258)</f>
        <v>0</v>
      </c>
      <c r="J258" s="58"/>
      <c r="K258" s="55">
        <f t="shared" ref="K258:L261" si="223">G258*1.03</f>
        <v>0</v>
      </c>
      <c r="L258" s="57">
        <f t="shared" si="223"/>
        <v>0</v>
      </c>
      <c r="M258" s="57">
        <f>SUM(K258:L258)</f>
        <v>0</v>
      </c>
      <c r="N258" s="58"/>
      <c r="O258" s="55">
        <f>K258*1.03</f>
        <v>0</v>
      </c>
      <c r="P258" s="57">
        <f>L258*1.03</f>
        <v>0</v>
      </c>
      <c r="Q258" s="57">
        <f>SUM(O258:P258)</f>
        <v>0</v>
      </c>
      <c r="R258" s="58"/>
      <c r="S258" s="55">
        <f>O258*1.03</f>
        <v>0</v>
      </c>
      <c r="T258" s="57">
        <f>P258*1.03</f>
        <v>0</v>
      </c>
      <c r="U258" s="57">
        <f>SUM(S258:T258)</f>
        <v>0</v>
      </c>
      <c r="V258" s="59"/>
      <c r="W258" s="124">
        <f t="shared" ref="W258:Y262" si="224">C258+G258+K258+O258+S258</f>
        <v>0</v>
      </c>
      <c r="X258" s="57">
        <f t="shared" si="224"/>
        <v>0</v>
      </c>
      <c r="Y258" s="57">
        <f t="shared" ref="Y258:Y261" si="225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24">
        <v>0</v>
      </c>
      <c r="D259" s="56">
        <v>0</v>
      </c>
      <c r="E259" s="56">
        <f t="shared" ref="E259:E261" si="226">SUM(C259:D259)</f>
        <v>0</v>
      </c>
      <c r="F259" s="58"/>
      <c r="G259" s="55">
        <f t="shared" ref="G259:H261" si="227">C259*1.03</f>
        <v>0</v>
      </c>
      <c r="H259" s="57">
        <f t="shared" si="227"/>
        <v>0</v>
      </c>
      <c r="I259" s="57">
        <f t="shared" ref="I259:I261" si="228">SUM(G259:H259)</f>
        <v>0</v>
      </c>
      <c r="J259" s="58"/>
      <c r="K259" s="55">
        <f t="shared" si="223"/>
        <v>0</v>
      </c>
      <c r="L259" s="57">
        <f t="shared" si="223"/>
        <v>0</v>
      </c>
      <c r="M259" s="57">
        <f t="shared" ref="M259:M261" si="229">SUM(K259:L259)</f>
        <v>0</v>
      </c>
      <c r="N259" s="58"/>
      <c r="O259" s="55">
        <f t="shared" ref="O259:P261" si="230">K259*1.03</f>
        <v>0</v>
      </c>
      <c r="P259" s="57">
        <f t="shared" si="230"/>
        <v>0</v>
      </c>
      <c r="Q259" s="57">
        <f t="shared" ref="Q259:Q261" si="231">SUM(O259:P259)</f>
        <v>0</v>
      </c>
      <c r="R259" s="58"/>
      <c r="S259" s="55">
        <f t="shared" ref="S259:T261" si="232">O259*1.03</f>
        <v>0</v>
      </c>
      <c r="T259" s="57">
        <f t="shared" si="232"/>
        <v>0</v>
      </c>
      <c r="U259" s="57">
        <f t="shared" ref="U259:U261" si="233">SUM(S259:T259)</f>
        <v>0</v>
      </c>
      <c r="V259" s="59"/>
      <c r="W259" s="124">
        <f t="shared" si="224"/>
        <v>0</v>
      </c>
      <c r="X259" s="57">
        <f t="shared" si="224"/>
        <v>0</v>
      </c>
      <c r="Y259" s="57">
        <f t="shared" si="225"/>
        <v>0</v>
      </c>
    </row>
    <row r="260" spans="1:77" s="169" customFormat="1" x14ac:dyDescent="0.25">
      <c r="B260" s="61" t="s">
        <v>57</v>
      </c>
      <c r="C260" s="124">
        <v>0</v>
      </c>
      <c r="D260" s="56">
        <v>0</v>
      </c>
      <c r="E260" s="56">
        <f t="shared" si="226"/>
        <v>0</v>
      </c>
      <c r="F260" s="58"/>
      <c r="G260" s="55">
        <f t="shared" si="227"/>
        <v>0</v>
      </c>
      <c r="H260" s="57">
        <f t="shared" si="227"/>
        <v>0</v>
      </c>
      <c r="I260" s="57">
        <f t="shared" si="228"/>
        <v>0</v>
      </c>
      <c r="J260" s="58"/>
      <c r="K260" s="55">
        <f t="shared" si="223"/>
        <v>0</v>
      </c>
      <c r="L260" s="57">
        <f t="shared" si="223"/>
        <v>0</v>
      </c>
      <c r="M260" s="57">
        <f t="shared" si="229"/>
        <v>0</v>
      </c>
      <c r="N260" s="58"/>
      <c r="O260" s="55">
        <f t="shared" si="230"/>
        <v>0</v>
      </c>
      <c r="P260" s="57">
        <f t="shared" si="230"/>
        <v>0</v>
      </c>
      <c r="Q260" s="57">
        <f t="shared" si="231"/>
        <v>0</v>
      </c>
      <c r="R260" s="58"/>
      <c r="S260" s="55">
        <f t="shared" si="232"/>
        <v>0</v>
      </c>
      <c r="T260" s="57">
        <f t="shared" si="232"/>
        <v>0</v>
      </c>
      <c r="U260" s="57">
        <f t="shared" si="233"/>
        <v>0</v>
      </c>
      <c r="V260" s="59"/>
      <c r="W260" s="124">
        <f t="shared" si="224"/>
        <v>0</v>
      </c>
      <c r="X260" s="57">
        <f t="shared" si="224"/>
        <v>0</v>
      </c>
      <c r="Y260" s="57">
        <f t="shared" si="225"/>
        <v>0</v>
      </c>
    </row>
    <row r="261" spans="1:77" s="61" customFormat="1" x14ac:dyDescent="0.25">
      <c r="A261" s="54" t="s">
        <v>57</v>
      </c>
      <c r="B261" s="54" t="s">
        <v>57</v>
      </c>
      <c r="C261" s="124">
        <v>0</v>
      </c>
      <c r="D261" s="56">
        <v>0</v>
      </c>
      <c r="E261" s="56">
        <f t="shared" si="226"/>
        <v>0</v>
      </c>
      <c r="F261" s="58"/>
      <c r="G261" s="55">
        <f t="shared" si="227"/>
        <v>0</v>
      </c>
      <c r="H261" s="57">
        <f t="shared" si="227"/>
        <v>0</v>
      </c>
      <c r="I261" s="57">
        <f t="shared" si="228"/>
        <v>0</v>
      </c>
      <c r="J261" s="58"/>
      <c r="K261" s="55">
        <f t="shared" si="223"/>
        <v>0</v>
      </c>
      <c r="L261" s="57">
        <f t="shared" si="223"/>
        <v>0</v>
      </c>
      <c r="M261" s="57">
        <f t="shared" si="229"/>
        <v>0</v>
      </c>
      <c r="N261" s="58"/>
      <c r="O261" s="55">
        <f t="shared" si="230"/>
        <v>0</v>
      </c>
      <c r="P261" s="57">
        <f t="shared" si="230"/>
        <v>0</v>
      </c>
      <c r="Q261" s="57">
        <f t="shared" si="231"/>
        <v>0</v>
      </c>
      <c r="R261" s="58"/>
      <c r="S261" s="55">
        <f t="shared" si="232"/>
        <v>0</v>
      </c>
      <c r="T261" s="57">
        <f t="shared" si="232"/>
        <v>0</v>
      </c>
      <c r="U261" s="57">
        <f t="shared" si="233"/>
        <v>0</v>
      </c>
      <c r="V261" s="59"/>
      <c r="W261" s="124">
        <f t="shared" si="224"/>
        <v>0</v>
      </c>
      <c r="X261" s="57">
        <f t="shared" si="224"/>
        <v>0</v>
      </c>
      <c r="Y261" s="57">
        <f t="shared" si="225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224"/>
        <v>0</v>
      </c>
      <c r="X262" s="80">
        <f t="shared" si="224"/>
        <v>0</v>
      </c>
      <c r="Y262" s="80">
        <f t="shared" si="224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234">C262+C256</f>
        <v>0</v>
      </c>
      <c r="D263" s="242">
        <f t="shared" si="234"/>
        <v>0</v>
      </c>
      <c r="E263" s="242">
        <f t="shared" si="234"/>
        <v>0</v>
      </c>
      <c r="F263" s="242">
        <f t="shared" si="234"/>
        <v>0</v>
      </c>
      <c r="G263" s="242">
        <f t="shared" si="234"/>
        <v>0</v>
      </c>
      <c r="H263" s="242">
        <f t="shared" si="234"/>
        <v>0</v>
      </c>
      <c r="I263" s="242">
        <f t="shared" si="234"/>
        <v>0</v>
      </c>
      <c r="J263" s="242">
        <f t="shared" si="234"/>
        <v>0</v>
      </c>
      <c r="K263" s="242">
        <f t="shared" si="234"/>
        <v>0</v>
      </c>
      <c r="L263" s="242">
        <f t="shared" si="234"/>
        <v>0</v>
      </c>
      <c r="M263" s="242">
        <f t="shared" si="234"/>
        <v>0</v>
      </c>
      <c r="N263" s="242">
        <f t="shared" si="234"/>
        <v>0</v>
      </c>
      <c r="O263" s="242">
        <f t="shared" si="234"/>
        <v>0</v>
      </c>
      <c r="P263" s="242">
        <f t="shared" si="234"/>
        <v>0</v>
      </c>
      <c r="Q263" s="242">
        <f t="shared" si="234"/>
        <v>0</v>
      </c>
      <c r="R263" s="242">
        <f t="shared" si="234"/>
        <v>0</v>
      </c>
      <c r="S263" s="242">
        <f t="shared" si="234"/>
        <v>0</v>
      </c>
      <c r="T263" s="242">
        <f t="shared" si="234"/>
        <v>0</v>
      </c>
      <c r="U263" s="242">
        <f t="shared" si="234"/>
        <v>0</v>
      </c>
      <c r="V263" s="242">
        <f t="shared" si="234"/>
        <v>0</v>
      </c>
      <c r="W263" s="242">
        <f t="shared" si="234"/>
        <v>0</v>
      </c>
      <c r="X263" s="242">
        <f t="shared" si="234"/>
        <v>0</v>
      </c>
      <c r="Y263" s="243">
        <f>E263+I263+M263+Q263+U263</f>
        <v>0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244">
        <f>C258*A265* 1.03</f>
        <v>0</v>
      </c>
      <c r="D265" s="56">
        <f>D258*A265</f>
        <v>0</v>
      </c>
      <c r="E265" s="56">
        <f t="shared" ref="E265:E267" si="235">SUM(C265:D265)</f>
        <v>0</v>
      </c>
      <c r="F265" s="58"/>
      <c r="G265" s="124">
        <f>G258*A265*1.03*1.03</f>
        <v>0</v>
      </c>
      <c r="H265" s="56">
        <f>H258*A265*1.03</f>
        <v>0</v>
      </c>
      <c r="I265" s="57">
        <f t="shared" ref="I265:I267" si="236">SUM(G265:H265)</f>
        <v>0</v>
      </c>
      <c r="J265" s="58"/>
      <c r="K265" s="124">
        <f>K258*A265*1.03*1.03*1.03</f>
        <v>0</v>
      </c>
      <c r="L265" s="56">
        <f>L258*A265*1.03*1.03</f>
        <v>0</v>
      </c>
      <c r="M265" s="57">
        <f t="shared" ref="M265:M267" si="237">SUM(K265:L265)</f>
        <v>0</v>
      </c>
      <c r="N265" s="58"/>
      <c r="O265" s="124">
        <f>O258*A265*1.03*1.03*1.03*1.03</f>
        <v>0</v>
      </c>
      <c r="P265" s="56">
        <f>P258*A265*1.03*1.03*1.03</f>
        <v>0</v>
      </c>
      <c r="Q265" s="57">
        <f t="shared" ref="Q265:Q267" si="238">SUM(O265:P265)</f>
        <v>0</v>
      </c>
      <c r="R265" s="58"/>
      <c r="S265" s="124">
        <f>S258*A265*1.03*1.03*1.03*1.03*1.03</f>
        <v>0</v>
      </c>
      <c r="T265" s="56">
        <f>T258*A265*1.03*1.03*1.03*1.03</f>
        <v>0</v>
      </c>
      <c r="U265" s="57">
        <f t="shared" ref="U265:U267" si="239">SUM(S265:T265)</f>
        <v>0</v>
      </c>
      <c r="V265" s="59"/>
      <c r="W265" s="124">
        <f t="shared" ref="W265:Y268" si="240">C265+G265+K265+O265+S265</f>
        <v>0</v>
      </c>
      <c r="X265" s="57">
        <f t="shared" si="240"/>
        <v>0</v>
      </c>
      <c r="Y265" s="84">
        <f t="shared" si="240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124">
        <f>C256*(A266*1.03)</f>
        <v>0</v>
      </c>
      <c r="D266" s="56">
        <f>D256*A266*1.03</f>
        <v>0</v>
      </c>
      <c r="E266" s="56">
        <f t="shared" si="235"/>
        <v>0</v>
      </c>
      <c r="F266" s="58"/>
      <c r="G266" s="124">
        <f>G256*A266*1.03*1.03</f>
        <v>0</v>
      </c>
      <c r="H266" s="56">
        <f>H256*A266*1.03*1.03</f>
        <v>0</v>
      </c>
      <c r="I266" s="57">
        <f t="shared" si="236"/>
        <v>0</v>
      </c>
      <c r="J266" s="58"/>
      <c r="K266" s="124">
        <f>K260*A266*1.03*1.03</f>
        <v>0</v>
      </c>
      <c r="L266" s="56">
        <f>L260*A266*1.03*1.03</f>
        <v>0</v>
      </c>
      <c r="M266" s="57">
        <f t="shared" si="237"/>
        <v>0</v>
      </c>
      <c r="N266" s="58"/>
      <c r="O266" s="124">
        <f>O260*A266*1.03*1.03*1.03</f>
        <v>0</v>
      </c>
      <c r="P266" s="56">
        <f>P260*A266*1.03*1.03*1.03</f>
        <v>0</v>
      </c>
      <c r="Q266" s="57">
        <f t="shared" si="238"/>
        <v>0</v>
      </c>
      <c r="R266" s="58"/>
      <c r="S266" s="124">
        <f>S260*A266*1.03*1.03*1.03*1.03</f>
        <v>0</v>
      </c>
      <c r="T266" s="56">
        <f>T260*A266*1.03*1.03*1.03*1.03</f>
        <v>0</v>
      </c>
      <c r="U266" s="57">
        <f t="shared" si="239"/>
        <v>0</v>
      </c>
      <c r="V266" s="59"/>
      <c r="W266" s="124">
        <f t="shared" si="240"/>
        <v>0</v>
      </c>
      <c r="X266" s="57">
        <f t="shared" si="240"/>
        <v>0</v>
      </c>
      <c r="Y266" s="84">
        <f t="shared" si="240"/>
        <v>0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24">
        <f>C261*0.089</f>
        <v>0</v>
      </c>
      <c r="D267" s="56">
        <v>0</v>
      </c>
      <c r="E267" s="56">
        <f t="shared" si="235"/>
        <v>0</v>
      </c>
      <c r="F267" s="58"/>
      <c r="G267" s="55">
        <f>C267*1.05</f>
        <v>0</v>
      </c>
      <c r="H267" s="57">
        <f>D267*1.05</f>
        <v>0</v>
      </c>
      <c r="I267" s="57">
        <f t="shared" si="236"/>
        <v>0</v>
      </c>
      <c r="J267" s="58"/>
      <c r="K267" s="55">
        <f>K256*A266*1.03*1.03*1.03</f>
        <v>0</v>
      </c>
      <c r="L267" s="56">
        <f>L256*A266*1.03*1.03*1.03</f>
        <v>0</v>
      </c>
      <c r="M267" s="57">
        <f t="shared" si="237"/>
        <v>0</v>
      </c>
      <c r="N267" s="58"/>
      <c r="O267" s="55">
        <f>O256*A266*1.03*1.03*1.03*1.03</f>
        <v>0</v>
      </c>
      <c r="P267" s="56">
        <f>P256*A266*1.03*1.03*1.03*1.03</f>
        <v>0</v>
      </c>
      <c r="Q267" s="57">
        <f t="shared" si="238"/>
        <v>0</v>
      </c>
      <c r="R267" s="58"/>
      <c r="S267" s="55">
        <f>S256*A266*1.03*1.03*1.03*1.03*1.03</f>
        <v>0</v>
      </c>
      <c r="T267" s="56">
        <f>T256*A266*1.03*1.03*1.03*1.03*1.03</f>
        <v>0</v>
      </c>
      <c r="U267" s="57">
        <f t="shared" si="239"/>
        <v>0</v>
      </c>
      <c r="V267" s="59"/>
      <c r="W267" s="124">
        <f t="shared" si="240"/>
        <v>0</v>
      </c>
      <c r="X267" s="57">
        <f t="shared" si="240"/>
        <v>0</v>
      </c>
      <c r="Y267" s="84">
        <f t="shared" si="240"/>
        <v>0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0</v>
      </c>
      <c r="D268" s="125">
        <f>SUM(D265:D267)</f>
        <v>0</v>
      </c>
      <c r="E268" s="125">
        <f>SUM(E265:E267)</f>
        <v>0</v>
      </c>
      <c r="F268" s="81"/>
      <c r="G268" s="79">
        <f>SUM(G265:G267)</f>
        <v>0</v>
      </c>
      <c r="H268" s="80">
        <f>SUM(H265:H267)</f>
        <v>0</v>
      </c>
      <c r="I268" s="80">
        <f>SUM(I265:I267)</f>
        <v>0</v>
      </c>
      <c r="J268" s="81"/>
      <c r="K268" s="79">
        <f>SUM(K265:K267)</f>
        <v>0</v>
      </c>
      <c r="L268" s="80">
        <f>SUM(L265:L267)</f>
        <v>0</v>
      </c>
      <c r="M268" s="80">
        <f>SUM(M265:M267)</f>
        <v>0</v>
      </c>
      <c r="N268" s="81"/>
      <c r="O268" s="79">
        <f>SUM(O265:O267)</f>
        <v>0</v>
      </c>
      <c r="P268" s="80">
        <f>SUM(P265:P267)</f>
        <v>0</v>
      </c>
      <c r="Q268" s="80">
        <f>SUM(Q265:Q267)</f>
        <v>0</v>
      </c>
      <c r="R268" s="81"/>
      <c r="S268" s="79">
        <f>SUM(S265:S267)</f>
        <v>0</v>
      </c>
      <c r="T268" s="80">
        <f>SUM(T265:T267)</f>
        <v>0</v>
      </c>
      <c r="U268" s="80">
        <f>SUM(U265:U267)</f>
        <v>0</v>
      </c>
      <c r="V268" s="82"/>
      <c r="W268" s="228">
        <f t="shared" si="240"/>
        <v>0</v>
      </c>
      <c r="X268" s="80">
        <f t="shared" si="240"/>
        <v>0</v>
      </c>
      <c r="Y268" s="80">
        <f t="shared" si="240"/>
        <v>0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241">C268+C263</f>
        <v>0</v>
      </c>
      <c r="D269" s="242">
        <f t="shared" si="241"/>
        <v>0</v>
      </c>
      <c r="E269" s="242">
        <f t="shared" si="241"/>
        <v>0</v>
      </c>
      <c r="F269" s="242">
        <f t="shared" si="241"/>
        <v>0</v>
      </c>
      <c r="G269" s="242">
        <f t="shared" si="241"/>
        <v>0</v>
      </c>
      <c r="H269" s="242">
        <f t="shared" si="241"/>
        <v>0</v>
      </c>
      <c r="I269" s="242">
        <f t="shared" si="241"/>
        <v>0</v>
      </c>
      <c r="J269" s="242">
        <f t="shared" si="241"/>
        <v>0</v>
      </c>
      <c r="K269" s="242">
        <f t="shared" si="241"/>
        <v>0</v>
      </c>
      <c r="L269" s="242">
        <f t="shared" si="241"/>
        <v>0</v>
      </c>
      <c r="M269" s="242">
        <f t="shared" si="241"/>
        <v>0</v>
      </c>
      <c r="N269" s="242">
        <f t="shared" si="241"/>
        <v>0</v>
      </c>
      <c r="O269" s="242">
        <f t="shared" si="241"/>
        <v>0</v>
      </c>
      <c r="P269" s="242">
        <f t="shared" si="241"/>
        <v>0</v>
      </c>
      <c r="Q269" s="242">
        <f t="shared" si="241"/>
        <v>0</v>
      </c>
      <c r="R269" s="242">
        <f t="shared" si="241"/>
        <v>0</v>
      </c>
      <c r="S269" s="242">
        <f t="shared" si="241"/>
        <v>0</v>
      </c>
      <c r="T269" s="242">
        <f t="shared" si="241"/>
        <v>0</v>
      </c>
      <c r="U269" s="242">
        <f t="shared" si="241"/>
        <v>0</v>
      </c>
      <c r="V269" s="242">
        <f t="shared" si="241"/>
        <v>0</v>
      </c>
      <c r="W269" s="242">
        <f t="shared" si="241"/>
        <v>0</v>
      </c>
      <c r="X269" s="242">
        <f t="shared" si="241"/>
        <v>0</v>
      </c>
      <c r="Y269" s="242">
        <f t="shared" si="241"/>
        <v>0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24">
        <v>0</v>
      </c>
      <c r="D271" s="56">
        <v>0</v>
      </c>
      <c r="E271" s="56">
        <f t="shared" ref="E271:E273" si="242">SUM(C271:D271)</f>
        <v>0</v>
      </c>
      <c r="F271" s="58"/>
      <c r="G271" s="55">
        <v>0</v>
      </c>
      <c r="H271" s="57">
        <v>0</v>
      </c>
      <c r="I271" s="57">
        <f t="shared" ref="I271:I273" si="243">SUM(G271:H271)</f>
        <v>0</v>
      </c>
      <c r="J271" s="58"/>
      <c r="K271" s="55">
        <v>0</v>
      </c>
      <c r="L271" s="57">
        <v>0</v>
      </c>
      <c r="M271" s="57">
        <f t="shared" ref="M271:M273" si="244">SUM(K271:L271)</f>
        <v>0</v>
      </c>
      <c r="N271" s="58"/>
      <c r="O271" s="55">
        <v>0</v>
      </c>
      <c r="P271" s="57">
        <v>0</v>
      </c>
      <c r="Q271" s="57">
        <f t="shared" ref="Q271:Q273" si="245">SUM(O271:P271)</f>
        <v>0</v>
      </c>
      <c r="R271" s="58"/>
      <c r="S271" s="55">
        <v>0</v>
      </c>
      <c r="T271" s="57">
        <v>0</v>
      </c>
      <c r="U271" s="57">
        <f t="shared" ref="U271:U273" si="246">SUM(S271:T271)</f>
        <v>0</v>
      </c>
      <c r="V271" s="59"/>
      <c r="W271" s="124">
        <f t="shared" ref="W271:Y274" si="247">C271+G271+K271+O271+S271</f>
        <v>0</v>
      </c>
      <c r="X271" s="57">
        <f t="shared" si="247"/>
        <v>0</v>
      </c>
      <c r="Y271" s="84">
        <f t="shared" si="247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24">
        <v>0</v>
      </c>
      <c r="D272" s="56">
        <v>0</v>
      </c>
      <c r="E272" s="56">
        <f t="shared" si="242"/>
        <v>0</v>
      </c>
      <c r="F272" s="58"/>
      <c r="G272" s="55">
        <v>0</v>
      </c>
      <c r="H272" s="57">
        <v>0</v>
      </c>
      <c r="I272" s="57">
        <f t="shared" si="243"/>
        <v>0</v>
      </c>
      <c r="J272" s="58"/>
      <c r="K272" s="55">
        <v>0</v>
      </c>
      <c r="L272" s="57">
        <v>0</v>
      </c>
      <c r="M272" s="57">
        <f t="shared" si="244"/>
        <v>0</v>
      </c>
      <c r="N272" s="58"/>
      <c r="O272" s="55">
        <f>K272</f>
        <v>0</v>
      </c>
      <c r="P272" s="57">
        <v>0</v>
      </c>
      <c r="Q272" s="57">
        <f t="shared" si="245"/>
        <v>0</v>
      </c>
      <c r="R272" s="58"/>
      <c r="S272" s="55">
        <f>O272</f>
        <v>0</v>
      </c>
      <c r="T272" s="57">
        <v>0</v>
      </c>
      <c r="U272" s="57">
        <f t="shared" si="246"/>
        <v>0</v>
      </c>
      <c r="V272" s="59"/>
      <c r="W272" s="124">
        <f t="shared" si="247"/>
        <v>0</v>
      </c>
      <c r="X272" s="57">
        <f t="shared" si="247"/>
        <v>0</v>
      </c>
      <c r="Y272" s="84">
        <f t="shared" si="247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24">
        <v>0</v>
      </c>
      <c r="D273" s="56">
        <v>0</v>
      </c>
      <c r="E273" s="56">
        <f t="shared" si="242"/>
        <v>0</v>
      </c>
      <c r="F273" s="58"/>
      <c r="G273" s="55">
        <v>0</v>
      </c>
      <c r="H273" s="57">
        <v>0</v>
      </c>
      <c r="I273" s="57">
        <f t="shared" si="243"/>
        <v>0</v>
      </c>
      <c r="J273" s="58"/>
      <c r="K273" s="55">
        <f>G273</f>
        <v>0</v>
      </c>
      <c r="L273" s="57">
        <v>0</v>
      </c>
      <c r="M273" s="57">
        <f t="shared" si="244"/>
        <v>0</v>
      </c>
      <c r="N273" s="58"/>
      <c r="O273" s="55">
        <v>0</v>
      </c>
      <c r="P273" s="57">
        <v>0</v>
      </c>
      <c r="Q273" s="57">
        <f t="shared" si="245"/>
        <v>0</v>
      </c>
      <c r="R273" s="58"/>
      <c r="S273" s="55">
        <f>O273</f>
        <v>0</v>
      </c>
      <c r="T273" s="57">
        <v>0</v>
      </c>
      <c r="U273" s="57">
        <f t="shared" si="246"/>
        <v>0</v>
      </c>
      <c r="V273" s="59"/>
      <c r="W273" s="124">
        <f t="shared" si="247"/>
        <v>0</v>
      </c>
      <c r="X273" s="57">
        <f t="shared" si="247"/>
        <v>0</v>
      </c>
      <c r="Y273" s="84">
        <f t="shared" si="247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247"/>
        <v>0</v>
      </c>
      <c r="X274" s="80">
        <f t="shared" si="247"/>
        <v>0</v>
      </c>
      <c r="Y274" s="80">
        <f t="shared" si="247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144</v>
      </c>
      <c r="C276" s="124">
        <f>12*800*0.5*0</f>
        <v>0</v>
      </c>
      <c r="D276" s="56">
        <f>12*800*0.5*0</f>
        <v>0</v>
      </c>
      <c r="E276" s="56">
        <f t="shared" ref="E276:E278" si="248">SUM(C276:D276)</f>
        <v>0</v>
      </c>
      <c r="F276" s="58"/>
      <c r="G276" s="55">
        <f>C276</f>
        <v>0</v>
      </c>
      <c r="H276" s="57">
        <f>D276</f>
        <v>0</v>
      </c>
      <c r="I276" s="57">
        <f t="shared" ref="I276:I278" si="249">SUM(G276:H276)</f>
        <v>0</v>
      </c>
      <c r="J276" s="58"/>
      <c r="K276" s="55">
        <f>G276</f>
        <v>0</v>
      </c>
      <c r="L276" s="57">
        <f>H276</f>
        <v>0</v>
      </c>
      <c r="M276" s="57">
        <f t="shared" ref="M276:M278" si="250">SUM(K276:L276)</f>
        <v>0</v>
      </c>
      <c r="N276" s="58"/>
      <c r="O276" s="55">
        <f>K276</f>
        <v>0</v>
      </c>
      <c r="P276" s="57">
        <f>L276</f>
        <v>0</v>
      </c>
      <c r="Q276" s="57">
        <f t="shared" ref="Q276:Q278" si="251">SUM(O276:P276)</f>
        <v>0</v>
      </c>
      <c r="R276" s="58"/>
      <c r="S276" s="55">
        <f>O276</f>
        <v>0</v>
      </c>
      <c r="T276" s="57">
        <f>P276</f>
        <v>0</v>
      </c>
      <c r="U276" s="57">
        <f t="shared" ref="U276:U278" si="252">SUM(S276:T276)</f>
        <v>0</v>
      </c>
      <c r="V276" s="59"/>
      <c r="W276" s="124">
        <f t="shared" ref="W276:Y279" si="253">C276+G276+K276+O276+S276</f>
        <v>0</v>
      </c>
      <c r="X276" s="57">
        <f t="shared" si="253"/>
        <v>0</v>
      </c>
      <c r="Y276" s="84">
        <f t="shared" si="253"/>
        <v>0</v>
      </c>
    </row>
    <row r="277" spans="1:77" s="61" customFormat="1" x14ac:dyDescent="0.25">
      <c r="A277" s="203"/>
      <c r="B277" s="52" t="s">
        <v>57</v>
      </c>
      <c r="C277" s="124">
        <f>2000*5*0.5*0</f>
        <v>0</v>
      </c>
      <c r="D277" s="56">
        <f>2000*5*0.5*0</f>
        <v>0</v>
      </c>
      <c r="E277" s="56">
        <f t="shared" si="248"/>
        <v>0</v>
      </c>
      <c r="F277" s="58"/>
      <c r="G277" s="55">
        <f>C277</f>
        <v>0</v>
      </c>
      <c r="H277" s="57">
        <f>D277</f>
        <v>0</v>
      </c>
      <c r="I277" s="57">
        <f t="shared" si="249"/>
        <v>0</v>
      </c>
      <c r="J277" s="58"/>
      <c r="K277" s="55">
        <f>G277</f>
        <v>0</v>
      </c>
      <c r="L277" s="57">
        <f>H277</f>
        <v>0</v>
      </c>
      <c r="M277" s="57">
        <f t="shared" si="250"/>
        <v>0</v>
      </c>
      <c r="N277" s="58"/>
      <c r="O277" s="55">
        <f>K277</f>
        <v>0</v>
      </c>
      <c r="P277" s="57">
        <f>L277</f>
        <v>0</v>
      </c>
      <c r="Q277" s="57">
        <f t="shared" si="251"/>
        <v>0</v>
      </c>
      <c r="R277" s="58"/>
      <c r="S277" s="55">
        <f>O277</f>
        <v>0</v>
      </c>
      <c r="T277" s="57">
        <f>P277</f>
        <v>0</v>
      </c>
      <c r="U277" s="57">
        <f t="shared" si="252"/>
        <v>0</v>
      </c>
      <c r="V277" s="59"/>
      <c r="W277" s="124">
        <f t="shared" si="253"/>
        <v>0</v>
      </c>
      <c r="X277" s="57">
        <f t="shared" si="253"/>
        <v>0</v>
      </c>
      <c r="Y277" s="84">
        <f t="shared" si="253"/>
        <v>0</v>
      </c>
    </row>
    <row r="278" spans="1:77" s="61" customFormat="1" x14ac:dyDescent="0.25">
      <c r="A278" s="52"/>
      <c r="B278" s="52"/>
      <c r="C278" s="124">
        <v>0</v>
      </c>
      <c r="D278" s="56">
        <v>0</v>
      </c>
      <c r="E278" s="56">
        <f t="shared" si="248"/>
        <v>0</v>
      </c>
      <c r="F278" s="58"/>
      <c r="G278" s="55">
        <v>0</v>
      </c>
      <c r="H278" s="57">
        <v>0</v>
      </c>
      <c r="I278" s="57">
        <f t="shared" si="249"/>
        <v>0</v>
      </c>
      <c r="J278" s="58"/>
      <c r="K278" s="55">
        <v>0</v>
      </c>
      <c r="L278" s="57">
        <v>0</v>
      </c>
      <c r="M278" s="57">
        <f t="shared" si="250"/>
        <v>0</v>
      </c>
      <c r="N278" s="58"/>
      <c r="O278" s="55">
        <v>0</v>
      </c>
      <c r="P278" s="57">
        <v>0</v>
      </c>
      <c r="Q278" s="57">
        <f t="shared" si="251"/>
        <v>0</v>
      </c>
      <c r="R278" s="58"/>
      <c r="S278" s="55">
        <v>0</v>
      </c>
      <c r="T278" s="57">
        <v>0</v>
      </c>
      <c r="U278" s="57">
        <f t="shared" si="252"/>
        <v>0</v>
      </c>
      <c r="V278" s="59"/>
      <c r="W278" s="124">
        <f t="shared" si="253"/>
        <v>0</v>
      </c>
      <c r="X278" s="57">
        <f t="shared" si="253"/>
        <v>0</v>
      </c>
      <c r="Y278" s="84">
        <f t="shared" si="253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0</v>
      </c>
      <c r="D279" s="125">
        <f>SUM(D276:D278)</f>
        <v>0</v>
      </c>
      <c r="E279" s="125">
        <f>SUM(E276:E278)</f>
        <v>0</v>
      </c>
      <c r="F279" s="81"/>
      <c r="G279" s="79">
        <f>SUM(G276:G278)</f>
        <v>0</v>
      </c>
      <c r="H279" s="80">
        <f>SUM(H276:H278)</f>
        <v>0</v>
      </c>
      <c r="I279" s="80">
        <f>SUM(I276:I278)</f>
        <v>0</v>
      </c>
      <c r="J279" s="81"/>
      <c r="K279" s="79">
        <f>SUM(K276:K278)</f>
        <v>0</v>
      </c>
      <c r="L279" s="80">
        <f>SUM(L276:L278)</f>
        <v>0</v>
      </c>
      <c r="M279" s="80">
        <f>SUM(M276:M278)</f>
        <v>0</v>
      </c>
      <c r="N279" s="81"/>
      <c r="O279" s="79">
        <f>SUM(O276:O278)</f>
        <v>0</v>
      </c>
      <c r="P279" s="80">
        <f>SUM(P276:P278)</f>
        <v>0</v>
      </c>
      <c r="Q279" s="80">
        <f>SUM(Q276:Q278)</f>
        <v>0</v>
      </c>
      <c r="R279" s="81"/>
      <c r="S279" s="79">
        <f>SUM(S276:S278)</f>
        <v>0</v>
      </c>
      <c r="T279" s="80">
        <f>SUM(T276:T278)</f>
        <v>0</v>
      </c>
      <c r="U279" s="80">
        <f>SUM(U276:U278)</f>
        <v>0</v>
      </c>
      <c r="V279" s="82"/>
      <c r="W279" s="228">
        <f t="shared" si="253"/>
        <v>0</v>
      </c>
      <c r="X279" s="80">
        <f t="shared" si="253"/>
        <v>0</v>
      </c>
      <c r="Y279" s="80">
        <f t="shared" si="253"/>
        <v>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24">
        <v>0</v>
      </c>
      <c r="D281" s="56">
        <v>0</v>
      </c>
      <c r="E281" s="56">
        <f>SUM(C281:D281)</f>
        <v>0</v>
      </c>
      <c r="F281" s="58"/>
      <c r="G281" s="55">
        <v>0</v>
      </c>
      <c r="H281" s="56">
        <v>0</v>
      </c>
      <c r="I281" s="56">
        <f>SUM(G281:H281)</f>
        <v>0</v>
      </c>
      <c r="J281" s="58"/>
      <c r="K281" s="55">
        <v>0</v>
      </c>
      <c r="L281" s="56">
        <v>0</v>
      </c>
      <c r="M281" s="56">
        <f>SUM(K281:L281)</f>
        <v>0</v>
      </c>
      <c r="N281" s="58"/>
      <c r="O281" s="55">
        <v>0</v>
      </c>
      <c r="P281" s="56">
        <v>0</v>
      </c>
      <c r="Q281" s="56">
        <f>SUM(O281:P281)</f>
        <v>0</v>
      </c>
      <c r="R281" s="58"/>
      <c r="S281" s="55">
        <v>0</v>
      </c>
      <c r="T281" s="56">
        <v>0</v>
      </c>
      <c r="U281" s="56">
        <f>SUM(S281:T281)</f>
        <v>0</v>
      </c>
      <c r="V281" s="59"/>
      <c r="W281" s="124">
        <f t="shared" ref="W281:Y283" si="254">C281+G281+K281+O281+S281</f>
        <v>0</v>
      </c>
      <c r="X281" s="57">
        <f t="shared" si="254"/>
        <v>0</v>
      </c>
      <c r="Y281" s="84">
        <f t="shared" si="254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24">
        <f>((((5161.98)*1.05)*0.5)+(524.97*1.05))*0</f>
        <v>0</v>
      </c>
      <c r="D282" s="56">
        <v>0</v>
      </c>
      <c r="E282" s="56">
        <f>SUM(C282:D282)</f>
        <v>0</v>
      </c>
      <c r="F282" s="58"/>
      <c r="G282" s="124">
        <f>((((5161.98)*1.05*1.05)*2*4)+(524.97*1.05*1.05*4))*0</f>
        <v>0</v>
      </c>
      <c r="H282" s="56">
        <v>0</v>
      </c>
      <c r="I282" s="56">
        <f>SUM(G282:H282)</f>
        <v>0</v>
      </c>
      <c r="J282" s="58"/>
      <c r="K282" s="124">
        <f>(G282)*1.05</f>
        <v>0</v>
      </c>
      <c r="L282" s="56">
        <v>0</v>
      </c>
      <c r="M282" s="56">
        <f>SUM(K282:L282)</f>
        <v>0</v>
      </c>
      <c r="N282" s="58"/>
      <c r="O282" s="124">
        <f>K283*1.05</f>
        <v>0</v>
      </c>
      <c r="P282" s="56">
        <v>0</v>
      </c>
      <c r="Q282" s="56">
        <f>SUM(O282:P282)</f>
        <v>0</v>
      </c>
      <c r="R282" s="58"/>
      <c r="S282" s="124">
        <f>O282*1.05</f>
        <v>0</v>
      </c>
      <c r="T282" s="56">
        <v>0</v>
      </c>
      <c r="U282" s="56">
        <f>SUM(S282:T282)</f>
        <v>0</v>
      </c>
      <c r="V282" s="59"/>
      <c r="W282" s="124">
        <f t="shared" si="254"/>
        <v>0</v>
      </c>
      <c r="X282" s="56">
        <f t="shared" si="254"/>
        <v>0</v>
      </c>
      <c r="Y282" s="85">
        <f t="shared" si="254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254"/>
        <v>0</v>
      </c>
      <c r="X283" s="80">
        <f t="shared" si="254"/>
        <v>0</v>
      </c>
      <c r="Y283" s="80">
        <f t="shared" si="254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169" customFormat="1" x14ac:dyDescent="0.25">
      <c r="B285" s="169" t="s">
        <v>116</v>
      </c>
      <c r="C285" s="172">
        <v>0</v>
      </c>
      <c r="D285" s="174">
        <v>0</v>
      </c>
      <c r="E285" s="173">
        <f t="shared" ref="E285" si="255">SUM(C285:D285)</f>
        <v>0</v>
      </c>
      <c r="F285" s="175"/>
      <c r="G285" s="172">
        <f>C285</f>
        <v>0</v>
      </c>
      <c r="H285" s="174">
        <v>0</v>
      </c>
      <c r="I285" s="173">
        <f t="shared" ref="I285" si="256">SUM(G285:H285)</f>
        <v>0</v>
      </c>
      <c r="J285" s="175"/>
      <c r="K285" s="172">
        <f>G285</f>
        <v>0</v>
      </c>
      <c r="L285" s="174">
        <v>0</v>
      </c>
      <c r="M285" s="173">
        <f t="shared" ref="M285" si="257">SUM(K285:L285)</f>
        <v>0</v>
      </c>
      <c r="N285" s="175"/>
      <c r="O285" s="172">
        <f>K285</f>
        <v>0</v>
      </c>
      <c r="P285" s="174">
        <v>0</v>
      </c>
      <c r="Q285" s="174">
        <f t="shared" ref="Q285" si="258">SUM(O285:P285)</f>
        <v>0</v>
      </c>
      <c r="R285" s="175"/>
      <c r="S285" s="172">
        <f>O285</f>
        <v>0</v>
      </c>
      <c r="T285" s="174">
        <v>0</v>
      </c>
      <c r="U285" s="173">
        <f t="shared" ref="U285" si="259">SUM(S285:T285)</f>
        <v>0</v>
      </c>
      <c r="V285" s="176"/>
      <c r="W285" s="227">
        <f t="shared" ref="W285:Y289" si="260">C285+G285+K285+O285+S285</f>
        <v>0</v>
      </c>
      <c r="X285" s="173">
        <f t="shared" si="260"/>
        <v>0</v>
      </c>
      <c r="Y285" s="186">
        <f t="shared" si="260"/>
        <v>0</v>
      </c>
    </row>
    <row r="286" spans="1:77" s="61" customFormat="1" x14ac:dyDescent="0.25">
      <c r="A286" s="203"/>
      <c r="B286" s="54" t="s">
        <v>57</v>
      </c>
      <c r="C286" s="124">
        <v>0</v>
      </c>
      <c r="D286" s="56">
        <v>0</v>
      </c>
      <c r="E286" s="56">
        <f t="shared" ref="E286:E288" si="261">SUM(C286:D286)</f>
        <v>0</v>
      </c>
      <c r="F286" s="58"/>
      <c r="G286" s="55">
        <v>0</v>
      </c>
      <c r="H286" s="57">
        <v>0</v>
      </c>
      <c r="I286" s="57">
        <f t="shared" ref="I286:I288" si="262">SUM(G286:H286)</f>
        <v>0</v>
      </c>
      <c r="J286" s="58"/>
      <c r="K286" s="55">
        <v>0</v>
      </c>
      <c r="L286" s="56">
        <v>0</v>
      </c>
      <c r="M286" s="57">
        <f t="shared" ref="M286:M288" si="263">SUM(K286:L286)</f>
        <v>0</v>
      </c>
      <c r="N286" s="58"/>
      <c r="O286" s="55">
        <v>0</v>
      </c>
      <c r="P286" s="57">
        <v>0</v>
      </c>
      <c r="Q286" s="57">
        <f t="shared" ref="Q286:Q288" si="264">SUM(O286:P286)</f>
        <v>0</v>
      </c>
      <c r="R286" s="58"/>
      <c r="S286" s="55">
        <v>0</v>
      </c>
      <c r="T286" s="56">
        <v>0</v>
      </c>
      <c r="U286" s="57">
        <f t="shared" ref="U286:U288" si="265">SUM(S286:T286)</f>
        <v>0</v>
      </c>
      <c r="V286" s="59"/>
      <c r="W286" s="124">
        <f t="shared" si="260"/>
        <v>0</v>
      </c>
      <c r="X286" s="57">
        <f t="shared" si="260"/>
        <v>0</v>
      </c>
      <c r="Y286" s="84">
        <f t="shared" si="260"/>
        <v>0</v>
      </c>
    </row>
    <row r="287" spans="1:77" s="61" customFormat="1" x14ac:dyDescent="0.25">
      <c r="A287" s="54"/>
      <c r="B287" s="54" t="s">
        <v>57</v>
      </c>
      <c r="C287" s="124">
        <v>0</v>
      </c>
      <c r="D287" s="56">
        <v>0</v>
      </c>
      <c r="E287" s="56">
        <f t="shared" si="261"/>
        <v>0</v>
      </c>
      <c r="F287" s="58"/>
      <c r="G287" s="55">
        <v>0</v>
      </c>
      <c r="H287" s="57"/>
      <c r="I287" s="57">
        <f t="shared" si="262"/>
        <v>0</v>
      </c>
      <c r="J287" s="58"/>
      <c r="K287" s="55">
        <v>0</v>
      </c>
      <c r="L287" s="56">
        <v>0</v>
      </c>
      <c r="M287" s="57">
        <f t="shared" si="263"/>
        <v>0</v>
      </c>
      <c r="N287" s="58"/>
      <c r="O287" s="55">
        <v>0</v>
      </c>
      <c r="P287" s="56">
        <v>0</v>
      </c>
      <c r="Q287" s="56">
        <f t="shared" si="264"/>
        <v>0</v>
      </c>
      <c r="R287" s="58"/>
      <c r="S287" s="55">
        <v>0</v>
      </c>
      <c r="T287" s="56">
        <v>0</v>
      </c>
      <c r="U287" s="57">
        <f t="shared" si="265"/>
        <v>0</v>
      </c>
      <c r="V287" s="59"/>
      <c r="W287" s="124">
        <f t="shared" si="260"/>
        <v>0</v>
      </c>
      <c r="X287" s="57">
        <f t="shared" si="260"/>
        <v>0</v>
      </c>
      <c r="Y287" s="84">
        <f t="shared" si="260"/>
        <v>0</v>
      </c>
    </row>
    <row r="288" spans="1:77" s="61" customFormat="1" x14ac:dyDescent="0.25">
      <c r="A288" s="52"/>
      <c r="B288" s="52"/>
      <c r="C288" s="124">
        <v>0</v>
      </c>
      <c r="D288" s="56">
        <v>0</v>
      </c>
      <c r="E288" s="56">
        <f t="shared" si="261"/>
        <v>0</v>
      </c>
      <c r="F288" s="58"/>
      <c r="G288" s="55">
        <v>0</v>
      </c>
      <c r="H288" s="57">
        <v>0</v>
      </c>
      <c r="I288" s="57">
        <f t="shared" si="262"/>
        <v>0</v>
      </c>
      <c r="J288" s="58"/>
      <c r="K288" s="55">
        <v>0</v>
      </c>
      <c r="L288" s="57">
        <v>0</v>
      </c>
      <c r="M288" s="57">
        <f t="shared" si="263"/>
        <v>0</v>
      </c>
      <c r="N288" s="58"/>
      <c r="O288" s="55">
        <v>0</v>
      </c>
      <c r="P288" s="57">
        <v>0</v>
      </c>
      <c r="Q288" s="57">
        <f t="shared" si="264"/>
        <v>0</v>
      </c>
      <c r="R288" s="58"/>
      <c r="S288" s="55">
        <v>0</v>
      </c>
      <c r="T288" s="57">
        <v>0</v>
      </c>
      <c r="U288" s="57">
        <f t="shared" si="265"/>
        <v>0</v>
      </c>
      <c r="V288" s="59"/>
      <c r="W288" s="124">
        <f t="shared" si="260"/>
        <v>0</v>
      </c>
      <c r="X288" s="57">
        <f t="shared" si="260"/>
        <v>0</v>
      </c>
      <c r="Y288" s="84">
        <f t="shared" si="260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0</v>
      </c>
      <c r="D289" s="153">
        <f>SUM(D285:D288)</f>
        <v>0</v>
      </c>
      <c r="E289" s="153">
        <f>SUM(E285:E288)</f>
        <v>0</v>
      </c>
      <c r="F289" s="154"/>
      <c r="G289" s="152">
        <f>SUM(G285:G288)</f>
        <v>0</v>
      </c>
      <c r="H289" s="155">
        <f>SUM(H285:H288)</f>
        <v>0</v>
      </c>
      <c r="I289" s="155">
        <f>SUM(I285:I288)</f>
        <v>0</v>
      </c>
      <c r="J289" s="154"/>
      <c r="K289" s="152">
        <f>SUM(K285:K288)</f>
        <v>0</v>
      </c>
      <c r="L289" s="155">
        <f>SUM(L285:L288)</f>
        <v>0</v>
      </c>
      <c r="M289" s="155">
        <f>SUM(M285:M288)</f>
        <v>0</v>
      </c>
      <c r="N289" s="154"/>
      <c r="O289" s="152">
        <f>SUM(O285:O288)</f>
        <v>0</v>
      </c>
      <c r="P289" s="155">
        <f>SUM(P285:P288)</f>
        <v>0</v>
      </c>
      <c r="Q289" s="155">
        <f>SUM(Q285:Q288)</f>
        <v>0</v>
      </c>
      <c r="R289" s="154"/>
      <c r="S289" s="152">
        <f>SUM(S285:S288)</f>
        <v>0</v>
      </c>
      <c r="T289" s="155">
        <f>SUM(T285:T288)</f>
        <v>0</v>
      </c>
      <c r="U289" s="155">
        <f>SUM(U285:U288)</f>
        <v>0</v>
      </c>
      <c r="V289" s="82"/>
      <c r="W289" s="228">
        <f t="shared" si="260"/>
        <v>0</v>
      </c>
      <c r="X289" s="80">
        <f t="shared" si="260"/>
        <v>0</v>
      </c>
      <c r="Y289" s="80">
        <f t="shared" si="260"/>
        <v>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266">SUM(C269+C274+C279+C283+C289)</f>
        <v>0</v>
      </c>
      <c r="D290" s="246">
        <f t="shared" si="266"/>
        <v>0</v>
      </c>
      <c r="E290" s="246">
        <f t="shared" si="266"/>
        <v>0</v>
      </c>
      <c r="F290" s="246">
        <f t="shared" si="266"/>
        <v>0</v>
      </c>
      <c r="G290" s="246">
        <f t="shared" si="266"/>
        <v>0</v>
      </c>
      <c r="H290" s="246">
        <f t="shared" si="266"/>
        <v>0</v>
      </c>
      <c r="I290" s="246">
        <f t="shared" si="266"/>
        <v>0</v>
      </c>
      <c r="J290" s="246">
        <f t="shared" si="266"/>
        <v>0</v>
      </c>
      <c r="K290" s="246">
        <f t="shared" si="266"/>
        <v>0</v>
      </c>
      <c r="L290" s="246">
        <f t="shared" si="266"/>
        <v>0</v>
      </c>
      <c r="M290" s="246">
        <f t="shared" si="266"/>
        <v>0</v>
      </c>
      <c r="N290" s="246">
        <f t="shared" si="266"/>
        <v>0</v>
      </c>
      <c r="O290" s="246">
        <f t="shared" si="266"/>
        <v>0</v>
      </c>
      <c r="P290" s="246">
        <f t="shared" si="266"/>
        <v>0</v>
      </c>
      <c r="Q290" s="246">
        <f t="shared" si="266"/>
        <v>0</v>
      </c>
      <c r="R290" s="246">
        <f t="shared" si="266"/>
        <v>0</v>
      </c>
      <c r="S290" s="246">
        <f t="shared" si="266"/>
        <v>0</v>
      </c>
      <c r="T290" s="246">
        <f t="shared" si="266"/>
        <v>0</v>
      </c>
      <c r="U290" s="246">
        <f t="shared" si="266"/>
        <v>0</v>
      </c>
      <c r="V290" s="246">
        <f t="shared" si="266"/>
        <v>0</v>
      </c>
      <c r="W290" s="246">
        <f t="shared" si="266"/>
        <v>0</v>
      </c>
      <c r="X290" s="246">
        <f t="shared" si="266"/>
        <v>0</v>
      </c>
      <c r="Y290" s="246">
        <f t="shared" si="266"/>
        <v>0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0</v>
      </c>
      <c r="D291" s="246">
        <v>0</v>
      </c>
      <c r="E291" s="246">
        <f>C291</f>
        <v>0</v>
      </c>
      <c r="F291" s="246">
        <f>F263*0.47</f>
        <v>0</v>
      </c>
      <c r="G291" s="246">
        <f>((G263)*0.56)</f>
        <v>0</v>
      </c>
      <c r="H291" s="246">
        <v>0</v>
      </c>
      <c r="I291" s="246">
        <f>G291</f>
        <v>0</v>
      </c>
      <c r="J291" s="246">
        <f>J263*0.47</f>
        <v>0</v>
      </c>
      <c r="K291" s="246">
        <f>((K263)*0.56)</f>
        <v>0</v>
      </c>
      <c r="L291" s="246">
        <v>0</v>
      </c>
      <c r="M291" s="246">
        <f>K291</f>
        <v>0</v>
      </c>
      <c r="N291" s="246">
        <f>N263*0.47</f>
        <v>0</v>
      </c>
      <c r="O291" s="246">
        <f>((O263)*0.56)</f>
        <v>0</v>
      </c>
      <c r="P291" s="246">
        <v>0</v>
      </c>
      <c r="Q291" s="246">
        <f>O291</f>
        <v>0</v>
      </c>
      <c r="R291" s="246">
        <f>R263*0.47</f>
        <v>0</v>
      </c>
      <c r="S291" s="246">
        <f>((S263)*0.56)</f>
        <v>0</v>
      </c>
      <c r="T291" s="246">
        <v>0</v>
      </c>
      <c r="U291" s="246">
        <f>S291</f>
        <v>0</v>
      </c>
      <c r="V291" s="246">
        <f>V263*0.47</f>
        <v>0</v>
      </c>
      <c r="W291" s="246">
        <f>((W263)*0.56)</f>
        <v>0</v>
      </c>
      <c r="X291" s="246">
        <v>0</v>
      </c>
      <c r="Y291" s="246">
        <f>W291</f>
        <v>0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0</v>
      </c>
      <c r="D292" s="246">
        <f t="shared" ref="D292:Y292" si="267">SUM(D290:D291)</f>
        <v>0</v>
      </c>
      <c r="E292" s="246">
        <f t="shared" si="267"/>
        <v>0</v>
      </c>
      <c r="F292" s="246">
        <f t="shared" si="267"/>
        <v>0</v>
      </c>
      <c r="G292" s="246">
        <f t="shared" si="267"/>
        <v>0</v>
      </c>
      <c r="H292" s="246">
        <f t="shared" si="267"/>
        <v>0</v>
      </c>
      <c r="I292" s="246">
        <f t="shared" si="267"/>
        <v>0</v>
      </c>
      <c r="J292" s="246">
        <f t="shared" si="267"/>
        <v>0</v>
      </c>
      <c r="K292" s="246">
        <f t="shared" si="267"/>
        <v>0</v>
      </c>
      <c r="L292" s="246">
        <f t="shared" si="267"/>
        <v>0</v>
      </c>
      <c r="M292" s="246">
        <f t="shared" si="267"/>
        <v>0</v>
      </c>
      <c r="N292" s="246">
        <f t="shared" si="267"/>
        <v>0</v>
      </c>
      <c r="O292" s="246">
        <f t="shared" si="267"/>
        <v>0</v>
      </c>
      <c r="P292" s="246">
        <f t="shared" si="267"/>
        <v>0</v>
      </c>
      <c r="Q292" s="246">
        <f t="shared" si="267"/>
        <v>0</v>
      </c>
      <c r="R292" s="246">
        <f t="shared" si="267"/>
        <v>0</v>
      </c>
      <c r="S292" s="246">
        <f t="shared" si="267"/>
        <v>0</v>
      </c>
      <c r="T292" s="246">
        <f t="shared" si="267"/>
        <v>0</v>
      </c>
      <c r="U292" s="246">
        <f t="shared" si="267"/>
        <v>0</v>
      </c>
      <c r="V292" s="246">
        <f t="shared" si="267"/>
        <v>0</v>
      </c>
      <c r="W292" s="246">
        <f t="shared" si="267"/>
        <v>0</v>
      </c>
      <c r="X292" s="246">
        <f t="shared" si="267"/>
        <v>0</v>
      </c>
      <c r="Y292" s="246">
        <f t="shared" si="267"/>
        <v>0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169" customFormat="1" x14ac:dyDescent="0.25">
      <c r="A296" s="170" t="s">
        <v>57</v>
      </c>
      <c r="B296" s="169" t="s">
        <v>57</v>
      </c>
      <c r="C296" s="172">
        <v>0</v>
      </c>
      <c r="D296" s="173">
        <v>0</v>
      </c>
      <c r="E296" s="173">
        <f t="shared" ref="E296:E299" si="268">SUM(C296:D296)</f>
        <v>0</v>
      </c>
      <c r="F296" s="175"/>
      <c r="G296" s="172">
        <f>C296*1.03</f>
        <v>0</v>
      </c>
      <c r="H296" s="173">
        <f>D296*1.03</f>
        <v>0</v>
      </c>
      <c r="I296" s="173">
        <f t="shared" ref="I296:I299" si="269">SUM(G296:H296)</f>
        <v>0</v>
      </c>
      <c r="J296" s="175"/>
      <c r="K296" s="172">
        <f>G296*1.03</f>
        <v>0</v>
      </c>
      <c r="L296" s="173">
        <f>H296*1.03</f>
        <v>0</v>
      </c>
      <c r="M296" s="173">
        <f t="shared" ref="M296:M299" si="270">SUM(K296:L296)</f>
        <v>0</v>
      </c>
      <c r="N296" s="175"/>
      <c r="O296" s="172">
        <f>K296*1.03</f>
        <v>0</v>
      </c>
      <c r="P296" s="173">
        <f>L296*1.03</f>
        <v>0</v>
      </c>
      <c r="Q296" s="173">
        <f t="shared" ref="Q296:Q299" si="271">SUM(O296:P296)</f>
        <v>0</v>
      </c>
      <c r="R296" s="175"/>
      <c r="S296" s="172">
        <f>O296*1.03</f>
        <v>0</v>
      </c>
      <c r="T296" s="173">
        <f>P296*1.03</f>
        <v>0</v>
      </c>
      <c r="U296" s="173">
        <f t="shared" ref="U296:U299" si="272">SUM(S296:T296)</f>
        <v>0</v>
      </c>
      <c r="V296" s="176"/>
      <c r="W296" s="227">
        <f>C296+G296+K296+O296+S296</f>
        <v>0</v>
      </c>
      <c r="X296" s="173">
        <f t="shared" ref="X296:Y300" si="273">D296+H296+L296+P296+T296</f>
        <v>0</v>
      </c>
      <c r="Y296" s="177">
        <f t="shared" si="273"/>
        <v>0</v>
      </c>
    </row>
    <row r="297" spans="1:77" s="61" customFormat="1" x14ac:dyDescent="0.25">
      <c r="A297" s="53" t="s">
        <v>57</v>
      </c>
      <c r="B297" s="169" t="s">
        <v>57</v>
      </c>
      <c r="C297" s="172">
        <v>0</v>
      </c>
      <c r="D297" s="173">
        <v>0</v>
      </c>
      <c r="E297" s="173">
        <f t="shared" si="268"/>
        <v>0</v>
      </c>
      <c r="F297" s="175"/>
      <c r="G297" s="172">
        <f t="shared" ref="G297:H299" si="274">C297*1.03</f>
        <v>0</v>
      </c>
      <c r="H297" s="173">
        <f t="shared" si="274"/>
        <v>0</v>
      </c>
      <c r="I297" s="173">
        <f t="shared" si="269"/>
        <v>0</v>
      </c>
      <c r="J297" s="175"/>
      <c r="K297" s="172">
        <f t="shared" ref="K297:L299" si="275">G297*1.03</f>
        <v>0</v>
      </c>
      <c r="L297" s="173">
        <f t="shared" si="275"/>
        <v>0</v>
      </c>
      <c r="M297" s="173">
        <f t="shared" si="270"/>
        <v>0</v>
      </c>
      <c r="N297" s="175"/>
      <c r="O297" s="172">
        <f t="shared" ref="O297:P299" si="276">K297*1.03</f>
        <v>0</v>
      </c>
      <c r="P297" s="173">
        <f t="shared" si="276"/>
        <v>0</v>
      </c>
      <c r="Q297" s="173">
        <f t="shared" si="271"/>
        <v>0</v>
      </c>
      <c r="R297" s="175"/>
      <c r="S297" s="172">
        <f t="shared" ref="S297:T299" si="277">O297*1.03</f>
        <v>0</v>
      </c>
      <c r="T297" s="173">
        <f t="shared" si="277"/>
        <v>0</v>
      </c>
      <c r="U297" s="173">
        <f t="shared" si="272"/>
        <v>0</v>
      </c>
      <c r="V297" s="176"/>
      <c r="W297" s="227">
        <f t="shared" ref="W297:W300" si="278">C297+G297+K297+O297+S297</f>
        <v>0</v>
      </c>
      <c r="X297" s="173">
        <f t="shared" si="273"/>
        <v>0</v>
      </c>
      <c r="Y297" s="177">
        <f t="shared" si="273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v>0</v>
      </c>
      <c r="D298" s="173">
        <v>0</v>
      </c>
      <c r="E298" s="173">
        <f t="shared" si="268"/>
        <v>0</v>
      </c>
      <c r="F298" s="175"/>
      <c r="G298" s="172">
        <f t="shared" si="274"/>
        <v>0</v>
      </c>
      <c r="H298" s="173">
        <f t="shared" si="274"/>
        <v>0</v>
      </c>
      <c r="I298" s="173">
        <f t="shared" si="269"/>
        <v>0</v>
      </c>
      <c r="J298" s="175"/>
      <c r="K298" s="172">
        <f t="shared" si="275"/>
        <v>0</v>
      </c>
      <c r="L298" s="173">
        <f t="shared" si="275"/>
        <v>0</v>
      </c>
      <c r="M298" s="173">
        <f t="shared" si="270"/>
        <v>0</v>
      </c>
      <c r="N298" s="175"/>
      <c r="O298" s="172">
        <f t="shared" si="276"/>
        <v>0</v>
      </c>
      <c r="P298" s="173">
        <f t="shared" si="276"/>
        <v>0</v>
      </c>
      <c r="Q298" s="173">
        <f t="shared" si="271"/>
        <v>0</v>
      </c>
      <c r="R298" s="175"/>
      <c r="S298" s="172">
        <f t="shared" si="277"/>
        <v>0</v>
      </c>
      <c r="T298" s="173">
        <f t="shared" si="277"/>
        <v>0</v>
      </c>
      <c r="U298" s="173">
        <f t="shared" si="272"/>
        <v>0</v>
      </c>
      <c r="V298" s="176"/>
      <c r="W298" s="227">
        <f t="shared" si="278"/>
        <v>0</v>
      </c>
      <c r="X298" s="173">
        <f t="shared" si="273"/>
        <v>0</v>
      </c>
      <c r="Y298" s="177">
        <f t="shared" si="273"/>
        <v>0</v>
      </c>
    </row>
    <row r="299" spans="1:77" s="61" customFormat="1" x14ac:dyDescent="0.25">
      <c r="A299" s="52"/>
      <c r="B299" s="169" t="s">
        <v>57</v>
      </c>
      <c r="C299" s="172">
        <v>0</v>
      </c>
      <c r="D299" s="173">
        <v>0</v>
      </c>
      <c r="E299" s="173">
        <f t="shared" si="268"/>
        <v>0</v>
      </c>
      <c r="F299" s="175"/>
      <c r="G299" s="172">
        <f t="shared" si="274"/>
        <v>0</v>
      </c>
      <c r="H299" s="173">
        <f t="shared" si="274"/>
        <v>0</v>
      </c>
      <c r="I299" s="173">
        <f t="shared" si="269"/>
        <v>0</v>
      </c>
      <c r="J299" s="175"/>
      <c r="K299" s="172">
        <f t="shared" si="275"/>
        <v>0</v>
      </c>
      <c r="L299" s="173">
        <f t="shared" si="275"/>
        <v>0</v>
      </c>
      <c r="M299" s="173">
        <f t="shared" si="270"/>
        <v>0</v>
      </c>
      <c r="N299" s="175"/>
      <c r="O299" s="172">
        <f t="shared" si="276"/>
        <v>0</v>
      </c>
      <c r="P299" s="173">
        <f t="shared" si="276"/>
        <v>0</v>
      </c>
      <c r="Q299" s="173">
        <f t="shared" si="271"/>
        <v>0</v>
      </c>
      <c r="R299" s="175"/>
      <c r="S299" s="172">
        <f t="shared" si="277"/>
        <v>0</v>
      </c>
      <c r="T299" s="173">
        <f t="shared" si="277"/>
        <v>0</v>
      </c>
      <c r="U299" s="173">
        <f t="shared" si="272"/>
        <v>0</v>
      </c>
      <c r="V299" s="176"/>
      <c r="W299" s="227">
        <f t="shared" si="278"/>
        <v>0</v>
      </c>
      <c r="X299" s="173">
        <f t="shared" si="273"/>
        <v>0</v>
      </c>
      <c r="Y299" s="177">
        <f t="shared" si="273"/>
        <v>0</v>
      </c>
    </row>
    <row r="300" spans="1:77" s="83" customFormat="1" x14ac:dyDescent="0.25">
      <c r="A300" s="78"/>
      <c r="B300" s="78" t="s">
        <v>9</v>
      </c>
      <c r="C300" s="228">
        <f>SUM(C296:C299)</f>
        <v>0</v>
      </c>
      <c r="D300" s="125">
        <f>SUM(D296:D299)</f>
        <v>0</v>
      </c>
      <c r="E300" s="125">
        <f>SUM(E296:E299)</f>
        <v>0</v>
      </c>
      <c r="F300" s="81"/>
      <c r="G300" s="79">
        <f>SUM(G296:G299)</f>
        <v>0</v>
      </c>
      <c r="H300" s="80">
        <f>SUM(H296:H299)</f>
        <v>0</v>
      </c>
      <c r="I300" s="80">
        <f>SUM(I296:I299)</f>
        <v>0</v>
      </c>
      <c r="J300" s="81"/>
      <c r="K300" s="79">
        <f>SUM(K296:K299)</f>
        <v>0</v>
      </c>
      <c r="L300" s="80">
        <f>SUM(L296:L299)</f>
        <v>0</v>
      </c>
      <c r="M300" s="80">
        <f>SUM(M296:M299)</f>
        <v>0</v>
      </c>
      <c r="N300" s="81"/>
      <c r="O300" s="79">
        <f>SUM(O296:O299)</f>
        <v>0</v>
      </c>
      <c r="P300" s="80">
        <f>SUM(P296:P299)</f>
        <v>0</v>
      </c>
      <c r="Q300" s="80">
        <f>SUM(Q296:Q299)</f>
        <v>0</v>
      </c>
      <c r="R300" s="81"/>
      <c r="S300" s="79">
        <f>SUM(S296:S299)</f>
        <v>0</v>
      </c>
      <c r="T300" s="80">
        <f>SUM(T296:T299)</f>
        <v>0</v>
      </c>
      <c r="U300" s="80">
        <f>SUM(U296:U299)</f>
        <v>0</v>
      </c>
      <c r="V300" s="82"/>
      <c r="W300" s="228">
        <f t="shared" si="278"/>
        <v>0</v>
      </c>
      <c r="X300" s="80">
        <f t="shared" si="273"/>
        <v>0</v>
      </c>
      <c r="Y300" s="80">
        <f t="shared" si="273"/>
        <v>0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24">
        <v>0</v>
      </c>
      <c r="D302" s="56">
        <v>0</v>
      </c>
      <c r="E302" s="56">
        <f>SUM(C302:D302)</f>
        <v>0</v>
      </c>
      <c r="F302" s="58"/>
      <c r="G302" s="55">
        <f>C302*1.03</f>
        <v>0</v>
      </c>
      <c r="H302" s="57">
        <f>D302*1.03</f>
        <v>0</v>
      </c>
      <c r="I302" s="57">
        <f>SUM(G302:H302)</f>
        <v>0</v>
      </c>
      <c r="J302" s="58"/>
      <c r="K302" s="55">
        <f t="shared" ref="K302:L305" si="279">G302*1.03</f>
        <v>0</v>
      </c>
      <c r="L302" s="57">
        <f t="shared" si="279"/>
        <v>0</v>
      </c>
      <c r="M302" s="57">
        <f>SUM(K302:L302)</f>
        <v>0</v>
      </c>
      <c r="N302" s="58"/>
      <c r="O302" s="55">
        <f>K302*1.03</f>
        <v>0</v>
      </c>
      <c r="P302" s="57">
        <f>L302*1.03</f>
        <v>0</v>
      </c>
      <c r="Q302" s="57">
        <f>SUM(O302:P302)</f>
        <v>0</v>
      </c>
      <c r="R302" s="58"/>
      <c r="S302" s="55">
        <f>O302*1.03</f>
        <v>0</v>
      </c>
      <c r="T302" s="57">
        <f>P302*1.03</f>
        <v>0</v>
      </c>
      <c r="U302" s="57">
        <f>SUM(S302:T302)</f>
        <v>0</v>
      </c>
      <c r="V302" s="59"/>
      <c r="W302" s="124">
        <f t="shared" ref="W302:Y306" si="280">C302+G302+K302+O302+S302</f>
        <v>0</v>
      </c>
      <c r="X302" s="57">
        <f t="shared" si="280"/>
        <v>0</v>
      </c>
      <c r="Y302" s="57">
        <f t="shared" ref="Y302:Y305" si="281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24">
        <v>0</v>
      </c>
      <c r="D303" s="56">
        <v>0</v>
      </c>
      <c r="E303" s="56">
        <f t="shared" ref="E303:E305" si="282">SUM(C303:D303)</f>
        <v>0</v>
      </c>
      <c r="F303" s="58"/>
      <c r="G303" s="55">
        <f t="shared" ref="G303:H305" si="283">C303*1.03</f>
        <v>0</v>
      </c>
      <c r="H303" s="57">
        <f t="shared" si="283"/>
        <v>0</v>
      </c>
      <c r="I303" s="57">
        <f t="shared" ref="I303:I305" si="284">SUM(G303:H303)</f>
        <v>0</v>
      </c>
      <c r="J303" s="58"/>
      <c r="K303" s="55">
        <f t="shared" si="279"/>
        <v>0</v>
      </c>
      <c r="L303" s="57">
        <f t="shared" si="279"/>
        <v>0</v>
      </c>
      <c r="M303" s="57">
        <f t="shared" ref="M303:M305" si="285">SUM(K303:L303)</f>
        <v>0</v>
      </c>
      <c r="N303" s="58"/>
      <c r="O303" s="55">
        <f t="shared" ref="O303:P305" si="286">K303*1.03</f>
        <v>0</v>
      </c>
      <c r="P303" s="57">
        <f t="shared" si="286"/>
        <v>0</v>
      </c>
      <c r="Q303" s="57">
        <f t="shared" ref="Q303:Q305" si="287">SUM(O303:P303)</f>
        <v>0</v>
      </c>
      <c r="R303" s="58"/>
      <c r="S303" s="55">
        <f t="shared" ref="S303:T305" si="288">O303*1.03</f>
        <v>0</v>
      </c>
      <c r="T303" s="57">
        <f t="shared" si="288"/>
        <v>0</v>
      </c>
      <c r="U303" s="57">
        <f t="shared" ref="U303:U305" si="289">SUM(S303:T303)</f>
        <v>0</v>
      </c>
      <c r="V303" s="59"/>
      <c r="W303" s="124">
        <f t="shared" si="280"/>
        <v>0</v>
      </c>
      <c r="X303" s="57">
        <f t="shared" si="280"/>
        <v>0</v>
      </c>
      <c r="Y303" s="57">
        <f t="shared" si="281"/>
        <v>0</v>
      </c>
    </row>
    <row r="304" spans="1:77" s="169" customFormat="1" x14ac:dyDescent="0.25">
      <c r="B304" s="61" t="s">
        <v>57</v>
      </c>
      <c r="C304" s="124">
        <v>0</v>
      </c>
      <c r="D304" s="56">
        <v>0</v>
      </c>
      <c r="E304" s="56">
        <f t="shared" si="282"/>
        <v>0</v>
      </c>
      <c r="F304" s="58"/>
      <c r="G304" s="55">
        <f t="shared" si="283"/>
        <v>0</v>
      </c>
      <c r="H304" s="57">
        <f t="shared" si="283"/>
        <v>0</v>
      </c>
      <c r="I304" s="57">
        <f t="shared" si="284"/>
        <v>0</v>
      </c>
      <c r="J304" s="58"/>
      <c r="K304" s="55">
        <f t="shared" si="279"/>
        <v>0</v>
      </c>
      <c r="L304" s="57">
        <f t="shared" si="279"/>
        <v>0</v>
      </c>
      <c r="M304" s="57">
        <f t="shared" si="285"/>
        <v>0</v>
      </c>
      <c r="N304" s="58"/>
      <c r="O304" s="55">
        <f t="shared" si="286"/>
        <v>0</v>
      </c>
      <c r="P304" s="57">
        <f t="shared" si="286"/>
        <v>0</v>
      </c>
      <c r="Q304" s="57">
        <f t="shared" si="287"/>
        <v>0</v>
      </c>
      <c r="R304" s="58"/>
      <c r="S304" s="55">
        <f t="shared" si="288"/>
        <v>0</v>
      </c>
      <c r="T304" s="57">
        <f t="shared" si="288"/>
        <v>0</v>
      </c>
      <c r="U304" s="57">
        <f t="shared" si="289"/>
        <v>0</v>
      </c>
      <c r="V304" s="59"/>
      <c r="W304" s="124">
        <f t="shared" si="280"/>
        <v>0</v>
      </c>
      <c r="X304" s="57">
        <f t="shared" si="280"/>
        <v>0</v>
      </c>
      <c r="Y304" s="57">
        <f t="shared" si="281"/>
        <v>0</v>
      </c>
    </row>
    <row r="305" spans="1:77" s="61" customFormat="1" x14ac:dyDescent="0.25">
      <c r="A305" s="54" t="s">
        <v>57</v>
      </c>
      <c r="B305" s="54" t="s">
        <v>57</v>
      </c>
      <c r="C305" s="124">
        <v>0</v>
      </c>
      <c r="D305" s="56">
        <v>0</v>
      </c>
      <c r="E305" s="56">
        <f t="shared" si="282"/>
        <v>0</v>
      </c>
      <c r="F305" s="58"/>
      <c r="G305" s="55">
        <f t="shared" si="283"/>
        <v>0</v>
      </c>
      <c r="H305" s="57">
        <f t="shared" si="283"/>
        <v>0</v>
      </c>
      <c r="I305" s="57">
        <f t="shared" si="284"/>
        <v>0</v>
      </c>
      <c r="J305" s="58"/>
      <c r="K305" s="55">
        <f t="shared" si="279"/>
        <v>0</v>
      </c>
      <c r="L305" s="57">
        <f t="shared" si="279"/>
        <v>0</v>
      </c>
      <c r="M305" s="57">
        <f t="shared" si="285"/>
        <v>0</v>
      </c>
      <c r="N305" s="58"/>
      <c r="O305" s="55">
        <f t="shared" si="286"/>
        <v>0</v>
      </c>
      <c r="P305" s="57">
        <f t="shared" si="286"/>
        <v>0</v>
      </c>
      <c r="Q305" s="57">
        <f t="shared" si="287"/>
        <v>0</v>
      </c>
      <c r="R305" s="58"/>
      <c r="S305" s="55">
        <f t="shared" si="288"/>
        <v>0</v>
      </c>
      <c r="T305" s="57">
        <f t="shared" si="288"/>
        <v>0</v>
      </c>
      <c r="U305" s="57">
        <f t="shared" si="289"/>
        <v>0</v>
      </c>
      <c r="V305" s="59"/>
      <c r="W305" s="124">
        <f t="shared" si="280"/>
        <v>0</v>
      </c>
      <c r="X305" s="57">
        <f t="shared" si="280"/>
        <v>0</v>
      </c>
      <c r="Y305" s="57">
        <f t="shared" si="281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280"/>
        <v>0</v>
      </c>
      <c r="X306" s="80">
        <f t="shared" si="280"/>
        <v>0</v>
      </c>
      <c r="Y306" s="80">
        <f t="shared" si="280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290">C306+C300</f>
        <v>0</v>
      </c>
      <c r="D307" s="248">
        <f t="shared" si="290"/>
        <v>0</v>
      </c>
      <c r="E307" s="248">
        <f t="shared" si="290"/>
        <v>0</v>
      </c>
      <c r="F307" s="248">
        <f t="shared" si="290"/>
        <v>0</v>
      </c>
      <c r="G307" s="248">
        <f t="shared" si="290"/>
        <v>0</v>
      </c>
      <c r="H307" s="248">
        <f t="shared" si="290"/>
        <v>0</v>
      </c>
      <c r="I307" s="248">
        <f t="shared" si="290"/>
        <v>0</v>
      </c>
      <c r="J307" s="248">
        <f t="shared" si="290"/>
        <v>0</v>
      </c>
      <c r="K307" s="248">
        <f t="shared" si="290"/>
        <v>0</v>
      </c>
      <c r="L307" s="248">
        <f t="shared" si="290"/>
        <v>0</v>
      </c>
      <c r="M307" s="248">
        <f t="shared" si="290"/>
        <v>0</v>
      </c>
      <c r="N307" s="248">
        <f t="shared" si="290"/>
        <v>0</v>
      </c>
      <c r="O307" s="248">
        <f t="shared" si="290"/>
        <v>0</v>
      </c>
      <c r="P307" s="248">
        <f t="shared" si="290"/>
        <v>0</v>
      </c>
      <c r="Q307" s="248">
        <f t="shared" si="290"/>
        <v>0</v>
      </c>
      <c r="R307" s="248">
        <f t="shared" si="290"/>
        <v>0</v>
      </c>
      <c r="S307" s="248">
        <f t="shared" si="290"/>
        <v>0</v>
      </c>
      <c r="T307" s="248">
        <f t="shared" si="290"/>
        <v>0</v>
      </c>
      <c r="U307" s="248">
        <f t="shared" si="290"/>
        <v>0</v>
      </c>
      <c r="V307" s="248">
        <f t="shared" si="290"/>
        <v>0</v>
      </c>
      <c r="W307" s="248">
        <f t="shared" si="290"/>
        <v>0</v>
      </c>
      <c r="X307" s="248">
        <f t="shared" si="290"/>
        <v>0</v>
      </c>
      <c r="Y307" s="249">
        <f>E307+I307+M307+Q307+U307</f>
        <v>0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244">
        <f>C302*A309* 1.03</f>
        <v>0</v>
      </c>
      <c r="D309" s="56">
        <f>D302*A309</f>
        <v>0</v>
      </c>
      <c r="E309" s="56">
        <f t="shared" ref="E309:E311" si="291">SUM(C309:D309)</f>
        <v>0</v>
      </c>
      <c r="F309" s="58"/>
      <c r="G309" s="124">
        <f>G302*A309*1.03*1.03</f>
        <v>0</v>
      </c>
      <c r="H309" s="56">
        <f>H302*A309*1.03</f>
        <v>0</v>
      </c>
      <c r="I309" s="57">
        <f t="shared" ref="I309:I311" si="292">SUM(G309:H309)</f>
        <v>0</v>
      </c>
      <c r="J309" s="58"/>
      <c r="K309" s="124">
        <f>K302*A309*1.03*1.03*1.03</f>
        <v>0</v>
      </c>
      <c r="L309" s="56">
        <f>L302*A309*1.03*1.03</f>
        <v>0</v>
      </c>
      <c r="M309" s="57">
        <f t="shared" ref="M309:M311" si="293">SUM(K309:L309)</f>
        <v>0</v>
      </c>
      <c r="N309" s="58"/>
      <c r="O309" s="124">
        <f>O302*A309*1.03*1.03*1.03*1.03</f>
        <v>0</v>
      </c>
      <c r="P309" s="56">
        <f>P302*A309*1.03*1.03*1.03</f>
        <v>0</v>
      </c>
      <c r="Q309" s="57">
        <f t="shared" ref="Q309:Q311" si="294">SUM(O309:P309)</f>
        <v>0</v>
      </c>
      <c r="R309" s="58"/>
      <c r="S309" s="124">
        <f>S302*A309*1.03*1.03*1.03*1.03*1.03</f>
        <v>0</v>
      </c>
      <c r="T309" s="56">
        <f>T302*A309*1.03*1.03*1.03*1.03</f>
        <v>0</v>
      </c>
      <c r="U309" s="57">
        <f t="shared" ref="U309:U311" si="295">SUM(S309:T309)</f>
        <v>0</v>
      </c>
      <c r="V309" s="59"/>
      <c r="W309" s="124">
        <f t="shared" ref="W309:Y312" si="296">C309+G309+K309+O309+S309</f>
        <v>0</v>
      </c>
      <c r="X309" s="57">
        <f t="shared" si="296"/>
        <v>0</v>
      </c>
      <c r="Y309" s="84">
        <f t="shared" si="296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0.54779999999999995</v>
      </c>
      <c r="B310" s="52" t="s">
        <v>109</v>
      </c>
      <c r="C310" s="124">
        <f>C300*(A310*1.03)</f>
        <v>0</v>
      </c>
      <c r="D310" s="56">
        <f>D300*A310*1.03</f>
        <v>0</v>
      </c>
      <c r="E310" s="56">
        <f t="shared" si="291"/>
        <v>0</v>
      </c>
      <c r="F310" s="58"/>
      <c r="G310" s="124">
        <f>G300*A310*1.03*1.03</f>
        <v>0</v>
      </c>
      <c r="H310" s="56">
        <f>H300*A310*1.03*1.03</f>
        <v>0</v>
      </c>
      <c r="I310" s="57">
        <f t="shared" si="292"/>
        <v>0</v>
      </c>
      <c r="J310" s="58"/>
      <c r="K310" s="124">
        <f>K304*A310*1.03*1.03</f>
        <v>0</v>
      </c>
      <c r="L310" s="56">
        <f>L304*A310*1.03*1.03</f>
        <v>0</v>
      </c>
      <c r="M310" s="57">
        <f t="shared" si="293"/>
        <v>0</v>
      </c>
      <c r="N310" s="58"/>
      <c r="O310" s="124">
        <f>O304*A310*1.03*1.03*1.03</f>
        <v>0</v>
      </c>
      <c r="P310" s="56">
        <f>P304*A310*1.03*1.03*1.03</f>
        <v>0</v>
      </c>
      <c r="Q310" s="57">
        <f t="shared" si="294"/>
        <v>0</v>
      </c>
      <c r="R310" s="58"/>
      <c r="S310" s="124">
        <f>S304*A310*1.03*1.03*1.03*1.03</f>
        <v>0</v>
      </c>
      <c r="T310" s="56">
        <f>T304*A310*1.03*1.03*1.03*1.03</f>
        <v>0</v>
      </c>
      <c r="U310" s="57">
        <f t="shared" si="295"/>
        <v>0</v>
      </c>
      <c r="V310" s="59"/>
      <c r="W310" s="124">
        <f t="shared" si="296"/>
        <v>0</v>
      </c>
      <c r="X310" s="57">
        <f t="shared" si="296"/>
        <v>0</v>
      </c>
      <c r="Y310" s="84">
        <f t="shared" si="296"/>
        <v>0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124">
        <f>C305*0.089</f>
        <v>0</v>
      </c>
      <c r="D311" s="56">
        <v>0</v>
      </c>
      <c r="E311" s="56">
        <f t="shared" si="291"/>
        <v>0</v>
      </c>
      <c r="F311" s="58"/>
      <c r="G311" s="55">
        <f>C311*1.05</f>
        <v>0</v>
      </c>
      <c r="H311" s="57">
        <f>D311*1.05</f>
        <v>0</v>
      </c>
      <c r="I311" s="57">
        <f t="shared" si="292"/>
        <v>0</v>
      </c>
      <c r="J311" s="58"/>
      <c r="K311" s="55">
        <f>K300*A310*1.03*1.03*1.03</f>
        <v>0</v>
      </c>
      <c r="L311" s="56">
        <f>L300*A310*1.03*1.03*1.03</f>
        <v>0</v>
      </c>
      <c r="M311" s="57">
        <f t="shared" si="293"/>
        <v>0</v>
      </c>
      <c r="N311" s="58"/>
      <c r="O311" s="55">
        <f>O300*A310*1.03*1.03*1.03*1.03</f>
        <v>0</v>
      </c>
      <c r="P311" s="56">
        <f>P300*A310*1.03*1.03*1.03*1.03</f>
        <v>0</v>
      </c>
      <c r="Q311" s="57">
        <f t="shared" si="294"/>
        <v>0</v>
      </c>
      <c r="R311" s="58"/>
      <c r="S311" s="55">
        <f>S300*A310*1.03*1.03*1.03*1.03*1.03</f>
        <v>0</v>
      </c>
      <c r="T311" s="56">
        <f>T300*A310*1.03*1.03*1.03*1.03*1.03</f>
        <v>0</v>
      </c>
      <c r="U311" s="57">
        <f t="shared" si="295"/>
        <v>0</v>
      </c>
      <c r="V311" s="59"/>
      <c r="W311" s="124">
        <f t="shared" si="296"/>
        <v>0</v>
      </c>
      <c r="X311" s="57">
        <f t="shared" si="296"/>
        <v>0</v>
      </c>
      <c r="Y311" s="84">
        <f t="shared" si="296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0</v>
      </c>
      <c r="D312" s="125">
        <f>SUM(D309:D311)</f>
        <v>0</v>
      </c>
      <c r="E312" s="125">
        <f>SUM(E309:E311)</f>
        <v>0</v>
      </c>
      <c r="F312" s="81"/>
      <c r="G312" s="79">
        <f>SUM(G309:G311)</f>
        <v>0</v>
      </c>
      <c r="H312" s="80">
        <f>SUM(H309:H311)</f>
        <v>0</v>
      </c>
      <c r="I312" s="80">
        <f>SUM(I309:I311)</f>
        <v>0</v>
      </c>
      <c r="J312" s="81"/>
      <c r="K312" s="79">
        <f>SUM(K309:K311)</f>
        <v>0</v>
      </c>
      <c r="L312" s="80">
        <f>SUM(L309:L311)</f>
        <v>0</v>
      </c>
      <c r="M312" s="80">
        <f>SUM(M309:M311)</f>
        <v>0</v>
      </c>
      <c r="N312" s="81"/>
      <c r="O312" s="79">
        <f>SUM(O309:O311)</f>
        <v>0</v>
      </c>
      <c r="P312" s="80">
        <f>SUM(P309:P311)</f>
        <v>0</v>
      </c>
      <c r="Q312" s="80">
        <f>SUM(Q309:Q311)</f>
        <v>0</v>
      </c>
      <c r="R312" s="81"/>
      <c r="S312" s="79">
        <f>SUM(S309:S311)</f>
        <v>0</v>
      </c>
      <c r="T312" s="80">
        <f>SUM(T309:T311)</f>
        <v>0</v>
      </c>
      <c r="U312" s="80">
        <f>SUM(U309:U311)</f>
        <v>0</v>
      </c>
      <c r="V312" s="82"/>
      <c r="W312" s="228">
        <f t="shared" si="296"/>
        <v>0</v>
      </c>
      <c r="X312" s="80">
        <f t="shared" si="296"/>
        <v>0</v>
      </c>
      <c r="Y312" s="80">
        <f t="shared" si="296"/>
        <v>0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297">C312+C307</f>
        <v>0</v>
      </c>
      <c r="D313" s="248">
        <f t="shared" si="297"/>
        <v>0</v>
      </c>
      <c r="E313" s="248">
        <f t="shared" si="297"/>
        <v>0</v>
      </c>
      <c r="F313" s="248">
        <f t="shared" si="297"/>
        <v>0</v>
      </c>
      <c r="G313" s="248">
        <f t="shared" si="297"/>
        <v>0</v>
      </c>
      <c r="H313" s="248">
        <f t="shared" si="297"/>
        <v>0</v>
      </c>
      <c r="I313" s="248">
        <f t="shared" si="297"/>
        <v>0</v>
      </c>
      <c r="J313" s="248">
        <f t="shared" si="297"/>
        <v>0</v>
      </c>
      <c r="K313" s="248">
        <f t="shared" si="297"/>
        <v>0</v>
      </c>
      <c r="L313" s="248">
        <f t="shared" si="297"/>
        <v>0</v>
      </c>
      <c r="M313" s="248">
        <f t="shared" si="297"/>
        <v>0</v>
      </c>
      <c r="N313" s="248">
        <f t="shared" si="297"/>
        <v>0</v>
      </c>
      <c r="O313" s="248">
        <f t="shared" si="297"/>
        <v>0</v>
      </c>
      <c r="P313" s="248">
        <f t="shared" si="297"/>
        <v>0</v>
      </c>
      <c r="Q313" s="248">
        <f t="shared" si="297"/>
        <v>0</v>
      </c>
      <c r="R313" s="248">
        <f t="shared" si="297"/>
        <v>0</v>
      </c>
      <c r="S313" s="248">
        <f t="shared" si="297"/>
        <v>0</v>
      </c>
      <c r="T313" s="248">
        <f t="shared" si="297"/>
        <v>0</v>
      </c>
      <c r="U313" s="248">
        <f t="shared" si="297"/>
        <v>0</v>
      </c>
      <c r="V313" s="248">
        <f t="shared" si="297"/>
        <v>0</v>
      </c>
      <c r="W313" s="248">
        <f t="shared" si="297"/>
        <v>0</v>
      </c>
      <c r="X313" s="248">
        <f t="shared" si="297"/>
        <v>0</v>
      </c>
      <c r="Y313" s="248">
        <f t="shared" si="297"/>
        <v>0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24">
        <v>0</v>
      </c>
      <c r="D315" s="56">
        <v>0</v>
      </c>
      <c r="E315" s="56">
        <f t="shared" ref="E315:E317" si="298">SUM(C315:D315)</f>
        <v>0</v>
      </c>
      <c r="F315" s="58"/>
      <c r="G315" s="55">
        <v>0</v>
      </c>
      <c r="H315" s="57">
        <v>0</v>
      </c>
      <c r="I315" s="57">
        <f t="shared" ref="I315:I317" si="299">SUM(G315:H315)</f>
        <v>0</v>
      </c>
      <c r="J315" s="58"/>
      <c r="K315" s="55">
        <v>0</v>
      </c>
      <c r="L315" s="57">
        <v>0</v>
      </c>
      <c r="M315" s="57">
        <f t="shared" ref="M315:M317" si="300">SUM(K315:L315)</f>
        <v>0</v>
      </c>
      <c r="N315" s="58"/>
      <c r="O315" s="55">
        <v>0</v>
      </c>
      <c r="P315" s="57">
        <v>0</v>
      </c>
      <c r="Q315" s="57">
        <f t="shared" ref="Q315:Q317" si="301">SUM(O315:P315)</f>
        <v>0</v>
      </c>
      <c r="R315" s="58"/>
      <c r="S315" s="55">
        <v>0</v>
      </c>
      <c r="T315" s="57">
        <v>0</v>
      </c>
      <c r="U315" s="57">
        <f t="shared" ref="U315:U317" si="302">SUM(S315:T315)</f>
        <v>0</v>
      </c>
      <c r="V315" s="59"/>
      <c r="W315" s="124">
        <f t="shared" ref="W315:Y318" si="303">C315+G315+K315+O315+S315</f>
        <v>0</v>
      </c>
      <c r="X315" s="57">
        <f t="shared" si="303"/>
        <v>0</v>
      </c>
      <c r="Y315" s="84">
        <f t="shared" si="303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24">
        <v>0</v>
      </c>
      <c r="D316" s="56">
        <v>0</v>
      </c>
      <c r="E316" s="56">
        <f t="shared" si="298"/>
        <v>0</v>
      </c>
      <c r="F316" s="58"/>
      <c r="G316" s="55">
        <v>0</v>
      </c>
      <c r="H316" s="57">
        <v>0</v>
      </c>
      <c r="I316" s="57">
        <f t="shared" si="299"/>
        <v>0</v>
      </c>
      <c r="J316" s="58"/>
      <c r="K316" s="55">
        <v>0</v>
      </c>
      <c r="L316" s="57">
        <v>0</v>
      </c>
      <c r="M316" s="57">
        <f t="shared" si="300"/>
        <v>0</v>
      </c>
      <c r="N316" s="58"/>
      <c r="O316" s="55">
        <f>K316</f>
        <v>0</v>
      </c>
      <c r="P316" s="57">
        <v>0</v>
      </c>
      <c r="Q316" s="57">
        <f t="shared" si="301"/>
        <v>0</v>
      </c>
      <c r="R316" s="58"/>
      <c r="S316" s="55">
        <f>O316</f>
        <v>0</v>
      </c>
      <c r="T316" s="57">
        <v>0</v>
      </c>
      <c r="U316" s="57">
        <f t="shared" si="302"/>
        <v>0</v>
      </c>
      <c r="V316" s="59"/>
      <c r="W316" s="124">
        <f t="shared" si="303"/>
        <v>0</v>
      </c>
      <c r="X316" s="57">
        <f t="shared" si="303"/>
        <v>0</v>
      </c>
      <c r="Y316" s="84">
        <f t="shared" si="303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24">
        <v>0</v>
      </c>
      <c r="D317" s="56">
        <v>0</v>
      </c>
      <c r="E317" s="56">
        <f t="shared" si="298"/>
        <v>0</v>
      </c>
      <c r="F317" s="58"/>
      <c r="G317" s="55">
        <v>0</v>
      </c>
      <c r="H317" s="57">
        <v>0</v>
      </c>
      <c r="I317" s="57">
        <f t="shared" si="299"/>
        <v>0</v>
      </c>
      <c r="J317" s="58"/>
      <c r="K317" s="55">
        <f>G317</f>
        <v>0</v>
      </c>
      <c r="L317" s="57">
        <v>0</v>
      </c>
      <c r="M317" s="57">
        <f t="shared" si="300"/>
        <v>0</v>
      </c>
      <c r="N317" s="58"/>
      <c r="O317" s="55">
        <v>0</v>
      </c>
      <c r="P317" s="57">
        <v>0</v>
      </c>
      <c r="Q317" s="57">
        <f t="shared" si="301"/>
        <v>0</v>
      </c>
      <c r="R317" s="58"/>
      <c r="S317" s="55">
        <f>O317</f>
        <v>0</v>
      </c>
      <c r="T317" s="57">
        <v>0</v>
      </c>
      <c r="U317" s="57">
        <f t="shared" si="302"/>
        <v>0</v>
      </c>
      <c r="V317" s="59"/>
      <c r="W317" s="124">
        <f t="shared" si="303"/>
        <v>0</v>
      </c>
      <c r="X317" s="57">
        <f t="shared" si="303"/>
        <v>0</v>
      </c>
      <c r="Y317" s="84">
        <f t="shared" si="303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303"/>
        <v>0</v>
      </c>
      <c r="X318" s="80">
        <f t="shared" si="303"/>
        <v>0</v>
      </c>
      <c r="Y318" s="80">
        <f t="shared" si="303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144</v>
      </c>
      <c r="C320" s="124">
        <f>12*800*0.5*0</f>
        <v>0</v>
      </c>
      <c r="D320" s="56">
        <f>12*800*0.5*0</f>
        <v>0</v>
      </c>
      <c r="E320" s="56">
        <f t="shared" ref="E320:E322" si="304">SUM(C320:D320)</f>
        <v>0</v>
      </c>
      <c r="F320" s="58"/>
      <c r="G320" s="55">
        <f>C320</f>
        <v>0</v>
      </c>
      <c r="H320" s="57">
        <f>D320</f>
        <v>0</v>
      </c>
      <c r="I320" s="57">
        <f t="shared" ref="I320:I322" si="305">SUM(G320:H320)</f>
        <v>0</v>
      </c>
      <c r="J320" s="58"/>
      <c r="K320" s="55">
        <f>G320</f>
        <v>0</v>
      </c>
      <c r="L320" s="57">
        <f>H320</f>
        <v>0</v>
      </c>
      <c r="M320" s="57">
        <f t="shared" ref="M320:M322" si="306">SUM(K320:L320)</f>
        <v>0</v>
      </c>
      <c r="N320" s="58"/>
      <c r="O320" s="55">
        <f>K320</f>
        <v>0</v>
      </c>
      <c r="P320" s="57">
        <f>L320</f>
        <v>0</v>
      </c>
      <c r="Q320" s="57">
        <f t="shared" ref="Q320:Q322" si="307">SUM(O320:P320)</f>
        <v>0</v>
      </c>
      <c r="R320" s="58"/>
      <c r="S320" s="55">
        <f>O320</f>
        <v>0</v>
      </c>
      <c r="T320" s="57">
        <f>P320</f>
        <v>0</v>
      </c>
      <c r="U320" s="57">
        <f t="shared" ref="U320:U322" si="308">SUM(S320:T320)</f>
        <v>0</v>
      </c>
      <c r="V320" s="59"/>
      <c r="W320" s="124">
        <f t="shared" ref="W320:Y323" si="309">C320+G320+K320+O320+S320</f>
        <v>0</v>
      </c>
      <c r="X320" s="57">
        <f t="shared" si="309"/>
        <v>0</v>
      </c>
      <c r="Y320" s="84">
        <f t="shared" si="309"/>
        <v>0</v>
      </c>
    </row>
    <row r="321" spans="1:77" s="61" customFormat="1" x14ac:dyDescent="0.25">
      <c r="A321" s="203"/>
      <c r="B321" s="52" t="s">
        <v>57</v>
      </c>
      <c r="C321" s="124">
        <f>2000*5*0.5*0</f>
        <v>0</v>
      </c>
      <c r="D321" s="56">
        <f>2000*5*0.5*0</f>
        <v>0</v>
      </c>
      <c r="E321" s="56">
        <f t="shared" si="304"/>
        <v>0</v>
      </c>
      <c r="F321" s="58"/>
      <c r="G321" s="55">
        <f>C321</f>
        <v>0</v>
      </c>
      <c r="H321" s="57">
        <f>D321</f>
        <v>0</v>
      </c>
      <c r="I321" s="57">
        <f t="shared" si="305"/>
        <v>0</v>
      </c>
      <c r="J321" s="58"/>
      <c r="K321" s="55">
        <f>G321</f>
        <v>0</v>
      </c>
      <c r="L321" s="57">
        <f>H321</f>
        <v>0</v>
      </c>
      <c r="M321" s="57">
        <f t="shared" si="306"/>
        <v>0</v>
      </c>
      <c r="N321" s="58"/>
      <c r="O321" s="55">
        <f>K321</f>
        <v>0</v>
      </c>
      <c r="P321" s="57">
        <f>L321</f>
        <v>0</v>
      </c>
      <c r="Q321" s="57">
        <f t="shared" si="307"/>
        <v>0</v>
      </c>
      <c r="R321" s="58"/>
      <c r="S321" s="55">
        <f>O321</f>
        <v>0</v>
      </c>
      <c r="T321" s="57">
        <f>P321</f>
        <v>0</v>
      </c>
      <c r="U321" s="57">
        <f t="shared" si="308"/>
        <v>0</v>
      </c>
      <c r="V321" s="59"/>
      <c r="W321" s="124">
        <f t="shared" si="309"/>
        <v>0</v>
      </c>
      <c r="X321" s="57">
        <f t="shared" si="309"/>
        <v>0</v>
      </c>
      <c r="Y321" s="84">
        <f t="shared" si="309"/>
        <v>0</v>
      </c>
    </row>
    <row r="322" spans="1:77" s="61" customFormat="1" x14ac:dyDescent="0.25">
      <c r="A322" s="52"/>
      <c r="B322" s="52"/>
      <c r="C322" s="124">
        <v>0</v>
      </c>
      <c r="D322" s="56">
        <v>0</v>
      </c>
      <c r="E322" s="56">
        <f t="shared" si="304"/>
        <v>0</v>
      </c>
      <c r="F322" s="58"/>
      <c r="G322" s="55">
        <v>0</v>
      </c>
      <c r="H322" s="57">
        <v>0</v>
      </c>
      <c r="I322" s="57">
        <f t="shared" si="305"/>
        <v>0</v>
      </c>
      <c r="J322" s="58"/>
      <c r="K322" s="55">
        <v>0</v>
      </c>
      <c r="L322" s="57">
        <v>0</v>
      </c>
      <c r="M322" s="57">
        <f t="shared" si="306"/>
        <v>0</v>
      </c>
      <c r="N322" s="58"/>
      <c r="O322" s="55">
        <v>0</v>
      </c>
      <c r="P322" s="57">
        <v>0</v>
      </c>
      <c r="Q322" s="57">
        <f t="shared" si="307"/>
        <v>0</v>
      </c>
      <c r="R322" s="58"/>
      <c r="S322" s="55">
        <v>0</v>
      </c>
      <c r="T322" s="57">
        <v>0</v>
      </c>
      <c r="U322" s="57">
        <f t="shared" si="308"/>
        <v>0</v>
      </c>
      <c r="V322" s="59"/>
      <c r="W322" s="124">
        <f t="shared" si="309"/>
        <v>0</v>
      </c>
      <c r="X322" s="57">
        <f t="shared" si="309"/>
        <v>0</v>
      </c>
      <c r="Y322" s="84">
        <f t="shared" si="309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0</v>
      </c>
      <c r="D323" s="125">
        <f>SUM(D320:D322)</f>
        <v>0</v>
      </c>
      <c r="E323" s="125">
        <f>SUM(E320:E322)</f>
        <v>0</v>
      </c>
      <c r="F323" s="81"/>
      <c r="G323" s="79">
        <f>SUM(G320:G322)</f>
        <v>0</v>
      </c>
      <c r="H323" s="80">
        <f>SUM(H320:H322)</f>
        <v>0</v>
      </c>
      <c r="I323" s="80">
        <f>SUM(I320:I322)</f>
        <v>0</v>
      </c>
      <c r="J323" s="81"/>
      <c r="K323" s="79">
        <f>SUM(K320:K322)</f>
        <v>0</v>
      </c>
      <c r="L323" s="80">
        <f>SUM(L320:L322)</f>
        <v>0</v>
      </c>
      <c r="M323" s="80">
        <f>SUM(M320:M322)</f>
        <v>0</v>
      </c>
      <c r="N323" s="81"/>
      <c r="O323" s="79">
        <f>SUM(O320:O322)</f>
        <v>0</v>
      </c>
      <c r="P323" s="80">
        <f>SUM(P320:P322)</f>
        <v>0</v>
      </c>
      <c r="Q323" s="80">
        <f>SUM(Q320:Q322)</f>
        <v>0</v>
      </c>
      <c r="R323" s="81"/>
      <c r="S323" s="79">
        <f>SUM(S320:S322)</f>
        <v>0</v>
      </c>
      <c r="T323" s="80">
        <f>SUM(T320:T322)</f>
        <v>0</v>
      </c>
      <c r="U323" s="80">
        <f>SUM(U320:U322)</f>
        <v>0</v>
      </c>
      <c r="V323" s="82"/>
      <c r="W323" s="228">
        <f t="shared" si="309"/>
        <v>0</v>
      </c>
      <c r="X323" s="80">
        <f t="shared" si="309"/>
        <v>0</v>
      </c>
      <c r="Y323" s="80">
        <f t="shared" si="309"/>
        <v>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24">
        <v>0</v>
      </c>
      <c r="D325" s="56">
        <v>0</v>
      </c>
      <c r="E325" s="56">
        <f>SUM(C325:D325)</f>
        <v>0</v>
      </c>
      <c r="F325" s="58"/>
      <c r="G325" s="55">
        <v>0</v>
      </c>
      <c r="H325" s="56">
        <v>0</v>
      </c>
      <c r="I325" s="56">
        <f>SUM(G325:H325)</f>
        <v>0</v>
      </c>
      <c r="J325" s="58"/>
      <c r="K325" s="55">
        <v>0</v>
      </c>
      <c r="L325" s="56">
        <v>0</v>
      </c>
      <c r="M325" s="56">
        <f>SUM(K325:L325)</f>
        <v>0</v>
      </c>
      <c r="N325" s="58"/>
      <c r="O325" s="55">
        <v>0</v>
      </c>
      <c r="P325" s="56">
        <v>0</v>
      </c>
      <c r="Q325" s="56">
        <f>SUM(O325:P325)</f>
        <v>0</v>
      </c>
      <c r="R325" s="58"/>
      <c r="S325" s="55">
        <v>0</v>
      </c>
      <c r="T325" s="56">
        <v>0</v>
      </c>
      <c r="U325" s="56">
        <f>SUM(S325:T325)</f>
        <v>0</v>
      </c>
      <c r="V325" s="59"/>
      <c r="W325" s="124">
        <f t="shared" ref="W325:Y327" si="310">C325+G325+K325+O325+S325</f>
        <v>0</v>
      </c>
      <c r="X325" s="57">
        <f t="shared" si="310"/>
        <v>0</v>
      </c>
      <c r="Y325" s="84">
        <f t="shared" si="310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24">
        <f>((((5161.98)*1.05)*0.5)+(524.97*1.05))*0</f>
        <v>0</v>
      </c>
      <c r="D326" s="56">
        <v>0</v>
      </c>
      <c r="E326" s="56">
        <f>SUM(C326:D326)</f>
        <v>0</v>
      </c>
      <c r="F326" s="58"/>
      <c r="G326" s="124">
        <f>((((5161.98)*1.05*1.05)*2*4)+(524.97*1.05*1.05*4))*0</f>
        <v>0</v>
      </c>
      <c r="H326" s="56">
        <v>0</v>
      </c>
      <c r="I326" s="56">
        <f>SUM(G326:H326)</f>
        <v>0</v>
      </c>
      <c r="J326" s="58"/>
      <c r="K326" s="124">
        <f>(G326)*1.05</f>
        <v>0</v>
      </c>
      <c r="L326" s="56">
        <v>0</v>
      </c>
      <c r="M326" s="56">
        <f>SUM(K326:L326)</f>
        <v>0</v>
      </c>
      <c r="N326" s="58"/>
      <c r="O326" s="124">
        <f>K327*1.05</f>
        <v>0</v>
      </c>
      <c r="P326" s="56">
        <v>0</v>
      </c>
      <c r="Q326" s="56">
        <f>SUM(O326:P326)</f>
        <v>0</v>
      </c>
      <c r="R326" s="58"/>
      <c r="S326" s="124">
        <f>O326*1.05</f>
        <v>0</v>
      </c>
      <c r="T326" s="56">
        <v>0</v>
      </c>
      <c r="U326" s="56">
        <f>SUM(S326:T326)</f>
        <v>0</v>
      </c>
      <c r="V326" s="59"/>
      <c r="W326" s="124">
        <f t="shared" si="310"/>
        <v>0</v>
      </c>
      <c r="X326" s="56">
        <f t="shared" si="310"/>
        <v>0</v>
      </c>
      <c r="Y326" s="85">
        <f t="shared" si="310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310"/>
        <v>0</v>
      </c>
      <c r="X327" s="80">
        <f t="shared" si="310"/>
        <v>0</v>
      </c>
      <c r="Y327" s="80">
        <f t="shared" si="310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169" customFormat="1" x14ac:dyDescent="0.25">
      <c r="B329" s="169" t="s">
        <v>116</v>
      </c>
      <c r="C329" s="172">
        <v>0</v>
      </c>
      <c r="D329" s="174">
        <v>0</v>
      </c>
      <c r="E329" s="173">
        <f t="shared" ref="E329" si="311">SUM(C329:D329)</f>
        <v>0</v>
      </c>
      <c r="F329" s="175"/>
      <c r="G329" s="172">
        <f>C329</f>
        <v>0</v>
      </c>
      <c r="H329" s="174">
        <v>0</v>
      </c>
      <c r="I329" s="173">
        <f t="shared" ref="I329" si="312">SUM(G329:H329)</f>
        <v>0</v>
      </c>
      <c r="J329" s="175"/>
      <c r="K329" s="172">
        <f>G329</f>
        <v>0</v>
      </c>
      <c r="L329" s="174">
        <v>0</v>
      </c>
      <c r="M329" s="173">
        <f t="shared" ref="M329" si="313">SUM(K329:L329)</f>
        <v>0</v>
      </c>
      <c r="N329" s="175"/>
      <c r="O329" s="172">
        <f>K329</f>
        <v>0</v>
      </c>
      <c r="P329" s="174">
        <v>0</v>
      </c>
      <c r="Q329" s="174">
        <f t="shared" ref="Q329" si="314">SUM(O329:P329)</f>
        <v>0</v>
      </c>
      <c r="R329" s="175"/>
      <c r="S329" s="172">
        <f>O329</f>
        <v>0</v>
      </c>
      <c r="T329" s="174">
        <v>0</v>
      </c>
      <c r="U329" s="173">
        <f t="shared" ref="U329" si="315">SUM(S329:T329)</f>
        <v>0</v>
      </c>
      <c r="V329" s="176"/>
      <c r="W329" s="227">
        <f t="shared" ref="W329:Y333" si="316">C329+G329+K329+O329+S329</f>
        <v>0</v>
      </c>
      <c r="X329" s="173">
        <f t="shared" si="316"/>
        <v>0</v>
      </c>
      <c r="Y329" s="186">
        <f t="shared" si="316"/>
        <v>0</v>
      </c>
    </row>
    <row r="330" spans="1:77" s="61" customFormat="1" x14ac:dyDescent="0.25">
      <c r="A330" s="203"/>
      <c r="B330" s="54" t="s">
        <v>57</v>
      </c>
      <c r="C330" s="124">
        <v>0</v>
      </c>
      <c r="D330" s="56">
        <v>0</v>
      </c>
      <c r="E330" s="56">
        <f t="shared" ref="E330:E332" si="317">SUM(C330:D330)</f>
        <v>0</v>
      </c>
      <c r="F330" s="58"/>
      <c r="G330" s="55">
        <v>0</v>
      </c>
      <c r="H330" s="57">
        <v>0</v>
      </c>
      <c r="I330" s="57">
        <f t="shared" ref="I330:I332" si="318">SUM(G330:H330)</f>
        <v>0</v>
      </c>
      <c r="J330" s="58"/>
      <c r="K330" s="55">
        <v>0</v>
      </c>
      <c r="L330" s="56">
        <v>0</v>
      </c>
      <c r="M330" s="57">
        <f t="shared" ref="M330:M332" si="319">SUM(K330:L330)</f>
        <v>0</v>
      </c>
      <c r="N330" s="58"/>
      <c r="O330" s="55">
        <v>0</v>
      </c>
      <c r="P330" s="57">
        <v>0</v>
      </c>
      <c r="Q330" s="57">
        <f t="shared" ref="Q330:Q332" si="320">SUM(O330:P330)</f>
        <v>0</v>
      </c>
      <c r="R330" s="58"/>
      <c r="S330" s="55">
        <v>0</v>
      </c>
      <c r="T330" s="56">
        <v>0</v>
      </c>
      <c r="U330" s="57">
        <f t="shared" ref="U330:U332" si="321">SUM(S330:T330)</f>
        <v>0</v>
      </c>
      <c r="V330" s="59"/>
      <c r="W330" s="124">
        <f t="shared" si="316"/>
        <v>0</v>
      </c>
      <c r="X330" s="57">
        <f t="shared" si="316"/>
        <v>0</v>
      </c>
      <c r="Y330" s="84">
        <f t="shared" si="316"/>
        <v>0</v>
      </c>
    </row>
    <row r="331" spans="1:77" s="61" customFormat="1" x14ac:dyDescent="0.25">
      <c r="A331" s="54"/>
      <c r="B331" s="54" t="s">
        <v>57</v>
      </c>
      <c r="C331" s="124">
        <v>0</v>
      </c>
      <c r="D331" s="56">
        <v>0</v>
      </c>
      <c r="E331" s="56">
        <f t="shared" si="317"/>
        <v>0</v>
      </c>
      <c r="F331" s="58"/>
      <c r="G331" s="55">
        <v>0</v>
      </c>
      <c r="H331" s="57"/>
      <c r="I331" s="57">
        <f t="shared" si="318"/>
        <v>0</v>
      </c>
      <c r="J331" s="58"/>
      <c r="K331" s="55">
        <v>0</v>
      </c>
      <c r="L331" s="56">
        <v>0</v>
      </c>
      <c r="M331" s="57">
        <f t="shared" si="319"/>
        <v>0</v>
      </c>
      <c r="N331" s="58"/>
      <c r="O331" s="55">
        <v>0</v>
      </c>
      <c r="P331" s="56">
        <v>0</v>
      </c>
      <c r="Q331" s="56">
        <f t="shared" si="320"/>
        <v>0</v>
      </c>
      <c r="R331" s="58"/>
      <c r="S331" s="55">
        <v>0</v>
      </c>
      <c r="T331" s="56">
        <v>0</v>
      </c>
      <c r="U331" s="57">
        <f t="shared" si="321"/>
        <v>0</v>
      </c>
      <c r="V331" s="59"/>
      <c r="W331" s="124">
        <f t="shared" si="316"/>
        <v>0</v>
      </c>
      <c r="X331" s="57">
        <f t="shared" si="316"/>
        <v>0</v>
      </c>
      <c r="Y331" s="84">
        <f t="shared" si="316"/>
        <v>0</v>
      </c>
    </row>
    <row r="332" spans="1:77" s="61" customFormat="1" x14ac:dyDescent="0.25">
      <c r="A332" s="52"/>
      <c r="B332" s="52"/>
      <c r="C332" s="124">
        <v>0</v>
      </c>
      <c r="D332" s="56">
        <v>0</v>
      </c>
      <c r="E332" s="56">
        <f t="shared" si="317"/>
        <v>0</v>
      </c>
      <c r="F332" s="58"/>
      <c r="G332" s="55">
        <v>0</v>
      </c>
      <c r="H332" s="57">
        <v>0</v>
      </c>
      <c r="I332" s="57">
        <f t="shared" si="318"/>
        <v>0</v>
      </c>
      <c r="J332" s="58"/>
      <c r="K332" s="55">
        <v>0</v>
      </c>
      <c r="L332" s="57">
        <v>0</v>
      </c>
      <c r="M332" s="57">
        <f t="shared" si="319"/>
        <v>0</v>
      </c>
      <c r="N332" s="58"/>
      <c r="O332" s="55">
        <v>0</v>
      </c>
      <c r="P332" s="57">
        <v>0</v>
      </c>
      <c r="Q332" s="57">
        <f t="shared" si="320"/>
        <v>0</v>
      </c>
      <c r="R332" s="58"/>
      <c r="S332" s="55">
        <v>0</v>
      </c>
      <c r="T332" s="57">
        <v>0</v>
      </c>
      <c r="U332" s="57">
        <f t="shared" si="321"/>
        <v>0</v>
      </c>
      <c r="V332" s="59"/>
      <c r="W332" s="124">
        <f t="shared" si="316"/>
        <v>0</v>
      </c>
      <c r="X332" s="57">
        <f t="shared" si="316"/>
        <v>0</v>
      </c>
      <c r="Y332" s="84">
        <f t="shared" si="316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0</v>
      </c>
      <c r="D333" s="153">
        <f>SUM(D329:D332)</f>
        <v>0</v>
      </c>
      <c r="E333" s="153">
        <f>SUM(E329:E332)</f>
        <v>0</v>
      </c>
      <c r="F333" s="154"/>
      <c r="G333" s="152">
        <f>SUM(G329:G332)</f>
        <v>0</v>
      </c>
      <c r="H333" s="155">
        <f>SUM(H329:H332)</f>
        <v>0</v>
      </c>
      <c r="I333" s="155">
        <f>SUM(I329:I332)</f>
        <v>0</v>
      </c>
      <c r="J333" s="154"/>
      <c r="K333" s="152">
        <f>SUM(K329:K332)</f>
        <v>0</v>
      </c>
      <c r="L333" s="155">
        <f>SUM(L329:L332)</f>
        <v>0</v>
      </c>
      <c r="M333" s="155">
        <f>SUM(M329:M332)</f>
        <v>0</v>
      </c>
      <c r="N333" s="154"/>
      <c r="O333" s="152">
        <f>SUM(O329:O332)</f>
        <v>0</v>
      </c>
      <c r="P333" s="155">
        <f>SUM(P329:P332)</f>
        <v>0</v>
      </c>
      <c r="Q333" s="155">
        <f>SUM(Q329:Q332)</f>
        <v>0</v>
      </c>
      <c r="R333" s="154"/>
      <c r="S333" s="152">
        <f>SUM(S329:S332)</f>
        <v>0</v>
      </c>
      <c r="T333" s="155">
        <f>SUM(T329:T332)</f>
        <v>0</v>
      </c>
      <c r="U333" s="155">
        <f>SUM(U329:U332)</f>
        <v>0</v>
      </c>
      <c r="V333" s="82"/>
      <c r="W333" s="228">
        <f t="shared" si="316"/>
        <v>0</v>
      </c>
      <c r="X333" s="80">
        <f t="shared" si="316"/>
        <v>0</v>
      </c>
      <c r="Y333" s="80">
        <f t="shared" si="316"/>
        <v>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322">SUM(C313+C318+C323+C327+C333)</f>
        <v>0</v>
      </c>
      <c r="D334" s="251">
        <f t="shared" si="322"/>
        <v>0</v>
      </c>
      <c r="E334" s="251">
        <f t="shared" si="322"/>
        <v>0</v>
      </c>
      <c r="F334" s="251">
        <f t="shared" si="322"/>
        <v>0</v>
      </c>
      <c r="G334" s="251">
        <f t="shared" si="322"/>
        <v>0</v>
      </c>
      <c r="H334" s="251">
        <f t="shared" si="322"/>
        <v>0</v>
      </c>
      <c r="I334" s="251">
        <f t="shared" si="322"/>
        <v>0</v>
      </c>
      <c r="J334" s="251">
        <f t="shared" si="322"/>
        <v>0</v>
      </c>
      <c r="K334" s="251">
        <f t="shared" si="322"/>
        <v>0</v>
      </c>
      <c r="L334" s="251">
        <f t="shared" si="322"/>
        <v>0</v>
      </c>
      <c r="M334" s="251">
        <f t="shared" si="322"/>
        <v>0</v>
      </c>
      <c r="N334" s="251">
        <f t="shared" si="322"/>
        <v>0</v>
      </c>
      <c r="O334" s="251">
        <f t="shared" si="322"/>
        <v>0</v>
      </c>
      <c r="P334" s="251">
        <f t="shared" si="322"/>
        <v>0</v>
      </c>
      <c r="Q334" s="251">
        <f t="shared" si="322"/>
        <v>0</v>
      </c>
      <c r="R334" s="251">
        <f t="shared" si="322"/>
        <v>0</v>
      </c>
      <c r="S334" s="251">
        <f t="shared" si="322"/>
        <v>0</v>
      </c>
      <c r="T334" s="251">
        <f t="shared" si="322"/>
        <v>0</v>
      </c>
      <c r="U334" s="251">
        <f t="shared" si="322"/>
        <v>0</v>
      </c>
      <c r="V334" s="251">
        <f t="shared" si="322"/>
        <v>0</v>
      </c>
      <c r="W334" s="251">
        <f t="shared" si="322"/>
        <v>0</v>
      </c>
      <c r="X334" s="251">
        <f t="shared" si="322"/>
        <v>0</v>
      </c>
      <c r="Y334" s="251">
        <f t="shared" si="322"/>
        <v>0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((C307)*0.56)</f>
        <v>0</v>
      </c>
      <c r="D335" s="251">
        <v>0</v>
      </c>
      <c r="E335" s="251">
        <f>C335</f>
        <v>0</v>
      </c>
      <c r="F335" s="251">
        <f>F307*0.47</f>
        <v>0</v>
      </c>
      <c r="G335" s="251">
        <f>((G307)*0.56)</f>
        <v>0</v>
      </c>
      <c r="H335" s="251">
        <v>0</v>
      </c>
      <c r="I335" s="251">
        <f>G335</f>
        <v>0</v>
      </c>
      <c r="J335" s="251">
        <f>J307*0.47</f>
        <v>0</v>
      </c>
      <c r="K335" s="251">
        <f>((K307)*0.56)</f>
        <v>0</v>
      </c>
      <c r="L335" s="251">
        <v>0</v>
      </c>
      <c r="M335" s="251">
        <f>K335</f>
        <v>0</v>
      </c>
      <c r="N335" s="251">
        <f>N307*0.47</f>
        <v>0</v>
      </c>
      <c r="O335" s="251">
        <f>((O307)*0.56)</f>
        <v>0</v>
      </c>
      <c r="P335" s="251">
        <v>0</v>
      </c>
      <c r="Q335" s="251">
        <f>O335</f>
        <v>0</v>
      </c>
      <c r="R335" s="251">
        <f>R307*0.47</f>
        <v>0</v>
      </c>
      <c r="S335" s="251">
        <f>((S307)*0.56)</f>
        <v>0</v>
      </c>
      <c r="T335" s="251">
        <v>0</v>
      </c>
      <c r="U335" s="251">
        <f>S335</f>
        <v>0</v>
      </c>
      <c r="V335" s="251">
        <f>V307*0.47</f>
        <v>0</v>
      </c>
      <c r="W335" s="251">
        <f>((W307)*0.56)</f>
        <v>0</v>
      </c>
      <c r="X335" s="251">
        <v>0</v>
      </c>
      <c r="Y335" s="251">
        <f>W335</f>
        <v>0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0</v>
      </c>
      <c r="D336" s="251">
        <f t="shared" ref="D336:Y336" si="323">SUM(D334:D335)</f>
        <v>0</v>
      </c>
      <c r="E336" s="251">
        <f t="shared" si="323"/>
        <v>0</v>
      </c>
      <c r="F336" s="251">
        <f t="shared" si="323"/>
        <v>0</v>
      </c>
      <c r="G336" s="251">
        <f t="shared" si="323"/>
        <v>0</v>
      </c>
      <c r="H336" s="251">
        <f t="shared" si="323"/>
        <v>0</v>
      </c>
      <c r="I336" s="251">
        <f t="shared" si="323"/>
        <v>0</v>
      </c>
      <c r="J336" s="251">
        <f t="shared" si="323"/>
        <v>0</v>
      </c>
      <c r="K336" s="251">
        <f t="shared" si="323"/>
        <v>0</v>
      </c>
      <c r="L336" s="251">
        <f t="shared" si="323"/>
        <v>0</v>
      </c>
      <c r="M336" s="251">
        <f t="shared" si="323"/>
        <v>0</v>
      </c>
      <c r="N336" s="251">
        <f t="shared" si="323"/>
        <v>0</v>
      </c>
      <c r="O336" s="251">
        <f t="shared" si="323"/>
        <v>0</v>
      </c>
      <c r="P336" s="251">
        <f t="shared" si="323"/>
        <v>0</v>
      </c>
      <c r="Q336" s="251">
        <f t="shared" si="323"/>
        <v>0</v>
      </c>
      <c r="R336" s="251">
        <f t="shared" si="323"/>
        <v>0</v>
      </c>
      <c r="S336" s="251">
        <f t="shared" si="323"/>
        <v>0</v>
      </c>
      <c r="T336" s="251">
        <f t="shared" si="323"/>
        <v>0</v>
      </c>
      <c r="U336" s="251">
        <f t="shared" si="323"/>
        <v>0</v>
      </c>
      <c r="V336" s="251">
        <f t="shared" si="323"/>
        <v>0</v>
      </c>
      <c r="W336" s="251">
        <f t="shared" si="323"/>
        <v>0</v>
      </c>
      <c r="X336" s="251">
        <f t="shared" si="323"/>
        <v>0</v>
      </c>
      <c r="Y336" s="251">
        <f t="shared" si="323"/>
        <v>0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72830.459520000004</v>
      </c>
      <c r="D339" s="121">
        <f t="shared" ref="D339:X339" si="324">D248+D176+D88+D292+D336</f>
        <v>182342.91174400001</v>
      </c>
      <c r="E339" s="121">
        <f t="shared" si="324"/>
        <v>255173.37126400002</v>
      </c>
      <c r="F339" s="121">
        <f t="shared" si="324"/>
        <v>0</v>
      </c>
      <c r="G339" s="121">
        <f t="shared" si="324"/>
        <v>75681.002674368006</v>
      </c>
      <c r="H339" s="121">
        <f t="shared" si="324"/>
        <v>183863.20142632962</v>
      </c>
      <c r="I339" s="121">
        <f t="shared" si="324"/>
        <v>259544.20410069762</v>
      </c>
      <c r="J339" s="121">
        <f t="shared" si="324"/>
        <v>0</v>
      </c>
      <c r="K339" s="121">
        <f t="shared" si="324"/>
        <v>78657.598951925014</v>
      </c>
      <c r="L339" s="121">
        <f t="shared" si="324"/>
        <v>185450.71944102668</v>
      </c>
      <c r="M339" s="121">
        <f t="shared" si="324"/>
        <v>264108.31839295168</v>
      </c>
      <c r="N339" s="121">
        <f t="shared" si="324"/>
        <v>0</v>
      </c>
      <c r="O339" s="121">
        <f t="shared" si="324"/>
        <v>81766.498639225902</v>
      </c>
      <c r="P339" s="121">
        <f t="shared" si="324"/>
        <v>187108.79927425383</v>
      </c>
      <c r="Q339" s="121">
        <f t="shared" si="324"/>
        <v>268875.29791347974</v>
      </c>
      <c r="R339" s="121">
        <f t="shared" si="324"/>
        <v>0</v>
      </c>
      <c r="S339" s="121">
        <f t="shared" si="324"/>
        <v>85014.289874817245</v>
      </c>
      <c r="T339" s="121">
        <f t="shared" si="324"/>
        <v>188840.95459990256</v>
      </c>
      <c r="U339" s="121">
        <f t="shared" si="324"/>
        <v>273855.2444747198</v>
      </c>
      <c r="V339" s="121">
        <f t="shared" si="324"/>
        <v>0</v>
      </c>
      <c r="W339" s="121">
        <f t="shared" si="324"/>
        <v>393949.84966033621</v>
      </c>
      <c r="X339" s="121">
        <f t="shared" si="324"/>
        <v>927606.58648551267</v>
      </c>
      <c r="Y339" s="121">
        <f>Y248+Y176+Y88+Y292+Y336</f>
        <v>1321556.4361458488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4" customFormat="1" x14ac:dyDescent="0.25">
      <c r="V340" s="45"/>
      <c r="W340" s="47"/>
      <c r="X340" s="47"/>
      <c r="Y340" s="46"/>
    </row>
    <row r="341" spans="1:77" s="4" customFormat="1" x14ac:dyDescent="0.25">
      <c r="V341" s="45"/>
      <c r="W341" s="47"/>
      <c r="X341" s="47"/>
      <c r="Y341" s="46"/>
    </row>
    <row r="342" spans="1:77" s="4" customFormat="1" x14ac:dyDescent="0.25">
      <c r="V342" s="45"/>
      <c r="W342" s="47"/>
      <c r="X342" s="47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47"/>
      <c r="X346" s="47"/>
      <c r="Y346" s="46"/>
    </row>
    <row r="347" spans="1:77" s="4" customFormat="1" x14ac:dyDescent="0.25">
      <c r="V347" s="45"/>
      <c r="W347" s="47"/>
      <c r="X347" s="47"/>
      <c r="Y347" s="46"/>
    </row>
    <row r="348" spans="1:77" s="4" customFormat="1" x14ac:dyDescent="0.25">
      <c r="V348" s="45"/>
      <c r="W348" s="12"/>
      <c r="X348" s="12"/>
      <c r="Y348" s="46"/>
    </row>
    <row r="349" spans="1:77" s="4" customFormat="1" x14ac:dyDescent="0.25">
      <c r="V349" s="45"/>
      <c r="W349" s="12"/>
      <c r="X349" s="12"/>
      <c r="Y349" s="46"/>
    </row>
    <row r="350" spans="1:77" s="4" customFormat="1" x14ac:dyDescent="0.25">
      <c r="V350" s="45"/>
      <c r="W350" s="12"/>
      <c r="X350" s="12"/>
      <c r="Y350" s="46"/>
    </row>
    <row r="351" spans="1:77" s="4" customFormat="1" x14ac:dyDescent="0.25">
      <c r="V351" s="45"/>
      <c r="W351" s="12"/>
      <c r="X351" s="12"/>
      <c r="Y351" s="46"/>
    </row>
    <row r="352" spans="1:77" s="4" customFormat="1" x14ac:dyDescent="0.25">
      <c r="V352" s="45"/>
      <c r="W352" s="12"/>
      <c r="X352" s="12"/>
      <c r="Y352" s="46"/>
    </row>
    <row r="353" spans="22:25" s="4" customFormat="1" x14ac:dyDescent="0.25">
      <c r="V353" s="45"/>
      <c r="W353" s="12"/>
      <c r="X353" s="12"/>
      <c r="Y353" s="46"/>
    </row>
    <row r="354" spans="22:25" s="4" customFormat="1" x14ac:dyDescent="0.25">
      <c r="V354" s="45"/>
      <c r="W354" s="12"/>
      <c r="X354" s="12"/>
      <c r="Y354" s="46"/>
    </row>
    <row r="355" spans="22:25" s="4" customFormat="1" x14ac:dyDescent="0.25">
      <c r="V355" s="45"/>
      <c r="W355" s="12"/>
      <c r="X355" s="12"/>
      <c r="Y355" s="46"/>
    </row>
    <row r="356" spans="22:25" s="4" customFormat="1" x14ac:dyDescent="0.25">
      <c r="V356" s="45"/>
      <c r="W356" s="12"/>
      <c r="X356" s="12"/>
      <c r="Y356" s="46"/>
    </row>
    <row r="357" spans="22:25" s="4" customFormat="1" x14ac:dyDescent="0.25">
      <c r="V357" s="45"/>
      <c r="W357" s="12"/>
      <c r="X357" s="12"/>
      <c r="Y357" s="46"/>
    </row>
    <row r="358" spans="22:25" s="4" customFormat="1" x14ac:dyDescent="0.25">
      <c r="V358" s="45"/>
      <c r="W358" s="12"/>
      <c r="X358" s="12"/>
      <c r="Y358" s="46"/>
    </row>
    <row r="359" spans="22:25" s="4" customFormat="1" x14ac:dyDescent="0.25">
      <c r="V359" s="45"/>
      <c r="W359" s="12"/>
      <c r="X359" s="12"/>
      <c r="Y359" s="46"/>
    </row>
    <row r="360" spans="22:25" s="4" customFormat="1" x14ac:dyDescent="0.25">
      <c r="V360" s="45"/>
      <c r="W360" s="12"/>
      <c r="X360" s="12"/>
      <c r="Y360" s="46"/>
    </row>
    <row r="361" spans="22:25" s="4" customFormat="1" x14ac:dyDescent="0.25">
      <c r="V361" s="45"/>
      <c r="W361" s="12"/>
      <c r="X361" s="12"/>
      <c r="Y361" s="46"/>
    </row>
    <row r="362" spans="22:25" s="4" customFormat="1" x14ac:dyDescent="0.25">
      <c r="V362" s="45"/>
      <c r="W362" s="12"/>
      <c r="X362" s="12"/>
      <c r="Y362" s="46"/>
    </row>
    <row r="363" spans="22:25" s="4" customFormat="1" x14ac:dyDescent="0.25">
      <c r="V363" s="45"/>
      <c r="W363" s="12"/>
      <c r="X363" s="12"/>
      <c r="Y363" s="46"/>
    </row>
    <row r="364" spans="22:25" s="4" customFormat="1" x14ac:dyDescent="0.25">
      <c r="V364" s="45"/>
      <c r="W364" s="12"/>
      <c r="X364" s="12"/>
      <c r="Y364" s="46"/>
    </row>
    <row r="365" spans="22:25" s="4" customFormat="1" x14ac:dyDescent="0.25">
      <c r="V365" s="45"/>
      <c r="W365" s="12"/>
      <c r="X365" s="12"/>
      <c r="Y365" s="46"/>
    </row>
    <row r="366" spans="22:25" s="4" customFormat="1" x14ac:dyDescent="0.25">
      <c r="V366" s="45"/>
      <c r="W366" s="12"/>
      <c r="X366" s="12"/>
      <c r="Y366" s="46"/>
    </row>
    <row r="367" spans="22:25" s="4" customFormat="1" x14ac:dyDescent="0.25">
      <c r="V367" s="45"/>
      <c r="W367" s="12"/>
      <c r="X367" s="12"/>
      <c r="Y367" s="46"/>
    </row>
    <row r="368" spans="22:25" s="4" customFormat="1" x14ac:dyDescent="0.25">
      <c r="V368" s="45"/>
      <c r="W368" s="12"/>
      <c r="X368" s="12"/>
      <c r="Y368" s="46"/>
    </row>
    <row r="369" spans="22:25" s="4" customFormat="1" x14ac:dyDescent="0.25">
      <c r="V369" s="45"/>
      <c r="W369" s="12"/>
      <c r="X369" s="12"/>
      <c r="Y369" s="46"/>
    </row>
    <row r="370" spans="22:25" s="4" customFormat="1" x14ac:dyDescent="0.25">
      <c r="V370" s="45"/>
      <c r="W370" s="12"/>
      <c r="X370" s="12"/>
      <c r="Y370" s="46"/>
    </row>
    <row r="371" spans="22:25" s="4" customFormat="1" x14ac:dyDescent="0.25">
      <c r="V371" s="45"/>
      <c r="W371" s="12"/>
      <c r="X371" s="12"/>
      <c r="Y371" s="46"/>
    </row>
    <row r="372" spans="22:25" s="4" customFormat="1" x14ac:dyDescent="0.25">
      <c r="V372" s="45"/>
      <c r="W372" s="12"/>
      <c r="X372" s="12"/>
      <c r="Y372" s="46"/>
    </row>
    <row r="373" spans="22:25" s="4" customFormat="1" x14ac:dyDescent="0.25">
      <c r="V373" s="45"/>
      <c r="W373" s="12"/>
      <c r="X373" s="12"/>
      <c r="Y373" s="46"/>
    </row>
    <row r="374" spans="22:25" s="4" customFormat="1" x14ac:dyDescent="0.25">
      <c r="V374" s="45"/>
      <c r="W374" s="12"/>
      <c r="X374" s="12"/>
      <c r="Y374" s="46"/>
    </row>
    <row r="375" spans="22:25" s="4" customFormat="1" x14ac:dyDescent="0.25">
      <c r="V375" s="45"/>
      <c r="W375" s="12"/>
      <c r="X375" s="12"/>
      <c r="Y375" s="46"/>
    </row>
    <row r="376" spans="22:25" s="4" customFormat="1" x14ac:dyDescent="0.25">
      <c r="V376" s="45"/>
      <c r="W376" s="12"/>
      <c r="X376" s="12"/>
      <c r="Y376" s="46"/>
    </row>
    <row r="377" spans="22:25" s="4" customFormat="1" x14ac:dyDescent="0.25">
      <c r="V377" s="45"/>
      <c r="W377" s="12"/>
      <c r="X377" s="12"/>
      <c r="Y377" s="46"/>
    </row>
    <row r="378" spans="22:25" s="4" customFormat="1" x14ac:dyDescent="0.25">
      <c r="V378" s="45"/>
      <c r="W378" s="12"/>
      <c r="X378" s="12"/>
      <c r="Y378" s="46"/>
    </row>
    <row r="379" spans="22:25" s="4" customFormat="1" x14ac:dyDescent="0.25">
      <c r="V379" s="45"/>
      <c r="W379" s="12"/>
      <c r="X379" s="12"/>
      <c r="Y379" s="46"/>
    </row>
    <row r="380" spans="22:25" s="4" customFormat="1" x14ac:dyDescent="0.25">
      <c r="V380" s="45"/>
      <c r="W380" s="12"/>
      <c r="X380" s="12"/>
      <c r="Y380" s="46"/>
    </row>
    <row r="381" spans="22:25" s="4" customFormat="1" x14ac:dyDescent="0.25">
      <c r="V381" s="45"/>
      <c r="W381" s="12"/>
      <c r="X381" s="12"/>
      <c r="Y381" s="46"/>
    </row>
    <row r="382" spans="22:25" s="4" customFormat="1" x14ac:dyDescent="0.25">
      <c r="V382" s="45"/>
      <c r="W382" s="12"/>
      <c r="X382" s="12"/>
      <c r="Y382" s="46"/>
    </row>
    <row r="383" spans="22:25" s="4" customFormat="1" x14ac:dyDescent="0.25">
      <c r="V383" s="45"/>
      <c r="W383" s="12"/>
      <c r="X383" s="12"/>
      <c r="Y383" s="46"/>
    </row>
    <row r="384" spans="22:25" s="4" customFormat="1" x14ac:dyDescent="0.25">
      <c r="V384" s="45"/>
      <c r="W384" s="12"/>
      <c r="X384" s="12"/>
      <c r="Y384" s="46"/>
    </row>
    <row r="385" spans="22:25" s="4" customFormat="1" x14ac:dyDescent="0.25">
      <c r="V385" s="45"/>
      <c r="W385" s="12"/>
      <c r="X385" s="12"/>
      <c r="Y385" s="46"/>
    </row>
    <row r="386" spans="22:25" s="4" customFormat="1" x14ac:dyDescent="0.25">
      <c r="V386" s="45"/>
      <c r="W386" s="12"/>
      <c r="X386" s="12"/>
      <c r="Y386" s="46"/>
    </row>
    <row r="387" spans="22:25" s="4" customFormat="1" x14ac:dyDescent="0.25">
      <c r="V387" s="45"/>
      <c r="W387" s="12"/>
      <c r="X387" s="12"/>
      <c r="Y387" s="46"/>
    </row>
    <row r="388" spans="22:25" s="4" customFormat="1" x14ac:dyDescent="0.25">
      <c r="V388" s="45"/>
      <c r="W388" s="12"/>
      <c r="X388" s="12"/>
      <c r="Y388" s="46"/>
    </row>
    <row r="389" spans="22:25" s="4" customFormat="1" x14ac:dyDescent="0.25">
      <c r="V389" s="45"/>
      <c r="W389" s="12"/>
      <c r="X389" s="12"/>
      <c r="Y389" s="46"/>
    </row>
    <row r="390" spans="22:25" s="4" customFormat="1" x14ac:dyDescent="0.25">
      <c r="V390" s="45"/>
      <c r="W390" s="12"/>
      <c r="X390" s="12"/>
      <c r="Y390" s="46"/>
    </row>
    <row r="391" spans="22:25" s="4" customFormat="1" x14ac:dyDescent="0.25">
      <c r="V391" s="45"/>
      <c r="W391" s="12"/>
      <c r="X391" s="12"/>
      <c r="Y391" s="46"/>
    </row>
    <row r="392" spans="22:25" s="4" customFormat="1" x14ac:dyDescent="0.25">
      <c r="V392" s="45"/>
      <c r="W392" s="12"/>
      <c r="X392" s="12"/>
      <c r="Y392" s="46"/>
    </row>
    <row r="393" spans="22:25" s="4" customFormat="1" x14ac:dyDescent="0.25">
      <c r="V393" s="45"/>
      <c r="W393" s="12"/>
      <c r="X393" s="12"/>
      <c r="Y393" s="46"/>
    </row>
    <row r="394" spans="22:25" s="4" customFormat="1" x14ac:dyDescent="0.25">
      <c r="V394" s="45"/>
      <c r="W394" s="12"/>
      <c r="X394" s="12"/>
      <c r="Y394" s="46"/>
    </row>
    <row r="395" spans="22:25" s="4" customFormat="1" x14ac:dyDescent="0.25">
      <c r="V395" s="45"/>
      <c r="W395" s="12"/>
      <c r="X395" s="12"/>
      <c r="Y395" s="46"/>
    </row>
    <row r="396" spans="22:25" s="4" customFormat="1" x14ac:dyDescent="0.25">
      <c r="V396" s="45"/>
      <c r="W396" s="12"/>
      <c r="X396" s="12"/>
      <c r="Y396" s="46"/>
    </row>
    <row r="397" spans="22:25" s="4" customFormat="1" x14ac:dyDescent="0.25">
      <c r="V397" s="45"/>
      <c r="W397" s="12"/>
      <c r="X397" s="12"/>
      <c r="Y397" s="46"/>
    </row>
    <row r="398" spans="22:25" s="4" customFormat="1" x14ac:dyDescent="0.25">
      <c r="V398" s="45"/>
      <c r="W398" s="12"/>
      <c r="X398" s="12"/>
      <c r="Y398" s="46"/>
    </row>
    <row r="399" spans="22:25" s="4" customFormat="1" x14ac:dyDescent="0.25">
      <c r="V399" s="45"/>
      <c r="W399" s="12"/>
      <c r="X399" s="12"/>
      <c r="Y399" s="46"/>
    </row>
    <row r="400" spans="22:25" s="4" customFormat="1" x14ac:dyDescent="0.25">
      <c r="V400" s="45"/>
      <c r="W400" s="12"/>
      <c r="X400" s="12"/>
      <c r="Y400" s="46"/>
    </row>
    <row r="401" spans="22:25" s="4" customFormat="1" x14ac:dyDescent="0.25">
      <c r="V401" s="45"/>
      <c r="W401" s="12"/>
      <c r="X401" s="12"/>
      <c r="Y401" s="46"/>
    </row>
    <row r="402" spans="22:25" s="4" customFormat="1" x14ac:dyDescent="0.25">
      <c r="V402" s="45"/>
      <c r="W402" s="12"/>
      <c r="X402" s="12"/>
      <c r="Y402" s="46"/>
    </row>
    <row r="403" spans="22:25" s="4" customFormat="1" x14ac:dyDescent="0.25">
      <c r="V403" s="45"/>
      <c r="W403" s="12"/>
      <c r="X403" s="12"/>
      <c r="Y403" s="46"/>
    </row>
    <row r="404" spans="22:25" s="4" customFormat="1" x14ac:dyDescent="0.25">
      <c r="V404" s="45"/>
      <c r="W404" s="12"/>
      <c r="X404" s="12"/>
      <c r="Y404" s="46"/>
    </row>
    <row r="405" spans="22:25" s="4" customFormat="1" x14ac:dyDescent="0.25">
      <c r="V405" s="45"/>
      <c r="W405" s="12"/>
      <c r="X405" s="12"/>
      <c r="Y405" s="46"/>
    </row>
    <row r="406" spans="22:25" s="4" customFormat="1" x14ac:dyDescent="0.25">
      <c r="V406" s="45"/>
      <c r="W406" s="12"/>
      <c r="X406" s="12"/>
      <c r="Y406" s="46"/>
    </row>
    <row r="407" spans="22:25" s="4" customFormat="1" x14ac:dyDescent="0.25">
      <c r="V407" s="45"/>
      <c r="W407" s="12"/>
      <c r="X407" s="12"/>
      <c r="Y407" s="46"/>
    </row>
    <row r="408" spans="22:25" s="4" customFormat="1" x14ac:dyDescent="0.25">
      <c r="V408" s="45"/>
      <c r="W408" s="12"/>
      <c r="X408" s="12"/>
      <c r="Y408" s="46"/>
    </row>
    <row r="409" spans="22:25" s="4" customFormat="1" x14ac:dyDescent="0.25">
      <c r="V409" s="45"/>
      <c r="W409" s="12"/>
      <c r="X409" s="12"/>
      <c r="Y409" s="46"/>
    </row>
    <row r="410" spans="22:25" s="4" customFormat="1" x14ac:dyDescent="0.25">
      <c r="V410" s="45"/>
      <c r="W410" s="12"/>
      <c r="X410" s="12"/>
      <c r="Y410" s="46"/>
    </row>
    <row r="411" spans="22:25" s="4" customFormat="1" x14ac:dyDescent="0.25">
      <c r="V411" s="45"/>
      <c r="W411" s="12"/>
      <c r="X411" s="12"/>
      <c r="Y411" s="46"/>
    </row>
    <row r="412" spans="22:25" s="4" customFormat="1" x14ac:dyDescent="0.25">
      <c r="V412" s="45"/>
      <c r="W412" s="12"/>
      <c r="X412" s="12"/>
      <c r="Y412" s="46"/>
    </row>
    <row r="413" spans="22:25" s="4" customFormat="1" x14ac:dyDescent="0.25">
      <c r="V413" s="45"/>
      <c r="W413" s="12"/>
      <c r="X413" s="12"/>
      <c r="Y413" s="46"/>
    </row>
    <row r="414" spans="22:25" s="4" customFormat="1" x14ac:dyDescent="0.25">
      <c r="V414" s="45"/>
      <c r="W414" s="12"/>
      <c r="X414" s="12"/>
      <c r="Y414" s="46"/>
    </row>
    <row r="415" spans="22:25" s="4" customFormat="1" x14ac:dyDescent="0.25">
      <c r="V415" s="45"/>
      <c r="W415" s="12"/>
      <c r="X415" s="12"/>
      <c r="Y415" s="46"/>
    </row>
    <row r="416" spans="22:25" s="4" customFormat="1" x14ac:dyDescent="0.25">
      <c r="V416" s="45"/>
      <c r="W416" s="12"/>
      <c r="X416" s="12"/>
      <c r="Y416" s="46"/>
    </row>
    <row r="417" spans="22:25" s="4" customFormat="1" x14ac:dyDescent="0.25">
      <c r="V417" s="45"/>
      <c r="W417" s="12"/>
      <c r="X417" s="12"/>
      <c r="Y417" s="46"/>
    </row>
    <row r="418" spans="22:25" s="4" customFormat="1" x14ac:dyDescent="0.25">
      <c r="V418" s="45"/>
      <c r="W418" s="12"/>
      <c r="X418" s="12"/>
      <c r="Y418" s="46"/>
    </row>
    <row r="419" spans="22:25" s="4" customFormat="1" x14ac:dyDescent="0.25">
      <c r="V419" s="45"/>
      <c r="W419" s="12"/>
      <c r="X419" s="12"/>
      <c r="Y419" s="46"/>
    </row>
    <row r="420" spans="22:25" s="4" customFormat="1" x14ac:dyDescent="0.25">
      <c r="V420" s="45"/>
      <c r="W420" s="12"/>
      <c r="X420" s="12"/>
      <c r="Y420" s="46"/>
    </row>
    <row r="421" spans="22:25" s="4" customFormat="1" x14ac:dyDescent="0.25">
      <c r="V421" s="45"/>
      <c r="W421" s="12"/>
      <c r="X421" s="12"/>
      <c r="Y421" s="46"/>
    </row>
    <row r="422" spans="22:25" s="4" customFormat="1" x14ac:dyDescent="0.25">
      <c r="V422" s="45"/>
      <c r="W422" s="12"/>
      <c r="X422" s="12"/>
      <c r="Y422" s="46"/>
    </row>
    <row r="423" spans="22:25" s="4" customFormat="1" x14ac:dyDescent="0.25">
      <c r="V423" s="45"/>
      <c r="W423" s="12"/>
      <c r="X423" s="12"/>
      <c r="Y423" s="46"/>
    </row>
    <row r="424" spans="22:25" s="4" customFormat="1" x14ac:dyDescent="0.25">
      <c r="V424" s="45"/>
      <c r="W424" s="12"/>
      <c r="X424" s="12"/>
      <c r="Y424" s="46"/>
    </row>
    <row r="425" spans="22:25" s="4" customFormat="1" x14ac:dyDescent="0.25">
      <c r="V425" s="45"/>
      <c r="W425" s="12"/>
      <c r="X425" s="12"/>
      <c r="Y425" s="46"/>
    </row>
    <row r="426" spans="22:25" s="4" customFormat="1" x14ac:dyDescent="0.25">
      <c r="V426" s="45"/>
      <c r="W426" s="12"/>
      <c r="X426" s="12"/>
      <c r="Y426" s="46"/>
    </row>
    <row r="427" spans="22:25" s="4" customFormat="1" x14ac:dyDescent="0.25">
      <c r="V427" s="45"/>
      <c r="W427" s="12"/>
      <c r="X427" s="12"/>
      <c r="Y427" s="46"/>
    </row>
    <row r="428" spans="22:25" s="4" customFormat="1" x14ac:dyDescent="0.25">
      <c r="V428" s="45"/>
      <c r="W428" s="12"/>
      <c r="X428" s="12"/>
      <c r="Y428" s="46"/>
    </row>
    <row r="429" spans="22:25" s="4" customFormat="1" x14ac:dyDescent="0.25">
      <c r="V429" s="45"/>
      <c r="W429" s="12"/>
      <c r="X429" s="12"/>
      <c r="Y429" s="46"/>
    </row>
    <row r="430" spans="22:25" s="4" customFormat="1" x14ac:dyDescent="0.25">
      <c r="V430" s="45"/>
      <c r="W430" s="12"/>
      <c r="X430" s="12"/>
      <c r="Y430" s="46"/>
    </row>
    <row r="431" spans="22:25" s="4" customFormat="1" x14ac:dyDescent="0.25">
      <c r="V431" s="45"/>
      <c r="W431" s="12"/>
      <c r="X431" s="12"/>
      <c r="Y431" s="46"/>
    </row>
    <row r="432" spans="22:25" s="4" customFormat="1" x14ac:dyDescent="0.25">
      <c r="V432" s="45"/>
      <c r="W432" s="12"/>
      <c r="X432" s="12"/>
      <c r="Y432" s="46"/>
    </row>
    <row r="433" spans="22:25" s="4" customFormat="1" x14ac:dyDescent="0.25">
      <c r="V433" s="45"/>
      <c r="W433" s="12"/>
      <c r="X433" s="12"/>
      <c r="Y433" s="46"/>
    </row>
    <row r="434" spans="22:25" s="4" customFormat="1" x14ac:dyDescent="0.25">
      <c r="V434" s="45"/>
      <c r="W434" s="12"/>
      <c r="X434" s="12"/>
      <c r="Y434" s="46"/>
    </row>
    <row r="435" spans="22:25" s="4" customFormat="1" x14ac:dyDescent="0.25">
      <c r="V435" s="45"/>
      <c r="W435" s="12"/>
      <c r="X435" s="12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  <row r="450" spans="22:25" s="4" customFormat="1" x14ac:dyDescent="0.25">
      <c r="V450" s="45"/>
      <c r="W450" s="12"/>
      <c r="X450" s="12"/>
      <c r="Y450" s="46"/>
    </row>
    <row r="451" spans="22:25" s="4" customFormat="1" x14ac:dyDescent="0.25">
      <c r="V451" s="45"/>
      <c r="W451" s="12"/>
      <c r="X451" s="12"/>
      <c r="Y451" s="46"/>
    </row>
  </sheetData>
  <mergeCells count="13">
    <mergeCell ref="A250:Y250"/>
    <mergeCell ref="A294:Y294"/>
    <mergeCell ref="A178:Y178"/>
    <mergeCell ref="A4:Y4"/>
    <mergeCell ref="A90:Y90"/>
    <mergeCell ref="A1:Y1"/>
    <mergeCell ref="A2:B2"/>
    <mergeCell ref="C2:E2"/>
    <mergeCell ref="G2:I2"/>
    <mergeCell ref="K2:M2"/>
    <mergeCell ref="O2:Q2"/>
    <mergeCell ref="S2:U2"/>
    <mergeCell ref="W2:Y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Y449"/>
  <sheetViews>
    <sheetView tabSelected="1" zoomScale="90" zoomScaleNormal="90" zoomScalePageLayoutView="80" workbookViewId="0">
      <pane xSplit="2" ySplit="5" topLeftCell="E315" activePane="bottomRight" state="frozen"/>
      <selection pane="topRight" activeCell="C1" sqref="C1"/>
      <selection pane="bottomLeft" activeCell="A6" sqref="A6"/>
      <selection pane="bottomRight" activeCell="G63" sqref="G63"/>
    </sheetView>
  </sheetViews>
  <sheetFormatPr defaultColWidth="8.88671875" defaultRowHeight="13.2" x14ac:dyDescent="0.25"/>
  <cols>
    <col min="1" max="1" width="10.88671875" style="7" customWidth="1"/>
    <col min="2" max="2" width="42.44140625" style="7" customWidth="1"/>
    <col min="3" max="4" width="14.109375" style="4" bestFit="1" customWidth="1"/>
    <col min="5" max="5" width="15.109375" style="4" bestFit="1" customWidth="1"/>
    <col min="6" max="6" width="1.109375" style="11" customWidth="1"/>
    <col min="7" max="7" width="14.6640625" style="48" bestFit="1" customWidth="1"/>
    <col min="8" max="9" width="14.6640625" style="7" bestFit="1" customWidth="1"/>
    <col min="10" max="10" width="1" style="11" customWidth="1"/>
    <col min="11" max="11" width="14.109375" style="48" bestFit="1" customWidth="1"/>
    <col min="12" max="12" width="14.109375" style="7" bestFit="1" customWidth="1"/>
    <col min="13" max="13" width="14.44140625" style="7" bestFit="1" customWidth="1"/>
    <col min="14" max="14" width="1.109375" style="11" customWidth="1"/>
    <col min="15" max="15" width="15.109375" style="48" bestFit="1" customWidth="1"/>
    <col min="16" max="16" width="17.88671875" style="7" bestFit="1" customWidth="1"/>
    <col min="17" max="17" width="14.6640625" style="7" bestFit="1" customWidth="1"/>
    <col min="18" max="18" width="1.6640625" style="11" customWidth="1"/>
    <col min="19" max="19" width="14.109375" style="48" bestFit="1" customWidth="1"/>
    <col min="20" max="21" width="14.109375" style="7" bestFit="1" customWidth="1"/>
    <col min="22" max="22" width="1.44140625" style="45" customWidth="1"/>
    <col min="23" max="23" width="16.44140625" style="12" bestFit="1" customWidth="1"/>
    <col min="24" max="24" width="16.44140625" style="12" customWidth="1"/>
    <col min="25" max="25" width="16.88671875" style="49" bestFit="1" customWidth="1"/>
    <col min="26" max="26" width="12.44140625" style="7" bestFit="1" customWidth="1"/>
    <col min="27" max="27" width="14" style="7" bestFit="1" customWidth="1"/>
    <col min="28" max="28" width="14" style="7" customWidth="1"/>
    <col min="29" max="16384" width="8.88671875" style="7"/>
  </cols>
  <sheetData>
    <row r="1" spans="1:25" s="61" customFormat="1" x14ac:dyDescent="0.25">
      <c r="A1" s="316" t="s">
        <v>104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8"/>
    </row>
    <row r="2" spans="1:25" s="61" customFormat="1" x14ac:dyDescent="0.25">
      <c r="A2" s="319">
        <v>44778</v>
      </c>
      <c r="B2" s="320"/>
      <c r="C2" s="321" t="s">
        <v>0</v>
      </c>
      <c r="D2" s="321"/>
      <c r="E2" s="321"/>
      <c r="F2" s="62"/>
      <c r="G2" s="322" t="s">
        <v>1</v>
      </c>
      <c r="H2" s="322"/>
      <c r="I2" s="322"/>
      <c r="J2" s="62"/>
      <c r="K2" s="322" t="s">
        <v>2</v>
      </c>
      <c r="L2" s="322"/>
      <c r="M2" s="322"/>
      <c r="N2" s="62"/>
      <c r="O2" s="322" t="s">
        <v>23</v>
      </c>
      <c r="P2" s="322"/>
      <c r="Q2" s="322"/>
      <c r="R2" s="62"/>
      <c r="S2" s="322" t="s">
        <v>24</v>
      </c>
      <c r="T2" s="322"/>
      <c r="U2" s="322"/>
      <c r="V2" s="63"/>
      <c r="W2" s="323" t="s">
        <v>26</v>
      </c>
      <c r="X2" s="323"/>
      <c r="Y2" s="323"/>
    </row>
    <row r="3" spans="1:25" s="72" customFormat="1" ht="26.4" x14ac:dyDescent="0.25">
      <c r="A3" s="64" t="s">
        <v>22</v>
      </c>
      <c r="B3" s="65" t="s">
        <v>3</v>
      </c>
      <c r="C3" s="226" t="s">
        <v>4</v>
      </c>
      <c r="D3" s="225" t="s">
        <v>25</v>
      </c>
      <c r="E3" s="225" t="s">
        <v>10</v>
      </c>
      <c r="F3" s="68"/>
      <c r="G3" s="66" t="s">
        <v>4</v>
      </c>
      <c r="H3" s="67" t="s">
        <v>25</v>
      </c>
      <c r="I3" s="67" t="s">
        <v>10</v>
      </c>
      <c r="J3" s="68"/>
      <c r="K3" s="66" t="s">
        <v>4</v>
      </c>
      <c r="L3" s="67" t="s">
        <v>25</v>
      </c>
      <c r="M3" s="67" t="s">
        <v>10</v>
      </c>
      <c r="N3" s="68"/>
      <c r="O3" s="66" t="s">
        <v>4</v>
      </c>
      <c r="P3" s="67" t="s">
        <v>25</v>
      </c>
      <c r="Q3" s="67" t="s">
        <v>10</v>
      </c>
      <c r="R3" s="68"/>
      <c r="S3" s="66" t="s">
        <v>4</v>
      </c>
      <c r="T3" s="67" t="s">
        <v>25</v>
      </c>
      <c r="U3" s="67" t="s">
        <v>10</v>
      </c>
      <c r="V3" s="69"/>
      <c r="W3" s="205" t="s">
        <v>4</v>
      </c>
      <c r="X3" s="70" t="s">
        <v>25</v>
      </c>
      <c r="Y3" s="71" t="s">
        <v>13</v>
      </c>
    </row>
    <row r="4" spans="1:25" s="88" customFormat="1" ht="21" x14ac:dyDescent="0.4">
      <c r="A4" s="327" t="s">
        <v>19</v>
      </c>
      <c r="B4" s="328"/>
      <c r="C4" s="328"/>
      <c r="D4" s="328"/>
      <c r="E4" s="328"/>
      <c r="F4" s="328"/>
      <c r="G4" s="328"/>
      <c r="H4" s="328"/>
      <c r="I4" s="328"/>
      <c r="J4" s="328"/>
      <c r="K4" s="328"/>
      <c r="L4" s="328"/>
      <c r="M4" s="328"/>
      <c r="N4" s="328"/>
      <c r="O4" s="328"/>
      <c r="P4" s="328"/>
      <c r="Q4" s="328"/>
      <c r="R4" s="328"/>
      <c r="S4" s="328"/>
      <c r="T4" s="328"/>
      <c r="U4" s="328"/>
      <c r="V4" s="328"/>
      <c r="W4" s="328"/>
      <c r="X4" s="328"/>
      <c r="Y4" s="329"/>
    </row>
    <row r="5" spans="1:25" s="77" customFormat="1" x14ac:dyDescent="0.25">
      <c r="A5" s="73" t="s">
        <v>5</v>
      </c>
      <c r="B5" s="74"/>
      <c r="C5" s="211"/>
      <c r="D5" s="211"/>
      <c r="E5" s="211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/>
      <c r="W5" s="74"/>
      <c r="X5" s="74"/>
      <c r="Y5" s="76"/>
    </row>
    <row r="6" spans="1:25" x14ac:dyDescent="0.25">
      <c r="A6" s="53"/>
      <c r="B6" s="52"/>
      <c r="C6" s="124">
        <f>SUM('Research Area'!C6+'Research Cyberinfrastructure'!C6+'EA &amp; Seed Funding'!C6+'Partnerships &amp; Collaborations'!C6+'Broadening Participation Divers'!C6+'Education Workforce Development'!C6+'Communications &amp; Disseminations'!C6+'Evaluation and Assessment '!C6+'Sustainability Plan'!C6+'Management '!C6)</f>
        <v>88313.108662104496</v>
      </c>
      <c r="D6" s="56">
        <f>SUM('Research Area'!D6+'Research Cyberinfrastructure'!D6+'EA &amp; Seed Funding'!D6+'Partnerships &amp; Collaborations'!D6+'Broadening Participation Divers'!D6+'Education Workforce Development'!D6+'Communications &amp; Disseminations'!D6+'Evaluation and Assessment '!D6+'Sustainability Plan'!D6+'Management '!D6)</f>
        <v>53595.3967328</v>
      </c>
      <c r="E6" s="56">
        <f>SUM(C6:D6)</f>
        <v>141908.5053949045</v>
      </c>
      <c r="F6" s="15"/>
      <c r="G6" s="55">
        <f>SUM('Research Area'!G6+'Research Cyberinfrastructure'!G6+'EA &amp; Seed Funding'!G6+'Partnerships &amp; Collaborations'!G6+'Broadening Participation Divers'!G6+'Education Workforce Development'!G6+'Communications &amp; Disseminations'!G6+'Evaluation and Assessment '!G6+'Sustainability Plan'!G6+'Management '!G6)</f>
        <v>90962.501921967632</v>
      </c>
      <c r="H6" s="56">
        <f>SUM('Research Area'!H6+'Research Cyberinfrastructure'!H6+'EA &amp; Seed Funding'!H6+'Partnerships &amp; Collaborations'!H6+'Broadening Participation Divers'!H6+'Education Workforce Development'!H6+'Communications &amp; Disseminations'!H6+'Evaluation and Assessment '!H6+'Sustainability Plan'!H6+'Management '!H6)</f>
        <v>55203.258634783997</v>
      </c>
      <c r="I6" s="56">
        <f>SUM(G6:H6)</f>
        <v>146165.76055675163</v>
      </c>
      <c r="J6" s="15"/>
      <c r="K6" s="55">
        <f>SUM('Research Area'!K6+'Research Cyberinfrastructure'!K6+'EA &amp; Seed Funding'!K6+'Partnerships &amp; Collaborations'!K6+'Broadening Participation Divers'!K6+'Education Workforce Development'!K6+'Communications &amp; Disseminations'!K6+'Evaluation and Assessment '!K6+'Sustainability Plan'!K6+'Management '!K6)</f>
        <v>93691.376979626657</v>
      </c>
      <c r="L6" s="56">
        <f>SUM('Research Area'!L6+'Research Cyberinfrastructure'!L6+'EA &amp; Seed Funding'!L6+'Partnerships &amp; Collaborations'!L6+'Broadening Participation Divers'!L6+'Education Workforce Development'!L6+'Communications &amp; Disseminations'!L6+'Evaluation and Assessment '!L6+'Sustainability Plan'!L6+'Management '!L6)</f>
        <v>56859.356393827518</v>
      </c>
      <c r="M6" s="56">
        <f>SUM(K6:L6)</f>
        <v>150550.73337345419</v>
      </c>
      <c r="N6" s="15"/>
      <c r="O6" s="55">
        <f>SUM('Research Area'!O6+'Research Cyberinfrastructure'!O6+'EA &amp; Seed Funding'!O6+'Partnerships &amp; Collaborations'!O6+'Broadening Participation Divers'!O6+'Education Workforce Development'!O6+'Communications &amp; Disseminations'!O6+'Evaluation and Assessment '!O6+'Sustainability Plan'!O6+'Management '!O6)</f>
        <v>96502.11828901546</v>
      </c>
      <c r="P6" s="56">
        <f>SUM('Research Area'!P6+'Research Cyberinfrastructure'!P6+'EA &amp; Seed Funding'!P6+'Partnerships &amp; Collaborations'!P6+'Broadening Participation Divers'!P6+'Education Workforce Development'!P6+'Communications &amp; Disseminations'!P6+'Evaluation and Assessment '!P6+'Sustainability Plan'!P6+'Management '!P6)</f>
        <v>58565.137085642345</v>
      </c>
      <c r="Q6" s="56">
        <f>SUM(O6:P6)</f>
        <v>155067.25537465781</v>
      </c>
      <c r="R6" s="15"/>
      <c r="S6" s="55">
        <f>SUM('Research Area'!S6+'Research Cyberinfrastructure'!S6+'EA &amp; Seed Funding'!S6+'Partnerships &amp; Collaborations'!S6+'Broadening Participation Divers'!S6+'Education Workforce Development'!S6+'Communications &amp; Disseminations'!S6+'Evaluation and Assessment '!S6+'Sustainability Plan'!S6+'Management '!S6)</f>
        <v>99397.18183768593</v>
      </c>
      <c r="T6" s="56">
        <f>SUM('Research Area'!T6+'Research Cyberinfrastructure'!T6+'EA &amp; Seed Funding'!T6+'Partnerships &amp; Collaborations'!T6+'Broadening Participation Divers'!T6+'Education Workforce Development'!T6+'Communications &amp; Disseminations'!T6+'Evaluation and Assessment '!T6+'Sustainability Plan'!T6+'Management '!T6)</f>
        <v>60322.091198211623</v>
      </c>
      <c r="U6" s="56">
        <f>SUM(S6:T6)</f>
        <v>159719.27303589755</v>
      </c>
      <c r="V6" s="16"/>
      <c r="W6" s="55">
        <f>SUM('Research Area'!W6+'Research Cyberinfrastructure'!W6+'EA &amp; Seed Funding'!W6+'Partnerships &amp; Collaborations'!W6+'Broadening Participation Divers'!W6+'Education Workforce Development'!W6+'Communications &amp; Disseminations'!W6+'Evaluation and Assessment '!W6+'Sustainability Plan'!W6+'Management '!W6)</f>
        <v>468866.28769040015</v>
      </c>
      <c r="X6" s="56">
        <f>SUM('Research Area'!X6+'Research Cyberinfrastructure'!X6+'EA &amp; Seed Funding'!X6+'Partnerships &amp; Collaborations'!X6+'Broadening Participation Divers'!X6+'Education Workforce Development'!X6+'Communications &amp; Disseminations'!X6+'Evaluation and Assessment '!X6+'Sustainability Plan'!X6+'Management '!X6)</f>
        <v>284545.24004526553</v>
      </c>
      <c r="Y6" s="56">
        <f>SUM(W6:X6)</f>
        <v>753411.52773566567</v>
      </c>
    </row>
    <row r="7" spans="1:25" x14ac:dyDescent="0.25">
      <c r="A7" s="53"/>
      <c r="B7" s="52"/>
      <c r="C7" s="124">
        <f>SUM('Research Area'!C7+'Research Cyberinfrastructure'!C7+'EA &amp; Seed Funding'!C7+'Partnerships &amp; Collaborations'!C7+'Broadening Participation Divers'!C7+'Education Workforce Development'!C7+'Communications &amp; Disseminations'!C7+'Evaluation and Assessment '!C7+'Sustainability Plan'!C7+'Management '!C7)</f>
        <v>58537.747199328849</v>
      </c>
      <c r="D7" s="56">
        <f>SUM('Research Area'!D7+'Research Cyberinfrastructure'!D7+'EA &amp; Seed Funding'!D7+'Partnerships &amp; Collaborations'!D7+'Broadening Participation Divers'!D7+'Education Workforce Development'!D7+'Communications &amp; Disseminations'!D7+'Evaluation and Assessment '!D7+'Sustainability Plan'!D7+'Management '!D7)</f>
        <v>8038.4633333333331</v>
      </c>
      <c r="E7" s="56">
        <f t="shared" ref="E7:E14" si="0">SUM(C7:D7)</f>
        <v>66576.210532662182</v>
      </c>
      <c r="F7" s="15"/>
      <c r="G7" s="55">
        <f>SUM('Research Area'!G7+'Research Cyberinfrastructure'!G7+'EA &amp; Seed Funding'!G7+'Partnerships &amp; Collaborations'!G7+'Broadening Participation Divers'!G7+'Education Workforce Development'!G7+'Communications &amp; Disseminations'!G7+'Evaluation and Assessment '!G7+'Sustainability Plan'!G7+'Management '!G7)</f>
        <v>35940.495755308708</v>
      </c>
      <c r="H7" s="56">
        <f>SUM('Research Area'!H7+'Research Cyberinfrastructure'!H7+'EA &amp; Seed Funding'!H7+'Partnerships &amp; Collaborations'!H7+'Broadening Participation Divers'!H7+'Education Workforce Development'!H7+'Communications &amp; Disseminations'!H7+'Evaluation and Assessment '!H7+'Sustainability Plan'!H7+'Management '!H7)</f>
        <v>8279.6172333333325</v>
      </c>
      <c r="I7" s="56">
        <f t="shared" ref="I7:I14" si="1">SUM(G7:H7)</f>
        <v>44220.112988642039</v>
      </c>
      <c r="J7" s="15"/>
      <c r="K7" s="55">
        <f>SUM('Research Area'!K7+'Research Cyberinfrastructure'!K7+'EA &amp; Seed Funding'!K7+'Partnerships &amp; Collaborations'!K7+'Broadening Participation Divers'!K7+'Education Workforce Development'!K7+'Communications &amp; Disseminations'!K7+'Evaluation and Assessment '!K7+'Sustainability Plan'!K7+'Management '!K7)</f>
        <v>37018.710627967972</v>
      </c>
      <c r="L7" s="56">
        <f>SUM('Research Area'!L7+'Research Cyberinfrastructure'!L7+'EA &amp; Seed Funding'!L7+'Partnerships &amp; Collaborations'!L7+'Broadening Participation Divers'!L7+'Education Workforce Development'!L7+'Communications &amp; Disseminations'!L7+'Evaluation and Assessment '!L7+'Sustainability Plan'!L7+'Management '!L7)</f>
        <v>8528.0057503333319</v>
      </c>
      <c r="M7" s="56">
        <f t="shared" ref="M7:M14" si="2">SUM(K7:L7)</f>
        <v>45546.716378301302</v>
      </c>
      <c r="N7" s="15"/>
      <c r="O7" s="55">
        <f>SUM('Research Area'!O7+'Research Cyberinfrastructure'!O7+'EA &amp; Seed Funding'!O7+'Partnerships &amp; Collaborations'!O7+'Broadening Participation Divers'!O7+'Education Workforce Development'!O7+'Communications &amp; Disseminations'!O7+'Evaluation and Assessment '!O7+'Sustainability Plan'!O7+'Management '!O7)</f>
        <v>38129.271946807014</v>
      </c>
      <c r="P7" s="56">
        <f>SUM('Research Area'!P7+'Research Cyberinfrastructure'!P7+'EA &amp; Seed Funding'!P7+'Partnerships &amp; Collaborations'!P7+'Broadening Participation Divers'!P7+'Education Workforce Development'!P7+'Communications &amp; Disseminations'!P7+'Evaluation and Assessment '!P7+'Sustainability Plan'!P7+'Management '!P7)</f>
        <v>8783.8459228433312</v>
      </c>
      <c r="Q7" s="56">
        <f t="shared" ref="Q7:Q14" si="3">SUM(O7:P7)</f>
        <v>46913.117869650348</v>
      </c>
      <c r="R7" s="15"/>
      <c r="S7" s="55">
        <f>SUM('Research Area'!S7+'Research Cyberinfrastructure'!S7+'EA &amp; Seed Funding'!S7+'Partnerships &amp; Collaborations'!S7+'Broadening Participation Divers'!S7+'Education Workforce Development'!S7+'Communications &amp; Disseminations'!S7+'Evaluation and Assessment '!S7+'Sustainability Plan'!S7+'Management '!S7)</f>
        <v>39273.150105211222</v>
      </c>
      <c r="T7" s="56">
        <f>SUM('Research Area'!T7+'Research Cyberinfrastructure'!T7+'EA &amp; Seed Funding'!T7+'Partnerships &amp; Collaborations'!T7+'Broadening Participation Divers'!T7+'Education Workforce Development'!T7+'Communications &amp; Disseminations'!T7+'Evaluation and Assessment '!T7+'Sustainability Plan'!T7+'Management '!T7)</f>
        <v>9047.3613005286315</v>
      </c>
      <c r="U7" s="56">
        <f t="shared" ref="U7:U14" si="4">SUM(S7:T7)</f>
        <v>48320.511405739853</v>
      </c>
      <c r="V7" s="16"/>
      <c r="W7" s="55">
        <f>SUM('Research Area'!W7+'Research Cyberinfrastructure'!W7+'EA &amp; Seed Funding'!W7+'Partnerships &amp; Collaborations'!W7+'Broadening Participation Divers'!W7+'Education Workforce Development'!W7+'Communications &amp; Disseminations'!W7+'Evaluation and Assessment '!W7+'Sustainability Plan'!W7+'Management '!W7)</f>
        <v>208899.37563462375</v>
      </c>
      <c r="X7" s="56">
        <f>SUM('Research Area'!X7+'Research Cyberinfrastructure'!X7+'EA &amp; Seed Funding'!X7+'Partnerships &amp; Collaborations'!X7+'Broadening Participation Divers'!X7+'Education Workforce Development'!X7+'Communications &amp; Disseminations'!X7+'Evaluation and Assessment '!X7+'Sustainability Plan'!X7+'Management '!X7)</f>
        <v>42677.29354037196</v>
      </c>
      <c r="Y7" s="56">
        <f t="shared" ref="Y7:Y14" si="5">SUM(W7:X7)</f>
        <v>251576.66917499571</v>
      </c>
    </row>
    <row r="8" spans="1:25" x14ac:dyDescent="0.25">
      <c r="A8" s="53"/>
      <c r="B8" s="54"/>
      <c r="C8" s="124">
        <f>SUM('Research Area'!C8+'Research Cyberinfrastructure'!C8+'EA &amp; Seed Funding'!C8+'Partnerships &amp; Collaborations'!C8+'Broadening Participation Divers'!C8+'Education Workforce Development'!C8+'Communications &amp; Disseminations'!C8+'Evaluation and Assessment '!C8+'Sustainability Plan'!C8+'Management '!C8)</f>
        <v>38578.599973052245</v>
      </c>
      <c r="D8" s="56">
        <f>SUM('Research Area'!D8+'Research Cyberinfrastructure'!D8+'EA &amp; Seed Funding'!D8+'Partnerships &amp; Collaborations'!D8+'Broadening Participation Divers'!D8+'Education Workforce Development'!D8+'Communications &amp; Disseminations'!D8+'Evaluation and Assessment '!D8+'Sustainability Plan'!D8+'Management '!D8)</f>
        <v>0</v>
      </c>
      <c r="E8" s="56">
        <f t="shared" si="0"/>
        <v>38578.599973052245</v>
      </c>
      <c r="F8" s="15"/>
      <c r="G8" s="55">
        <f>SUM('Research Area'!G8+'Research Cyberinfrastructure'!G8+'EA &amp; Seed Funding'!G8+'Partnerships &amp; Collaborations'!G8+'Broadening Participation Divers'!G8+'Education Workforce Development'!G8+'Communications &amp; Disseminations'!G8+'Evaluation and Assessment '!G8+'Sustainability Plan'!G8+'Management '!G8)</f>
        <v>124735.95797224382</v>
      </c>
      <c r="H8" s="56">
        <f>SUM('Research Area'!H8+'Research Cyberinfrastructure'!H8+'EA &amp; Seed Funding'!H8+'Partnerships &amp; Collaborations'!H8+'Broadening Participation Divers'!H8+'Education Workforce Development'!H8+'Communications &amp; Disseminations'!H8+'Evaluation and Assessment '!H8+'Sustainability Plan'!H8+'Management '!H8)</f>
        <v>0</v>
      </c>
      <c r="I8" s="56">
        <f t="shared" si="1"/>
        <v>124735.95797224382</v>
      </c>
      <c r="J8" s="15"/>
      <c r="K8" s="55">
        <f>SUM('Research Area'!K8+'Research Cyberinfrastructure'!K8+'EA &amp; Seed Funding'!K8+'Partnerships &amp; Collaborations'!K8+'Broadening Participation Divers'!K8+'Education Workforce Development'!K8+'Communications &amp; Disseminations'!K8+'Evaluation and Assessment '!K8+'Sustainability Plan'!K8+'Management '!K8)</f>
        <v>40928.036711411136</v>
      </c>
      <c r="L8" s="56">
        <f>SUM('Research Area'!L8+'Research Cyberinfrastructure'!L8+'EA &amp; Seed Funding'!L8+'Partnerships &amp; Collaborations'!L8+'Broadening Participation Divers'!L8+'Education Workforce Development'!L8+'Communications &amp; Disseminations'!L8+'Evaluation and Assessment '!L8+'Sustainability Plan'!L8+'Management '!L8)</f>
        <v>0</v>
      </c>
      <c r="M8" s="56">
        <f t="shared" si="2"/>
        <v>40928.036711411136</v>
      </c>
      <c r="N8" s="15"/>
      <c r="O8" s="55">
        <f>SUM('Research Area'!O8+'Research Cyberinfrastructure'!O8+'EA &amp; Seed Funding'!O8+'Partnerships &amp; Collaborations'!O8+'Broadening Participation Divers'!O8+'Education Workforce Development'!O8+'Communications &amp; Disseminations'!O8+'Evaluation and Assessment '!O8+'Sustainability Plan'!O8+'Management '!O8)</f>
        <v>42155.877812753475</v>
      </c>
      <c r="P8" s="56">
        <f>SUM('Research Area'!P8+'Research Cyberinfrastructure'!P8+'EA &amp; Seed Funding'!P8+'Partnerships &amp; Collaborations'!P8+'Broadening Participation Divers'!P8+'Education Workforce Development'!P8+'Communications &amp; Disseminations'!P8+'Evaluation and Assessment '!P8+'Sustainability Plan'!P8+'Management '!P8)</f>
        <v>0</v>
      </c>
      <c r="Q8" s="56">
        <f t="shared" si="3"/>
        <v>42155.877812753475</v>
      </c>
      <c r="R8" s="15"/>
      <c r="S8" s="55">
        <f>SUM('Research Area'!S8+'Research Cyberinfrastructure'!S8+'EA &amp; Seed Funding'!S8+'Partnerships &amp; Collaborations'!S8+'Broadening Participation Divers'!S8+'Education Workforce Development'!S8+'Communications &amp; Disseminations'!S8+'Evaluation and Assessment '!S8+'Sustainability Plan'!S8+'Management '!S8)</f>
        <v>37793.010097136073</v>
      </c>
      <c r="T8" s="56">
        <f>SUM('Research Area'!T8+'Research Cyberinfrastructure'!T8+'EA &amp; Seed Funding'!T8+'Partnerships &amp; Collaborations'!T8+'Broadening Participation Divers'!T8+'Education Workforce Development'!T8+'Communications &amp; Disseminations'!T8+'Evaluation and Assessment '!T8+'Sustainability Plan'!T8+'Management '!T8)</f>
        <v>0</v>
      </c>
      <c r="U8" s="56">
        <f t="shared" si="4"/>
        <v>37793.010097136073</v>
      </c>
      <c r="V8" s="16"/>
      <c r="W8" s="55">
        <f>SUM('Research Area'!W8+'Research Cyberinfrastructure'!W8+'EA &amp; Seed Funding'!W8+'Partnerships &amp; Collaborations'!W8+'Broadening Participation Divers'!W8+'Education Workforce Development'!W8+'Communications &amp; Disseminations'!W8+'Evaluation and Assessment '!W8+'Sustainability Plan'!W8+'Management '!W8)</f>
        <v>284191.48256659677</v>
      </c>
      <c r="X8" s="56">
        <f>SUM('Research Area'!X8+'Research Cyberinfrastructure'!X8+'EA &amp; Seed Funding'!X8+'Partnerships &amp; Collaborations'!X8+'Broadening Participation Divers'!X8+'Education Workforce Development'!X8+'Communications &amp; Disseminations'!X8+'Evaluation and Assessment '!X8+'Sustainability Plan'!X8+'Management '!X8)</f>
        <v>0</v>
      </c>
      <c r="Y8" s="56">
        <f t="shared" si="5"/>
        <v>284191.48256659677</v>
      </c>
    </row>
    <row r="9" spans="1:25" x14ac:dyDescent="0.25">
      <c r="A9" s="53"/>
      <c r="B9" s="54"/>
      <c r="C9" s="124">
        <f>SUM('Research Area'!C9+'Research Cyberinfrastructure'!C9+'EA &amp; Seed Funding'!C9+'Partnerships &amp; Collaborations'!C9+'Broadening Participation Divers'!C9+'Education Workforce Development'!C9+'Communications &amp; Disseminations'!C9+'Evaluation and Assessment '!C9+'Sustainability Plan'!C9+'Management '!C9)</f>
        <v>0</v>
      </c>
      <c r="D9" s="56">
        <f>SUM('Research Area'!D9+'Research Cyberinfrastructure'!D9+'EA &amp; Seed Funding'!D9+'Partnerships &amp; Collaborations'!D9+'Broadening Participation Divers'!D9+'Education Workforce Development'!D9+'Communications &amp; Disseminations'!D9+'Evaluation and Assessment '!D9+'Sustainability Plan'!D9+'Management '!D9)</f>
        <v>5000</v>
      </c>
      <c r="E9" s="56">
        <f t="shared" si="0"/>
        <v>5000</v>
      </c>
      <c r="F9" s="15"/>
      <c r="G9" s="55">
        <f>SUM('Research Area'!G9+'Research Cyberinfrastructure'!G9+'EA &amp; Seed Funding'!G9+'Partnerships &amp; Collaborations'!G9+'Broadening Participation Divers'!G9+'Education Workforce Development'!G9+'Communications &amp; Disseminations'!G9+'Evaluation and Assessment '!G9+'Sustainability Plan'!G9+'Management '!G9)</f>
        <v>85000</v>
      </c>
      <c r="H9" s="56">
        <f>SUM('Research Area'!H9+'Research Cyberinfrastructure'!H9+'EA &amp; Seed Funding'!H9+'Partnerships &amp; Collaborations'!H9+'Broadening Participation Divers'!H9+'Education Workforce Development'!H9+'Communications &amp; Disseminations'!H9+'Evaluation and Assessment '!H9+'Sustainability Plan'!H9+'Management '!H9)</f>
        <v>5150</v>
      </c>
      <c r="I9" s="56">
        <f t="shared" si="1"/>
        <v>90150</v>
      </c>
      <c r="J9" s="15"/>
      <c r="K9" s="55">
        <f>SUM('Research Area'!K9+'Research Cyberinfrastructure'!K9+'EA &amp; Seed Funding'!K9+'Partnerships &amp; Collaborations'!K9+'Broadening Participation Divers'!K9+'Education Workforce Development'!K9+'Communications &amp; Disseminations'!K9+'Evaluation and Assessment '!K9+'Sustainability Plan'!K9+'Management '!K9)</f>
        <v>0</v>
      </c>
      <c r="L9" s="56">
        <f>SUM('Research Area'!L9+'Research Cyberinfrastructure'!L9+'EA &amp; Seed Funding'!L9+'Partnerships &amp; Collaborations'!L9+'Broadening Participation Divers'!L9+'Education Workforce Development'!L9+'Communications &amp; Disseminations'!L9+'Evaluation and Assessment '!L9+'Sustainability Plan'!L9+'Management '!L9)</f>
        <v>0</v>
      </c>
      <c r="M9" s="56">
        <f t="shared" si="2"/>
        <v>0</v>
      </c>
      <c r="N9" s="15"/>
      <c r="O9" s="55">
        <f>SUM('Research Area'!O9+'Research Cyberinfrastructure'!O9+'EA &amp; Seed Funding'!O9+'Partnerships &amp; Collaborations'!O9+'Broadening Participation Divers'!O9+'Education Workforce Development'!O9+'Communications &amp; Disseminations'!O9+'Evaluation and Assessment '!O9+'Sustainability Plan'!O9+'Management '!O9)</f>
        <v>0</v>
      </c>
      <c r="P9" s="56">
        <f>SUM('Research Area'!P9+'Research Cyberinfrastructure'!P9+'EA &amp; Seed Funding'!P9+'Partnerships &amp; Collaborations'!P9+'Broadening Participation Divers'!P9+'Education Workforce Development'!P9+'Communications &amp; Disseminations'!P9+'Evaluation and Assessment '!P9+'Sustainability Plan'!P9+'Management '!P9)</f>
        <v>0</v>
      </c>
      <c r="Q9" s="56">
        <f t="shared" si="3"/>
        <v>0</v>
      </c>
      <c r="R9" s="15"/>
      <c r="S9" s="55">
        <f>SUM('Research Area'!S9+'Research Cyberinfrastructure'!S9+'EA &amp; Seed Funding'!S9+'Partnerships &amp; Collaborations'!S9+'Broadening Participation Divers'!S9+'Education Workforce Development'!S9+'Communications &amp; Disseminations'!S9+'Evaluation and Assessment '!S9+'Sustainability Plan'!S9+'Management '!S9)</f>
        <v>0</v>
      </c>
      <c r="T9" s="56">
        <f>SUM('Research Area'!T9+'Research Cyberinfrastructure'!T9+'EA &amp; Seed Funding'!T9+'Partnerships &amp; Collaborations'!T9+'Broadening Participation Divers'!T9+'Education Workforce Development'!T9+'Communications &amp; Disseminations'!T9+'Evaluation and Assessment '!T9+'Sustainability Plan'!T9+'Management '!T9)</f>
        <v>0</v>
      </c>
      <c r="U9" s="56">
        <f t="shared" si="4"/>
        <v>0</v>
      </c>
      <c r="V9" s="16"/>
      <c r="W9" s="55">
        <f>SUM('Research Area'!W9+'Research Cyberinfrastructure'!W9+'EA &amp; Seed Funding'!W9+'Partnerships &amp; Collaborations'!W9+'Broadening Participation Divers'!W9+'Education Workforce Development'!W9+'Communications &amp; Disseminations'!W9+'Evaluation and Assessment '!W9+'Sustainability Plan'!W9+'Management '!W9)</f>
        <v>85000</v>
      </c>
      <c r="X9" s="56">
        <f>SUM('Research Area'!X9+'Research Cyberinfrastructure'!X9+'EA &amp; Seed Funding'!X9+'Partnerships &amp; Collaborations'!X9+'Broadening Participation Divers'!X9+'Education Workforce Development'!X9+'Communications &amp; Disseminations'!X9+'Evaluation and Assessment '!X9+'Sustainability Plan'!X9+'Management '!X9)</f>
        <v>10150</v>
      </c>
      <c r="Y9" s="56">
        <f t="shared" si="5"/>
        <v>95150</v>
      </c>
    </row>
    <row r="10" spans="1:25" x14ac:dyDescent="0.25">
      <c r="A10" s="53"/>
      <c r="B10" s="54"/>
      <c r="C10" s="124">
        <f>SUM('Research Area'!C10+'Research Cyberinfrastructure'!C10+'EA &amp; Seed Funding'!C10+'Partnerships &amp; Collaborations'!C10+'Broadening Participation Divers'!C10+'Education Workforce Development'!C10+'Communications &amp; Disseminations'!C10+'Evaluation and Assessment '!C10+'Sustainability Plan'!C10+'Management '!C10)</f>
        <v>65601.464999999997</v>
      </c>
      <c r="D10" s="56">
        <f>SUM('Research Area'!D10+'Research Cyberinfrastructure'!D10+'EA &amp; Seed Funding'!D10+'Partnerships &amp; Collaborations'!D10+'Broadening Participation Divers'!D10+'Education Workforce Development'!D10+'Communications &amp; Disseminations'!D10+'Evaluation and Assessment '!D10+'Sustainability Plan'!D10+'Management '!D10)</f>
        <v>47681.172000000006</v>
      </c>
      <c r="E10" s="56">
        <f t="shared" si="0"/>
        <v>113282.637</v>
      </c>
      <c r="F10" s="15"/>
      <c r="G10" s="55">
        <f>SUM('Research Area'!G10+'Research Cyberinfrastructure'!G10+'EA &amp; Seed Funding'!G10+'Partnerships &amp; Collaborations'!G10+'Broadening Participation Divers'!G10+'Education Workforce Development'!G10+'Communications &amp; Disseminations'!G10+'Evaluation and Assessment '!G10+'Sustainability Plan'!G10+'Management '!G10)</f>
        <v>152389.50894999999</v>
      </c>
      <c r="H10" s="56">
        <f>SUM('Research Area'!H10+'Research Cyberinfrastructure'!H10+'EA &amp; Seed Funding'!H10+'Partnerships &amp; Collaborations'!H10+'Broadening Participation Divers'!H10+'Education Workforce Development'!H10+'Communications &amp; Disseminations'!H10+'Evaluation and Assessment '!H10+'Sustainability Plan'!H10+'Management '!H10)</f>
        <v>49111.607160000007</v>
      </c>
      <c r="I10" s="56">
        <f t="shared" si="1"/>
        <v>201501.11611</v>
      </c>
      <c r="J10" s="15"/>
      <c r="K10" s="55">
        <f>SUM('Research Area'!K10+'Research Cyberinfrastructure'!K10+'EA &amp; Seed Funding'!K10+'Partnerships &amp; Collaborations'!K10+'Broadening Participation Divers'!K10+'Education Workforce Development'!K10+'Communications &amp; Disseminations'!K10+'Evaluation and Assessment '!K10+'Sustainability Plan'!K10+'Management '!K10)</f>
        <v>69231.194218500008</v>
      </c>
      <c r="L10" s="56">
        <f>SUM('Research Area'!L10+'Research Cyberinfrastructure'!L10+'EA &amp; Seed Funding'!L10+'Partnerships &amp; Collaborations'!L10+'Broadening Participation Divers'!L10+'Education Workforce Development'!L10+'Communications &amp; Disseminations'!L10+'Evaluation and Assessment '!L10+'Sustainability Plan'!L10+'Management '!L10)</f>
        <v>50584.955374800011</v>
      </c>
      <c r="M10" s="56">
        <f t="shared" si="2"/>
        <v>119816.14959330001</v>
      </c>
      <c r="N10" s="15"/>
      <c r="O10" s="55">
        <f>SUM('Research Area'!O10+'Research Cyberinfrastructure'!O10+'EA &amp; Seed Funding'!O10+'Partnerships &amp; Collaborations'!O10+'Broadening Participation Divers'!O10+'Education Workforce Development'!O10+'Communications &amp; Disseminations'!O10+'Evaluation and Assessment '!O10+'Sustainability Plan'!O10+'Management '!O10)</f>
        <v>71128.130045055004</v>
      </c>
      <c r="P10" s="56">
        <f>SUM('Research Area'!P10+'Research Cyberinfrastructure'!P10+'EA &amp; Seed Funding'!P10+'Partnerships &amp; Collaborations'!P10+'Broadening Participation Divers'!P10+'Education Workforce Development'!P10+'Communications &amp; Disseminations'!P10+'Evaluation and Assessment '!P10+'Sustainability Plan'!P10+'Management '!P10)</f>
        <v>52102.504036044011</v>
      </c>
      <c r="Q10" s="56">
        <f t="shared" si="3"/>
        <v>123230.63408109901</v>
      </c>
      <c r="R10" s="15"/>
      <c r="S10" s="55">
        <f>SUM('Research Area'!S10+'Research Cyberinfrastructure'!S10+'EA &amp; Seed Funding'!S10+'Partnerships &amp; Collaborations'!S10+'Broadening Participation Divers'!S10+'Education Workforce Development'!S10+'Communications &amp; Disseminations'!S10+'Evaluation and Assessment '!S10+'Sustainability Plan'!S10+'Management '!S10)</f>
        <v>67081.973946406666</v>
      </c>
      <c r="T10" s="56">
        <f>SUM('Research Area'!T10+'Research Cyberinfrastructure'!T10+'EA &amp; Seed Funding'!T10+'Partnerships &amp; Collaborations'!T10+'Broadening Participation Divers'!T10+'Education Workforce Development'!T10+'Communications &amp; Disseminations'!T10+'Evaluation and Assessment '!T10+'Sustainability Plan'!T10+'Management '!T10)</f>
        <v>53665.579157125336</v>
      </c>
      <c r="U10" s="56">
        <f t="shared" si="4"/>
        <v>120747.553103532</v>
      </c>
      <c r="V10" s="16"/>
      <c r="W10" s="55">
        <f>SUM('Research Area'!W10+'Research Cyberinfrastructure'!W10+'EA &amp; Seed Funding'!W10+'Partnerships &amp; Collaborations'!W10+'Broadening Participation Divers'!W10+'Education Workforce Development'!W10+'Communications &amp; Disseminations'!W10+'Evaluation and Assessment '!W10+'Sustainability Plan'!W10+'Management '!W10)</f>
        <v>425432.27215996169</v>
      </c>
      <c r="X10" s="56">
        <f>SUM('Research Area'!X10+'Research Cyberinfrastructure'!X10+'EA &amp; Seed Funding'!X10+'Partnerships &amp; Collaborations'!X10+'Broadening Participation Divers'!X10+'Education Workforce Development'!X10+'Communications &amp; Disseminations'!X10+'Evaluation and Assessment '!X10+'Sustainability Plan'!X10+'Management '!X10)</f>
        <v>253145.81772796938</v>
      </c>
      <c r="Y10" s="56">
        <f t="shared" si="5"/>
        <v>678578.08988793101</v>
      </c>
    </row>
    <row r="11" spans="1:25" x14ac:dyDescent="0.25">
      <c r="A11" s="53"/>
      <c r="B11" s="54"/>
      <c r="C11" s="124">
        <f>SUM('Research Area'!C11+'Research Cyberinfrastructure'!C11+'EA &amp; Seed Funding'!C11+'Partnerships &amp; Collaborations'!C11+'Broadening Participation Divers'!C11+'Education Workforce Development'!C11+'Communications &amp; Disseminations'!C11+'Evaluation and Assessment '!C11+'Sustainability Plan'!C11+'Management '!C11)</f>
        <v>10000</v>
      </c>
      <c r="D11" s="56">
        <f>SUM('Research Area'!D11+'Research Cyberinfrastructure'!D11+'EA &amp; Seed Funding'!D11+'Partnerships &amp; Collaborations'!D11+'Broadening Participation Divers'!D11+'Education Workforce Development'!D11+'Communications &amp; Disseminations'!D11+'Evaluation and Assessment '!D11+'Sustainability Plan'!D11+'Management '!D11)</f>
        <v>0</v>
      </c>
      <c r="E11" s="56">
        <f t="shared" si="0"/>
        <v>10000</v>
      </c>
      <c r="F11" s="15"/>
      <c r="G11" s="55">
        <f>SUM('Research Area'!G11+'Research Cyberinfrastructure'!G11+'EA &amp; Seed Funding'!G11+'Partnerships &amp; Collaborations'!G11+'Broadening Participation Divers'!G11+'Education Workforce Development'!G11+'Communications &amp; Disseminations'!G11+'Evaluation and Assessment '!G11+'Sustainability Plan'!G11+'Management '!G11)</f>
        <v>10300</v>
      </c>
      <c r="H11" s="56">
        <f>SUM('Research Area'!H11+'Research Cyberinfrastructure'!H11+'EA &amp; Seed Funding'!H11+'Partnerships &amp; Collaborations'!H11+'Broadening Participation Divers'!H11+'Education Workforce Development'!H11+'Communications &amp; Disseminations'!H11+'Evaluation and Assessment '!H11+'Sustainability Plan'!H11+'Management '!H11)</f>
        <v>0</v>
      </c>
      <c r="I11" s="56">
        <f t="shared" si="1"/>
        <v>10300</v>
      </c>
      <c r="J11" s="15"/>
      <c r="K11" s="55">
        <f>SUM('Research Area'!K11+'Research Cyberinfrastructure'!K11+'EA &amp; Seed Funding'!K11+'Partnerships &amp; Collaborations'!K11+'Broadening Participation Divers'!K11+'Education Workforce Development'!K11+'Communications &amp; Disseminations'!K11+'Evaluation and Assessment '!K11+'Sustainability Plan'!K11+'Management '!K11)</f>
        <v>10609</v>
      </c>
      <c r="L11" s="56">
        <f>SUM('Research Area'!L11+'Research Cyberinfrastructure'!L11+'EA &amp; Seed Funding'!L11+'Partnerships &amp; Collaborations'!L11+'Broadening Participation Divers'!L11+'Education Workforce Development'!L11+'Communications &amp; Disseminations'!L11+'Evaluation and Assessment '!L11+'Sustainability Plan'!L11+'Management '!L11)</f>
        <v>0</v>
      </c>
      <c r="M11" s="56">
        <f t="shared" si="2"/>
        <v>10609</v>
      </c>
      <c r="N11" s="15"/>
      <c r="O11" s="55">
        <f>SUM('Research Area'!O11+'Research Cyberinfrastructure'!O11+'EA &amp; Seed Funding'!O11+'Partnerships &amp; Collaborations'!O11+'Broadening Participation Divers'!O11+'Education Workforce Development'!O11+'Communications &amp; Disseminations'!O11+'Evaluation and Assessment '!O11+'Sustainability Plan'!O11+'Management '!O11)</f>
        <v>10927.27</v>
      </c>
      <c r="P11" s="56">
        <f>SUM('Research Area'!P11+'Research Cyberinfrastructure'!P11+'EA &amp; Seed Funding'!P11+'Partnerships &amp; Collaborations'!P11+'Broadening Participation Divers'!P11+'Education Workforce Development'!P11+'Communications &amp; Disseminations'!P11+'Evaluation and Assessment '!P11+'Sustainability Plan'!P11+'Management '!P11)</f>
        <v>0</v>
      </c>
      <c r="Q11" s="56">
        <f t="shared" si="3"/>
        <v>10927.27</v>
      </c>
      <c r="R11" s="15"/>
      <c r="S11" s="55">
        <f>SUM('Research Area'!S11+'Research Cyberinfrastructure'!S11+'EA &amp; Seed Funding'!S11+'Partnerships &amp; Collaborations'!S11+'Broadening Participation Divers'!S11+'Education Workforce Development'!S11+'Communications &amp; Disseminations'!S11+'Evaluation and Assessment '!S11+'Sustainability Plan'!S11+'Management '!S11)</f>
        <v>11255.088100000001</v>
      </c>
      <c r="T11" s="56">
        <f>SUM('Research Area'!T11+'Research Cyberinfrastructure'!T11+'EA &amp; Seed Funding'!T11+'Partnerships &amp; Collaborations'!T11+'Broadening Participation Divers'!T11+'Education Workforce Development'!T11+'Communications &amp; Disseminations'!T11+'Evaluation and Assessment '!T11+'Sustainability Plan'!T11+'Management '!T11)</f>
        <v>0</v>
      </c>
      <c r="U11" s="56">
        <f t="shared" si="4"/>
        <v>11255.088100000001</v>
      </c>
      <c r="V11" s="16"/>
      <c r="W11" s="55">
        <f>SUM('Research Area'!W11+'Research Cyberinfrastructure'!W11+'EA &amp; Seed Funding'!W11+'Partnerships &amp; Collaborations'!W11+'Broadening Participation Divers'!W11+'Education Workforce Development'!W11+'Communications &amp; Disseminations'!W11+'Evaluation and Assessment '!W11+'Sustainability Plan'!W11+'Management '!W11)</f>
        <v>53091.358100000005</v>
      </c>
      <c r="X11" s="56">
        <f>SUM('Research Area'!X11+'Research Cyberinfrastructure'!X11+'EA &amp; Seed Funding'!X11+'Partnerships &amp; Collaborations'!X11+'Broadening Participation Divers'!X11+'Education Workforce Development'!X11+'Communications &amp; Disseminations'!X11+'Evaluation and Assessment '!X11+'Sustainability Plan'!X11+'Management '!X11)</f>
        <v>0</v>
      </c>
      <c r="Y11" s="56">
        <f t="shared" si="5"/>
        <v>53091.358100000005</v>
      </c>
    </row>
    <row r="12" spans="1:25" x14ac:dyDescent="0.25">
      <c r="A12" s="52"/>
      <c r="B12" s="54"/>
      <c r="C12" s="124">
        <f>SUM('Research Area'!C12+'Research Cyberinfrastructure'!C12+'EA &amp; Seed Funding'!C12+'Partnerships &amp; Collaborations'!C12+'Broadening Participation Divers'!C12+'Education Workforce Development'!C12+'Communications &amp; Disseminations'!C12+'Evaluation and Assessment '!C12+'Sustainability Plan'!C12+'Management '!C12)</f>
        <v>25000</v>
      </c>
      <c r="D12" s="56">
        <f>SUM('Research Area'!D12+'Research Cyberinfrastructure'!D12+'EA &amp; Seed Funding'!D12+'Partnerships &amp; Collaborations'!D12+'Broadening Participation Divers'!D12+'Education Workforce Development'!D12+'Communications &amp; Disseminations'!D12+'Evaluation and Assessment '!D12+'Sustainability Plan'!D12+'Management '!D12)</f>
        <v>0</v>
      </c>
      <c r="E12" s="56">
        <f t="shared" si="0"/>
        <v>25000</v>
      </c>
      <c r="F12" s="15"/>
      <c r="G12" s="55">
        <f>SUM('Research Area'!G12+'Research Cyberinfrastructure'!G12+'EA &amp; Seed Funding'!G12+'Partnerships &amp; Collaborations'!G12+'Broadening Participation Divers'!G12+'Education Workforce Development'!G12+'Communications &amp; Disseminations'!G12+'Evaluation and Assessment '!G12+'Sustainability Plan'!G12+'Management '!G12)</f>
        <v>25750</v>
      </c>
      <c r="H12" s="56">
        <f>SUM('Research Area'!H12+'Research Cyberinfrastructure'!H12+'EA &amp; Seed Funding'!H12+'Partnerships &amp; Collaborations'!H12+'Broadening Participation Divers'!H12+'Education Workforce Development'!H12+'Communications &amp; Disseminations'!H12+'Evaluation and Assessment '!H12+'Sustainability Plan'!H12+'Management '!H12)</f>
        <v>0</v>
      </c>
      <c r="I12" s="56">
        <f t="shared" si="1"/>
        <v>25750</v>
      </c>
      <c r="J12" s="15"/>
      <c r="K12" s="55">
        <f>SUM('Research Area'!K12+'Research Cyberinfrastructure'!K12+'EA &amp; Seed Funding'!K12+'Partnerships &amp; Collaborations'!K12+'Broadening Participation Divers'!K12+'Education Workforce Development'!K12+'Communications &amp; Disseminations'!K12+'Evaluation and Assessment '!K12+'Sustainability Plan'!K12+'Management '!K12)</f>
        <v>26522.5</v>
      </c>
      <c r="L12" s="56">
        <f>SUM('Research Area'!L12+'Research Cyberinfrastructure'!L12+'EA &amp; Seed Funding'!L12+'Partnerships &amp; Collaborations'!L12+'Broadening Participation Divers'!L12+'Education Workforce Development'!L12+'Communications &amp; Disseminations'!L12+'Evaluation and Assessment '!L12+'Sustainability Plan'!L12+'Management '!L12)</f>
        <v>0</v>
      </c>
      <c r="M12" s="56">
        <f t="shared" si="2"/>
        <v>26522.5</v>
      </c>
      <c r="N12" s="15"/>
      <c r="O12" s="55">
        <f>SUM('Research Area'!O12+'Research Cyberinfrastructure'!O12+'EA &amp; Seed Funding'!O12+'Partnerships &amp; Collaborations'!O12+'Broadening Participation Divers'!O12+'Education Workforce Development'!O12+'Communications &amp; Disseminations'!O12+'Evaluation and Assessment '!O12+'Sustainability Plan'!O12+'Management '!O12)</f>
        <v>27318.174999999999</v>
      </c>
      <c r="P12" s="56">
        <f>SUM('Research Area'!P12+'Research Cyberinfrastructure'!P12+'EA &amp; Seed Funding'!P12+'Partnerships &amp; Collaborations'!P12+'Broadening Participation Divers'!P12+'Education Workforce Development'!P12+'Communications &amp; Disseminations'!P12+'Evaluation and Assessment '!P12+'Sustainability Plan'!P12+'Management '!P12)</f>
        <v>0</v>
      </c>
      <c r="Q12" s="56">
        <f t="shared" si="3"/>
        <v>27318.174999999999</v>
      </c>
      <c r="R12" s="15"/>
      <c r="S12" s="55">
        <f>SUM('Research Area'!S12+'Research Cyberinfrastructure'!S12+'EA &amp; Seed Funding'!S12+'Partnerships &amp; Collaborations'!S12+'Broadening Participation Divers'!S12+'Education Workforce Development'!S12+'Communications &amp; Disseminations'!S12+'Evaluation and Assessment '!S12+'Sustainability Plan'!S12+'Management '!S12)</f>
        <v>28137.720249999998</v>
      </c>
      <c r="T12" s="56">
        <f>SUM('Research Area'!T12+'Research Cyberinfrastructure'!T12+'EA &amp; Seed Funding'!T12+'Partnerships &amp; Collaborations'!T12+'Broadening Participation Divers'!T12+'Education Workforce Development'!T12+'Communications &amp; Disseminations'!T12+'Evaluation and Assessment '!T12+'Sustainability Plan'!T12+'Management '!T12)</f>
        <v>0</v>
      </c>
      <c r="U12" s="56">
        <f t="shared" si="4"/>
        <v>28137.720249999998</v>
      </c>
      <c r="V12" s="16"/>
      <c r="W12" s="55">
        <f>SUM('Research Area'!W12+'Research Cyberinfrastructure'!W12+'EA &amp; Seed Funding'!W12+'Partnerships &amp; Collaborations'!W12+'Broadening Participation Divers'!W12+'Education Workforce Development'!W12+'Communications &amp; Disseminations'!W12+'Evaluation and Assessment '!W12+'Sustainability Plan'!W12+'Management '!W12)</f>
        <v>132728.39525</v>
      </c>
      <c r="X12" s="56">
        <f>SUM('Research Area'!X12+'Research Cyberinfrastructure'!X12+'EA &amp; Seed Funding'!X12+'Partnerships &amp; Collaborations'!X12+'Broadening Participation Divers'!X12+'Education Workforce Development'!X12+'Communications &amp; Disseminations'!X12+'Evaluation and Assessment '!X12+'Sustainability Plan'!X12+'Management '!X12)</f>
        <v>0</v>
      </c>
      <c r="Y12" s="56">
        <f t="shared" si="5"/>
        <v>132728.39525</v>
      </c>
    </row>
    <row r="13" spans="1:25" x14ac:dyDescent="0.25">
      <c r="A13" s="52"/>
      <c r="B13" s="54"/>
      <c r="C13" s="124">
        <f>SUM('Research Area'!C13+'Research Cyberinfrastructure'!C13+'EA &amp; Seed Funding'!C13+'Partnerships &amp; Collaborations'!C13+'Broadening Participation Divers'!C13+'Education Workforce Development'!C13+'Communications &amp; Disseminations'!C13+'Evaluation and Assessment '!C13+'Sustainability Plan'!C13+'Management '!C13)</f>
        <v>0</v>
      </c>
      <c r="D13" s="56">
        <f>SUM('Research Area'!D13+'Research Cyberinfrastructure'!D13+'EA &amp; Seed Funding'!D13+'Partnerships &amp; Collaborations'!D13+'Broadening Participation Divers'!D13+'Education Workforce Development'!D13+'Communications &amp; Disseminations'!D13+'Evaluation and Assessment '!D13+'Sustainability Plan'!D13+'Management '!D13)</f>
        <v>0</v>
      </c>
      <c r="E13" s="56">
        <f t="shared" si="0"/>
        <v>0</v>
      </c>
      <c r="F13" s="15"/>
      <c r="G13" s="55">
        <f>SUM('Research Area'!G13+'Research Cyberinfrastructure'!G13+'EA &amp; Seed Funding'!G13+'Partnerships &amp; Collaborations'!G13+'Broadening Participation Divers'!G13+'Education Workforce Development'!G13+'Communications &amp; Disseminations'!G13+'Evaluation and Assessment '!G13+'Sustainability Plan'!G13+'Management '!G13)</f>
        <v>0</v>
      </c>
      <c r="H13" s="56">
        <f>SUM('Research Area'!H13+'Research Cyberinfrastructure'!H13+'EA &amp; Seed Funding'!H13+'Partnerships &amp; Collaborations'!H13+'Broadening Participation Divers'!H13+'Education Workforce Development'!H13+'Communications &amp; Disseminations'!H13+'Evaluation and Assessment '!H13+'Sustainability Plan'!H13+'Management '!H13)</f>
        <v>0</v>
      </c>
      <c r="I13" s="56">
        <f t="shared" si="1"/>
        <v>0</v>
      </c>
      <c r="J13" s="15"/>
      <c r="K13" s="55">
        <f>SUM('Research Area'!K13+'Research Cyberinfrastructure'!K13+'EA &amp; Seed Funding'!K13+'Partnerships &amp; Collaborations'!K13+'Broadening Participation Divers'!K13+'Education Workforce Development'!K13+'Communications &amp; Disseminations'!K13+'Evaluation and Assessment '!K13+'Sustainability Plan'!K13+'Management '!K13)</f>
        <v>0</v>
      </c>
      <c r="L13" s="56">
        <f>SUM('Research Area'!L13+'Research Cyberinfrastructure'!L13+'EA &amp; Seed Funding'!L13+'Partnerships &amp; Collaborations'!L13+'Broadening Participation Divers'!L13+'Education Workforce Development'!L13+'Communications &amp; Disseminations'!L13+'Evaluation and Assessment '!L13+'Sustainability Plan'!L13+'Management '!L13)</f>
        <v>0</v>
      </c>
      <c r="M13" s="56">
        <f t="shared" si="2"/>
        <v>0</v>
      </c>
      <c r="N13" s="15"/>
      <c r="O13" s="55">
        <f>SUM('Research Area'!O13+'Research Cyberinfrastructure'!O13+'EA &amp; Seed Funding'!O13+'Partnerships &amp; Collaborations'!O13+'Broadening Participation Divers'!O13+'Education Workforce Development'!O13+'Communications &amp; Disseminations'!O13+'Evaluation and Assessment '!O13+'Sustainability Plan'!O13+'Management '!O13)</f>
        <v>0</v>
      </c>
      <c r="P13" s="56">
        <f>SUM('Research Area'!P13+'Research Cyberinfrastructure'!P13+'EA &amp; Seed Funding'!P13+'Partnerships &amp; Collaborations'!P13+'Broadening Participation Divers'!P13+'Education Workforce Development'!P13+'Communications &amp; Disseminations'!P13+'Evaluation and Assessment '!P13+'Sustainability Plan'!P13+'Management '!P13)</f>
        <v>0</v>
      </c>
      <c r="Q13" s="56">
        <f t="shared" si="3"/>
        <v>0</v>
      </c>
      <c r="R13" s="15"/>
      <c r="S13" s="55">
        <f>SUM('Research Area'!S13+'Research Cyberinfrastructure'!S13+'EA &amp; Seed Funding'!S13+'Partnerships &amp; Collaborations'!S13+'Broadening Participation Divers'!S13+'Education Workforce Development'!S13+'Communications &amp; Disseminations'!S13+'Evaluation and Assessment '!S13+'Sustainability Plan'!S13+'Management '!S13)</f>
        <v>0</v>
      </c>
      <c r="T13" s="56">
        <f>SUM('Research Area'!T13+'Research Cyberinfrastructure'!T13+'EA &amp; Seed Funding'!T13+'Partnerships &amp; Collaborations'!T13+'Broadening Participation Divers'!T13+'Education Workforce Development'!T13+'Communications &amp; Disseminations'!T13+'Evaluation and Assessment '!T13+'Sustainability Plan'!T13+'Management '!T13)</f>
        <v>0</v>
      </c>
      <c r="U13" s="56">
        <f t="shared" si="4"/>
        <v>0</v>
      </c>
      <c r="V13" s="16"/>
      <c r="W13" s="55">
        <f>SUM('Research Area'!W13+'Research Cyberinfrastructure'!W13+'EA &amp; Seed Funding'!W13+'Partnerships &amp; Collaborations'!W13+'Broadening Participation Divers'!W13+'Education Workforce Development'!W13+'Communications &amp; Disseminations'!W13+'Evaluation and Assessment '!W13+'Sustainability Plan'!W13+'Management '!W13)</f>
        <v>0</v>
      </c>
      <c r="X13" s="56">
        <f>SUM('Research Area'!X13+'Research Cyberinfrastructure'!X13+'EA &amp; Seed Funding'!X13+'Partnerships &amp; Collaborations'!X13+'Broadening Participation Divers'!X13+'Education Workforce Development'!X13+'Communications &amp; Disseminations'!X13+'Evaluation and Assessment '!X13+'Sustainability Plan'!X13+'Management '!X13)</f>
        <v>0</v>
      </c>
      <c r="Y13" s="56">
        <f t="shared" si="5"/>
        <v>0</v>
      </c>
    </row>
    <row r="14" spans="1:25" x14ac:dyDescent="0.25">
      <c r="A14" s="52"/>
      <c r="B14" s="54"/>
      <c r="C14" s="124">
        <f>SUM('Research Area'!C14+'Research Cyberinfrastructure'!C14+'EA &amp; Seed Funding'!C14+'Partnerships &amp; Collaborations'!C14+'Broadening Participation Divers'!C14+'Education Workforce Development'!C14+'Communications &amp; Disseminations'!C14+'Evaluation and Assessment '!C14+'Sustainability Plan'!C14+'Management '!C14)</f>
        <v>0</v>
      </c>
      <c r="D14" s="56">
        <f>SUM('Research Area'!D14+'Research Cyberinfrastructure'!D14+'EA &amp; Seed Funding'!D14+'Partnerships &amp; Collaborations'!D14+'Broadening Participation Divers'!D14+'Education Workforce Development'!D14+'Communications &amp; Disseminations'!D14+'Evaluation and Assessment '!D14+'Sustainability Plan'!D14+'Management '!D14)</f>
        <v>0</v>
      </c>
      <c r="E14" s="56">
        <f t="shared" si="0"/>
        <v>0</v>
      </c>
      <c r="F14" s="15"/>
      <c r="G14" s="55">
        <f>SUM('Research Area'!G14+'Research Cyberinfrastructure'!G14+'EA &amp; Seed Funding'!G14+'Partnerships &amp; Collaborations'!G14+'Broadening Participation Divers'!G14+'Education Workforce Development'!G14+'Communications &amp; Disseminations'!G14+'Evaluation and Assessment '!G14+'Sustainability Plan'!G14+'Management '!G14)</f>
        <v>0</v>
      </c>
      <c r="H14" s="56">
        <f>SUM('Research Area'!H14+'Research Cyberinfrastructure'!H14+'EA &amp; Seed Funding'!H14+'Partnerships &amp; Collaborations'!H14+'Broadening Participation Divers'!H14+'Education Workforce Development'!H14+'Communications &amp; Disseminations'!H14+'Evaluation and Assessment '!H14+'Sustainability Plan'!H14+'Management '!H14)</f>
        <v>0</v>
      </c>
      <c r="I14" s="56">
        <f t="shared" si="1"/>
        <v>0</v>
      </c>
      <c r="J14" s="15"/>
      <c r="K14" s="55">
        <f>SUM('Research Area'!K14+'Research Cyberinfrastructure'!K14+'EA &amp; Seed Funding'!K14+'Partnerships &amp; Collaborations'!K14+'Broadening Participation Divers'!K14+'Education Workforce Development'!K14+'Communications &amp; Disseminations'!K14+'Evaluation and Assessment '!K14+'Sustainability Plan'!K14+'Management '!K14)</f>
        <v>0</v>
      </c>
      <c r="L14" s="56">
        <f>SUM('Research Area'!L14+'Research Cyberinfrastructure'!L14+'EA &amp; Seed Funding'!L14+'Partnerships &amp; Collaborations'!L14+'Broadening Participation Divers'!L14+'Education Workforce Development'!L14+'Communications &amp; Disseminations'!L14+'Evaluation and Assessment '!L14+'Sustainability Plan'!L14+'Management '!L14)</f>
        <v>0</v>
      </c>
      <c r="M14" s="56">
        <f t="shared" si="2"/>
        <v>0</v>
      </c>
      <c r="N14" s="15"/>
      <c r="O14" s="55">
        <f>SUM('Research Area'!O14+'Research Cyberinfrastructure'!O14+'EA &amp; Seed Funding'!O14+'Partnerships &amp; Collaborations'!O14+'Broadening Participation Divers'!O14+'Education Workforce Development'!O14+'Communications &amp; Disseminations'!O14+'Evaluation and Assessment '!O14+'Sustainability Plan'!O14+'Management '!O14)</f>
        <v>0</v>
      </c>
      <c r="P14" s="56">
        <f>SUM('Research Area'!P14+'Research Cyberinfrastructure'!P14+'EA &amp; Seed Funding'!P14+'Partnerships &amp; Collaborations'!P14+'Broadening Participation Divers'!P14+'Education Workforce Development'!P14+'Communications &amp; Disseminations'!P14+'Evaluation and Assessment '!P14+'Sustainability Plan'!P14+'Management '!P14)</f>
        <v>0</v>
      </c>
      <c r="Q14" s="56">
        <f t="shared" si="3"/>
        <v>0</v>
      </c>
      <c r="R14" s="15"/>
      <c r="S14" s="55">
        <f>SUM('Research Area'!S14+'Research Cyberinfrastructure'!S14+'EA &amp; Seed Funding'!S14+'Partnerships &amp; Collaborations'!S14+'Broadening Participation Divers'!S14+'Education Workforce Development'!S14+'Communications &amp; Disseminations'!S14+'Evaluation and Assessment '!S14+'Sustainability Plan'!S14+'Management '!S14)</f>
        <v>0</v>
      </c>
      <c r="T14" s="56">
        <f>SUM('Research Area'!T14+'Research Cyberinfrastructure'!T14+'EA &amp; Seed Funding'!T14+'Partnerships &amp; Collaborations'!T14+'Broadening Participation Divers'!T14+'Education Workforce Development'!T14+'Communications &amp; Disseminations'!T14+'Evaluation and Assessment '!T14+'Sustainability Plan'!T14+'Management '!T14)</f>
        <v>0</v>
      </c>
      <c r="U14" s="56">
        <f t="shared" si="4"/>
        <v>0</v>
      </c>
      <c r="V14" s="16"/>
      <c r="W14" s="55">
        <f>SUM('Research Area'!W14+'Research Cyberinfrastructure'!W14+'EA &amp; Seed Funding'!W14+'Partnerships &amp; Collaborations'!W14+'Broadening Participation Divers'!W14+'Education Workforce Development'!W14+'Communications &amp; Disseminations'!W14+'Evaluation and Assessment '!W14+'Sustainability Plan'!W14+'Management '!W14)</f>
        <v>0</v>
      </c>
      <c r="X14" s="56">
        <f>SUM('Research Area'!X14+'Research Cyberinfrastructure'!X14+'EA &amp; Seed Funding'!X14+'Partnerships &amp; Collaborations'!X14+'Broadening Participation Divers'!X14+'Education Workforce Development'!X14+'Communications &amp; Disseminations'!X14+'Evaluation and Assessment '!X14+'Sustainability Plan'!X14+'Management '!X14)</f>
        <v>0</v>
      </c>
      <c r="Y14" s="56">
        <f t="shared" si="5"/>
        <v>0</v>
      </c>
    </row>
    <row r="15" spans="1:25" s="22" customFormat="1" x14ac:dyDescent="0.25">
      <c r="A15" s="78"/>
      <c r="B15" s="78" t="s">
        <v>9</v>
      </c>
      <c r="C15" s="124">
        <f>SUM(C6:C14)</f>
        <v>286030.92083448556</v>
      </c>
      <c r="D15" s="56">
        <f>SUM(D6:D14)</f>
        <v>114315.03206613334</v>
      </c>
      <c r="E15" s="56">
        <f>SUM(E6:E14)</f>
        <v>400345.95290061896</v>
      </c>
      <c r="F15" s="20"/>
      <c r="G15" s="55">
        <f>SUM(G6:G14)</f>
        <v>525078.4645995202</v>
      </c>
      <c r="H15" s="56">
        <f>SUM(H6:H14)</f>
        <v>117744.48302811733</v>
      </c>
      <c r="I15" s="56">
        <f>SUM(I6:I14)</f>
        <v>642822.94762763754</v>
      </c>
      <c r="J15" s="20"/>
      <c r="K15" s="55">
        <f>SUM(K6:K14)</f>
        <v>278000.81853750575</v>
      </c>
      <c r="L15" s="56">
        <f>SUM(L6:L14)</f>
        <v>115972.31751896086</v>
      </c>
      <c r="M15" s="56">
        <f>SUM(M6:M14)</f>
        <v>393973.13605646661</v>
      </c>
      <c r="N15" s="20"/>
      <c r="O15" s="55">
        <f>SUM(O6:O14)</f>
        <v>286160.84309363097</v>
      </c>
      <c r="P15" s="56">
        <f>SUM(P6:P14)</f>
        <v>119451.4870445297</v>
      </c>
      <c r="Q15" s="56">
        <f>SUM(Q6:Q14)</f>
        <v>405612.33013816067</v>
      </c>
      <c r="R15" s="20"/>
      <c r="S15" s="55">
        <f>SUM(S6:S14)</f>
        <v>282938.12433643988</v>
      </c>
      <c r="T15" s="56">
        <f>SUM(T6:T14)</f>
        <v>123035.03165586559</v>
      </c>
      <c r="U15" s="56">
        <f>SUM(U6:U14)</f>
        <v>405973.15599230549</v>
      </c>
      <c r="V15" s="21"/>
      <c r="W15" s="55">
        <f>SUM(W6:W14)</f>
        <v>1658209.1714015824</v>
      </c>
      <c r="X15" s="56">
        <f>SUM(X6:X14)</f>
        <v>590518.35131360684</v>
      </c>
      <c r="Y15" s="56">
        <f>SUM(Y6:Y14)</f>
        <v>2248727.522715189</v>
      </c>
    </row>
    <row r="16" spans="1:25" s="11" customFormat="1" x14ac:dyDescent="0.25">
      <c r="A16" s="74" t="s">
        <v>12</v>
      </c>
      <c r="B16" s="74"/>
      <c r="C16" s="212"/>
      <c r="D16" s="212"/>
      <c r="E16" s="212"/>
      <c r="F16" s="58"/>
      <c r="G16" s="58"/>
      <c r="H16" s="58"/>
      <c r="I16" s="58"/>
      <c r="J16" s="58"/>
      <c r="K16" s="58"/>
      <c r="L16" s="58"/>
      <c r="M16" s="58"/>
      <c r="N16" s="15"/>
      <c r="O16" s="15"/>
      <c r="P16" s="15"/>
      <c r="Q16" s="15"/>
      <c r="R16" s="15"/>
      <c r="S16" s="15"/>
      <c r="T16" s="15"/>
      <c r="U16" s="15"/>
      <c r="V16" s="16"/>
      <c r="W16" s="15"/>
      <c r="X16" s="15"/>
      <c r="Y16" s="9"/>
    </row>
    <row r="17" spans="1:77" x14ac:dyDescent="0.25">
      <c r="A17" s="53"/>
      <c r="B17" s="52"/>
      <c r="C17" s="124">
        <f>SUM('Research Area'!C17+'Research Cyberinfrastructure'!C17+'EA &amp; Seed Funding'!C17+'Partnerships &amp; Collaborations'!C17+'Broadening Participation Divers'!C17+'Education Workforce Development'!C17+'Communications &amp; Disseminations'!C17+'Evaluation and Assessment '!C17+'Sustainability Plan'!C17+'Management '!C17)</f>
        <v>34192.704000000005</v>
      </c>
      <c r="D17" s="56">
        <f>SUM('Research Area'!D17+'Research Cyberinfrastructure'!D17+'EA &amp; Seed Funding'!D17+'Partnerships &amp; Collaborations'!D17+'Broadening Participation Divers'!D17+'Education Workforce Development'!D17+'Communications &amp; Disseminations'!D17+'Evaluation and Assessment '!D17+'Sustainability Plan'!D17+'Management '!D17)</f>
        <v>103966.38720000001</v>
      </c>
      <c r="E17" s="56">
        <f>SUM(C17:D17)</f>
        <v>138159.09120000002</v>
      </c>
      <c r="F17" s="15"/>
      <c r="G17" s="55">
        <f>SUM('Research Area'!G17+'Research Cyberinfrastructure'!G17+'EA &amp; Seed Funding'!G17+'Partnerships &amp; Collaborations'!G17+'Broadening Participation Divers'!G17+'Education Workforce Development'!G17+'Communications &amp; Disseminations'!G17+'Evaluation and Assessment '!G17+'Sustainability Plan'!G17+'Management '!G17)</f>
        <v>97018.485119999998</v>
      </c>
      <c r="H17" s="56">
        <f>SUM('Research Area'!H17+'Research Cyberinfrastructure'!H17+'EA &amp; Seed Funding'!H17+'Partnerships &amp; Collaborations'!H17+'Broadening Participation Divers'!H17+'Education Workforce Development'!H17+'Communications &amp; Disseminations'!H17+'Evaluation and Assessment '!H17+'Sustainability Plan'!H17+'Management '!H17)</f>
        <v>87357.731136000017</v>
      </c>
      <c r="I17" s="56">
        <f>SUM(G17:H17)</f>
        <v>184376.21625600001</v>
      </c>
      <c r="J17" s="15"/>
      <c r="K17" s="55">
        <f>SUM('Research Area'!K17+'Research Cyberinfrastructure'!K17+'EA &amp; Seed Funding'!K17+'Partnerships &amp; Collaborations'!K17+'Broadening Participation Divers'!K17+'Education Workforce Development'!K17+'Communications &amp; Disseminations'!K17+'Evaluation and Assessment '!K17+'Sustainability Plan'!K17+'Management '!K17)</f>
        <v>99929.039673599997</v>
      </c>
      <c r="L17" s="56">
        <f>SUM('Research Area'!L17+'Research Cyberinfrastructure'!L17+'EA &amp; Seed Funding'!L17+'Partnerships &amp; Collaborations'!L17+'Broadening Participation Divers'!L17+'Education Workforce Development'!L17+'Communications &amp; Disseminations'!L17+'Evaluation and Assessment '!L17+'Sustainability Plan'!L17+'Management '!L17)</f>
        <v>89978.463070080019</v>
      </c>
      <c r="M17" s="56">
        <f>SUM(K17:L17)</f>
        <v>189907.50274368003</v>
      </c>
      <c r="N17" s="15"/>
      <c r="O17" s="55">
        <f>SUM('Research Area'!O17+'Research Cyberinfrastructure'!O17+'EA &amp; Seed Funding'!O17+'Partnerships &amp; Collaborations'!O17+'Broadening Participation Divers'!O17+'Education Workforce Development'!O17+'Communications &amp; Disseminations'!O17+'Evaluation and Assessment '!O17+'Sustainability Plan'!O17+'Management '!O17)</f>
        <v>102926.91086380801</v>
      </c>
      <c r="P17" s="56">
        <f>SUM('Research Area'!P17+'Research Cyberinfrastructure'!P17+'EA &amp; Seed Funding'!P17+'Partnerships &amp; Collaborations'!P17+'Broadening Participation Divers'!P17+'Education Workforce Development'!P17+'Communications &amp; Disseminations'!P17+'Evaluation and Assessment '!P17+'Sustainability Plan'!P17+'Management '!P17)</f>
        <v>92677.81696218242</v>
      </c>
      <c r="Q17" s="56">
        <f>SUM(O17:P17)</f>
        <v>195604.72782599041</v>
      </c>
      <c r="R17" s="15"/>
      <c r="S17" s="55">
        <f>SUM('Research Area'!S17+'Research Cyberinfrastructure'!S17+'EA &amp; Seed Funding'!S17+'Partnerships &amp; Collaborations'!S17+'Broadening Participation Divers'!S17+'Education Workforce Development'!S17+'Communications &amp; Disseminations'!S17+'Evaluation and Assessment '!S17+'Sustainability Plan'!S17+'Management '!S17)</f>
        <v>106014.71818972223</v>
      </c>
      <c r="T17" s="56">
        <f>SUM('Research Area'!T17+'Research Cyberinfrastructure'!T17+'EA &amp; Seed Funding'!T17+'Partnerships &amp; Collaborations'!T17+'Broadening Participation Divers'!T17+'Education Workforce Development'!T17+'Communications &amp; Disseminations'!T17+'Evaluation and Assessment '!T17+'Sustainability Plan'!T17+'Management '!T17)</f>
        <v>117015.08473747125</v>
      </c>
      <c r="U17" s="56">
        <f>SUM(S17:T17)</f>
        <v>223029.80292719346</v>
      </c>
      <c r="V17" s="16"/>
      <c r="W17" s="55">
        <f>SUM('Research Area'!W17+'Research Cyberinfrastructure'!W17+'EA &amp; Seed Funding'!W17+'Partnerships &amp; Collaborations'!W17+'Broadening Participation Divers'!W17+'Education Workforce Development'!W17+'Communications &amp; Disseminations'!W17+'Evaluation and Assessment '!W17+'Sustainability Plan'!W17+'Management '!W17)</f>
        <v>440081.85784713028</v>
      </c>
      <c r="X17" s="56">
        <f>SUM('Research Area'!X17+'Research Cyberinfrastructure'!X17+'EA &amp; Seed Funding'!X17+'Partnerships &amp; Collaborations'!X17+'Broadening Participation Divers'!X17+'Education Workforce Development'!X17+'Communications &amp; Disseminations'!X17+'Evaluation and Assessment '!X17+'Sustainability Plan'!X17+'Management '!X17)</f>
        <v>490995.48310573364</v>
      </c>
      <c r="Y17" s="56">
        <f>SUM(W17:X17)</f>
        <v>931077.34095286392</v>
      </c>
    </row>
    <row r="18" spans="1:77" x14ac:dyDescent="0.25">
      <c r="A18" s="87"/>
      <c r="B18" s="54"/>
      <c r="C18" s="124">
        <f>SUM('Research Area'!C18+'Research Cyberinfrastructure'!C18+'EA &amp; Seed Funding'!C18+'Partnerships &amp; Collaborations'!C18+'Broadening Participation Divers'!C18+'Education Workforce Development'!C18+'Communications &amp; Disseminations'!C18+'Evaluation and Assessment '!C18+'Sustainability Plan'!C18+'Management '!C18)</f>
        <v>41101.944000000003</v>
      </c>
      <c r="D18" s="56">
        <f>SUM('Research Area'!D18+'Research Cyberinfrastructure'!D18+'EA &amp; Seed Funding'!D18+'Partnerships &amp; Collaborations'!D18+'Broadening Participation Divers'!D18+'Education Workforce Development'!D18+'Communications &amp; Disseminations'!D18+'Evaluation and Assessment '!D18+'Sustainability Plan'!D18+'Management '!D18)</f>
        <v>32881.555200000003</v>
      </c>
      <c r="E18" s="56">
        <f t="shared" ref="E18:E25" si="6">SUM(C18:D18)</f>
        <v>73983.499200000006</v>
      </c>
      <c r="F18" s="15"/>
      <c r="G18" s="55">
        <f>SUM('Research Area'!G18+'Research Cyberinfrastructure'!G18+'EA &amp; Seed Funding'!G18+'Partnerships &amp; Collaborations'!G18+'Broadening Participation Divers'!G18+'Education Workforce Development'!G18+'Communications &amp; Disseminations'!G18+'Evaluation and Assessment '!G18+'Sustainability Plan'!G18+'Management '!G18)</f>
        <v>71175.00232</v>
      </c>
      <c r="H18" s="56">
        <f>SUM('Research Area'!H18+'Research Cyberinfrastructure'!H18+'EA &amp; Seed Funding'!H18+'Partnerships &amp; Collaborations'!H18+'Broadening Participation Divers'!H18+'Education Workforce Development'!H18+'Communications &amp; Disseminations'!H18+'Evaluation and Assessment '!H18+'Sustainability Plan'!H18+'Management '!H18)</f>
        <v>33868.001856000003</v>
      </c>
      <c r="I18" s="56">
        <f t="shared" ref="I18:I25" si="7">SUM(G18:H18)</f>
        <v>105043.004176</v>
      </c>
      <c r="J18" s="15"/>
      <c r="K18" s="55">
        <f>SUM('Research Area'!K18+'Research Cyberinfrastructure'!K18+'EA &amp; Seed Funding'!K18+'Partnerships &amp; Collaborations'!K18+'Broadening Participation Divers'!K18+'Education Workforce Development'!K18+'Communications &amp; Disseminations'!K18+'Evaluation and Assessment '!K18+'Sustainability Plan'!K18+'Management '!K18)</f>
        <v>73310.252389600006</v>
      </c>
      <c r="L18" s="56">
        <f>SUM('Research Area'!L18+'Research Cyberinfrastructure'!L18+'EA &amp; Seed Funding'!L18+'Partnerships &amp; Collaborations'!L18+'Broadening Participation Divers'!L18+'Education Workforce Development'!L18+'Communications &amp; Disseminations'!L18+'Evaluation and Assessment '!L18+'Sustainability Plan'!L18+'Management '!L18)</f>
        <v>34884.041911680004</v>
      </c>
      <c r="M18" s="56">
        <f t="shared" ref="M18:M25" si="8">SUM(K18:L18)</f>
        <v>108194.29430128001</v>
      </c>
      <c r="N18" s="15"/>
      <c r="O18" s="55">
        <f>SUM('Research Area'!O18+'Research Cyberinfrastructure'!O18+'EA &amp; Seed Funding'!O18+'Partnerships &amp; Collaborations'!O18+'Broadening Participation Divers'!O18+'Education Workforce Development'!O18+'Communications &amp; Disseminations'!O18+'Evaluation and Assessment '!O18+'Sustainability Plan'!O18+'Management '!O18)</f>
        <v>75509.559961288003</v>
      </c>
      <c r="P18" s="56">
        <f>SUM('Research Area'!P18+'Research Cyberinfrastructure'!P18+'EA &amp; Seed Funding'!P18+'Partnerships &amp; Collaborations'!P18+'Broadening Participation Divers'!P18+'Education Workforce Development'!P18+'Communications &amp; Disseminations'!P18+'Evaluation and Assessment '!P18+'Sustainability Plan'!P18+'Management '!P18)</f>
        <v>35930.563169030407</v>
      </c>
      <c r="Q18" s="56">
        <f t="shared" ref="Q18:Q25" si="9">SUM(O18:P18)</f>
        <v>111440.12313031842</v>
      </c>
      <c r="R18" s="15"/>
      <c r="S18" s="55">
        <f>SUM('Research Area'!S18+'Research Cyberinfrastructure'!S18+'EA &amp; Seed Funding'!S18+'Partnerships &amp; Collaborations'!S18+'Broadening Participation Divers'!S18+'Education Workforce Development'!S18+'Communications &amp; Disseminations'!S18+'Evaluation and Assessment '!S18+'Sustainability Plan'!S18+'Management '!S18)</f>
        <v>77774.846760126646</v>
      </c>
      <c r="T18" s="56">
        <f>SUM('Research Area'!T18+'Research Cyberinfrastructure'!T18+'EA &amp; Seed Funding'!T18+'Partnerships &amp; Collaborations'!T18+'Broadening Participation Divers'!T18+'Education Workforce Development'!T18+'Communications &amp; Disseminations'!T18+'Evaluation and Assessment '!T18+'Sustainability Plan'!T18+'Management '!T18)</f>
        <v>37008.480064101321</v>
      </c>
      <c r="U18" s="56">
        <f t="shared" ref="U18:U25" si="10">SUM(S18:T18)</f>
        <v>114783.32682422796</v>
      </c>
      <c r="V18" s="16"/>
      <c r="W18" s="55">
        <f>SUM('Research Area'!W18+'Research Cyberinfrastructure'!W18+'EA &amp; Seed Funding'!W18+'Partnerships &amp; Collaborations'!W18+'Broadening Participation Divers'!W18+'Education Workforce Development'!W18+'Communications &amp; Disseminations'!W18+'Evaluation and Assessment '!W18+'Sustainability Plan'!W18+'Management '!W18)</f>
        <v>338871.60543101467</v>
      </c>
      <c r="X18" s="56">
        <f>SUM('Research Area'!X18+'Research Cyberinfrastructure'!X18+'EA &amp; Seed Funding'!X18+'Partnerships &amp; Collaborations'!X18+'Broadening Participation Divers'!X18+'Education Workforce Development'!X18+'Communications &amp; Disseminations'!X18+'Evaluation and Assessment '!X18+'Sustainability Plan'!X18+'Management '!X18)</f>
        <v>174572.64220081174</v>
      </c>
      <c r="Y18" s="56">
        <f t="shared" ref="Y18:Y25" si="11">SUM(W18:X18)</f>
        <v>513444.24763182644</v>
      </c>
    </row>
    <row r="19" spans="1:77" x14ac:dyDescent="0.25">
      <c r="A19" s="52"/>
      <c r="B19" s="52"/>
      <c r="C19" s="124">
        <f>SUM('Research Area'!C19+'Research Cyberinfrastructure'!C19+'EA &amp; Seed Funding'!C19+'Partnerships &amp; Collaborations'!C19+'Broadening Participation Divers'!C19+'Education Workforce Development'!C19+'Communications &amp; Disseminations'!C19+'Evaluation and Assessment '!C19+'Sustainability Plan'!C19+'Management '!C19)</f>
        <v>12390</v>
      </c>
      <c r="D19" s="56">
        <f>SUM('Research Area'!D19+'Research Cyberinfrastructure'!D19+'EA &amp; Seed Funding'!D19+'Partnerships &amp; Collaborations'!D19+'Broadening Participation Divers'!D19+'Education Workforce Development'!D19+'Communications &amp; Disseminations'!D19+'Evaluation and Assessment '!D19+'Sustainability Plan'!D19+'Management '!D19)</f>
        <v>0</v>
      </c>
      <c r="E19" s="56">
        <f t="shared" si="6"/>
        <v>12390</v>
      </c>
      <c r="F19" s="15"/>
      <c r="G19" s="55">
        <f>SUM('Research Area'!G19+'Research Cyberinfrastructure'!G19+'EA &amp; Seed Funding'!G19+'Partnerships &amp; Collaborations'!G19+'Broadening Participation Divers'!G19+'Education Workforce Development'!G19+'Communications &amp; Disseminations'!G19+'Evaluation and Assessment '!G19+'Sustainability Plan'!G19+'Management '!G19)</f>
        <v>12761.7</v>
      </c>
      <c r="H19" s="56">
        <f>SUM('Research Area'!H19+'Research Cyberinfrastructure'!H19+'EA &amp; Seed Funding'!H19+'Partnerships &amp; Collaborations'!H19+'Broadening Participation Divers'!H19+'Education Workforce Development'!H19+'Communications &amp; Disseminations'!H19+'Evaluation and Assessment '!H19+'Sustainability Plan'!H19+'Management '!H19)</f>
        <v>0</v>
      </c>
      <c r="I19" s="56">
        <f t="shared" si="7"/>
        <v>12761.7</v>
      </c>
      <c r="J19" s="15"/>
      <c r="K19" s="55">
        <f>SUM('Research Area'!K19+'Research Cyberinfrastructure'!K19+'EA &amp; Seed Funding'!K19+'Partnerships &amp; Collaborations'!K19+'Broadening Participation Divers'!K19+'Education Workforce Development'!K19+'Communications &amp; Disseminations'!K19+'Evaluation and Assessment '!K19+'Sustainability Plan'!K19+'Management '!K19)</f>
        <v>13144.551000000001</v>
      </c>
      <c r="L19" s="56">
        <f>SUM('Research Area'!L19+'Research Cyberinfrastructure'!L19+'EA &amp; Seed Funding'!L19+'Partnerships &amp; Collaborations'!L19+'Broadening Participation Divers'!L19+'Education Workforce Development'!L19+'Communications &amp; Disseminations'!L19+'Evaluation and Assessment '!L19+'Sustainability Plan'!L19+'Management '!L19)</f>
        <v>0</v>
      </c>
      <c r="M19" s="56">
        <f t="shared" si="8"/>
        <v>13144.551000000001</v>
      </c>
      <c r="N19" s="15"/>
      <c r="O19" s="55">
        <f>SUM('Research Area'!O19+'Research Cyberinfrastructure'!O19+'EA &amp; Seed Funding'!O19+'Partnerships &amp; Collaborations'!O19+'Broadening Participation Divers'!O19+'Education Workforce Development'!O19+'Communications &amp; Disseminations'!O19+'Evaluation and Assessment '!O19+'Sustainability Plan'!O19+'Management '!O19)</f>
        <v>13538.887530000002</v>
      </c>
      <c r="P19" s="56">
        <f>SUM('Research Area'!P19+'Research Cyberinfrastructure'!P19+'EA &amp; Seed Funding'!P19+'Partnerships &amp; Collaborations'!P19+'Broadening Participation Divers'!P19+'Education Workforce Development'!P19+'Communications &amp; Disseminations'!P19+'Evaluation and Assessment '!P19+'Sustainability Plan'!P19+'Management '!P19)</f>
        <v>0</v>
      </c>
      <c r="Q19" s="56">
        <f t="shared" si="9"/>
        <v>13538.887530000002</v>
      </c>
      <c r="R19" s="15"/>
      <c r="S19" s="55">
        <f>SUM('Research Area'!S19+'Research Cyberinfrastructure'!S19+'EA &amp; Seed Funding'!S19+'Partnerships &amp; Collaborations'!S19+'Broadening Participation Divers'!S19+'Education Workforce Development'!S19+'Communications &amp; Disseminations'!S19+'Evaluation and Assessment '!S19+'Sustainability Plan'!S19+'Management '!S19)</f>
        <v>13945.054155900003</v>
      </c>
      <c r="T19" s="56">
        <f>SUM('Research Area'!T19+'Research Cyberinfrastructure'!T19+'EA &amp; Seed Funding'!T19+'Partnerships &amp; Collaborations'!T19+'Broadening Participation Divers'!T19+'Education Workforce Development'!T19+'Communications &amp; Disseminations'!T19+'Evaluation and Assessment '!T19+'Sustainability Plan'!T19+'Management '!T19)</f>
        <v>0</v>
      </c>
      <c r="U19" s="56">
        <f t="shared" si="10"/>
        <v>13945.054155900003</v>
      </c>
      <c r="V19" s="16"/>
      <c r="W19" s="55">
        <f>SUM('Research Area'!W19+'Research Cyberinfrastructure'!W19+'EA &amp; Seed Funding'!W19+'Partnerships &amp; Collaborations'!W19+'Broadening Participation Divers'!W19+'Education Workforce Development'!W19+'Communications &amp; Disseminations'!W19+'Evaluation and Assessment '!W19+'Sustainability Plan'!W19+'Management '!W19)</f>
        <v>65780.192685900009</v>
      </c>
      <c r="X19" s="56">
        <f>SUM('Research Area'!X19+'Research Cyberinfrastructure'!X19+'EA &amp; Seed Funding'!X19+'Partnerships &amp; Collaborations'!X19+'Broadening Participation Divers'!X19+'Education Workforce Development'!X19+'Communications &amp; Disseminations'!X19+'Evaluation and Assessment '!X19+'Sustainability Plan'!X19+'Management '!X19)</f>
        <v>0</v>
      </c>
      <c r="Y19" s="56">
        <f t="shared" si="11"/>
        <v>65780.192685900009</v>
      </c>
    </row>
    <row r="20" spans="1:77" x14ac:dyDescent="0.25">
      <c r="A20" s="52"/>
      <c r="B20" s="54"/>
      <c r="C20" s="124">
        <f>SUM('Research Area'!C20+'Research Cyberinfrastructure'!C20+'EA &amp; Seed Funding'!C20+'Partnerships &amp; Collaborations'!C20+'Broadening Participation Divers'!C20+'Education Workforce Development'!C20+'Communications &amp; Disseminations'!C20+'Evaluation and Assessment '!C20+'Sustainability Plan'!C20+'Management '!C20)</f>
        <v>24637.600000000002</v>
      </c>
      <c r="D20" s="56">
        <f>SUM('Research Area'!D20+'Research Cyberinfrastructure'!D20+'EA &amp; Seed Funding'!D20+'Partnerships &amp; Collaborations'!D20+'Broadening Participation Divers'!D20+'Education Workforce Development'!D20+'Communications &amp; Disseminations'!D20+'Evaluation and Assessment '!D20+'Sustainability Plan'!D20+'Management '!D20)</f>
        <v>19710.080000000002</v>
      </c>
      <c r="E20" s="56">
        <f t="shared" si="6"/>
        <v>44347.680000000008</v>
      </c>
      <c r="F20" s="15"/>
      <c r="G20" s="55">
        <f>SUM('Research Area'!G20+'Research Cyberinfrastructure'!G20+'EA &amp; Seed Funding'!G20+'Partnerships &amp; Collaborations'!G20+'Broadening Participation Divers'!G20+'Education Workforce Development'!G20+'Communications &amp; Disseminations'!G20+'Evaluation and Assessment '!G20+'Sustainability Plan'!G20+'Management '!G20)</f>
        <v>25376.728000000003</v>
      </c>
      <c r="H20" s="56">
        <f>SUM('Research Area'!H20+'Research Cyberinfrastructure'!H20+'EA &amp; Seed Funding'!H20+'Partnerships &amp; Collaborations'!H20+'Broadening Participation Divers'!H20+'Education Workforce Development'!H20+'Communications &amp; Disseminations'!H20+'Evaluation and Assessment '!H20+'Sustainability Plan'!H20+'Management '!H20)</f>
        <v>20301.382400000002</v>
      </c>
      <c r="I20" s="56">
        <f t="shared" si="7"/>
        <v>45678.110400000005</v>
      </c>
      <c r="J20" s="15"/>
      <c r="K20" s="55">
        <f>SUM('Research Area'!K20+'Research Cyberinfrastructure'!K20+'EA &amp; Seed Funding'!K20+'Partnerships &amp; Collaborations'!K20+'Broadening Participation Divers'!K20+'Education Workforce Development'!K20+'Communications &amp; Disseminations'!K20+'Evaluation and Assessment '!K20+'Sustainability Plan'!K20+'Management '!K20)</f>
        <v>26138.029840000003</v>
      </c>
      <c r="L20" s="56">
        <f>SUM('Research Area'!L20+'Research Cyberinfrastructure'!L20+'EA &amp; Seed Funding'!L20+'Partnerships &amp; Collaborations'!L20+'Broadening Participation Divers'!L20+'Education Workforce Development'!L20+'Communications &amp; Disseminations'!L20+'Evaluation and Assessment '!L20+'Sustainability Plan'!L20+'Management '!L20)</f>
        <v>20910.423872000003</v>
      </c>
      <c r="M20" s="56">
        <f t="shared" si="8"/>
        <v>47048.453712000002</v>
      </c>
      <c r="N20" s="15"/>
      <c r="O20" s="55">
        <f>SUM('Research Area'!O20+'Research Cyberinfrastructure'!O20+'EA &amp; Seed Funding'!O20+'Partnerships &amp; Collaborations'!O20+'Broadening Participation Divers'!O20+'Education Workforce Development'!O20+'Communications &amp; Disseminations'!O20+'Evaluation and Assessment '!O20+'Sustainability Plan'!O20+'Management '!O20)</f>
        <v>26922.170735200005</v>
      </c>
      <c r="P20" s="56">
        <f>SUM('Research Area'!P20+'Research Cyberinfrastructure'!P20+'EA &amp; Seed Funding'!P20+'Partnerships &amp; Collaborations'!P20+'Broadening Participation Divers'!P20+'Education Workforce Development'!P20+'Communications &amp; Disseminations'!P20+'Evaluation and Assessment '!P20+'Sustainability Plan'!P20+'Management '!P20)</f>
        <v>21537.736588160005</v>
      </c>
      <c r="Q20" s="56">
        <f t="shared" si="9"/>
        <v>48459.907323360007</v>
      </c>
      <c r="R20" s="15"/>
      <c r="S20" s="55">
        <f>SUM('Research Area'!S20+'Research Cyberinfrastructure'!S20+'EA &amp; Seed Funding'!S20+'Partnerships &amp; Collaborations'!S20+'Broadening Participation Divers'!S20+'Education Workforce Development'!S20+'Communications &amp; Disseminations'!S20+'Evaluation and Assessment '!S20+'Sustainability Plan'!S20+'Management '!S20)</f>
        <v>27729.835857256006</v>
      </c>
      <c r="T20" s="56">
        <f>SUM('Research Area'!T20+'Research Cyberinfrastructure'!T20+'EA &amp; Seed Funding'!T20+'Partnerships &amp; Collaborations'!T20+'Broadening Participation Divers'!T20+'Education Workforce Development'!T20+'Communications &amp; Disseminations'!T20+'Evaluation and Assessment '!T20+'Sustainability Plan'!T20+'Management '!T20)</f>
        <v>22183.868685804806</v>
      </c>
      <c r="U20" s="56">
        <f t="shared" si="10"/>
        <v>49913.704543060812</v>
      </c>
      <c r="V20" s="16"/>
      <c r="W20" s="55">
        <f>SUM('Research Area'!W20+'Research Cyberinfrastructure'!W20+'EA &amp; Seed Funding'!W20+'Partnerships &amp; Collaborations'!W20+'Broadening Participation Divers'!W20+'Education Workforce Development'!W20+'Communications &amp; Disseminations'!W20+'Evaluation and Assessment '!W20+'Sustainability Plan'!W20+'Management '!W20)</f>
        <v>130804.36443245603</v>
      </c>
      <c r="X20" s="56">
        <f>SUM('Research Area'!X20+'Research Cyberinfrastructure'!X20+'EA &amp; Seed Funding'!X20+'Partnerships &amp; Collaborations'!X20+'Broadening Participation Divers'!X20+'Education Workforce Development'!X20+'Communications &amp; Disseminations'!X20+'Evaluation and Assessment '!X20+'Sustainability Plan'!X20+'Management '!X20)</f>
        <v>104643.49154596482</v>
      </c>
      <c r="Y20" s="56">
        <f t="shared" si="11"/>
        <v>235447.85597842085</v>
      </c>
    </row>
    <row r="21" spans="1:77" x14ac:dyDescent="0.25">
      <c r="A21" s="87"/>
      <c r="B21" s="54"/>
      <c r="C21" s="124">
        <f>SUM('Research Area'!C21+'Research Cyberinfrastructure'!C21+'EA &amp; Seed Funding'!C21+'Partnerships &amp; Collaborations'!C21+'Broadening Participation Divers'!C21+'Education Workforce Development'!C21+'Communications &amp; Disseminations'!C21+'Evaluation and Assessment '!C21+'Sustainability Plan'!C21+'Management '!C21)</f>
        <v>0</v>
      </c>
      <c r="D21" s="56">
        <f>SUM('Research Area'!D21+'Research Cyberinfrastructure'!D21+'EA &amp; Seed Funding'!D21+'Partnerships &amp; Collaborations'!D21+'Broadening Participation Divers'!D21+'Education Workforce Development'!D21+'Communications &amp; Disseminations'!D21+'Evaluation and Assessment '!D21+'Sustainability Plan'!D21+'Management '!D21)</f>
        <v>0</v>
      </c>
      <c r="E21" s="56">
        <f t="shared" si="6"/>
        <v>0</v>
      </c>
      <c r="F21" s="15"/>
      <c r="G21" s="55">
        <f>SUM('Research Area'!G21+'Research Cyberinfrastructure'!G21+'EA &amp; Seed Funding'!G21+'Partnerships &amp; Collaborations'!G21+'Broadening Participation Divers'!G21+'Education Workforce Development'!G21+'Communications &amp; Disseminations'!G21+'Evaluation and Assessment '!G21+'Sustainability Plan'!G21+'Management '!G21)</f>
        <v>49440</v>
      </c>
      <c r="H21" s="56">
        <f>SUM('Research Area'!H21+'Research Cyberinfrastructure'!H21+'EA &amp; Seed Funding'!H21+'Partnerships &amp; Collaborations'!H21+'Broadening Participation Divers'!H21+'Education Workforce Development'!H21+'Communications &amp; Disseminations'!H21+'Evaluation and Assessment '!H21+'Sustainability Plan'!H21+'Management '!H21)</f>
        <v>0</v>
      </c>
      <c r="I21" s="56">
        <f t="shared" si="7"/>
        <v>49440</v>
      </c>
      <c r="J21" s="15"/>
      <c r="K21" s="55">
        <f>SUM('Research Area'!K21+'Research Cyberinfrastructure'!K21+'EA &amp; Seed Funding'!K21+'Partnerships &amp; Collaborations'!K21+'Broadening Participation Divers'!K21+'Education Workforce Development'!K21+'Communications &amp; Disseminations'!K21+'Evaluation and Assessment '!K21+'Sustainability Plan'!K21+'Management '!K21)</f>
        <v>50923.200000000004</v>
      </c>
      <c r="L21" s="56">
        <f>SUM('Research Area'!L21+'Research Cyberinfrastructure'!L21+'EA &amp; Seed Funding'!L21+'Partnerships &amp; Collaborations'!L21+'Broadening Participation Divers'!L21+'Education Workforce Development'!L21+'Communications &amp; Disseminations'!L21+'Evaluation and Assessment '!L21+'Sustainability Plan'!L21+'Management '!L21)</f>
        <v>0</v>
      </c>
      <c r="M21" s="56">
        <f t="shared" si="8"/>
        <v>50923.200000000004</v>
      </c>
      <c r="N21" s="15"/>
      <c r="O21" s="55">
        <f>SUM('Research Area'!O21+'Research Cyberinfrastructure'!O21+'EA &amp; Seed Funding'!O21+'Partnerships &amp; Collaborations'!O21+'Broadening Participation Divers'!O21+'Education Workforce Development'!O21+'Communications &amp; Disseminations'!O21+'Evaluation and Assessment '!O21+'Sustainability Plan'!O21+'Management '!O21)</f>
        <v>52450.896000000008</v>
      </c>
      <c r="P21" s="56">
        <f>SUM('Research Area'!P21+'Research Cyberinfrastructure'!P21+'EA &amp; Seed Funding'!P21+'Partnerships &amp; Collaborations'!P21+'Broadening Participation Divers'!P21+'Education Workforce Development'!P21+'Communications &amp; Disseminations'!P21+'Evaluation and Assessment '!P21+'Sustainability Plan'!P21+'Management '!P21)</f>
        <v>0</v>
      </c>
      <c r="Q21" s="56">
        <f t="shared" si="9"/>
        <v>52450.896000000008</v>
      </c>
      <c r="R21" s="15"/>
      <c r="S21" s="55">
        <f>SUM('Research Area'!S21+'Research Cyberinfrastructure'!S21+'EA &amp; Seed Funding'!S21+'Partnerships &amp; Collaborations'!S21+'Broadening Participation Divers'!S21+'Education Workforce Development'!S21+'Communications &amp; Disseminations'!S21+'Evaluation and Assessment '!S21+'Sustainability Plan'!S21+'Management '!S21)</f>
        <v>54024.422880000013</v>
      </c>
      <c r="T21" s="56">
        <f>SUM('Research Area'!T21+'Research Cyberinfrastructure'!T21+'EA &amp; Seed Funding'!T21+'Partnerships &amp; Collaborations'!T21+'Broadening Participation Divers'!T21+'Education Workforce Development'!T21+'Communications &amp; Disseminations'!T21+'Evaluation and Assessment '!T21+'Sustainability Plan'!T21+'Management '!T21)</f>
        <v>0</v>
      </c>
      <c r="U21" s="56">
        <f t="shared" si="10"/>
        <v>54024.422880000013</v>
      </c>
      <c r="V21" s="16"/>
      <c r="W21" s="55">
        <f>SUM('Research Area'!W21+'Research Cyberinfrastructure'!W21+'EA &amp; Seed Funding'!W21+'Partnerships &amp; Collaborations'!W21+'Broadening Participation Divers'!W21+'Education Workforce Development'!W21+'Communications &amp; Disseminations'!W21+'Evaluation and Assessment '!W21+'Sustainability Plan'!W21+'Management '!W21)</f>
        <v>206838.51888000005</v>
      </c>
      <c r="X21" s="56">
        <f>SUM('Research Area'!X21+'Research Cyberinfrastructure'!X21+'EA &amp; Seed Funding'!X21+'Partnerships &amp; Collaborations'!X21+'Broadening Participation Divers'!X21+'Education Workforce Development'!X21+'Communications &amp; Disseminations'!X21+'Evaluation and Assessment '!X21+'Sustainability Plan'!X21+'Management '!X21)</f>
        <v>0</v>
      </c>
      <c r="Y21" s="56">
        <f t="shared" si="11"/>
        <v>206838.51888000005</v>
      </c>
    </row>
    <row r="22" spans="1:77" x14ac:dyDescent="0.25">
      <c r="A22" s="87"/>
      <c r="B22" s="54"/>
      <c r="C22" s="124">
        <f>SUM('Research Area'!C22+'Research Cyberinfrastructure'!C22+'EA &amp; Seed Funding'!C22+'Partnerships &amp; Collaborations'!C22+'Broadening Participation Divers'!C22+'Education Workforce Development'!C22+'Communications &amp; Disseminations'!C22+'Evaluation and Assessment '!C22+'Sustainability Plan'!C22+'Management '!C22)</f>
        <v>0</v>
      </c>
      <c r="D22" s="56">
        <f>SUM('Research Area'!D22+'Research Cyberinfrastructure'!D22+'EA &amp; Seed Funding'!D22+'Partnerships &amp; Collaborations'!D22+'Broadening Participation Divers'!D22+'Education Workforce Development'!D22+'Communications &amp; Disseminations'!D22+'Evaluation and Assessment '!D22+'Sustainability Plan'!D22+'Management '!D22)</f>
        <v>0</v>
      </c>
      <c r="E22" s="56">
        <f t="shared" si="6"/>
        <v>0</v>
      </c>
      <c r="F22" s="15"/>
      <c r="G22" s="55">
        <f>SUM('Research Area'!G22+'Research Cyberinfrastructure'!G22+'EA &amp; Seed Funding'!G22+'Partnerships &amp; Collaborations'!G22+'Broadening Participation Divers'!G22+'Education Workforce Development'!G22+'Communications &amp; Disseminations'!G22+'Evaluation and Assessment '!G22+'Sustainability Plan'!G22+'Management '!G22)</f>
        <v>0</v>
      </c>
      <c r="H22" s="56">
        <f>SUM('Research Area'!H22+'Research Cyberinfrastructure'!H22+'EA &amp; Seed Funding'!H22+'Partnerships &amp; Collaborations'!H22+'Broadening Participation Divers'!H22+'Education Workforce Development'!H22+'Communications &amp; Disseminations'!H22+'Evaluation and Assessment '!H22+'Sustainability Plan'!H22+'Management '!H22)</f>
        <v>0</v>
      </c>
      <c r="I22" s="56">
        <f t="shared" si="7"/>
        <v>0</v>
      </c>
      <c r="J22" s="15"/>
      <c r="K22" s="55">
        <f>SUM('Research Area'!K22+'Research Cyberinfrastructure'!K22+'EA &amp; Seed Funding'!K22+'Partnerships &amp; Collaborations'!K22+'Broadening Participation Divers'!K22+'Education Workforce Development'!K22+'Communications &amp; Disseminations'!K22+'Evaluation and Assessment '!K22+'Sustainability Plan'!K22+'Management '!K22)</f>
        <v>0</v>
      </c>
      <c r="L22" s="56">
        <f>SUM('Research Area'!L22+'Research Cyberinfrastructure'!L22+'EA &amp; Seed Funding'!L22+'Partnerships &amp; Collaborations'!L22+'Broadening Participation Divers'!L22+'Education Workforce Development'!L22+'Communications &amp; Disseminations'!L22+'Evaluation and Assessment '!L22+'Sustainability Plan'!L22+'Management '!L22)</f>
        <v>0</v>
      </c>
      <c r="M22" s="56">
        <f t="shared" si="8"/>
        <v>0</v>
      </c>
      <c r="N22" s="15"/>
      <c r="O22" s="55">
        <f>SUM('Research Area'!O22+'Research Cyberinfrastructure'!O22+'EA &amp; Seed Funding'!O22+'Partnerships &amp; Collaborations'!O22+'Broadening Participation Divers'!O22+'Education Workforce Development'!O22+'Communications &amp; Disseminations'!O22+'Evaluation and Assessment '!O22+'Sustainability Plan'!O22+'Management '!O22)</f>
        <v>0</v>
      </c>
      <c r="P22" s="56">
        <f>SUM('Research Area'!P22+'Research Cyberinfrastructure'!P22+'EA &amp; Seed Funding'!P22+'Partnerships &amp; Collaborations'!P22+'Broadening Participation Divers'!P22+'Education Workforce Development'!P22+'Communications &amp; Disseminations'!P22+'Evaluation and Assessment '!P22+'Sustainability Plan'!P22+'Management '!P22)</f>
        <v>0</v>
      </c>
      <c r="Q22" s="56">
        <f t="shared" si="9"/>
        <v>0</v>
      </c>
      <c r="R22" s="15"/>
      <c r="S22" s="55">
        <f>SUM('Research Area'!S22+'Research Cyberinfrastructure'!S22+'EA &amp; Seed Funding'!S22+'Partnerships &amp; Collaborations'!S22+'Broadening Participation Divers'!S22+'Education Workforce Development'!S22+'Communications &amp; Disseminations'!S22+'Evaluation and Assessment '!S22+'Sustainability Plan'!S22+'Management '!S22)</f>
        <v>0</v>
      </c>
      <c r="T22" s="56">
        <f>SUM('Research Area'!T22+'Research Cyberinfrastructure'!T22+'EA &amp; Seed Funding'!T22+'Partnerships &amp; Collaborations'!T22+'Broadening Participation Divers'!T22+'Education Workforce Development'!T22+'Communications &amp; Disseminations'!T22+'Evaluation and Assessment '!T22+'Sustainability Plan'!T22+'Management '!T22)</f>
        <v>0</v>
      </c>
      <c r="U22" s="56">
        <f t="shared" si="10"/>
        <v>0</v>
      </c>
      <c r="V22" s="16"/>
      <c r="W22" s="55">
        <f>SUM('Research Area'!W22+'Research Cyberinfrastructure'!W22+'EA &amp; Seed Funding'!W22+'Partnerships &amp; Collaborations'!W22+'Broadening Participation Divers'!W22+'Education Workforce Development'!W22+'Communications &amp; Disseminations'!W22+'Evaluation and Assessment '!W22+'Sustainability Plan'!W22+'Management '!W22)</f>
        <v>0</v>
      </c>
      <c r="X22" s="56">
        <f>SUM('Research Area'!X22+'Research Cyberinfrastructure'!X22+'EA &amp; Seed Funding'!X22+'Partnerships &amp; Collaborations'!X22+'Broadening Participation Divers'!X22+'Education Workforce Development'!X22+'Communications &amp; Disseminations'!X22+'Evaluation and Assessment '!X22+'Sustainability Plan'!X22+'Management '!X22)</f>
        <v>0</v>
      </c>
      <c r="Y22" s="56">
        <f t="shared" si="11"/>
        <v>0</v>
      </c>
    </row>
    <row r="23" spans="1:77" x14ac:dyDescent="0.25">
      <c r="A23" s="52"/>
      <c r="B23" s="54"/>
      <c r="C23" s="124">
        <f>SUM('Research Area'!C23+'Research Cyberinfrastructure'!C23+'EA &amp; Seed Funding'!C23+'Partnerships &amp; Collaborations'!C23+'Broadening Participation Divers'!C23+'Education Workforce Development'!C23+'Communications &amp; Disseminations'!C23+'Evaluation and Assessment '!C23+'Sustainability Plan'!C23+'Management '!C23)</f>
        <v>0</v>
      </c>
      <c r="D23" s="56">
        <f>SUM('Research Area'!D23+'Research Cyberinfrastructure'!D23+'EA &amp; Seed Funding'!D23+'Partnerships &amp; Collaborations'!D23+'Broadening Participation Divers'!D23+'Education Workforce Development'!D23+'Communications &amp; Disseminations'!D23+'Evaluation and Assessment '!D23+'Sustainability Plan'!D23+'Management '!D23)</f>
        <v>0</v>
      </c>
      <c r="E23" s="56">
        <f t="shared" si="6"/>
        <v>0</v>
      </c>
      <c r="F23" s="15"/>
      <c r="G23" s="55">
        <f>SUM('Research Area'!G23+'Research Cyberinfrastructure'!G23+'EA &amp; Seed Funding'!G23+'Partnerships &amp; Collaborations'!G23+'Broadening Participation Divers'!G23+'Education Workforce Development'!G23+'Communications &amp; Disseminations'!G23+'Evaluation and Assessment '!G23+'Sustainability Plan'!G23+'Management '!G23)</f>
        <v>57680</v>
      </c>
      <c r="H23" s="56">
        <f>SUM('Research Area'!H23+'Research Cyberinfrastructure'!H23+'EA &amp; Seed Funding'!H23+'Partnerships &amp; Collaborations'!H23+'Broadening Participation Divers'!H23+'Education Workforce Development'!H23+'Communications &amp; Disseminations'!H23+'Evaluation and Assessment '!H23+'Sustainability Plan'!H23+'Management '!H23)</f>
        <v>0</v>
      </c>
      <c r="I23" s="56">
        <f t="shared" si="7"/>
        <v>57680</v>
      </c>
      <c r="J23" s="15"/>
      <c r="K23" s="55">
        <f>SUM('Research Area'!K23+'Research Cyberinfrastructure'!K23+'EA &amp; Seed Funding'!K23+'Partnerships &amp; Collaborations'!K23+'Broadening Participation Divers'!K23+'Education Workforce Development'!K23+'Communications &amp; Disseminations'!K23+'Evaluation and Assessment '!K23+'Sustainability Plan'!K23+'Management '!K23)</f>
        <v>59410.400000000001</v>
      </c>
      <c r="L23" s="56">
        <f>SUM('Research Area'!L23+'Research Cyberinfrastructure'!L23+'EA &amp; Seed Funding'!L23+'Partnerships &amp; Collaborations'!L23+'Broadening Participation Divers'!L23+'Education Workforce Development'!L23+'Communications &amp; Disseminations'!L23+'Evaluation and Assessment '!L23+'Sustainability Plan'!L23+'Management '!L23)</f>
        <v>0</v>
      </c>
      <c r="M23" s="56">
        <f t="shared" si="8"/>
        <v>59410.400000000001</v>
      </c>
      <c r="N23" s="15"/>
      <c r="O23" s="55">
        <f>SUM('Research Area'!O23+'Research Cyberinfrastructure'!O23+'EA &amp; Seed Funding'!O23+'Partnerships &amp; Collaborations'!O23+'Broadening Participation Divers'!O23+'Education Workforce Development'!O23+'Communications &amp; Disseminations'!O23+'Evaluation and Assessment '!O23+'Sustainability Plan'!O23+'Management '!O23)</f>
        <v>61192.712</v>
      </c>
      <c r="P23" s="56">
        <f>SUM('Research Area'!P23+'Research Cyberinfrastructure'!P23+'EA &amp; Seed Funding'!P23+'Partnerships &amp; Collaborations'!P23+'Broadening Participation Divers'!P23+'Education Workforce Development'!P23+'Communications &amp; Disseminations'!P23+'Evaluation and Assessment '!P23+'Sustainability Plan'!P23+'Management '!P23)</f>
        <v>0</v>
      </c>
      <c r="Q23" s="56">
        <f t="shared" si="9"/>
        <v>61192.712</v>
      </c>
      <c r="R23" s="15"/>
      <c r="S23" s="55">
        <f>SUM('Research Area'!S23+'Research Cyberinfrastructure'!S23+'EA &amp; Seed Funding'!S23+'Partnerships &amp; Collaborations'!S23+'Broadening Participation Divers'!S23+'Education Workforce Development'!S23+'Communications &amp; Disseminations'!S23+'Evaluation and Assessment '!S23+'Sustainability Plan'!S23+'Management '!S23)</f>
        <v>63028.49336</v>
      </c>
      <c r="T23" s="56">
        <f>SUM('Research Area'!T23+'Research Cyberinfrastructure'!T23+'EA &amp; Seed Funding'!T23+'Partnerships &amp; Collaborations'!T23+'Broadening Participation Divers'!T23+'Education Workforce Development'!T23+'Communications &amp; Disseminations'!T23+'Evaluation and Assessment '!T23+'Sustainability Plan'!T23+'Management '!T23)</f>
        <v>0</v>
      </c>
      <c r="U23" s="56">
        <f t="shared" si="10"/>
        <v>63028.49336</v>
      </c>
      <c r="V23" s="16"/>
      <c r="W23" s="55">
        <f>SUM('Research Area'!W23+'Research Cyberinfrastructure'!W23+'EA &amp; Seed Funding'!W23+'Partnerships &amp; Collaborations'!W23+'Broadening Participation Divers'!W23+'Education Workforce Development'!W23+'Communications &amp; Disseminations'!W23+'Evaluation and Assessment '!W23+'Sustainability Plan'!W23+'Management '!W23)</f>
        <v>241311.60535999999</v>
      </c>
      <c r="X23" s="56">
        <f>SUM('Research Area'!X23+'Research Cyberinfrastructure'!X23+'EA &amp; Seed Funding'!X23+'Partnerships &amp; Collaborations'!X23+'Broadening Participation Divers'!X23+'Education Workforce Development'!X23+'Communications &amp; Disseminations'!X23+'Evaluation and Assessment '!X23+'Sustainability Plan'!X23+'Management '!X23)</f>
        <v>0</v>
      </c>
      <c r="Y23" s="56">
        <f t="shared" si="11"/>
        <v>241311.60535999999</v>
      </c>
    </row>
    <row r="24" spans="1:77" x14ac:dyDescent="0.25">
      <c r="A24" s="52"/>
      <c r="B24" s="54"/>
      <c r="C24" s="124">
        <f>SUM('Research Area'!C24+'Research Cyberinfrastructure'!C24+'EA &amp; Seed Funding'!C24+'Partnerships &amp; Collaborations'!C24+'Broadening Participation Divers'!C24+'Education Workforce Development'!C24+'Communications &amp; Disseminations'!C24+'Evaluation and Assessment '!C24+'Sustainability Plan'!C24+'Management '!C24)</f>
        <v>0</v>
      </c>
      <c r="D24" s="56">
        <f>SUM('Research Area'!D24+'Research Cyberinfrastructure'!D24+'EA &amp; Seed Funding'!D24+'Partnerships &amp; Collaborations'!D24+'Broadening Participation Divers'!D24+'Education Workforce Development'!D24+'Communications &amp; Disseminations'!D24+'Evaluation and Assessment '!D24+'Sustainability Plan'!D24+'Management '!D24)</f>
        <v>0</v>
      </c>
      <c r="E24" s="56">
        <f t="shared" si="6"/>
        <v>0</v>
      </c>
      <c r="F24" s="15"/>
      <c r="G24" s="55">
        <f>SUM('Research Area'!G24+'Research Cyberinfrastructure'!G24+'EA &amp; Seed Funding'!G24+'Partnerships &amp; Collaborations'!G24+'Broadening Participation Divers'!G24+'Education Workforce Development'!G24+'Communications &amp; Disseminations'!G24+'Evaluation and Assessment '!G24+'Sustainability Plan'!G24+'Management '!G24)</f>
        <v>0</v>
      </c>
      <c r="H24" s="56">
        <f>SUM('Research Area'!H24+'Research Cyberinfrastructure'!H24+'EA &amp; Seed Funding'!H24+'Partnerships &amp; Collaborations'!H24+'Broadening Participation Divers'!H24+'Education Workforce Development'!H24+'Communications &amp; Disseminations'!H24+'Evaluation and Assessment '!H24+'Sustainability Plan'!H24+'Management '!H24)</f>
        <v>0</v>
      </c>
      <c r="I24" s="56">
        <f t="shared" si="7"/>
        <v>0</v>
      </c>
      <c r="J24" s="15"/>
      <c r="K24" s="55">
        <f>SUM('Research Area'!K24+'Research Cyberinfrastructure'!K24+'EA &amp; Seed Funding'!K24+'Partnerships &amp; Collaborations'!K24+'Broadening Participation Divers'!K24+'Education Workforce Development'!K24+'Communications &amp; Disseminations'!K24+'Evaluation and Assessment '!K24+'Sustainability Plan'!K24+'Management '!K24)</f>
        <v>0</v>
      </c>
      <c r="L24" s="56">
        <f>SUM('Research Area'!L24+'Research Cyberinfrastructure'!L24+'EA &amp; Seed Funding'!L24+'Partnerships &amp; Collaborations'!L24+'Broadening Participation Divers'!L24+'Education Workforce Development'!L24+'Communications &amp; Disseminations'!L24+'Evaluation and Assessment '!L24+'Sustainability Plan'!L24+'Management '!L24)</f>
        <v>0</v>
      </c>
      <c r="M24" s="56">
        <f t="shared" si="8"/>
        <v>0</v>
      </c>
      <c r="N24" s="15"/>
      <c r="O24" s="55">
        <f>SUM('Research Area'!O24+'Research Cyberinfrastructure'!O24+'EA &amp; Seed Funding'!O24+'Partnerships &amp; Collaborations'!O24+'Broadening Participation Divers'!O24+'Education Workforce Development'!O24+'Communications &amp; Disseminations'!O24+'Evaluation and Assessment '!O24+'Sustainability Plan'!O24+'Management '!O24)</f>
        <v>0</v>
      </c>
      <c r="P24" s="56">
        <f>SUM('Research Area'!P24+'Research Cyberinfrastructure'!P24+'EA &amp; Seed Funding'!P24+'Partnerships &amp; Collaborations'!P24+'Broadening Participation Divers'!P24+'Education Workforce Development'!P24+'Communications &amp; Disseminations'!P24+'Evaluation and Assessment '!P24+'Sustainability Plan'!P24+'Management '!P24)</f>
        <v>0</v>
      </c>
      <c r="Q24" s="56">
        <f t="shared" si="9"/>
        <v>0</v>
      </c>
      <c r="R24" s="15"/>
      <c r="S24" s="55">
        <f>SUM('Research Area'!S24+'Research Cyberinfrastructure'!S24+'EA &amp; Seed Funding'!S24+'Partnerships &amp; Collaborations'!S24+'Broadening Participation Divers'!S24+'Education Workforce Development'!S24+'Communications &amp; Disseminations'!S24+'Evaluation and Assessment '!S24+'Sustainability Plan'!S24+'Management '!S24)</f>
        <v>0</v>
      </c>
      <c r="T24" s="56">
        <f>SUM('Research Area'!T24+'Research Cyberinfrastructure'!T24+'EA &amp; Seed Funding'!T24+'Partnerships &amp; Collaborations'!T24+'Broadening Participation Divers'!T24+'Education Workforce Development'!T24+'Communications &amp; Disseminations'!T24+'Evaluation and Assessment '!T24+'Sustainability Plan'!T24+'Management '!T24)</f>
        <v>0</v>
      </c>
      <c r="U24" s="56">
        <f t="shared" si="10"/>
        <v>0</v>
      </c>
      <c r="V24" s="16"/>
      <c r="W24" s="55">
        <f>SUM('Research Area'!W24+'Research Cyberinfrastructure'!W24+'EA &amp; Seed Funding'!W24+'Partnerships &amp; Collaborations'!W24+'Broadening Participation Divers'!W24+'Education Workforce Development'!W24+'Communications &amp; Disseminations'!W24+'Evaluation and Assessment '!W24+'Sustainability Plan'!W24+'Management '!W24)</f>
        <v>0</v>
      </c>
      <c r="X24" s="56">
        <f>SUM('Research Area'!X24+'Research Cyberinfrastructure'!X24+'EA &amp; Seed Funding'!X24+'Partnerships &amp; Collaborations'!X24+'Broadening Participation Divers'!X24+'Education Workforce Development'!X24+'Communications &amp; Disseminations'!X24+'Evaluation and Assessment '!X24+'Sustainability Plan'!X24+'Management '!X24)</f>
        <v>0</v>
      </c>
      <c r="Y24" s="56">
        <f t="shared" si="11"/>
        <v>0</v>
      </c>
    </row>
    <row r="25" spans="1:77" x14ac:dyDescent="0.25">
      <c r="A25" s="52"/>
      <c r="B25" s="54"/>
      <c r="C25" s="124">
        <f>SUM('Research Area'!C25+'Research Cyberinfrastructure'!C25+'EA &amp; Seed Funding'!C25+'Partnerships &amp; Collaborations'!C25+'Broadening Participation Divers'!C25+'Education Workforce Development'!C25+'Communications &amp; Disseminations'!C25+'Evaluation and Assessment '!C25+'Sustainability Plan'!C25+'Management '!C25)</f>
        <v>0</v>
      </c>
      <c r="D25" s="56">
        <f>SUM('Research Area'!D25+'Research Cyberinfrastructure'!D25+'EA &amp; Seed Funding'!D25+'Partnerships &amp; Collaborations'!D25+'Broadening Participation Divers'!D25+'Education Workforce Development'!D25+'Communications &amp; Disseminations'!D25+'Evaluation and Assessment '!D25+'Sustainability Plan'!D25+'Management '!D25)</f>
        <v>0</v>
      </c>
      <c r="E25" s="56">
        <f t="shared" si="6"/>
        <v>0</v>
      </c>
      <c r="F25" s="15"/>
      <c r="G25" s="55">
        <f>SUM('Research Area'!G25+'Research Cyberinfrastructure'!G25+'EA &amp; Seed Funding'!G25+'Partnerships &amp; Collaborations'!G25+'Broadening Participation Divers'!G25+'Education Workforce Development'!G25+'Communications &amp; Disseminations'!G25+'Evaluation and Assessment '!G25+'Sustainability Plan'!G25+'Management '!G25)</f>
        <v>0</v>
      </c>
      <c r="H25" s="56">
        <f>SUM('Research Area'!H25+'Research Cyberinfrastructure'!H25+'EA &amp; Seed Funding'!H25+'Partnerships &amp; Collaborations'!H25+'Broadening Participation Divers'!H25+'Education Workforce Development'!H25+'Communications &amp; Disseminations'!H25+'Evaluation and Assessment '!H25+'Sustainability Plan'!H25+'Management '!H25)</f>
        <v>0</v>
      </c>
      <c r="I25" s="56">
        <f t="shared" si="7"/>
        <v>0</v>
      </c>
      <c r="J25" s="15"/>
      <c r="K25" s="55">
        <f>SUM('Research Area'!K25+'Research Cyberinfrastructure'!K25+'EA &amp; Seed Funding'!K25+'Partnerships &amp; Collaborations'!K25+'Broadening Participation Divers'!K25+'Education Workforce Development'!K25+'Communications &amp; Disseminations'!K25+'Evaluation and Assessment '!K25+'Sustainability Plan'!K25+'Management '!K25)</f>
        <v>0</v>
      </c>
      <c r="L25" s="56">
        <f>SUM('Research Area'!L25+'Research Cyberinfrastructure'!L25+'EA &amp; Seed Funding'!L25+'Partnerships &amp; Collaborations'!L25+'Broadening Participation Divers'!L25+'Education Workforce Development'!L25+'Communications &amp; Disseminations'!L25+'Evaluation and Assessment '!L25+'Sustainability Plan'!L25+'Management '!L25)</f>
        <v>0</v>
      </c>
      <c r="M25" s="56">
        <f t="shared" si="8"/>
        <v>0</v>
      </c>
      <c r="N25" s="15"/>
      <c r="O25" s="55">
        <f>SUM('Research Area'!O25+'Research Cyberinfrastructure'!O25+'EA &amp; Seed Funding'!O25+'Partnerships &amp; Collaborations'!O25+'Broadening Participation Divers'!O25+'Education Workforce Development'!O25+'Communications &amp; Disseminations'!O25+'Evaluation and Assessment '!O25+'Sustainability Plan'!O25+'Management '!O25)</f>
        <v>0</v>
      </c>
      <c r="P25" s="56">
        <f>SUM('Research Area'!P25+'Research Cyberinfrastructure'!P25+'EA &amp; Seed Funding'!P25+'Partnerships &amp; Collaborations'!P25+'Broadening Participation Divers'!P25+'Education Workforce Development'!P25+'Communications &amp; Disseminations'!P25+'Evaluation and Assessment '!P25+'Sustainability Plan'!P25+'Management '!P25)</f>
        <v>0</v>
      </c>
      <c r="Q25" s="56">
        <f t="shared" si="9"/>
        <v>0</v>
      </c>
      <c r="R25" s="15"/>
      <c r="S25" s="55">
        <f>SUM('Research Area'!S25+'Research Cyberinfrastructure'!S25+'EA &amp; Seed Funding'!S25+'Partnerships &amp; Collaborations'!S25+'Broadening Participation Divers'!S25+'Education Workforce Development'!S25+'Communications &amp; Disseminations'!S25+'Evaluation and Assessment '!S25+'Sustainability Plan'!S25+'Management '!S25)</f>
        <v>0</v>
      </c>
      <c r="T25" s="56">
        <f>SUM('Research Area'!T25+'Research Cyberinfrastructure'!T25+'EA &amp; Seed Funding'!T25+'Partnerships &amp; Collaborations'!T25+'Broadening Participation Divers'!T25+'Education Workforce Development'!T25+'Communications &amp; Disseminations'!T25+'Evaluation and Assessment '!T25+'Sustainability Plan'!T25+'Management '!T25)</f>
        <v>0</v>
      </c>
      <c r="U25" s="56">
        <f t="shared" si="10"/>
        <v>0</v>
      </c>
      <c r="V25" s="16"/>
      <c r="W25" s="55">
        <f>SUM('Research Area'!W25+'Research Cyberinfrastructure'!W25+'EA &amp; Seed Funding'!W25+'Partnerships &amp; Collaborations'!W25+'Broadening Participation Divers'!W25+'Education Workforce Development'!W25+'Communications &amp; Disseminations'!W25+'Evaluation and Assessment '!W25+'Sustainability Plan'!W25+'Management '!W25)</f>
        <v>0</v>
      </c>
      <c r="X25" s="56">
        <f>SUM('Research Area'!X25+'Research Cyberinfrastructure'!X25+'EA &amp; Seed Funding'!X25+'Partnerships &amp; Collaborations'!X25+'Broadening Participation Divers'!X25+'Education Workforce Development'!X25+'Communications &amp; Disseminations'!X25+'Evaluation and Assessment '!X25+'Sustainability Plan'!X25+'Management '!X25)</f>
        <v>0</v>
      </c>
      <c r="Y25" s="56">
        <f t="shared" si="11"/>
        <v>0</v>
      </c>
    </row>
    <row r="26" spans="1:77" s="22" customFormat="1" x14ac:dyDescent="0.25">
      <c r="A26" s="78"/>
      <c r="B26" s="78" t="s">
        <v>9</v>
      </c>
      <c r="C26" s="124">
        <f>SUM(C17:C25)</f>
        <v>112322.24800000002</v>
      </c>
      <c r="D26" s="56">
        <f>SUM(D17:D25)</f>
        <v>156558.02240000002</v>
      </c>
      <c r="E26" s="56">
        <f>SUM(E17:E25)</f>
        <v>268880.27040000004</v>
      </c>
      <c r="F26" s="81"/>
      <c r="G26" s="55">
        <f>SUM(G17:G25)</f>
        <v>313451.91544000001</v>
      </c>
      <c r="H26" s="56">
        <f>SUM(H17:H25)</f>
        <v>141527.11539200001</v>
      </c>
      <c r="I26" s="56">
        <f>SUM(I17:I25)</f>
        <v>454979.03083200002</v>
      </c>
      <c r="J26" s="81"/>
      <c r="K26" s="55">
        <f>SUM(K17:K25)</f>
        <v>322855.47290320002</v>
      </c>
      <c r="L26" s="56">
        <f>SUM(L17:L25)</f>
        <v>145772.92885376004</v>
      </c>
      <c r="M26" s="56">
        <f>SUM(M17:M25)</f>
        <v>468628.40175696003</v>
      </c>
      <c r="N26" s="20"/>
      <c r="O26" s="55">
        <f>SUM(O17:O25)</f>
        <v>332541.13709029602</v>
      </c>
      <c r="P26" s="56">
        <f>SUM(P17:P25)</f>
        <v>150146.11671937283</v>
      </c>
      <c r="Q26" s="56">
        <f>SUM(Q17:Q25)</f>
        <v>482687.25380966882</v>
      </c>
      <c r="R26" s="20"/>
      <c r="S26" s="55">
        <f>SUM(S17:S25)</f>
        <v>342517.37120300491</v>
      </c>
      <c r="T26" s="56">
        <f>SUM(T17:T25)</f>
        <v>176207.43348737736</v>
      </c>
      <c r="U26" s="56">
        <f>SUM(U17:U25)</f>
        <v>518724.80469038227</v>
      </c>
      <c r="V26" s="21"/>
      <c r="W26" s="55">
        <f>SUM(W17:W25)</f>
        <v>1423688.1446365011</v>
      </c>
      <c r="X26" s="56">
        <f>SUM(X17:X25)</f>
        <v>770211.61685251025</v>
      </c>
      <c r="Y26" s="56">
        <f>SUM(Y17:Y25)</f>
        <v>2193899.7614890113</v>
      </c>
    </row>
    <row r="27" spans="1:77" s="92" customFormat="1" x14ac:dyDescent="0.25">
      <c r="A27" s="89" t="s">
        <v>16</v>
      </c>
      <c r="B27" s="89"/>
      <c r="C27" s="131">
        <f>C15+C26</f>
        <v>398353.16883448558</v>
      </c>
      <c r="D27" s="131">
        <f>D15+D26</f>
        <v>270873.05446613336</v>
      </c>
      <c r="E27" s="131">
        <f>E15+E26</f>
        <v>669226.22330061905</v>
      </c>
      <c r="F27" s="131"/>
      <c r="G27" s="131">
        <f>G15+G26</f>
        <v>838530.38003952021</v>
      </c>
      <c r="H27" s="131">
        <f>H15+H26</f>
        <v>259271.59842011734</v>
      </c>
      <c r="I27" s="131">
        <f>I15+I26</f>
        <v>1097801.9784596376</v>
      </c>
      <c r="J27" s="131"/>
      <c r="K27" s="131">
        <f>K15+K26</f>
        <v>600856.29144070577</v>
      </c>
      <c r="L27" s="131">
        <f>L15+L26</f>
        <v>261745.2463727209</v>
      </c>
      <c r="M27" s="131">
        <f>M15+M26</f>
        <v>862601.53781342669</v>
      </c>
      <c r="N27" s="131"/>
      <c r="O27" s="131">
        <f>O15+O26</f>
        <v>618701.98018392699</v>
      </c>
      <c r="P27" s="131">
        <f>P15+P26</f>
        <v>269597.60376390256</v>
      </c>
      <c r="Q27" s="131">
        <f>Q15+Q26</f>
        <v>888299.58394782944</v>
      </c>
      <c r="R27" s="131"/>
      <c r="S27" s="131">
        <f>S15+S26</f>
        <v>625455.49553944473</v>
      </c>
      <c r="T27" s="131">
        <f>T15+T26</f>
        <v>299242.46514324297</v>
      </c>
      <c r="U27" s="131">
        <f>U15+U26</f>
        <v>924697.96068268782</v>
      </c>
      <c r="V27" s="131"/>
      <c r="W27" s="131">
        <f>W15+W26</f>
        <v>3081897.3160380833</v>
      </c>
      <c r="X27" s="131">
        <f>X15+X26</f>
        <v>1360729.9681661171</v>
      </c>
      <c r="Y27" s="131">
        <f>Y15+Y26</f>
        <v>4442627.2842041999</v>
      </c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</row>
    <row r="28" spans="1:77" s="77" customFormat="1" x14ac:dyDescent="0.25">
      <c r="A28" s="74" t="s">
        <v>6</v>
      </c>
      <c r="B28" s="74"/>
      <c r="C28" s="212"/>
      <c r="D28" s="212"/>
      <c r="E28" s="212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9"/>
      <c r="W28" s="58"/>
      <c r="X28" s="58"/>
      <c r="Y28" s="74"/>
    </row>
    <row r="29" spans="1:77" s="61" customFormat="1" x14ac:dyDescent="0.25">
      <c r="A29" s="52"/>
      <c r="B29" s="52"/>
      <c r="C29" s="124">
        <f>SUM('Research Area'!C29+'Research Cyberinfrastructure'!C29+'EA &amp; Seed Funding'!C29+'Partnerships &amp; Collaborations'!C29+'Broadening Participation Divers'!C29+'Education Workforce Development'!C29+'Communications &amp; Disseminations'!C29+'Evaluation and Assessment '!C29+'Sustainability Plan'!C29+'Management '!C29)</f>
        <v>0</v>
      </c>
      <c r="D29" s="56">
        <f>SUM('Research Area'!D29+'Research Cyberinfrastructure'!D29+'EA &amp; Seed Funding'!D29+'Partnerships &amp; Collaborations'!D29+'Broadening Participation Divers'!D29+'Education Workforce Development'!D29+'Communications &amp; Disseminations'!D29+'Evaluation and Assessment '!D29+'Sustainability Plan'!D29+'Management '!D29)</f>
        <v>0</v>
      </c>
      <c r="E29" s="56">
        <f>SUM(C29:D29)</f>
        <v>0</v>
      </c>
      <c r="F29" s="15"/>
      <c r="G29" s="55">
        <f>SUM('Research Area'!G29+'Research Cyberinfrastructure'!G29+'EA &amp; Seed Funding'!G29+'Partnerships &amp; Collaborations'!G29+'Broadening Participation Divers'!G29+'Education Workforce Development'!G29+'Communications &amp; Disseminations'!G29+'Evaluation and Assessment '!G29+'Sustainability Plan'!G29+'Management '!G29)</f>
        <v>0</v>
      </c>
      <c r="H29" s="56">
        <f>SUM('Research Area'!H29+'Research Cyberinfrastructure'!H29+'EA &amp; Seed Funding'!H29+'Partnerships &amp; Collaborations'!H29+'Broadening Participation Divers'!H29+'Education Workforce Development'!H29+'Communications &amp; Disseminations'!H29+'Evaluation and Assessment '!H29+'Sustainability Plan'!H29+'Management '!H29)</f>
        <v>0</v>
      </c>
      <c r="I29" s="56">
        <f>SUM(G29:H29)</f>
        <v>0</v>
      </c>
      <c r="J29" s="15"/>
      <c r="K29" s="55">
        <f>SUM('Research Area'!K29+'Research Cyberinfrastructure'!K29+'EA &amp; Seed Funding'!K29+'Partnerships &amp; Collaborations'!K29+'Broadening Participation Divers'!K29+'Education Workforce Development'!K29+'Communications &amp; Disseminations'!K29+'Evaluation and Assessment '!K29+'Sustainability Plan'!K29+'Management '!K29)</f>
        <v>0</v>
      </c>
      <c r="L29" s="56">
        <f>SUM('Research Area'!L29+'Research Cyberinfrastructure'!L29+'EA &amp; Seed Funding'!L29+'Partnerships &amp; Collaborations'!L29+'Broadening Participation Divers'!L29+'Education Workforce Development'!L29+'Communications &amp; Disseminations'!L29+'Evaluation and Assessment '!L29+'Sustainability Plan'!L29+'Management '!L29)</f>
        <v>0</v>
      </c>
      <c r="M29" s="56">
        <f>SUM(K29:L29)</f>
        <v>0</v>
      </c>
      <c r="N29" s="15"/>
      <c r="O29" s="55">
        <f>SUM('Research Area'!O29+'Research Cyberinfrastructure'!O29+'EA &amp; Seed Funding'!O29+'Partnerships &amp; Collaborations'!O29+'Broadening Participation Divers'!O29+'Education Workforce Development'!O29+'Communications &amp; Disseminations'!O29+'Evaluation and Assessment '!O29+'Sustainability Plan'!O29+'Management '!O29)</f>
        <v>0</v>
      </c>
      <c r="P29" s="56">
        <f>SUM('Research Area'!P29+'Research Cyberinfrastructure'!P29+'EA &amp; Seed Funding'!P29+'Partnerships &amp; Collaborations'!P29+'Broadening Participation Divers'!P29+'Education Workforce Development'!P29+'Communications &amp; Disseminations'!P29+'Evaluation and Assessment '!P29+'Sustainability Plan'!P29+'Management '!P29)</f>
        <v>0</v>
      </c>
      <c r="Q29" s="56">
        <f>SUM(O29:P29)</f>
        <v>0</v>
      </c>
      <c r="R29" s="15"/>
      <c r="S29" s="55">
        <f>SUM('Research Area'!S29+'Research Cyberinfrastructure'!S29+'EA &amp; Seed Funding'!S29+'Partnerships &amp; Collaborations'!S29+'Broadening Participation Divers'!S29+'Education Workforce Development'!S29+'Communications &amp; Disseminations'!S29+'Evaluation and Assessment '!S29+'Sustainability Plan'!S29+'Management '!S29)</f>
        <v>0</v>
      </c>
      <c r="T29" s="56">
        <f>SUM('Research Area'!T29+'Research Cyberinfrastructure'!T29+'EA &amp; Seed Funding'!T29+'Partnerships &amp; Collaborations'!T29+'Broadening Participation Divers'!T29+'Education Workforce Development'!T29+'Communications &amp; Disseminations'!T29+'Evaluation and Assessment '!T29+'Sustainability Plan'!T29+'Management '!T29)</f>
        <v>0</v>
      </c>
      <c r="U29" s="56">
        <f>SUM(S29:T29)</f>
        <v>0</v>
      </c>
      <c r="V29" s="16"/>
      <c r="W29" s="55">
        <f>SUM('Research Area'!W29+'Research Cyberinfrastructure'!W29+'EA &amp; Seed Funding'!W29+'Partnerships &amp; Collaborations'!W29+'Broadening Participation Divers'!W29+'Education Workforce Development'!W29+'Communications &amp; Disseminations'!W29+'Evaluation and Assessment '!W29+'Sustainability Plan'!W29+'Management '!W29)</f>
        <v>0</v>
      </c>
      <c r="X29" s="56">
        <f>SUM('Research Area'!X29+'Research Cyberinfrastructure'!X29+'EA &amp; Seed Funding'!X29+'Partnerships &amp; Collaborations'!X29+'Broadening Participation Divers'!X29+'Education Workforce Development'!X29+'Communications &amp; Disseminations'!X29+'Evaluation and Assessment '!X29+'Sustainability Plan'!X29+'Management '!X29)</f>
        <v>0</v>
      </c>
      <c r="Y29" s="56">
        <f t="shared" ref="Y29:Y35" si="12">SUM(W29:X29)</f>
        <v>0</v>
      </c>
    </row>
    <row r="30" spans="1:77" s="61" customFormat="1" x14ac:dyDescent="0.25">
      <c r="A30" s="234">
        <v>3.5999999999999997E-2</v>
      </c>
      <c r="B30" s="52" t="s">
        <v>40</v>
      </c>
      <c r="C30" s="124">
        <f>SUM('Research Area'!C30+'Research Cyberinfrastructure'!C30+'EA &amp; Seed Funding'!C30+'Partnerships &amp; Collaborations'!C30+'Broadening Participation Divers'!C30+'Education Workforce Development'!C30+'Communications &amp; Disseminations'!C30+'Evaluation and Assessment '!C30+'Sustainability Plan'!C30+'Management '!C30)</f>
        <v>0</v>
      </c>
      <c r="D30" s="56">
        <f>SUM('Research Area'!D30+'Research Cyberinfrastructure'!D30+'EA &amp; Seed Funding'!D30+'Partnerships &amp; Collaborations'!D30+'Broadening Participation Divers'!D30+'Education Workforce Development'!D30+'Communications &amp; Disseminations'!D30+'Evaluation and Assessment '!D30+'Sustainability Plan'!D30+'Management '!D30)</f>
        <v>0</v>
      </c>
      <c r="E30" s="56">
        <f t="shared" ref="E30:E35" si="13">SUM(C30:D30)</f>
        <v>0</v>
      </c>
      <c r="F30" s="15"/>
      <c r="G30" s="55">
        <f>SUM('Research Area'!G30+'Research Cyberinfrastructure'!G30+'EA &amp; Seed Funding'!G30+'Partnerships &amp; Collaborations'!G30+'Broadening Participation Divers'!G30+'Education Workforce Development'!G30+'Communications &amp; Disseminations'!G30+'Evaluation and Assessment '!G30+'Sustainability Plan'!G30+'Management '!G30)</f>
        <v>5192.6387039999991</v>
      </c>
      <c r="H30" s="56">
        <f>SUM('Research Area'!H30+'Research Cyberinfrastructure'!H30+'EA &amp; Seed Funding'!H30+'Partnerships &amp; Collaborations'!H30+'Broadening Participation Divers'!H30+'Education Workforce Development'!H30+'Communications &amp; Disseminations'!H30+'Evaluation and Assessment '!H30+'Sustainability Plan'!H30+'Management '!H30)</f>
        <v>0</v>
      </c>
      <c r="I30" s="56">
        <f t="shared" ref="I30:I35" si="14">SUM(G30:H30)</f>
        <v>5192.6387039999991</v>
      </c>
      <c r="J30" s="15"/>
      <c r="K30" s="55">
        <f>SUM('Research Area'!K30+'Research Cyberinfrastructure'!K30+'EA &amp; Seed Funding'!K30+'Partnerships &amp; Collaborations'!K30+'Broadening Participation Divers'!K30+'Education Workforce Development'!K30+'Communications &amp; Disseminations'!K30+'Evaluation and Assessment '!K30+'Sustainability Plan'!K30+'Management '!K30)</f>
        <v>5508.8704010736001</v>
      </c>
      <c r="L30" s="56">
        <f>SUM('Research Area'!L30+'Research Cyberinfrastructure'!L30+'EA &amp; Seed Funding'!L30+'Partnerships &amp; Collaborations'!L30+'Broadening Participation Divers'!L30+'Education Workforce Development'!L30+'Communications &amp; Disseminations'!L30+'Evaluation and Assessment '!L30+'Sustainability Plan'!L30+'Management '!L30)</f>
        <v>0</v>
      </c>
      <c r="M30" s="56">
        <f t="shared" ref="M30:M35" si="15">SUM(K30:L30)</f>
        <v>5508.8704010736001</v>
      </c>
      <c r="N30" s="15"/>
      <c r="O30" s="55">
        <f>SUM('Research Area'!O30+'Research Cyberinfrastructure'!O30+'EA &amp; Seed Funding'!O30+'Partnerships &amp; Collaborations'!O30+'Broadening Participation Divers'!O30+'Education Workforce Development'!O30+'Communications &amp; Disseminations'!O30+'Evaluation and Assessment '!O30+'Sustainability Plan'!O30+'Management '!O30)</f>
        <v>5844.3606084989824</v>
      </c>
      <c r="P30" s="56">
        <f>SUM('Research Area'!P30+'Research Cyberinfrastructure'!P30+'EA &amp; Seed Funding'!P30+'Partnerships &amp; Collaborations'!P30+'Broadening Participation Divers'!P30+'Education Workforce Development'!P30+'Communications &amp; Disseminations'!P30+'Evaluation and Assessment '!P30+'Sustainability Plan'!P30+'Management '!P30)</f>
        <v>0</v>
      </c>
      <c r="Q30" s="56">
        <f t="shared" ref="Q30:Q35" si="16">SUM(O30:P30)</f>
        <v>5844.3606084989824</v>
      </c>
      <c r="R30" s="15"/>
      <c r="S30" s="55">
        <f>SUM('Research Area'!S30+'Research Cyberinfrastructure'!S30+'EA &amp; Seed Funding'!S30+'Partnerships &amp; Collaborations'!S30+'Broadening Participation Divers'!S30+'Education Workforce Development'!S30+'Communications &amp; Disseminations'!S30+'Evaluation and Assessment '!S30+'Sustainability Plan'!S30+'Management '!S30)</f>
        <v>6200.2821695565699</v>
      </c>
      <c r="T30" s="56">
        <f>SUM('Research Area'!T30+'Research Cyberinfrastructure'!T30+'EA &amp; Seed Funding'!T30+'Partnerships &amp; Collaborations'!T30+'Broadening Participation Divers'!T30+'Education Workforce Development'!T30+'Communications &amp; Disseminations'!T30+'Evaluation and Assessment '!T30+'Sustainability Plan'!T30+'Management '!T30)</f>
        <v>0</v>
      </c>
      <c r="U30" s="56">
        <f t="shared" ref="U30:U35" si="17">SUM(S30:T30)</f>
        <v>6200.2821695565699</v>
      </c>
      <c r="V30" s="16"/>
      <c r="W30" s="55">
        <f>SUM('Research Area'!W30+'Research Cyberinfrastructure'!W30+'EA &amp; Seed Funding'!W30+'Partnerships &amp; Collaborations'!W30+'Broadening Participation Divers'!W30+'Education Workforce Development'!W30+'Communications &amp; Disseminations'!W30+'Evaluation and Assessment '!W30+'Sustainability Plan'!W30+'Management '!W30)</f>
        <v>22746.151883129151</v>
      </c>
      <c r="X30" s="56">
        <f>SUM('Research Area'!X30+'Research Cyberinfrastructure'!X30+'EA &amp; Seed Funding'!X30+'Partnerships &amp; Collaborations'!X30+'Broadening Participation Divers'!X30+'Education Workforce Development'!X30+'Communications &amp; Disseminations'!X30+'Evaluation and Assessment '!X30+'Sustainability Plan'!X30+'Management '!X30)</f>
        <v>0</v>
      </c>
      <c r="Y30" s="56">
        <f t="shared" si="12"/>
        <v>22746.151883129151</v>
      </c>
    </row>
    <row r="31" spans="1:77" s="61" customFormat="1" x14ac:dyDescent="0.25">
      <c r="A31" s="234">
        <v>8.6999999999999994E-2</v>
      </c>
      <c r="B31" s="52" t="s">
        <v>51</v>
      </c>
      <c r="C31" s="124">
        <f>SUM('Research Area'!C31+'Research Cyberinfrastructure'!C31+'EA &amp; Seed Funding'!C31+'Partnerships &amp; Collaborations'!C31+'Broadening Participation Divers'!C31+'Education Workforce Development'!C31+'Communications &amp; Disseminations'!C31+'Evaluation and Assessment '!C31+'Sustainability Plan'!C31+'Management '!C31)</f>
        <v>0</v>
      </c>
      <c r="D31" s="56">
        <f>SUM('Research Area'!D31+'Research Cyberinfrastructure'!D31+'EA &amp; Seed Funding'!D31+'Partnerships &amp; Collaborations'!D31+'Broadening Participation Divers'!D31+'Education Workforce Development'!D31+'Communications &amp; Disseminations'!D31+'Evaluation and Assessment '!D31+'Sustainability Plan'!D31+'Management '!D31)</f>
        <v>0</v>
      </c>
      <c r="E31" s="56">
        <f t="shared" si="13"/>
        <v>0</v>
      </c>
      <c r="F31" s="15"/>
      <c r="G31" s="55">
        <f>SUM('Research Area'!G31+'Research Cyberinfrastructure'!G31+'EA &amp; Seed Funding'!G31+'Partnerships &amp; Collaborations'!G31+'Broadening Participation Divers'!G31+'Education Workforce Development'!G31+'Communications &amp; Disseminations'!G31+'Evaluation and Assessment '!G31+'Sustainability Plan'!G31+'Management '!G31)</f>
        <v>0</v>
      </c>
      <c r="H31" s="56">
        <f>SUM('Research Area'!H31+'Research Cyberinfrastructure'!H31+'EA &amp; Seed Funding'!H31+'Partnerships &amp; Collaborations'!H31+'Broadening Participation Divers'!H31+'Education Workforce Development'!H31+'Communications &amp; Disseminations'!H31+'Evaluation and Assessment '!H31+'Sustainability Plan'!H31+'Management '!H31)</f>
        <v>0</v>
      </c>
      <c r="I31" s="56">
        <f t="shared" si="14"/>
        <v>0</v>
      </c>
      <c r="J31" s="15"/>
      <c r="K31" s="55">
        <f>SUM('Research Area'!K31+'Research Cyberinfrastructure'!K31+'EA &amp; Seed Funding'!K31+'Partnerships &amp; Collaborations'!K31+'Broadening Participation Divers'!K31+'Education Workforce Development'!K31+'Communications &amp; Disseminations'!K31+'Evaluation and Assessment '!K31+'Sustainability Plan'!K31+'Management '!K31)</f>
        <v>0</v>
      </c>
      <c r="L31" s="56">
        <f>SUM('Research Area'!L31+'Research Cyberinfrastructure'!L31+'EA &amp; Seed Funding'!L31+'Partnerships &amp; Collaborations'!L31+'Broadening Participation Divers'!L31+'Education Workforce Development'!L31+'Communications &amp; Disseminations'!L31+'Evaluation and Assessment '!L31+'Sustainability Plan'!L31+'Management '!L31)</f>
        <v>0</v>
      </c>
      <c r="M31" s="56">
        <f t="shared" si="15"/>
        <v>0</v>
      </c>
      <c r="N31" s="15"/>
      <c r="O31" s="55">
        <f>SUM('Research Area'!O31+'Research Cyberinfrastructure'!O31+'EA &amp; Seed Funding'!O31+'Partnerships &amp; Collaborations'!O31+'Broadening Participation Divers'!O31+'Education Workforce Development'!O31+'Communications &amp; Disseminations'!O31+'Evaluation and Assessment '!O31+'Sustainability Plan'!O31+'Management '!O31)</f>
        <v>0</v>
      </c>
      <c r="P31" s="56">
        <f>SUM('Research Area'!P31+'Research Cyberinfrastructure'!P31+'EA &amp; Seed Funding'!P31+'Partnerships &amp; Collaborations'!P31+'Broadening Participation Divers'!P31+'Education Workforce Development'!P31+'Communications &amp; Disseminations'!P31+'Evaluation and Assessment '!P31+'Sustainability Plan'!P31+'Management '!P31)</f>
        <v>0</v>
      </c>
      <c r="Q31" s="56">
        <f t="shared" si="16"/>
        <v>0</v>
      </c>
      <c r="R31" s="15"/>
      <c r="S31" s="55">
        <f>SUM('Research Area'!S31+'Research Cyberinfrastructure'!S31+'EA &amp; Seed Funding'!S31+'Partnerships &amp; Collaborations'!S31+'Broadening Participation Divers'!S31+'Education Workforce Development'!S31+'Communications &amp; Disseminations'!S31+'Evaluation and Assessment '!S31+'Sustainability Plan'!S31+'Management '!S31)</f>
        <v>0</v>
      </c>
      <c r="T31" s="56">
        <f>SUM('Research Area'!T31+'Research Cyberinfrastructure'!T31+'EA &amp; Seed Funding'!T31+'Partnerships &amp; Collaborations'!T31+'Broadening Participation Divers'!T31+'Education Workforce Development'!T31+'Communications &amp; Disseminations'!T31+'Evaluation and Assessment '!T31+'Sustainability Plan'!T31+'Management '!T31)</f>
        <v>0</v>
      </c>
      <c r="U31" s="56">
        <f t="shared" si="17"/>
        <v>0</v>
      </c>
      <c r="V31" s="16"/>
      <c r="W31" s="55">
        <f>SUM('Research Area'!W31+'Research Cyberinfrastructure'!W31+'EA &amp; Seed Funding'!W31+'Partnerships &amp; Collaborations'!W31+'Broadening Participation Divers'!W31+'Education Workforce Development'!W31+'Communications &amp; Disseminations'!W31+'Evaluation and Assessment '!W31+'Sustainability Plan'!W31+'Management '!W31)</f>
        <v>0</v>
      </c>
      <c r="X31" s="56">
        <f>SUM('Research Area'!X31+'Research Cyberinfrastructure'!X31+'EA &amp; Seed Funding'!X31+'Partnerships &amp; Collaborations'!X31+'Broadening Participation Divers'!X31+'Education Workforce Development'!X31+'Communications &amp; Disseminations'!X31+'Evaluation and Assessment '!X31+'Sustainability Plan'!X31+'Management '!X31)</f>
        <v>0</v>
      </c>
      <c r="Y31" s="56">
        <f t="shared" si="12"/>
        <v>0</v>
      </c>
    </row>
    <row r="32" spans="1:77" s="61" customFormat="1" x14ac:dyDescent="0.25">
      <c r="A32" s="234">
        <v>0.30099999999999999</v>
      </c>
      <c r="B32" s="54" t="s">
        <v>52</v>
      </c>
      <c r="C32" s="124">
        <f>SUM('Research Area'!C32+'Research Cyberinfrastructure'!C32+'EA &amp; Seed Funding'!C32+'Partnerships &amp; Collaborations'!C32+'Broadening Participation Divers'!C32+'Education Workforce Development'!C32+'Communications &amp; Disseminations'!C32+'Evaluation and Assessment '!C32+'Sustainability Plan'!C32+'Management '!C32)</f>
        <v>57981.080754187118</v>
      </c>
      <c r="D32" s="56">
        <f>SUM('Research Area'!D32+'Research Cyberinfrastructure'!D32+'EA &amp; Seed Funding'!D32+'Partnerships &amp; Collaborations'!D32+'Broadening Participation Divers'!D32+'Education Workforce Development'!D32+'Communications &amp; Disseminations'!D32+'Evaluation and Assessment '!D32+'Sustainability Plan'!D32+'Management '!D32)</f>
        <v>11151.251767906131</v>
      </c>
      <c r="E32" s="56">
        <f t="shared" si="13"/>
        <v>69132.332522093246</v>
      </c>
      <c r="F32" s="15"/>
      <c r="G32" s="55">
        <f>SUM('Research Area'!G32+'Research Cyberinfrastructure'!G32+'EA &amp; Seed Funding'!G32+'Partnerships &amp; Collaborations'!G32+'Broadening Participation Divers'!G32+'Education Workforce Development'!G32+'Communications &amp; Disseminations'!G32+'Evaluation and Assessment '!G32+'Sustainability Plan'!G32+'Management '!G32)</f>
        <v>135107.24052405785</v>
      </c>
      <c r="H32" s="56">
        <f>SUM('Research Area'!H32+'Research Cyberinfrastructure'!H32+'EA &amp; Seed Funding'!H32+'Partnerships &amp; Collaborations'!H32+'Broadening Participation Divers'!H32+'Education Workforce Development'!H32+'Communications &amp; Disseminations'!H32+'Evaluation and Assessment '!H32+'Sustainability Plan'!H32+'Management '!H32)</f>
        <v>11830.363000571617</v>
      </c>
      <c r="I32" s="56">
        <f t="shared" si="14"/>
        <v>146937.60352462946</v>
      </c>
      <c r="J32" s="15"/>
      <c r="K32" s="55">
        <f>SUM('Research Area'!K32+'Research Cyberinfrastructure'!K32+'EA &amp; Seed Funding'!K32+'Partnerships &amp; Collaborations'!K32+'Broadening Participation Divers'!K32+'Education Workforce Development'!K32+'Communications &amp; Disseminations'!K32+'Evaluation and Assessment '!K32+'Sustainability Plan'!K32+'Management '!K32)</f>
        <v>56887.638811562967</v>
      </c>
      <c r="L32" s="56">
        <f>SUM('Research Area'!L32+'Research Cyberinfrastructure'!L32+'EA &amp; Seed Funding'!L32+'Partnerships &amp; Collaborations'!L32+'Broadening Participation Divers'!L32+'Education Workforce Development'!L32+'Communications &amp; Disseminations'!L32+'Evaluation and Assessment '!L32+'Sustainability Plan'!L32+'Management '!L32)</f>
        <v>10806.124625484928</v>
      </c>
      <c r="M32" s="56">
        <f t="shared" si="15"/>
        <v>67693.763437047892</v>
      </c>
      <c r="N32" s="15"/>
      <c r="O32" s="55">
        <f>SUM('Research Area'!O32+'Research Cyberinfrastructure'!O32+'EA &amp; Seed Funding'!O32+'Partnerships &amp; Collaborations'!O32+'Broadening Participation Divers'!O32+'Education Workforce Development'!O32+'Communications &amp; Disseminations'!O32+'Evaluation and Assessment '!O32+'Sustainability Plan'!O32+'Management '!O32)</f>
        <v>60291.115947861363</v>
      </c>
      <c r="P32" s="56">
        <f>SUM('Research Area'!P32+'Research Cyberinfrastructure'!P32+'EA &amp; Seed Funding'!P32+'Partnerships &amp; Collaborations'!P32+'Broadening Participation Divers'!P32+'Education Workforce Development'!P32+'Communications &amp; Disseminations'!P32+'Evaluation and Assessment '!P32+'Sustainability Plan'!P32+'Management '!P32)</f>
        <v>11464.21761517696</v>
      </c>
      <c r="Q32" s="56">
        <f t="shared" si="16"/>
        <v>71755.333563038323</v>
      </c>
      <c r="R32" s="15"/>
      <c r="S32" s="55">
        <f>SUM('Research Area'!S32+'Research Cyberinfrastructure'!S32+'EA &amp; Seed Funding'!S32+'Partnerships &amp; Collaborations'!S32+'Broadening Participation Divers'!S32+'Education Workforce Development'!S32+'Communications &amp; Disseminations'!S32+'Evaluation and Assessment '!S32+'Sustainability Plan'!S32+'Management '!S32)</f>
        <v>59842.702819891732</v>
      </c>
      <c r="T32" s="56">
        <f>SUM('Research Area'!T32+'Research Cyberinfrastructure'!T32+'EA &amp; Seed Funding'!T32+'Partnerships &amp; Collaborations'!T32+'Broadening Participation Divers'!T32+'Education Workforce Development'!T32+'Communications &amp; Disseminations'!T32+'Evaluation and Assessment '!T32+'Sustainability Plan'!T32+'Management '!T32)</f>
        <v>12162.38846794124</v>
      </c>
      <c r="U32" s="56">
        <f t="shared" si="17"/>
        <v>72005.091287832969</v>
      </c>
      <c r="V32" s="16"/>
      <c r="W32" s="55">
        <f>SUM('Research Area'!W32+'Research Cyberinfrastructure'!W32+'EA &amp; Seed Funding'!W32+'Partnerships &amp; Collaborations'!W32+'Broadening Participation Divers'!W32+'Education Workforce Development'!W32+'Communications &amp; Disseminations'!W32+'Evaluation and Assessment '!W32+'Sustainability Plan'!W32+'Management '!W32)</f>
        <v>370109.77885756106</v>
      </c>
      <c r="X32" s="56">
        <f>SUM('Research Area'!X32+'Research Cyberinfrastructure'!X32+'EA &amp; Seed Funding'!X32+'Partnerships &amp; Collaborations'!X32+'Broadening Participation Divers'!X32+'Education Workforce Development'!X32+'Communications &amp; Disseminations'!X32+'Evaluation and Assessment '!X32+'Sustainability Plan'!X32+'Management '!X32)</f>
        <v>57414.345477080882</v>
      </c>
      <c r="Y32" s="56">
        <f t="shared" si="12"/>
        <v>427524.12433464197</v>
      </c>
    </row>
    <row r="33" spans="1:77" s="61" customFormat="1" x14ac:dyDescent="0.25">
      <c r="A33" s="234">
        <v>0.42</v>
      </c>
      <c r="B33" s="54" t="s">
        <v>53</v>
      </c>
      <c r="C33" s="124">
        <f>SUM('Research Area'!C33+'Research Cyberinfrastructure'!C33+'EA &amp; Seed Funding'!C33+'Partnerships &amp; Collaborations'!C33+'Broadening Participation Divers'!C33+'Education Workforce Development'!C33+'Communications &amp; Disseminations'!C33+'Evaluation and Assessment '!C33+'Sustainability Plan'!C33+'Management '!C33)</f>
        <v>87975.742259999999</v>
      </c>
      <c r="D33" s="56">
        <f>SUM('Research Area'!D33+'Research Cyberinfrastructure'!D33+'EA &amp; Seed Funding'!D33+'Partnerships &amp; Collaborations'!D33+'Broadening Participation Divers'!D33+'Education Workforce Development'!D33+'Communications &amp; Disseminations'!D33+'Evaluation and Assessment '!D33+'Sustainability Plan'!D33+'Management '!D33)</f>
        <v>99235.110710400011</v>
      </c>
      <c r="E33" s="56">
        <f t="shared" si="13"/>
        <v>187210.85297040001</v>
      </c>
      <c r="F33" s="15"/>
      <c r="G33" s="55">
        <f>SUM('Research Area'!G33+'Research Cyberinfrastructure'!G33+'EA &amp; Seed Funding'!G33+'Partnerships &amp; Collaborations'!G33+'Broadening Participation Divers'!G33+'Education Workforce Development'!G33+'Communications &amp; Disseminations'!G33+'Evaluation and Assessment '!G33+'Sustainability Plan'!G33+'Management '!G33)</f>
        <v>120870.18536363399</v>
      </c>
      <c r="H33" s="56">
        <f>SUM('Research Area'!H33+'Research Cyberinfrastructure'!H33+'EA &amp; Seed Funding'!H33+'Partnerships &amp; Collaborations'!H33+'Broadening Participation Divers'!H33+'Education Workforce Development'!H33+'Communications &amp; Disseminations'!H33+'Evaluation and Assessment '!H33+'Sustainability Plan'!H33+'Management '!H33)</f>
        <v>96488.323154704325</v>
      </c>
      <c r="I33" s="56">
        <f t="shared" si="14"/>
        <v>217358.50851833832</v>
      </c>
      <c r="J33" s="15"/>
      <c r="K33" s="55">
        <f>SUM('Research Area'!K33+'Research Cyberinfrastructure'!K33+'EA &amp; Seed Funding'!K33+'Partnerships &amp; Collaborations'!K33+'Broadening Participation Divers'!K33+'Education Workforce Development'!K33+'Communications &amp; Disseminations'!K33+'Evaluation and Assessment '!K33+'Sustainability Plan'!K33+'Management '!K33)</f>
        <v>128231.17965227932</v>
      </c>
      <c r="L33" s="56">
        <f>SUM('Research Area'!L33+'Research Cyberinfrastructure'!L33+'EA &amp; Seed Funding'!L33+'Partnerships &amp; Collaborations'!L33+'Broadening Participation Divers'!L33+'Education Workforce Development'!L33+'Communications &amp; Disseminations'!L33+'Evaluation and Assessment '!L33+'Sustainability Plan'!L33+'Management '!L33)</f>
        <v>102364.46203482585</v>
      </c>
      <c r="M33" s="56">
        <f t="shared" si="15"/>
        <v>230595.64168710518</v>
      </c>
      <c r="N33" s="15"/>
      <c r="O33" s="55">
        <f>SUM('Research Area'!O33+'Research Cyberinfrastructure'!O33+'EA &amp; Seed Funding'!O33+'Partnerships &amp; Collaborations'!O33+'Broadening Participation Divers'!O33+'Education Workforce Development'!O33+'Communications &amp; Disseminations'!O33+'Evaluation and Assessment '!O33+'Sustainability Plan'!O33+'Management '!O33)</f>
        <v>136040.45849310316</v>
      </c>
      <c r="P33" s="56">
        <f>SUM('Research Area'!P33+'Research Cyberinfrastructure'!P33+'EA &amp; Seed Funding'!P33+'Partnerships &amp; Collaborations'!P33+'Broadening Participation Divers'!P33+'Education Workforce Development'!P33+'Communications &amp; Disseminations'!P33+'Evaluation and Assessment '!P33+'Sustainability Plan'!P33+'Management '!P33)</f>
        <v>108598.45777274674</v>
      </c>
      <c r="Q33" s="56">
        <f t="shared" si="16"/>
        <v>244638.9162658499</v>
      </c>
      <c r="R33" s="15"/>
      <c r="S33" s="55">
        <f>SUM('Research Area'!S33+'Research Cyberinfrastructure'!S33+'EA &amp; Seed Funding'!S33+'Partnerships &amp; Collaborations'!S33+'Broadening Participation Divers'!S33+'Education Workforce Development'!S33+'Communications &amp; Disseminations'!S33+'Evaluation and Assessment '!S33+'Sustainability Plan'!S33+'Management '!S33)</f>
        <v>144325.32241533312</v>
      </c>
      <c r="T33" s="56">
        <f>SUM('Research Area'!T33+'Research Cyberinfrastructure'!T33+'EA &amp; Seed Funding'!T33+'Partnerships &amp; Collaborations'!T33+'Broadening Participation Divers'!T33+'Education Workforce Development'!T33+'Communications &amp; Disseminations'!T33+'Evaluation and Assessment '!T33+'Sustainability Plan'!T33+'Management '!T33)</f>
        <v>125708.06927112256</v>
      </c>
      <c r="U33" s="56">
        <f t="shared" si="17"/>
        <v>270033.3916864557</v>
      </c>
      <c r="V33" s="16"/>
      <c r="W33" s="55">
        <f>SUM('Research Area'!W33+'Research Cyberinfrastructure'!W33+'EA &amp; Seed Funding'!W33+'Partnerships &amp; Collaborations'!W33+'Broadening Participation Divers'!W33+'Education Workforce Development'!W33+'Communications &amp; Disseminations'!W33+'Evaluation and Assessment '!W33+'Sustainability Plan'!W33+'Management '!W33)</f>
        <v>617442.88818434952</v>
      </c>
      <c r="X33" s="56">
        <f>SUM('Research Area'!X33+'Research Cyberinfrastructure'!X33+'EA &amp; Seed Funding'!X33+'Partnerships &amp; Collaborations'!X33+'Broadening Participation Divers'!X33+'Education Workforce Development'!X33+'Communications &amp; Disseminations'!X33+'Evaluation and Assessment '!X33+'Sustainability Plan'!X33+'Management '!X33)</f>
        <v>532394.42294379952</v>
      </c>
      <c r="Y33" s="56">
        <f t="shared" si="12"/>
        <v>1149837.311128149</v>
      </c>
    </row>
    <row r="34" spans="1:77" s="61" customFormat="1" x14ac:dyDescent="0.25">
      <c r="A34" s="6"/>
      <c r="B34" s="54"/>
      <c r="C34" s="124">
        <f>SUM('Research Area'!C34+'Research Cyberinfrastructure'!C34+'EA &amp; Seed Funding'!C34+'Partnerships &amp; Collaborations'!C34+'Broadening Participation Divers'!C34+'Education Workforce Development'!C34+'Communications &amp; Disseminations'!C34+'Evaluation and Assessment '!C34+'Sustainability Plan'!C34+'Management '!C34)</f>
        <v>0</v>
      </c>
      <c r="D34" s="56">
        <f>SUM('Research Area'!D34+'Research Cyberinfrastructure'!D34+'EA &amp; Seed Funding'!D34+'Partnerships &amp; Collaborations'!D34+'Broadening Participation Divers'!D34+'Education Workforce Development'!D34+'Communications &amp; Disseminations'!D34+'Evaluation and Assessment '!D34+'Sustainability Plan'!D34+'Management '!D34)</f>
        <v>0</v>
      </c>
      <c r="E34" s="56">
        <f t="shared" si="13"/>
        <v>0</v>
      </c>
      <c r="F34" s="15"/>
      <c r="G34" s="55">
        <f>SUM('Research Area'!G34+'Research Cyberinfrastructure'!G34+'EA &amp; Seed Funding'!G34+'Partnerships &amp; Collaborations'!G34+'Broadening Participation Divers'!G34+'Education Workforce Development'!G34+'Communications &amp; Disseminations'!G34+'Evaluation and Assessment '!G34+'Sustainability Plan'!G34+'Management '!G34)</f>
        <v>0</v>
      </c>
      <c r="H34" s="56">
        <f>SUM('Research Area'!H34+'Research Cyberinfrastructure'!H34+'EA &amp; Seed Funding'!H34+'Partnerships &amp; Collaborations'!H34+'Broadening Participation Divers'!H34+'Education Workforce Development'!H34+'Communications &amp; Disseminations'!H34+'Evaluation and Assessment '!H34+'Sustainability Plan'!H34+'Management '!H34)</f>
        <v>0</v>
      </c>
      <c r="I34" s="56">
        <f t="shared" si="14"/>
        <v>0</v>
      </c>
      <c r="J34" s="15"/>
      <c r="K34" s="55">
        <f>SUM('Research Area'!K34+'Research Cyberinfrastructure'!K34+'EA &amp; Seed Funding'!K34+'Partnerships &amp; Collaborations'!K34+'Broadening Participation Divers'!K34+'Education Workforce Development'!K34+'Communications &amp; Disseminations'!K34+'Evaluation and Assessment '!K34+'Sustainability Plan'!K34+'Management '!K34)</f>
        <v>0</v>
      </c>
      <c r="L34" s="56">
        <f>SUM('Research Area'!L34+'Research Cyberinfrastructure'!L34+'EA &amp; Seed Funding'!L34+'Partnerships &amp; Collaborations'!L34+'Broadening Participation Divers'!L34+'Education Workforce Development'!L34+'Communications &amp; Disseminations'!L34+'Evaluation and Assessment '!L34+'Sustainability Plan'!L34+'Management '!L34)</f>
        <v>0</v>
      </c>
      <c r="M34" s="56">
        <f t="shared" si="15"/>
        <v>0</v>
      </c>
      <c r="N34" s="15"/>
      <c r="O34" s="55">
        <f>SUM('Research Area'!O34+'Research Cyberinfrastructure'!O34+'EA &amp; Seed Funding'!O34+'Partnerships &amp; Collaborations'!O34+'Broadening Participation Divers'!O34+'Education Workforce Development'!O34+'Communications &amp; Disseminations'!O34+'Evaluation and Assessment '!O34+'Sustainability Plan'!O34+'Management '!O34)</f>
        <v>0</v>
      </c>
      <c r="P34" s="56">
        <f>SUM('Research Area'!P34+'Research Cyberinfrastructure'!P34+'EA &amp; Seed Funding'!P34+'Partnerships &amp; Collaborations'!P34+'Broadening Participation Divers'!P34+'Education Workforce Development'!P34+'Communications &amp; Disseminations'!P34+'Evaluation and Assessment '!P34+'Sustainability Plan'!P34+'Management '!P34)</f>
        <v>0</v>
      </c>
      <c r="Q34" s="56">
        <f t="shared" si="16"/>
        <v>0</v>
      </c>
      <c r="R34" s="15"/>
      <c r="S34" s="55">
        <f>SUM('Research Area'!S34+'Research Cyberinfrastructure'!S34+'EA &amp; Seed Funding'!S34+'Partnerships &amp; Collaborations'!S34+'Broadening Participation Divers'!S34+'Education Workforce Development'!S34+'Communications &amp; Disseminations'!S34+'Evaluation and Assessment '!S34+'Sustainability Plan'!S34+'Management '!S34)</f>
        <v>0</v>
      </c>
      <c r="T34" s="56">
        <f>SUM('Research Area'!T34+'Research Cyberinfrastructure'!T34+'EA &amp; Seed Funding'!T34+'Partnerships &amp; Collaborations'!T34+'Broadening Participation Divers'!T34+'Education Workforce Development'!T34+'Communications &amp; Disseminations'!T34+'Evaluation and Assessment '!T34+'Sustainability Plan'!T34+'Management '!T34)</f>
        <v>0</v>
      </c>
      <c r="U34" s="56">
        <f t="shared" si="17"/>
        <v>0</v>
      </c>
      <c r="V34" s="16"/>
      <c r="W34" s="55">
        <f>SUM('Research Area'!W34+'Research Cyberinfrastructure'!W34+'EA &amp; Seed Funding'!W34+'Partnerships &amp; Collaborations'!W34+'Broadening Participation Divers'!W34+'Education Workforce Development'!W34+'Communications &amp; Disseminations'!W34+'Evaluation and Assessment '!W34+'Sustainability Plan'!W34+'Management '!W34)</f>
        <v>0</v>
      </c>
      <c r="X34" s="56">
        <f>SUM('Research Area'!X34+'Research Cyberinfrastructure'!X34+'EA &amp; Seed Funding'!X34+'Partnerships &amp; Collaborations'!X34+'Broadening Participation Divers'!X34+'Education Workforce Development'!X34+'Communications &amp; Disseminations'!X34+'Evaluation and Assessment '!X34+'Sustainability Plan'!X34+'Management '!X34)</f>
        <v>0</v>
      </c>
      <c r="Y34" s="56">
        <f t="shared" si="12"/>
        <v>0</v>
      </c>
    </row>
    <row r="35" spans="1:77" s="61" customFormat="1" x14ac:dyDescent="0.25">
      <c r="A35" s="6"/>
      <c r="B35" s="52"/>
      <c r="C35" s="124">
        <f>SUM('Research Area'!C35+'Research Cyberinfrastructure'!C35+'EA &amp; Seed Funding'!C35+'Partnerships &amp; Collaborations'!C35+'Broadening Participation Divers'!C35+'Education Workforce Development'!C35+'Communications &amp; Disseminations'!C35+'Evaluation and Assessment '!C35+'Sustainability Plan'!C35+'Management '!C35)</f>
        <v>0</v>
      </c>
      <c r="D35" s="56">
        <f>SUM('Research Area'!D35+'Research Cyberinfrastructure'!D35+'EA &amp; Seed Funding'!D35+'Partnerships &amp; Collaborations'!D35+'Broadening Participation Divers'!D35+'Education Workforce Development'!D35+'Communications &amp; Disseminations'!D35+'Evaluation and Assessment '!D35+'Sustainability Plan'!D35+'Management '!D35)</f>
        <v>0</v>
      </c>
      <c r="E35" s="56">
        <f t="shared" si="13"/>
        <v>0</v>
      </c>
      <c r="F35" s="15"/>
      <c r="G35" s="55">
        <f>SUM('Research Area'!G35+'Research Cyberinfrastructure'!G35+'EA &amp; Seed Funding'!G35+'Partnerships &amp; Collaborations'!G35+'Broadening Participation Divers'!G35+'Education Workforce Development'!G35+'Communications &amp; Disseminations'!G35+'Evaluation and Assessment '!G35+'Sustainability Plan'!G35+'Management '!G35)</f>
        <v>0</v>
      </c>
      <c r="H35" s="56">
        <f>SUM('Research Area'!H35+'Research Cyberinfrastructure'!H35+'EA &amp; Seed Funding'!H35+'Partnerships &amp; Collaborations'!H35+'Broadening Participation Divers'!H35+'Education Workforce Development'!H35+'Communications &amp; Disseminations'!H35+'Evaluation and Assessment '!H35+'Sustainability Plan'!H35+'Management '!H35)</f>
        <v>0</v>
      </c>
      <c r="I35" s="56">
        <f t="shared" si="14"/>
        <v>0</v>
      </c>
      <c r="J35" s="15"/>
      <c r="K35" s="55">
        <f>SUM('Research Area'!K35+'Research Cyberinfrastructure'!K35+'EA &amp; Seed Funding'!K35+'Partnerships &amp; Collaborations'!K35+'Broadening Participation Divers'!K35+'Education Workforce Development'!K35+'Communications &amp; Disseminations'!K35+'Evaluation and Assessment '!K35+'Sustainability Plan'!K35+'Management '!K35)</f>
        <v>0</v>
      </c>
      <c r="L35" s="56">
        <f>SUM('Research Area'!L35+'Research Cyberinfrastructure'!L35+'EA &amp; Seed Funding'!L35+'Partnerships &amp; Collaborations'!L35+'Broadening Participation Divers'!L35+'Education Workforce Development'!L35+'Communications &amp; Disseminations'!L35+'Evaluation and Assessment '!L35+'Sustainability Plan'!L35+'Management '!L35)</f>
        <v>0</v>
      </c>
      <c r="M35" s="56">
        <f t="shared" si="15"/>
        <v>0</v>
      </c>
      <c r="N35" s="15"/>
      <c r="O35" s="55">
        <f>SUM('Research Area'!O35+'Research Cyberinfrastructure'!O35+'EA &amp; Seed Funding'!O35+'Partnerships &amp; Collaborations'!O35+'Broadening Participation Divers'!O35+'Education Workforce Development'!O35+'Communications &amp; Disseminations'!O35+'Evaluation and Assessment '!O35+'Sustainability Plan'!O35+'Management '!O35)</f>
        <v>0</v>
      </c>
      <c r="P35" s="56">
        <f>SUM('Research Area'!P35+'Research Cyberinfrastructure'!P35+'EA &amp; Seed Funding'!P35+'Partnerships &amp; Collaborations'!P35+'Broadening Participation Divers'!P35+'Education Workforce Development'!P35+'Communications &amp; Disseminations'!P35+'Evaluation and Assessment '!P35+'Sustainability Plan'!P35+'Management '!P35)</f>
        <v>0</v>
      </c>
      <c r="Q35" s="56">
        <f t="shared" si="16"/>
        <v>0</v>
      </c>
      <c r="R35" s="15"/>
      <c r="S35" s="55">
        <f>SUM('Research Area'!S35+'Research Cyberinfrastructure'!S35+'EA &amp; Seed Funding'!S35+'Partnerships &amp; Collaborations'!S35+'Broadening Participation Divers'!S35+'Education Workforce Development'!S35+'Communications &amp; Disseminations'!S35+'Evaluation and Assessment '!S35+'Sustainability Plan'!S35+'Management '!S35)</f>
        <v>0</v>
      </c>
      <c r="T35" s="56">
        <f>SUM('Research Area'!T35+'Research Cyberinfrastructure'!T35+'EA &amp; Seed Funding'!T35+'Partnerships &amp; Collaborations'!T35+'Broadening Participation Divers'!T35+'Education Workforce Development'!T35+'Communications &amp; Disseminations'!T35+'Evaluation and Assessment '!T35+'Sustainability Plan'!T35+'Management '!T35)</f>
        <v>0</v>
      </c>
      <c r="U35" s="56">
        <f t="shared" si="17"/>
        <v>0</v>
      </c>
      <c r="V35" s="16"/>
      <c r="W35" s="55">
        <f>SUM('Research Area'!W35+'Research Cyberinfrastructure'!W35+'EA &amp; Seed Funding'!W35+'Partnerships &amp; Collaborations'!W35+'Broadening Participation Divers'!W35+'Education Workforce Development'!W35+'Communications &amp; Disseminations'!W35+'Evaluation and Assessment '!W35+'Sustainability Plan'!W35+'Management '!W35)</f>
        <v>0</v>
      </c>
      <c r="X35" s="56">
        <f>SUM('Research Area'!X35+'Research Cyberinfrastructure'!X35+'EA &amp; Seed Funding'!X35+'Partnerships &amp; Collaborations'!X35+'Broadening Participation Divers'!X35+'Education Workforce Development'!X35+'Communications &amp; Disseminations'!X35+'Evaluation and Assessment '!X35+'Sustainability Plan'!X35+'Management '!X35)</f>
        <v>0</v>
      </c>
      <c r="Y35" s="56">
        <f t="shared" si="12"/>
        <v>0</v>
      </c>
    </row>
    <row r="36" spans="1:77" s="83" customFormat="1" x14ac:dyDescent="0.25">
      <c r="A36" s="78"/>
      <c r="B36" s="78" t="s">
        <v>9</v>
      </c>
      <c r="C36" s="232">
        <f>SUM(C29:C35)</f>
        <v>145956.8230141871</v>
      </c>
      <c r="D36" s="130">
        <f>SUM(D29:D35)</f>
        <v>110386.36247830614</v>
      </c>
      <c r="E36" s="130">
        <f>SUM(E29:E35)</f>
        <v>256343.18549249327</v>
      </c>
      <c r="F36" s="81"/>
      <c r="G36" s="126">
        <f>SUM(G29:G35)</f>
        <v>261170.06459169186</v>
      </c>
      <c r="H36" s="130">
        <f>SUM(H29:H35)</f>
        <v>108318.68615527594</v>
      </c>
      <c r="I36" s="130">
        <f>SUM(I29:I35)</f>
        <v>369488.75074696779</v>
      </c>
      <c r="J36" s="81"/>
      <c r="K36" s="126">
        <f>SUM(K29:K35)</f>
        <v>190627.68886491586</v>
      </c>
      <c r="L36" s="130">
        <f>SUM(L29:L35)</f>
        <v>113170.58666031077</v>
      </c>
      <c r="M36" s="130">
        <f>SUM(M29:M35)</f>
        <v>303798.27552522667</v>
      </c>
      <c r="N36" s="81"/>
      <c r="O36" s="126">
        <f>SUM(O29:O35)</f>
        <v>202175.9350494635</v>
      </c>
      <c r="P36" s="130">
        <f>SUM(P29:P35)</f>
        <v>120062.67538792369</v>
      </c>
      <c r="Q36" s="130">
        <f>SUM(Q29:Q35)</f>
        <v>322238.61043738719</v>
      </c>
      <c r="R36" s="81"/>
      <c r="S36" s="126">
        <f>SUM(S29:S35)</f>
        <v>210368.30740478143</v>
      </c>
      <c r="T36" s="130">
        <f>SUM(T29:T35)</f>
        <v>137870.4577390638</v>
      </c>
      <c r="U36" s="130">
        <f>SUM(U29:U35)</f>
        <v>348238.76514384523</v>
      </c>
      <c r="V36" s="82"/>
      <c r="W36" s="126">
        <f>SUM(W29:W35)</f>
        <v>1010298.8189250397</v>
      </c>
      <c r="X36" s="130">
        <f>SUM(X29:X35)</f>
        <v>589808.76842088043</v>
      </c>
      <c r="Y36" s="130">
        <f>SUM(Y29:Y35)</f>
        <v>1600107.58734592</v>
      </c>
    </row>
    <row r="37" spans="1:77" s="94" customFormat="1" x14ac:dyDescent="0.25">
      <c r="A37" s="89" t="s">
        <v>17</v>
      </c>
      <c r="B37" s="89"/>
      <c r="C37" s="131">
        <f>C27+C36</f>
        <v>544309.99184867274</v>
      </c>
      <c r="D37" s="131">
        <f>D27+D36</f>
        <v>381259.41694443952</v>
      </c>
      <c r="E37" s="131">
        <f>E27+E36</f>
        <v>925569.40879311226</v>
      </c>
      <c r="F37" s="131" t="e">
        <f>SUM(#REF!+#REF!+'Research Cyberinfrastructure'!F37+'EA &amp; Seed Funding'!F37+'Partnerships &amp; Collaborations'!F37+'Broadening Participation Divers'!F37+'Education Workforce Development'!F37+'Communications &amp; Disseminations'!F37+'Evaluation and Assessment '!F37+'Sustainability Plan'!F37+'Management '!F37)</f>
        <v>#REF!</v>
      </c>
      <c r="G37" s="131">
        <f>G27+G36</f>
        <v>1099700.4446312122</v>
      </c>
      <c r="H37" s="131">
        <f>H27+H36</f>
        <v>367590.28457539331</v>
      </c>
      <c r="I37" s="131">
        <f>I27+I36</f>
        <v>1467290.7292066053</v>
      </c>
      <c r="J37" s="131" t="e">
        <f>SUM(#REF!+#REF!+'Research Cyberinfrastructure'!J37+'EA &amp; Seed Funding'!J37+'Partnerships &amp; Collaborations'!J37+'Broadening Participation Divers'!J37+'Education Workforce Development'!J37+'Communications &amp; Disseminations'!J37+'Evaluation and Assessment '!J37+'Sustainability Plan'!J37+'Management '!J37)</f>
        <v>#REF!</v>
      </c>
      <c r="K37" s="131">
        <f>K27+K36</f>
        <v>791483.98030562163</v>
      </c>
      <c r="L37" s="131">
        <f>L27+L36</f>
        <v>374915.83303303167</v>
      </c>
      <c r="M37" s="131">
        <f>M27+M36</f>
        <v>1166399.8133386534</v>
      </c>
      <c r="N37" s="131" t="e">
        <f>SUM(#REF!+#REF!+'Research Cyberinfrastructure'!N37+'EA &amp; Seed Funding'!N37+'Partnerships &amp; Collaborations'!N37+'Broadening Participation Divers'!N37+'Education Workforce Development'!N37+'Communications &amp; Disseminations'!N37+'Evaluation and Assessment '!N37+'Sustainability Plan'!N37+'Management '!N37)</f>
        <v>#REF!</v>
      </c>
      <c r="O37" s="131">
        <f>O27+O36</f>
        <v>820877.91523339052</v>
      </c>
      <c r="P37" s="131">
        <f>P27+P36</f>
        <v>389660.27915182628</v>
      </c>
      <c r="Q37" s="131">
        <f>Q27+Q36</f>
        <v>1210538.1943852166</v>
      </c>
      <c r="R37" s="131" t="e">
        <f>SUM(#REF!+#REF!+'Research Cyberinfrastructure'!R37+'EA &amp; Seed Funding'!R37+'Partnerships &amp; Collaborations'!R37+'Broadening Participation Divers'!R37+'Education Workforce Development'!R37+'Communications &amp; Disseminations'!R37+'Evaluation and Assessment '!R37+'Sustainability Plan'!R37+'Management '!R37)</f>
        <v>#REF!</v>
      </c>
      <c r="S37" s="131">
        <f>S27+S36</f>
        <v>835823.80294422619</v>
      </c>
      <c r="T37" s="131">
        <f>T27+T36</f>
        <v>437112.92288230674</v>
      </c>
      <c r="U37" s="131">
        <f>U27+U36</f>
        <v>1272936.725826533</v>
      </c>
      <c r="V37" s="131" t="e">
        <f>SUM(#REF!+#REF!+'Research Cyberinfrastructure'!V37+'EA &amp; Seed Funding'!V37+'Partnerships &amp; Collaborations'!V37+'Broadening Participation Divers'!V37+'Education Workforce Development'!V37+'Communications &amp; Disseminations'!V37+'Evaluation and Assessment '!V37+'Sustainability Plan'!V37+'Management '!V37)</f>
        <v>#REF!</v>
      </c>
      <c r="W37" s="131">
        <f>W27+W36</f>
        <v>4092196.1349631231</v>
      </c>
      <c r="X37" s="131">
        <f>X27+X36</f>
        <v>1950538.7365869975</v>
      </c>
      <c r="Y37" s="131">
        <f>Y27+Y36</f>
        <v>6042734.8715501204</v>
      </c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s="77" customFormat="1" x14ac:dyDescent="0.25">
      <c r="A38" s="74" t="s">
        <v>11</v>
      </c>
      <c r="B38" s="127"/>
      <c r="C38" s="213"/>
      <c r="D38" s="213"/>
      <c r="E38" s="212"/>
      <c r="F38" s="128"/>
      <c r="G38" s="128"/>
      <c r="H38" s="128"/>
      <c r="I38" s="58"/>
      <c r="J38" s="128"/>
      <c r="K38" s="128"/>
      <c r="L38" s="58"/>
      <c r="M38" s="58"/>
      <c r="N38" s="128"/>
      <c r="O38" s="128"/>
      <c r="P38" s="58"/>
      <c r="Q38" s="58"/>
      <c r="R38" s="128"/>
      <c r="S38" s="128"/>
      <c r="T38" s="58"/>
      <c r="U38" s="58"/>
      <c r="V38" s="59"/>
      <c r="W38" s="58"/>
      <c r="X38" s="58"/>
      <c r="Y38" s="129"/>
    </row>
    <row r="39" spans="1:77" x14ac:dyDescent="0.25">
      <c r="A39" s="53"/>
      <c r="B39" s="52"/>
      <c r="C39" s="124">
        <f>SUM('Research Area'!C39+'Research Cyberinfrastructure'!C39+'EA &amp; Seed Funding'!C39+'Partnerships &amp; Collaborations'!C39+'Broadening Participation Divers'!C39+'Education Workforce Development'!C39+'Communications &amp; Disseminations'!C39+'Evaluation and Assessment '!C39+'Sustainability Plan'!C39+'Management '!C39)</f>
        <v>0</v>
      </c>
      <c r="D39" s="56">
        <f>SUM('Research Area'!D39+'Research Cyberinfrastructure'!D39+'EA &amp; Seed Funding'!D39+'Partnerships &amp; Collaborations'!D39+'Broadening Participation Divers'!D39+'Education Workforce Development'!D39+'Communications &amp; Disseminations'!D39+'Evaluation and Assessment '!D39+'Sustainability Plan'!D39+'Management '!D39)</f>
        <v>0</v>
      </c>
      <c r="E39" s="56">
        <f>SUM(C39:D39)</f>
        <v>0</v>
      </c>
      <c r="F39" s="15"/>
      <c r="G39" s="55">
        <f>SUM('Research Area'!G39+'Research Cyberinfrastructure'!G39+'EA &amp; Seed Funding'!G39+'Partnerships &amp; Collaborations'!G39+'Broadening Participation Divers'!G39+'Education Workforce Development'!G39+'Communications &amp; Disseminations'!G39+'Evaluation and Assessment '!G39+'Sustainability Plan'!G39+'Management '!G39)</f>
        <v>0</v>
      </c>
      <c r="H39" s="56">
        <f>SUM('Research Area'!H39+'Research Cyberinfrastructure'!H39+'EA &amp; Seed Funding'!H39+'Partnerships &amp; Collaborations'!H39+'Broadening Participation Divers'!H39+'Education Workforce Development'!H39+'Communications &amp; Disseminations'!H39+'Evaluation and Assessment '!H39+'Sustainability Plan'!H39+'Management '!H39)</f>
        <v>0</v>
      </c>
      <c r="I39" s="56">
        <f>SUM(G39:H39)</f>
        <v>0</v>
      </c>
      <c r="J39" s="15"/>
      <c r="K39" s="55">
        <f>SUM('Research Area'!K39+'Research Cyberinfrastructure'!K39+'EA &amp; Seed Funding'!K39+'Partnerships &amp; Collaborations'!K39+'Broadening Participation Divers'!K39+'Education Workforce Development'!K39+'Communications &amp; Disseminations'!K39+'Evaluation and Assessment '!K39+'Sustainability Plan'!K39+'Management '!K39)</f>
        <v>0</v>
      </c>
      <c r="L39" s="56">
        <f>SUM('Research Area'!L39+'Research Cyberinfrastructure'!L39+'EA &amp; Seed Funding'!L39+'Partnerships &amp; Collaborations'!L39+'Broadening Participation Divers'!L39+'Education Workforce Development'!L39+'Communications &amp; Disseminations'!L39+'Evaluation and Assessment '!L39+'Sustainability Plan'!L39+'Management '!L39)</f>
        <v>0</v>
      </c>
      <c r="M39" s="56">
        <f>SUM(K39:L39)</f>
        <v>0</v>
      </c>
      <c r="N39" s="15"/>
      <c r="O39" s="55">
        <f>SUM('Research Area'!O39+'Research Cyberinfrastructure'!O39+'EA &amp; Seed Funding'!O39+'Partnerships &amp; Collaborations'!O39+'Broadening Participation Divers'!O39+'Education Workforce Development'!O39+'Communications &amp; Disseminations'!O39+'Evaluation and Assessment '!O39+'Sustainability Plan'!O39+'Management '!O39)</f>
        <v>0</v>
      </c>
      <c r="P39" s="56">
        <f>SUM('Research Area'!P39+'Research Cyberinfrastructure'!P39+'EA &amp; Seed Funding'!P39+'Partnerships &amp; Collaborations'!P39+'Broadening Participation Divers'!P39+'Education Workforce Development'!P39+'Communications &amp; Disseminations'!P39+'Evaluation and Assessment '!P39+'Sustainability Plan'!P39+'Management '!P39)</f>
        <v>0</v>
      </c>
      <c r="Q39" s="56">
        <f>SUM(O39:P39)</f>
        <v>0</v>
      </c>
      <c r="R39" s="15"/>
      <c r="S39" s="55">
        <f>SUM('Research Area'!S39+'Research Cyberinfrastructure'!S39+'EA &amp; Seed Funding'!S39+'Partnerships &amp; Collaborations'!S39+'Broadening Participation Divers'!S39+'Education Workforce Development'!S39+'Communications &amp; Disseminations'!S39+'Evaluation and Assessment '!S39+'Sustainability Plan'!S39+'Management '!S39)</f>
        <v>0</v>
      </c>
      <c r="T39" s="56">
        <f>SUM('Research Area'!T39+'Research Cyberinfrastructure'!T39+'EA &amp; Seed Funding'!T39+'Partnerships &amp; Collaborations'!T39+'Broadening Participation Divers'!T39+'Education Workforce Development'!T39+'Communications &amp; Disseminations'!T39+'Evaluation and Assessment '!T39+'Sustainability Plan'!T39+'Management '!T39)</f>
        <v>0</v>
      </c>
      <c r="U39" s="56">
        <f>SUM(S39:T39)</f>
        <v>0</v>
      </c>
      <c r="V39" s="16"/>
      <c r="W39" s="55">
        <f>SUM('Research Area'!W39+'Research Cyberinfrastructure'!W39+'EA &amp; Seed Funding'!W39+'Partnerships &amp; Collaborations'!W39+'Broadening Participation Divers'!W39+'Education Workforce Development'!W39+'Communications &amp; Disseminations'!W39+'Evaluation and Assessment '!W39+'Sustainability Plan'!W39+'Management '!W39)</f>
        <v>0</v>
      </c>
      <c r="X39" s="56">
        <f>SUM('Research Area'!X39+'Research Cyberinfrastructure'!X39+'EA &amp; Seed Funding'!X39+'Partnerships &amp; Collaborations'!X39+'Broadening Participation Divers'!X39+'Education Workforce Development'!X39+'Communications &amp; Disseminations'!X39+'Evaluation and Assessment '!X39+'Sustainability Plan'!X39+'Management '!X39)</f>
        <v>0</v>
      </c>
      <c r="Y39" s="56">
        <f>SUM(W39:X39)</f>
        <v>0</v>
      </c>
    </row>
    <row r="40" spans="1:77" s="61" customFormat="1" x14ac:dyDescent="0.25">
      <c r="A40" s="52"/>
      <c r="B40" s="52"/>
      <c r="C40" s="124">
        <f>SUM('Research Area'!C40+'Research Cyberinfrastructure'!C40+'EA &amp; Seed Funding'!C40+'Partnerships &amp; Collaborations'!C40+'Broadening Participation Divers'!C40+'Education Workforce Development'!C40+'Communications &amp; Disseminations'!C40+'Evaluation and Assessment '!C40+'Sustainability Plan'!C40+'Management '!C40)</f>
        <v>0</v>
      </c>
      <c r="D40" s="56">
        <f>SUM('Research Area'!D40+'Research Cyberinfrastructure'!D40+'EA &amp; Seed Funding'!D40+'Partnerships &amp; Collaborations'!D40+'Broadening Participation Divers'!D40+'Education Workforce Development'!D40+'Communications &amp; Disseminations'!D40+'Evaluation and Assessment '!D40+'Sustainability Plan'!D40+'Management '!D40)</f>
        <v>50000</v>
      </c>
      <c r="E40" s="56">
        <f t="shared" ref="E40:E48" si="18">SUM(C40:D40)</f>
        <v>50000</v>
      </c>
      <c r="F40" s="15"/>
      <c r="G40" s="55">
        <f>SUM('Research Area'!G40+'Research Cyberinfrastructure'!G40+'EA &amp; Seed Funding'!G40+'Partnerships &amp; Collaborations'!G40+'Broadening Participation Divers'!G40+'Education Workforce Development'!G40+'Communications &amp; Disseminations'!G40+'Evaluation and Assessment '!G40+'Sustainability Plan'!G40+'Management '!G40)</f>
        <v>0</v>
      </c>
      <c r="H40" s="56">
        <f>SUM('Research Area'!H40+'Research Cyberinfrastructure'!H40+'EA &amp; Seed Funding'!H40+'Partnerships &amp; Collaborations'!H40+'Broadening Participation Divers'!H40+'Education Workforce Development'!H40+'Communications &amp; Disseminations'!H40+'Evaluation and Assessment '!H40+'Sustainability Plan'!H40+'Management '!H40)</f>
        <v>0</v>
      </c>
      <c r="I40" s="56">
        <f t="shared" ref="I40:I48" si="19">SUM(G40:H40)</f>
        <v>0</v>
      </c>
      <c r="J40" s="15"/>
      <c r="K40" s="55">
        <f>SUM('Research Area'!K40+'Research Cyberinfrastructure'!K40+'EA &amp; Seed Funding'!K40+'Partnerships &amp; Collaborations'!K40+'Broadening Participation Divers'!K40+'Education Workforce Development'!K40+'Communications &amp; Disseminations'!K40+'Evaluation and Assessment '!K40+'Sustainability Plan'!K40+'Management '!K40)</f>
        <v>0</v>
      </c>
      <c r="L40" s="56">
        <f>SUM('Research Area'!L40+'Research Cyberinfrastructure'!L40+'EA &amp; Seed Funding'!L40+'Partnerships &amp; Collaborations'!L40+'Broadening Participation Divers'!L40+'Education Workforce Development'!L40+'Communications &amp; Disseminations'!L40+'Evaluation and Assessment '!L40+'Sustainability Plan'!L40+'Management '!L40)</f>
        <v>0</v>
      </c>
      <c r="M40" s="56">
        <f t="shared" ref="M40:M48" si="20">SUM(K40:L40)</f>
        <v>0</v>
      </c>
      <c r="N40" s="15"/>
      <c r="O40" s="55">
        <f>SUM('Research Area'!O40+'Research Cyberinfrastructure'!O40+'EA &amp; Seed Funding'!O40+'Partnerships &amp; Collaborations'!O40+'Broadening Participation Divers'!O40+'Education Workforce Development'!O40+'Communications &amp; Disseminations'!O40+'Evaluation and Assessment '!O40+'Sustainability Plan'!O40+'Management '!O40)</f>
        <v>0</v>
      </c>
      <c r="P40" s="56">
        <f>SUM('Research Area'!P40+'Research Cyberinfrastructure'!P40+'EA &amp; Seed Funding'!P40+'Partnerships &amp; Collaborations'!P40+'Broadening Participation Divers'!P40+'Education Workforce Development'!P40+'Communications &amp; Disseminations'!P40+'Evaluation and Assessment '!P40+'Sustainability Plan'!P40+'Management '!P40)</f>
        <v>0</v>
      </c>
      <c r="Q40" s="56">
        <f t="shared" ref="Q40:Q48" si="21">SUM(O40:P40)</f>
        <v>0</v>
      </c>
      <c r="R40" s="15"/>
      <c r="S40" s="55">
        <f>SUM('Research Area'!S40+'Research Cyberinfrastructure'!S40+'EA &amp; Seed Funding'!S40+'Partnerships &amp; Collaborations'!S40+'Broadening Participation Divers'!S40+'Education Workforce Development'!S40+'Communications &amp; Disseminations'!S40+'Evaluation and Assessment '!S40+'Sustainability Plan'!S40+'Management '!S40)</f>
        <v>0</v>
      </c>
      <c r="T40" s="56">
        <f>SUM('Research Area'!T40+'Research Cyberinfrastructure'!T40+'EA &amp; Seed Funding'!T40+'Partnerships &amp; Collaborations'!T40+'Broadening Participation Divers'!T40+'Education Workforce Development'!T40+'Communications &amp; Disseminations'!T40+'Evaluation and Assessment '!T40+'Sustainability Plan'!T40+'Management '!T40)</f>
        <v>0</v>
      </c>
      <c r="U40" s="56">
        <f t="shared" ref="U40:U48" si="22">SUM(S40:T40)</f>
        <v>0</v>
      </c>
      <c r="V40" s="16"/>
      <c r="W40" s="55">
        <f>SUM('Research Area'!W40+'Research Cyberinfrastructure'!W40+'EA &amp; Seed Funding'!W40+'Partnerships &amp; Collaborations'!W40+'Broadening Participation Divers'!W40+'Education Workforce Development'!W40+'Communications &amp; Disseminations'!W40+'Evaluation and Assessment '!W40+'Sustainability Plan'!W40+'Management '!W40)</f>
        <v>0</v>
      </c>
      <c r="X40" s="56">
        <f>SUM('Research Area'!X40+'Research Cyberinfrastructure'!X40+'EA &amp; Seed Funding'!X40+'Partnerships &amp; Collaborations'!X40+'Broadening Participation Divers'!X40+'Education Workforce Development'!X40+'Communications &amp; Disseminations'!X40+'Evaluation and Assessment '!X40+'Sustainability Plan'!X40+'Management '!X40)</f>
        <v>50000</v>
      </c>
      <c r="Y40" s="56">
        <f t="shared" ref="Y40:Y48" si="23">SUM(W40:X40)</f>
        <v>50000</v>
      </c>
    </row>
    <row r="41" spans="1:77" s="61" customFormat="1" x14ac:dyDescent="0.25">
      <c r="A41" s="52"/>
      <c r="B41" s="52"/>
      <c r="C41" s="124">
        <f>SUM('Research Area'!C41+'Research Cyberinfrastructure'!C41+'EA &amp; Seed Funding'!C41+'Partnerships &amp; Collaborations'!C41+'Broadening Participation Divers'!C41+'Education Workforce Development'!C41+'Communications &amp; Disseminations'!C41+'Evaluation and Assessment '!C41+'Sustainability Plan'!C41+'Management '!C41)</f>
        <v>0</v>
      </c>
      <c r="D41" s="56">
        <f>SUM('Research Area'!D41+'Research Cyberinfrastructure'!D41+'EA &amp; Seed Funding'!D41+'Partnerships &amp; Collaborations'!D41+'Broadening Participation Divers'!D41+'Education Workforce Development'!D41+'Communications &amp; Disseminations'!D41+'Evaluation and Assessment '!D41+'Sustainability Plan'!D41+'Management '!D41)</f>
        <v>0</v>
      </c>
      <c r="E41" s="56">
        <f t="shared" si="18"/>
        <v>0</v>
      </c>
      <c r="F41" s="15"/>
      <c r="G41" s="55">
        <f>SUM('Research Area'!G41+'Research Cyberinfrastructure'!G41+'EA &amp; Seed Funding'!G41+'Partnerships &amp; Collaborations'!G41+'Broadening Participation Divers'!G41+'Education Workforce Development'!G41+'Communications &amp; Disseminations'!G41+'Evaluation and Assessment '!G41+'Sustainability Plan'!G41+'Management '!G41)</f>
        <v>0</v>
      </c>
      <c r="H41" s="56">
        <f>SUM('Research Area'!H41+'Research Cyberinfrastructure'!H41+'EA &amp; Seed Funding'!H41+'Partnerships &amp; Collaborations'!H41+'Broadening Participation Divers'!H41+'Education Workforce Development'!H41+'Communications &amp; Disseminations'!H41+'Evaluation and Assessment '!H41+'Sustainability Plan'!H41+'Management '!H41)</f>
        <v>0</v>
      </c>
      <c r="I41" s="56">
        <f t="shared" si="19"/>
        <v>0</v>
      </c>
      <c r="J41" s="15"/>
      <c r="K41" s="55">
        <f>SUM('Research Area'!K41+'Research Cyberinfrastructure'!K41+'EA &amp; Seed Funding'!K41+'Partnerships &amp; Collaborations'!K41+'Broadening Participation Divers'!K41+'Education Workforce Development'!K41+'Communications &amp; Disseminations'!K41+'Evaluation and Assessment '!K41+'Sustainability Plan'!K41+'Management '!K41)</f>
        <v>0</v>
      </c>
      <c r="L41" s="56">
        <f>SUM('Research Area'!L41+'Research Cyberinfrastructure'!L41+'EA &amp; Seed Funding'!L41+'Partnerships &amp; Collaborations'!L41+'Broadening Participation Divers'!L41+'Education Workforce Development'!L41+'Communications &amp; Disseminations'!L41+'Evaluation and Assessment '!L41+'Sustainability Plan'!L41+'Management '!L41)</f>
        <v>0</v>
      </c>
      <c r="M41" s="56">
        <f t="shared" si="20"/>
        <v>0</v>
      </c>
      <c r="N41" s="15"/>
      <c r="O41" s="55">
        <f>SUM('Research Area'!O41+'Research Cyberinfrastructure'!O41+'EA &amp; Seed Funding'!O41+'Partnerships &amp; Collaborations'!O41+'Broadening Participation Divers'!O41+'Education Workforce Development'!O41+'Communications &amp; Disseminations'!O41+'Evaluation and Assessment '!O41+'Sustainability Plan'!O41+'Management '!O41)</f>
        <v>0</v>
      </c>
      <c r="P41" s="56">
        <f>SUM('Research Area'!P41+'Research Cyberinfrastructure'!P41+'EA &amp; Seed Funding'!P41+'Partnerships &amp; Collaborations'!P41+'Broadening Participation Divers'!P41+'Education Workforce Development'!P41+'Communications &amp; Disseminations'!P41+'Evaluation and Assessment '!P41+'Sustainability Plan'!P41+'Management '!P41)</f>
        <v>0</v>
      </c>
      <c r="Q41" s="56">
        <f t="shared" si="21"/>
        <v>0</v>
      </c>
      <c r="R41" s="15"/>
      <c r="S41" s="55">
        <f>SUM('Research Area'!S41+'Research Cyberinfrastructure'!S41+'EA &amp; Seed Funding'!S41+'Partnerships &amp; Collaborations'!S41+'Broadening Participation Divers'!S41+'Education Workforce Development'!S41+'Communications &amp; Disseminations'!S41+'Evaluation and Assessment '!S41+'Sustainability Plan'!S41+'Management '!S41)</f>
        <v>0</v>
      </c>
      <c r="T41" s="56">
        <f>SUM('Research Area'!T41+'Research Cyberinfrastructure'!T41+'EA &amp; Seed Funding'!T41+'Partnerships &amp; Collaborations'!T41+'Broadening Participation Divers'!T41+'Education Workforce Development'!T41+'Communications &amp; Disseminations'!T41+'Evaluation and Assessment '!T41+'Sustainability Plan'!T41+'Management '!T41)</f>
        <v>0</v>
      </c>
      <c r="U41" s="56">
        <f t="shared" si="22"/>
        <v>0</v>
      </c>
      <c r="V41" s="16"/>
      <c r="W41" s="55">
        <f>SUM('Research Area'!W41+'Research Cyberinfrastructure'!W41+'EA &amp; Seed Funding'!W41+'Partnerships &amp; Collaborations'!W41+'Broadening Participation Divers'!W41+'Education Workforce Development'!W41+'Communications &amp; Disseminations'!W41+'Evaluation and Assessment '!W41+'Sustainability Plan'!W41+'Management '!W41)</f>
        <v>0</v>
      </c>
      <c r="X41" s="56">
        <f>SUM('Research Area'!X41+'Research Cyberinfrastructure'!X41+'EA &amp; Seed Funding'!X41+'Partnerships &amp; Collaborations'!X41+'Broadening Participation Divers'!X41+'Education Workforce Development'!X41+'Communications &amp; Disseminations'!X41+'Evaluation and Assessment '!X41+'Sustainability Plan'!X41+'Management '!X41)</f>
        <v>0</v>
      </c>
      <c r="Y41" s="56">
        <f t="shared" si="23"/>
        <v>0</v>
      </c>
    </row>
    <row r="42" spans="1:77" s="61" customFormat="1" x14ac:dyDescent="0.25">
      <c r="A42" s="52"/>
      <c r="B42" s="52"/>
      <c r="C42" s="124">
        <f>SUM('Research Area'!C42+'Research Cyberinfrastructure'!C42+'EA &amp; Seed Funding'!C42+'Partnerships &amp; Collaborations'!C42+'Broadening Participation Divers'!C42+'Education Workforce Development'!C42+'Communications &amp; Disseminations'!C42+'Evaluation and Assessment '!C42+'Sustainability Plan'!C42+'Management '!C42)</f>
        <v>0</v>
      </c>
      <c r="D42" s="56">
        <f>SUM('Research Area'!D42+'Research Cyberinfrastructure'!D42+'EA &amp; Seed Funding'!D42+'Partnerships &amp; Collaborations'!D42+'Broadening Participation Divers'!D42+'Education Workforce Development'!D42+'Communications &amp; Disseminations'!D42+'Evaluation and Assessment '!D42+'Sustainability Plan'!D42+'Management '!D42)</f>
        <v>0</v>
      </c>
      <c r="E42" s="56">
        <f t="shared" si="18"/>
        <v>0</v>
      </c>
      <c r="F42" s="15"/>
      <c r="G42" s="55">
        <f>SUM('Research Area'!G42+'Research Cyberinfrastructure'!G42+'EA &amp; Seed Funding'!G42+'Partnerships &amp; Collaborations'!G42+'Broadening Participation Divers'!G42+'Education Workforce Development'!G42+'Communications &amp; Disseminations'!G42+'Evaluation and Assessment '!G42+'Sustainability Plan'!G42+'Management '!G42)</f>
        <v>0</v>
      </c>
      <c r="H42" s="56">
        <f>SUM('Research Area'!H42+'Research Cyberinfrastructure'!H42+'EA &amp; Seed Funding'!H42+'Partnerships &amp; Collaborations'!H42+'Broadening Participation Divers'!H42+'Education Workforce Development'!H42+'Communications &amp; Disseminations'!H42+'Evaluation and Assessment '!H42+'Sustainability Plan'!H42+'Management '!H42)</f>
        <v>0</v>
      </c>
      <c r="I42" s="56">
        <f t="shared" si="19"/>
        <v>0</v>
      </c>
      <c r="J42" s="15"/>
      <c r="K42" s="55">
        <f>SUM('Research Area'!K42+'Research Cyberinfrastructure'!K42+'EA &amp; Seed Funding'!K42+'Partnerships &amp; Collaborations'!K42+'Broadening Participation Divers'!K42+'Education Workforce Development'!K42+'Communications &amp; Disseminations'!K42+'Evaluation and Assessment '!K42+'Sustainability Plan'!K42+'Management '!K42)</f>
        <v>0</v>
      </c>
      <c r="L42" s="56">
        <f>SUM('Research Area'!L42+'Research Cyberinfrastructure'!L42+'EA &amp; Seed Funding'!L42+'Partnerships &amp; Collaborations'!L42+'Broadening Participation Divers'!L42+'Education Workforce Development'!L42+'Communications &amp; Disseminations'!L42+'Evaluation and Assessment '!L42+'Sustainability Plan'!L42+'Management '!L42)</f>
        <v>0</v>
      </c>
      <c r="M42" s="56">
        <f t="shared" si="20"/>
        <v>0</v>
      </c>
      <c r="N42" s="15"/>
      <c r="O42" s="55">
        <f>SUM('Research Area'!O42+'Research Cyberinfrastructure'!O42+'EA &amp; Seed Funding'!O42+'Partnerships &amp; Collaborations'!O42+'Broadening Participation Divers'!O42+'Education Workforce Development'!O42+'Communications &amp; Disseminations'!O42+'Evaluation and Assessment '!O42+'Sustainability Plan'!O42+'Management '!O42)</f>
        <v>0</v>
      </c>
      <c r="P42" s="56">
        <f>SUM('Research Area'!P42+'Research Cyberinfrastructure'!P42+'EA &amp; Seed Funding'!P42+'Partnerships &amp; Collaborations'!P42+'Broadening Participation Divers'!P42+'Education Workforce Development'!P42+'Communications &amp; Disseminations'!P42+'Evaluation and Assessment '!P42+'Sustainability Plan'!P42+'Management '!P42)</f>
        <v>0</v>
      </c>
      <c r="Q42" s="56">
        <f t="shared" si="21"/>
        <v>0</v>
      </c>
      <c r="R42" s="15"/>
      <c r="S42" s="55">
        <f>SUM('Research Area'!S42+'Research Cyberinfrastructure'!S42+'EA &amp; Seed Funding'!S42+'Partnerships &amp; Collaborations'!S42+'Broadening Participation Divers'!S42+'Education Workforce Development'!S42+'Communications &amp; Disseminations'!S42+'Evaluation and Assessment '!S42+'Sustainability Plan'!S42+'Management '!S42)</f>
        <v>0</v>
      </c>
      <c r="T42" s="56">
        <f>SUM('Research Area'!T42+'Research Cyberinfrastructure'!T42+'EA &amp; Seed Funding'!T42+'Partnerships &amp; Collaborations'!T42+'Broadening Participation Divers'!T42+'Education Workforce Development'!T42+'Communications &amp; Disseminations'!T42+'Evaluation and Assessment '!T42+'Sustainability Plan'!T42+'Management '!T42)</f>
        <v>0</v>
      </c>
      <c r="U42" s="56">
        <f t="shared" si="22"/>
        <v>0</v>
      </c>
      <c r="V42" s="16"/>
      <c r="W42" s="55">
        <f>SUM('Research Area'!W42+'Research Cyberinfrastructure'!W42+'EA &amp; Seed Funding'!W42+'Partnerships &amp; Collaborations'!W42+'Broadening Participation Divers'!W42+'Education Workforce Development'!W42+'Communications &amp; Disseminations'!W42+'Evaluation and Assessment '!W42+'Sustainability Plan'!W42+'Management '!W42)</f>
        <v>0</v>
      </c>
      <c r="X42" s="56">
        <f>SUM('Research Area'!X42+'Research Cyberinfrastructure'!X42+'EA &amp; Seed Funding'!X42+'Partnerships &amp; Collaborations'!X42+'Broadening Participation Divers'!X42+'Education Workforce Development'!X42+'Communications &amp; Disseminations'!X42+'Evaluation and Assessment '!X42+'Sustainability Plan'!X42+'Management '!X42)</f>
        <v>0</v>
      </c>
      <c r="Y42" s="56">
        <f t="shared" si="23"/>
        <v>0</v>
      </c>
    </row>
    <row r="43" spans="1:77" s="61" customFormat="1" x14ac:dyDescent="0.25">
      <c r="A43" s="52"/>
      <c r="B43" s="52"/>
      <c r="C43" s="124">
        <f>SUM('Research Area'!C43+'Research Cyberinfrastructure'!C43+'EA &amp; Seed Funding'!C43+'Partnerships &amp; Collaborations'!C43+'Broadening Participation Divers'!C43+'Education Workforce Development'!C43+'Communications &amp; Disseminations'!C43+'Evaluation and Assessment '!C43+'Sustainability Plan'!C43+'Management '!C43)</f>
        <v>0</v>
      </c>
      <c r="D43" s="56">
        <f>SUM('Research Area'!D43+'Research Cyberinfrastructure'!D43+'EA &amp; Seed Funding'!D43+'Partnerships &amp; Collaborations'!D43+'Broadening Participation Divers'!D43+'Education Workforce Development'!D43+'Communications &amp; Disseminations'!D43+'Evaluation and Assessment '!D43+'Sustainability Plan'!D43+'Management '!D43)</f>
        <v>0</v>
      </c>
      <c r="E43" s="56">
        <f t="shared" si="18"/>
        <v>0</v>
      </c>
      <c r="F43" s="15"/>
      <c r="G43" s="55">
        <f>SUM('Research Area'!G43+'Research Cyberinfrastructure'!G43+'EA &amp; Seed Funding'!G43+'Partnerships &amp; Collaborations'!G43+'Broadening Participation Divers'!G43+'Education Workforce Development'!G43+'Communications &amp; Disseminations'!G43+'Evaluation and Assessment '!G43+'Sustainability Plan'!G43+'Management '!G43)</f>
        <v>0</v>
      </c>
      <c r="H43" s="56">
        <f>SUM('Research Area'!H43+'Research Cyberinfrastructure'!H43+'EA &amp; Seed Funding'!H43+'Partnerships &amp; Collaborations'!H43+'Broadening Participation Divers'!H43+'Education Workforce Development'!H43+'Communications &amp; Disseminations'!H43+'Evaluation and Assessment '!H43+'Sustainability Plan'!H43+'Management '!H43)</f>
        <v>0</v>
      </c>
      <c r="I43" s="56">
        <f t="shared" si="19"/>
        <v>0</v>
      </c>
      <c r="J43" s="15"/>
      <c r="K43" s="55">
        <f>SUM('Research Area'!K43+'Research Cyberinfrastructure'!K43+'EA &amp; Seed Funding'!K43+'Partnerships &amp; Collaborations'!K43+'Broadening Participation Divers'!K43+'Education Workforce Development'!K43+'Communications &amp; Disseminations'!K43+'Evaluation and Assessment '!K43+'Sustainability Plan'!K43+'Management '!K43)</f>
        <v>0</v>
      </c>
      <c r="L43" s="56">
        <f>SUM('Research Area'!L43+'Research Cyberinfrastructure'!L43+'EA &amp; Seed Funding'!L43+'Partnerships &amp; Collaborations'!L43+'Broadening Participation Divers'!L43+'Education Workforce Development'!L43+'Communications &amp; Disseminations'!L43+'Evaluation and Assessment '!L43+'Sustainability Plan'!L43+'Management '!L43)</f>
        <v>0</v>
      </c>
      <c r="M43" s="56">
        <f t="shared" si="20"/>
        <v>0</v>
      </c>
      <c r="N43" s="15"/>
      <c r="O43" s="55">
        <f>SUM('Research Area'!O43+'Research Cyberinfrastructure'!O43+'EA &amp; Seed Funding'!O43+'Partnerships &amp; Collaborations'!O43+'Broadening Participation Divers'!O43+'Education Workforce Development'!O43+'Communications &amp; Disseminations'!O43+'Evaluation and Assessment '!O43+'Sustainability Plan'!O43+'Management '!O43)</f>
        <v>0</v>
      </c>
      <c r="P43" s="56">
        <f>SUM('Research Area'!P43+'Research Cyberinfrastructure'!P43+'EA &amp; Seed Funding'!P43+'Partnerships &amp; Collaborations'!P43+'Broadening Participation Divers'!P43+'Education Workforce Development'!P43+'Communications &amp; Disseminations'!P43+'Evaluation and Assessment '!P43+'Sustainability Plan'!P43+'Management '!P43)</f>
        <v>0</v>
      </c>
      <c r="Q43" s="56">
        <f t="shared" si="21"/>
        <v>0</v>
      </c>
      <c r="R43" s="15"/>
      <c r="S43" s="55">
        <f>SUM('Research Area'!S43+'Research Cyberinfrastructure'!S43+'EA &amp; Seed Funding'!S43+'Partnerships &amp; Collaborations'!S43+'Broadening Participation Divers'!S43+'Education Workforce Development'!S43+'Communications &amp; Disseminations'!S43+'Evaluation and Assessment '!S43+'Sustainability Plan'!S43+'Management '!S43)</f>
        <v>0</v>
      </c>
      <c r="T43" s="56">
        <f>SUM('Research Area'!T43+'Research Cyberinfrastructure'!T43+'EA &amp; Seed Funding'!T43+'Partnerships &amp; Collaborations'!T43+'Broadening Participation Divers'!T43+'Education Workforce Development'!T43+'Communications &amp; Disseminations'!T43+'Evaluation and Assessment '!T43+'Sustainability Plan'!T43+'Management '!T43)</f>
        <v>0</v>
      </c>
      <c r="U43" s="56">
        <f t="shared" si="22"/>
        <v>0</v>
      </c>
      <c r="V43" s="16"/>
      <c r="W43" s="55">
        <f>SUM('Research Area'!W43+'Research Cyberinfrastructure'!W43+'EA &amp; Seed Funding'!W43+'Partnerships &amp; Collaborations'!W43+'Broadening Participation Divers'!W43+'Education Workforce Development'!W43+'Communications &amp; Disseminations'!W43+'Evaluation and Assessment '!W43+'Sustainability Plan'!W43+'Management '!W43)</f>
        <v>0</v>
      </c>
      <c r="X43" s="56">
        <f>SUM('Research Area'!X43+'Research Cyberinfrastructure'!X43+'EA &amp; Seed Funding'!X43+'Partnerships &amp; Collaborations'!X43+'Broadening Participation Divers'!X43+'Education Workforce Development'!X43+'Communications &amp; Disseminations'!X43+'Evaluation and Assessment '!X43+'Sustainability Plan'!X43+'Management '!X43)</f>
        <v>0</v>
      </c>
      <c r="Y43" s="56">
        <f t="shared" si="23"/>
        <v>0</v>
      </c>
    </row>
    <row r="44" spans="1:77" s="61" customFormat="1" x14ac:dyDescent="0.25">
      <c r="A44" s="52"/>
      <c r="B44" s="52"/>
      <c r="C44" s="124">
        <f>SUM('Research Area'!C44+'Research Cyberinfrastructure'!C44+'EA &amp; Seed Funding'!C44+'Partnerships &amp; Collaborations'!C44+'Broadening Participation Divers'!C44+'Education Workforce Development'!C44+'Communications &amp; Disseminations'!C44+'Evaluation and Assessment '!C44+'Sustainability Plan'!C44+'Management '!C44)</f>
        <v>0</v>
      </c>
      <c r="D44" s="56">
        <f>SUM('Research Area'!D44+'Research Cyberinfrastructure'!D44+'EA &amp; Seed Funding'!D44+'Partnerships &amp; Collaborations'!D44+'Broadening Participation Divers'!D44+'Education Workforce Development'!D44+'Communications &amp; Disseminations'!D44+'Evaluation and Assessment '!D44+'Sustainability Plan'!D44+'Management '!D44)</f>
        <v>0</v>
      </c>
      <c r="E44" s="56">
        <f t="shared" si="18"/>
        <v>0</v>
      </c>
      <c r="F44" s="15"/>
      <c r="G44" s="55">
        <f>SUM('Research Area'!G44+'Research Cyberinfrastructure'!G44+'EA &amp; Seed Funding'!G44+'Partnerships &amp; Collaborations'!G44+'Broadening Participation Divers'!G44+'Education Workforce Development'!G44+'Communications &amp; Disseminations'!G44+'Evaluation and Assessment '!G44+'Sustainability Plan'!G44+'Management '!G44)</f>
        <v>0</v>
      </c>
      <c r="H44" s="56">
        <f>SUM('Research Area'!H44+'Research Cyberinfrastructure'!H44+'EA &amp; Seed Funding'!H44+'Partnerships &amp; Collaborations'!H44+'Broadening Participation Divers'!H44+'Education Workforce Development'!H44+'Communications &amp; Disseminations'!H44+'Evaluation and Assessment '!H44+'Sustainability Plan'!H44+'Management '!H44)</f>
        <v>0</v>
      </c>
      <c r="I44" s="56">
        <f t="shared" si="19"/>
        <v>0</v>
      </c>
      <c r="J44" s="15"/>
      <c r="K44" s="55">
        <f>SUM('Research Area'!K44+'Research Cyberinfrastructure'!K44+'EA &amp; Seed Funding'!K44+'Partnerships &amp; Collaborations'!K44+'Broadening Participation Divers'!K44+'Education Workforce Development'!K44+'Communications &amp; Disseminations'!K44+'Evaluation and Assessment '!K44+'Sustainability Plan'!K44+'Management '!K44)</f>
        <v>0</v>
      </c>
      <c r="L44" s="56">
        <f>SUM('Research Area'!L44+'Research Cyberinfrastructure'!L44+'EA &amp; Seed Funding'!L44+'Partnerships &amp; Collaborations'!L44+'Broadening Participation Divers'!L44+'Education Workforce Development'!L44+'Communications &amp; Disseminations'!L44+'Evaluation and Assessment '!L44+'Sustainability Plan'!L44+'Management '!L44)</f>
        <v>0</v>
      </c>
      <c r="M44" s="56">
        <f t="shared" si="20"/>
        <v>0</v>
      </c>
      <c r="N44" s="15"/>
      <c r="O44" s="55">
        <f>SUM('Research Area'!O44+'Research Cyberinfrastructure'!O44+'EA &amp; Seed Funding'!O44+'Partnerships &amp; Collaborations'!O44+'Broadening Participation Divers'!O44+'Education Workforce Development'!O44+'Communications &amp; Disseminations'!O44+'Evaluation and Assessment '!O44+'Sustainability Plan'!O44+'Management '!O44)</f>
        <v>0</v>
      </c>
      <c r="P44" s="56">
        <f>SUM('Research Area'!P44+'Research Cyberinfrastructure'!P44+'EA &amp; Seed Funding'!P44+'Partnerships &amp; Collaborations'!P44+'Broadening Participation Divers'!P44+'Education Workforce Development'!P44+'Communications &amp; Disseminations'!P44+'Evaluation and Assessment '!P44+'Sustainability Plan'!P44+'Management '!P44)</f>
        <v>0</v>
      </c>
      <c r="Q44" s="56">
        <f t="shared" si="21"/>
        <v>0</v>
      </c>
      <c r="R44" s="15"/>
      <c r="S44" s="55">
        <f>SUM('Research Area'!S44+'Research Cyberinfrastructure'!S44+'EA &amp; Seed Funding'!S44+'Partnerships &amp; Collaborations'!S44+'Broadening Participation Divers'!S44+'Education Workforce Development'!S44+'Communications &amp; Disseminations'!S44+'Evaluation and Assessment '!S44+'Sustainability Plan'!S44+'Management '!S44)</f>
        <v>0</v>
      </c>
      <c r="T44" s="56">
        <f>SUM('Research Area'!T44+'Research Cyberinfrastructure'!T44+'EA &amp; Seed Funding'!T44+'Partnerships &amp; Collaborations'!T44+'Broadening Participation Divers'!T44+'Education Workforce Development'!T44+'Communications &amp; Disseminations'!T44+'Evaluation and Assessment '!T44+'Sustainability Plan'!T44+'Management '!T44)</f>
        <v>0</v>
      </c>
      <c r="U44" s="56">
        <f t="shared" si="22"/>
        <v>0</v>
      </c>
      <c r="V44" s="16"/>
      <c r="W44" s="55">
        <f>SUM('Research Area'!W44+'Research Cyberinfrastructure'!W44+'EA &amp; Seed Funding'!W44+'Partnerships &amp; Collaborations'!W44+'Broadening Participation Divers'!W44+'Education Workforce Development'!W44+'Communications &amp; Disseminations'!W44+'Evaluation and Assessment '!W44+'Sustainability Plan'!W44+'Management '!W44)</f>
        <v>0</v>
      </c>
      <c r="X44" s="56">
        <f>SUM('Research Area'!X44+'Research Cyberinfrastructure'!X44+'EA &amp; Seed Funding'!X44+'Partnerships &amp; Collaborations'!X44+'Broadening Participation Divers'!X44+'Education Workforce Development'!X44+'Communications &amp; Disseminations'!X44+'Evaluation and Assessment '!X44+'Sustainability Plan'!X44+'Management '!X44)</f>
        <v>0</v>
      </c>
      <c r="Y44" s="56">
        <f t="shared" si="23"/>
        <v>0</v>
      </c>
    </row>
    <row r="45" spans="1:77" s="61" customFormat="1" x14ac:dyDescent="0.25">
      <c r="A45" s="52"/>
      <c r="B45" s="52"/>
      <c r="C45" s="124">
        <f>SUM('Research Area'!C45+'Research Cyberinfrastructure'!C45+'EA &amp; Seed Funding'!C45+'Partnerships &amp; Collaborations'!C45+'Broadening Participation Divers'!C45+'Education Workforce Development'!C45+'Communications &amp; Disseminations'!C45+'Evaluation and Assessment '!C45+'Sustainability Plan'!C45+'Management '!C45)</f>
        <v>0</v>
      </c>
      <c r="D45" s="56">
        <f>SUM('Research Area'!D45+'Research Cyberinfrastructure'!D45+'EA &amp; Seed Funding'!D45+'Partnerships &amp; Collaborations'!D45+'Broadening Participation Divers'!D45+'Education Workforce Development'!D45+'Communications &amp; Disseminations'!D45+'Evaluation and Assessment '!D45+'Sustainability Plan'!D45+'Management '!D45)</f>
        <v>0</v>
      </c>
      <c r="E45" s="56">
        <f t="shared" si="18"/>
        <v>0</v>
      </c>
      <c r="F45" s="15"/>
      <c r="G45" s="55">
        <f>SUM('Research Area'!G45+'Research Cyberinfrastructure'!G45+'EA &amp; Seed Funding'!G45+'Partnerships &amp; Collaborations'!G45+'Broadening Participation Divers'!G45+'Education Workforce Development'!G45+'Communications &amp; Disseminations'!G45+'Evaluation and Assessment '!G45+'Sustainability Plan'!G45+'Management '!G45)</f>
        <v>0</v>
      </c>
      <c r="H45" s="56">
        <f>SUM('Research Area'!H45+'Research Cyberinfrastructure'!H45+'EA &amp; Seed Funding'!H45+'Partnerships &amp; Collaborations'!H45+'Broadening Participation Divers'!H45+'Education Workforce Development'!H45+'Communications &amp; Disseminations'!H45+'Evaluation and Assessment '!H45+'Sustainability Plan'!H45+'Management '!H45)</f>
        <v>0</v>
      </c>
      <c r="I45" s="56">
        <f t="shared" si="19"/>
        <v>0</v>
      </c>
      <c r="J45" s="15"/>
      <c r="K45" s="55">
        <f>SUM('Research Area'!K45+'Research Cyberinfrastructure'!K45+'EA &amp; Seed Funding'!K45+'Partnerships &amp; Collaborations'!K45+'Broadening Participation Divers'!K45+'Education Workforce Development'!K45+'Communications &amp; Disseminations'!K45+'Evaluation and Assessment '!K45+'Sustainability Plan'!K45+'Management '!K45)</f>
        <v>0</v>
      </c>
      <c r="L45" s="56">
        <f>SUM('Research Area'!L45+'Research Cyberinfrastructure'!L45+'EA &amp; Seed Funding'!L45+'Partnerships &amp; Collaborations'!L45+'Broadening Participation Divers'!L45+'Education Workforce Development'!L45+'Communications &amp; Disseminations'!L45+'Evaluation and Assessment '!L45+'Sustainability Plan'!L45+'Management '!L45)</f>
        <v>0</v>
      </c>
      <c r="M45" s="56">
        <f t="shared" si="20"/>
        <v>0</v>
      </c>
      <c r="N45" s="15"/>
      <c r="O45" s="55">
        <f>SUM('Research Area'!O45+'Research Cyberinfrastructure'!O45+'EA &amp; Seed Funding'!O45+'Partnerships &amp; Collaborations'!O45+'Broadening Participation Divers'!O45+'Education Workforce Development'!O45+'Communications &amp; Disseminations'!O45+'Evaluation and Assessment '!O45+'Sustainability Plan'!O45+'Management '!O45)</f>
        <v>0</v>
      </c>
      <c r="P45" s="56">
        <f>SUM('Research Area'!P45+'Research Cyberinfrastructure'!P45+'EA &amp; Seed Funding'!P45+'Partnerships &amp; Collaborations'!P45+'Broadening Participation Divers'!P45+'Education Workforce Development'!P45+'Communications &amp; Disseminations'!P45+'Evaluation and Assessment '!P45+'Sustainability Plan'!P45+'Management '!P45)</f>
        <v>0</v>
      </c>
      <c r="Q45" s="56">
        <f t="shared" si="21"/>
        <v>0</v>
      </c>
      <c r="R45" s="15"/>
      <c r="S45" s="55">
        <f>SUM('Research Area'!S45+'Research Cyberinfrastructure'!S45+'EA &amp; Seed Funding'!S45+'Partnerships &amp; Collaborations'!S45+'Broadening Participation Divers'!S45+'Education Workforce Development'!S45+'Communications &amp; Disseminations'!S45+'Evaluation and Assessment '!S45+'Sustainability Plan'!S45+'Management '!S45)</f>
        <v>0</v>
      </c>
      <c r="T45" s="56">
        <f>SUM('Research Area'!T45+'Research Cyberinfrastructure'!T45+'EA &amp; Seed Funding'!T45+'Partnerships &amp; Collaborations'!T45+'Broadening Participation Divers'!T45+'Education Workforce Development'!T45+'Communications &amp; Disseminations'!T45+'Evaluation and Assessment '!T45+'Sustainability Plan'!T45+'Management '!T45)</f>
        <v>0</v>
      </c>
      <c r="U45" s="56">
        <f t="shared" si="22"/>
        <v>0</v>
      </c>
      <c r="V45" s="16"/>
      <c r="W45" s="55">
        <f>SUM('Research Area'!W45+'Research Cyberinfrastructure'!W45+'EA &amp; Seed Funding'!W45+'Partnerships &amp; Collaborations'!W45+'Broadening Participation Divers'!W45+'Education Workforce Development'!W45+'Communications &amp; Disseminations'!W45+'Evaluation and Assessment '!W45+'Sustainability Plan'!W45+'Management '!W45)</f>
        <v>0</v>
      </c>
      <c r="X45" s="56">
        <f>SUM('Research Area'!X45+'Research Cyberinfrastructure'!X45+'EA &amp; Seed Funding'!X45+'Partnerships &amp; Collaborations'!X45+'Broadening Participation Divers'!X45+'Education Workforce Development'!X45+'Communications &amp; Disseminations'!X45+'Evaluation and Assessment '!X45+'Sustainability Plan'!X45+'Management '!X45)</f>
        <v>0</v>
      </c>
      <c r="Y45" s="56">
        <f t="shared" si="23"/>
        <v>0</v>
      </c>
    </row>
    <row r="46" spans="1:77" s="61" customFormat="1" x14ac:dyDescent="0.25">
      <c r="A46" s="52"/>
      <c r="B46" s="52"/>
      <c r="C46" s="124">
        <f>SUM('Research Area'!C46+'Research Cyberinfrastructure'!C46+'EA &amp; Seed Funding'!C46+'Partnerships &amp; Collaborations'!C46+'Broadening Participation Divers'!C46+'Education Workforce Development'!C46+'Communications &amp; Disseminations'!C46+'Evaluation and Assessment '!C46+'Sustainability Plan'!C46+'Management '!C46)</f>
        <v>0</v>
      </c>
      <c r="D46" s="56">
        <f>SUM('Research Area'!D46+'Research Cyberinfrastructure'!D46+'EA &amp; Seed Funding'!D46+'Partnerships &amp; Collaborations'!D46+'Broadening Participation Divers'!D46+'Education Workforce Development'!D46+'Communications &amp; Disseminations'!D46+'Evaluation and Assessment '!D46+'Sustainability Plan'!D46+'Management '!D46)</f>
        <v>0</v>
      </c>
      <c r="E46" s="56">
        <f t="shared" si="18"/>
        <v>0</v>
      </c>
      <c r="F46" s="15"/>
      <c r="G46" s="55">
        <f>SUM('Research Area'!G46+'Research Cyberinfrastructure'!G46+'EA &amp; Seed Funding'!G46+'Partnerships &amp; Collaborations'!G46+'Broadening Participation Divers'!G46+'Education Workforce Development'!G46+'Communications &amp; Disseminations'!G46+'Evaluation and Assessment '!G46+'Sustainability Plan'!G46+'Management '!G46)</f>
        <v>0</v>
      </c>
      <c r="H46" s="56">
        <f>SUM('Research Area'!H46+'Research Cyberinfrastructure'!H46+'EA &amp; Seed Funding'!H46+'Partnerships &amp; Collaborations'!H46+'Broadening Participation Divers'!H46+'Education Workforce Development'!H46+'Communications &amp; Disseminations'!H46+'Evaluation and Assessment '!H46+'Sustainability Plan'!H46+'Management '!H46)</f>
        <v>0</v>
      </c>
      <c r="I46" s="56">
        <f t="shared" si="19"/>
        <v>0</v>
      </c>
      <c r="J46" s="15"/>
      <c r="K46" s="55">
        <f>SUM('Research Area'!K46+'Research Cyberinfrastructure'!K46+'EA &amp; Seed Funding'!K46+'Partnerships &amp; Collaborations'!K46+'Broadening Participation Divers'!K46+'Education Workforce Development'!K46+'Communications &amp; Disseminations'!K46+'Evaluation and Assessment '!K46+'Sustainability Plan'!K46+'Management '!K46)</f>
        <v>0</v>
      </c>
      <c r="L46" s="56">
        <f>SUM('Research Area'!L46+'Research Cyberinfrastructure'!L46+'EA &amp; Seed Funding'!L46+'Partnerships &amp; Collaborations'!L46+'Broadening Participation Divers'!L46+'Education Workforce Development'!L46+'Communications &amp; Disseminations'!L46+'Evaluation and Assessment '!L46+'Sustainability Plan'!L46+'Management '!L46)</f>
        <v>0</v>
      </c>
      <c r="M46" s="56">
        <f t="shared" si="20"/>
        <v>0</v>
      </c>
      <c r="N46" s="15"/>
      <c r="O46" s="55">
        <f>SUM('Research Area'!O46+'Research Cyberinfrastructure'!O46+'EA &amp; Seed Funding'!O46+'Partnerships &amp; Collaborations'!O46+'Broadening Participation Divers'!O46+'Education Workforce Development'!O46+'Communications &amp; Disseminations'!O46+'Evaluation and Assessment '!O46+'Sustainability Plan'!O46+'Management '!O46)</f>
        <v>0</v>
      </c>
      <c r="P46" s="56">
        <f>SUM('Research Area'!P46+'Research Cyberinfrastructure'!P46+'EA &amp; Seed Funding'!P46+'Partnerships &amp; Collaborations'!P46+'Broadening Participation Divers'!P46+'Education Workforce Development'!P46+'Communications &amp; Disseminations'!P46+'Evaluation and Assessment '!P46+'Sustainability Plan'!P46+'Management '!P46)</f>
        <v>0</v>
      </c>
      <c r="Q46" s="56">
        <f t="shared" si="21"/>
        <v>0</v>
      </c>
      <c r="R46" s="15"/>
      <c r="S46" s="55">
        <f>SUM('Research Area'!S46+'Research Cyberinfrastructure'!S46+'EA &amp; Seed Funding'!S46+'Partnerships &amp; Collaborations'!S46+'Broadening Participation Divers'!S46+'Education Workforce Development'!S46+'Communications &amp; Disseminations'!S46+'Evaluation and Assessment '!S46+'Sustainability Plan'!S46+'Management '!S46)</f>
        <v>0</v>
      </c>
      <c r="T46" s="56">
        <f>SUM('Research Area'!T46+'Research Cyberinfrastructure'!T46+'EA &amp; Seed Funding'!T46+'Partnerships &amp; Collaborations'!T46+'Broadening Participation Divers'!T46+'Education Workforce Development'!T46+'Communications &amp; Disseminations'!T46+'Evaluation and Assessment '!T46+'Sustainability Plan'!T46+'Management '!T46)</f>
        <v>0</v>
      </c>
      <c r="U46" s="56">
        <f t="shared" si="22"/>
        <v>0</v>
      </c>
      <c r="V46" s="16"/>
      <c r="W46" s="55">
        <f>SUM('Research Area'!W46+'Research Cyberinfrastructure'!W46+'EA &amp; Seed Funding'!W46+'Partnerships &amp; Collaborations'!W46+'Broadening Participation Divers'!W46+'Education Workforce Development'!W46+'Communications &amp; Disseminations'!W46+'Evaluation and Assessment '!W46+'Sustainability Plan'!W46+'Management '!W46)</f>
        <v>0</v>
      </c>
      <c r="X46" s="56">
        <f>SUM('Research Area'!X46+'Research Cyberinfrastructure'!X46+'EA &amp; Seed Funding'!X46+'Partnerships &amp; Collaborations'!X46+'Broadening Participation Divers'!X46+'Education Workforce Development'!X46+'Communications &amp; Disseminations'!X46+'Evaluation and Assessment '!X46+'Sustainability Plan'!X46+'Management '!X46)</f>
        <v>0</v>
      </c>
      <c r="Y46" s="56">
        <f t="shared" si="23"/>
        <v>0</v>
      </c>
    </row>
    <row r="47" spans="1:77" s="61" customFormat="1" x14ac:dyDescent="0.25">
      <c r="A47" s="52"/>
      <c r="B47" s="52"/>
      <c r="C47" s="124">
        <f>SUM('Research Area'!C47+'Research Cyberinfrastructure'!C47+'EA &amp; Seed Funding'!C47+'Partnerships &amp; Collaborations'!C47+'Broadening Participation Divers'!C47+'Education Workforce Development'!C47+'Communications &amp; Disseminations'!C47+'Evaluation and Assessment '!C47+'Sustainability Plan'!C47+'Management '!C47)</f>
        <v>0</v>
      </c>
      <c r="D47" s="56">
        <f>SUM('Research Area'!D47+'Research Cyberinfrastructure'!D47+'EA &amp; Seed Funding'!D47+'Partnerships &amp; Collaborations'!D47+'Broadening Participation Divers'!D47+'Education Workforce Development'!D47+'Communications &amp; Disseminations'!D47+'Evaluation and Assessment '!D47+'Sustainability Plan'!D47+'Management '!D47)</f>
        <v>0</v>
      </c>
      <c r="E47" s="56">
        <f t="shared" si="18"/>
        <v>0</v>
      </c>
      <c r="F47" s="15"/>
      <c r="G47" s="55">
        <f>SUM('Research Area'!G47+'Research Cyberinfrastructure'!G47+'EA &amp; Seed Funding'!G47+'Partnerships &amp; Collaborations'!G47+'Broadening Participation Divers'!G47+'Education Workforce Development'!G47+'Communications &amp; Disseminations'!G47+'Evaluation and Assessment '!G47+'Sustainability Plan'!G47+'Management '!G47)</f>
        <v>0</v>
      </c>
      <c r="H47" s="56">
        <f>SUM('Research Area'!H47+'Research Cyberinfrastructure'!H47+'EA &amp; Seed Funding'!H47+'Partnerships &amp; Collaborations'!H47+'Broadening Participation Divers'!H47+'Education Workforce Development'!H47+'Communications &amp; Disseminations'!H47+'Evaluation and Assessment '!H47+'Sustainability Plan'!H47+'Management '!H47)</f>
        <v>0</v>
      </c>
      <c r="I47" s="56">
        <f t="shared" si="19"/>
        <v>0</v>
      </c>
      <c r="J47" s="15"/>
      <c r="K47" s="55">
        <f>SUM('Research Area'!K47+'Research Cyberinfrastructure'!K47+'EA &amp; Seed Funding'!K47+'Partnerships &amp; Collaborations'!K47+'Broadening Participation Divers'!K47+'Education Workforce Development'!K47+'Communications &amp; Disseminations'!K47+'Evaluation and Assessment '!K47+'Sustainability Plan'!K47+'Management '!K47)</f>
        <v>0</v>
      </c>
      <c r="L47" s="56">
        <f>SUM('Research Area'!L47+'Research Cyberinfrastructure'!L47+'EA &amp; Seed Funding'!L47+'Partnerships &amp; Collaborations'!L47+'Broadening Participation Divers'!L47+'Education Workforce Development'!L47+'Communications &amp; Disseminations'!L47+'Evaluation and Assessment '!L47+'Sustainability Plan'!L47+'Management '!L47)</f>
        <v>0</v>
      </c>
      <c r="M47" s="56">
        <f t="shared" si="20"/>
        <v>0</v>
      </c>
      <c r="N47" s="15"/>
      <c r="O47" s="55">
        <f>SUM('Research Area'!O47+'Research Cyberinfrastructure'!O47+'EA &amp; Seed Funding'!O47+'Partnerships &amp; Collaborations'!O47+'Broadening Participation Divers'!O47+'Education Workforce Development'!O47+'Communications &amp; Disseminations'!O47+'Evaluation and Assessment '!O47+'Sustainability Plan'!O47+'Management '!O47)</f>
        <v>0</v>
      </c>
      <c r="P47" s="56">
        <f>SUM('Research Area'!P47+'Research Cyberinfrastructure'!P47+'EA &amp; Seed Funding'!P47+'Partnerships &amp; Collaborations'!P47+'Broadening Participation Divers'!P47+'Education Workforce Development'!P47+'Communications &amp; Disseminations'!P47+'Evaluation and Assessment '!P47+'Sustainability Plan'!P47+'Management '!P47)</f>
        <v>0</v>
      </c>
      <c r="Q47" s="56">
        <f t="shared" si="21"/>
        <v>0</v>
      </c>
      <c r="R47" s="15"/>
      <c r="S47" s="55">
        <f>SUM('Research Area'!S47+'Research Cyberinfrastructure'!S47+'EA &amp; Seed Funding'!S47+'Partnerships &amp; Collaborations'!S47+'Broadening Participation Divers'!S47+'Education Workforce Development'!S47+'Communications &amp; Disseminations'!S47+'Evaluation and Assessment '!S47+'Sustainability Plan'!S47+'Management '!S47)</f>
        <v>0</v>
      </c>
      <c r="T47" s="56">
        <f>SUM('Research Area'!T47+'Research Cyberinfrastructure'!T47+'EA &amp; Seed Funding'!T47+'Partnerships &amp; Collaborations'!T47+'Broadening Participation Divers'!T47+'Education Workforce Development'!T47+'Communications &amp; Disseminations'!T47+'Evaluation and Assessment '!T47+'Sustainability Plan'!T47+'Management '!T47)</f>
        <v>0</v>
      </c>
      <c r="U47" s="56">
        <f t="shared" si="22"/>
        <v>0</v>
      </c>
      <c r="V47" s="16"/>
      <c r="W47" s="55">
        <f>SUM('Research Area'!W47+'Research Cyberinfrastructure'!W47+'EA &amp; Seed Funding'!W47+'Partnerships &amp; Collaborations'!W47+'Broadening Participation Divers'!W47+'Education Workforce Development'!W47+'Communications &amp; Disseminations'!W47+'Evaluation and Assessment '!W47+'Sustainability Plan'!W47+'Management '!W47)</f>
        <v>0</v>
      </c>
      <c r="X47" s="56">
        <f>SUM('Research Area'!X47+'Research Cyberinfrastructure'!X47+'EA &amp; Seed Funding'!X47+'Partnerships &amp; Collaborations'!X47+'Broadening Participation Divers'!X47+'Education Workforce Development'!X47+'Communications &amp; Disseminations'!X47+'Evaluation and Assessment '!X47+'Sustainability Plan'!X47+'Management '!X47)</f>
        <v>0</v>
      </c>
      <c r="Y47" s="56">
        <f t="shared" si="23"/>
        <v>0</v>
      </c>
    </row>
    <row r="48" spans="1:77" s="61" customFormat="1" x14ac:dyDescent="0.25">
      <c r="A48" s="52"/>
      <c r="B48" s="52"/>
      <c r="C48" s="124">
        <f>SUM('Research Area'!C48+'Research Cyberinfrastructure'!C48+'EA &amp; Seed Funding'!C48+'Partnerships &amp; Collaborations'!C48+'Broadening Participation Divers'!C48+'Education Workforce Development'!C48+'Communications &amp; Disseminations'!C48+'Evaluation and Assessment '!C48+'Sustainability Plan'!C48+'Management '!C48)</f>
        <v>0</v>
      </c>
      <c r="D48" s="56">
        <f>SUM('Research Area'!D48+'Research Cyberinfrastructure'!D48+'EA &amp; Seed Funding'!D48+'Partnerships &amp; Collaborations'!D48+'Broadening Participation Divers'!D48+'Education Workforce Development'!D48+'Communications &amp; Disseminations'!D48+'Evaluation and Assessment '!D48+'Sustainability Plan'!D48+'Management '!D48)</f>
        <v>0</v>
      </c>
      <c r="E48" s="56">
        <f t="shared" si="18"/>
        <v>0</v>
      </c>
      <c r="F48" s="15"/>
      <c r="G48" s="55">
        <f>SUM('Research Area'!G48+'Research Cyberinfrastructure'!G48+'EA &amp; Seed Funding'!G48+'Partnerships &amp; Collaborations'!G48+'Broadening Participation Divers'!G48+'Education Workforce Development'!G48+'Communications &amp; Disseminations'!G48+'Evaluation and Assessment '!G48+'Sustainability Plan'!G48+'Management '!G48)</f>
        <v>0</v>
      </c>
      <c r="H48" s="56">
        <f>SUM('Research Area'!H48+'Research Cyberinfrastructure'!H48+'EA &amp; Seed Funding'!H48+'Partnerships &amp; Collaborations'!H48+'Broadening Participation Divers'!H48+'Education Workforce Development'!H48+'Communications &amp; Disseminations'!H48+'Evaluation and Assessment '!H48+'Sustainability Plan'!H48+'Management '!H48)</f>
        <v>0</v>
      </c>
      <c r="I48" s="56">
        <f t="shared" si="19"/>
        <v>0</v>
      </c>
      <c r="J48" s="15"/>
      <c r="K48" s="55">
        <f>SUM('Research Area'!K48+'Research Cyberinfrastructure'!K48+'EA &amp; Seed Funding'!K48+'Partnerships &amp; Collaborations'!K48+'Broadening Participation Divers'!K48+'Education Workforce Development'!K48+'Communications &amp; Disseminations'!K48+'Evaluation and Assessment '!K48+'Sustainability Plan'!K48+'Management '!K48)</f>
        <v>0</v>
      </c>
      <c r="L48" s="56">
        <f>SUM('Research Area'!L48+'Research Cyberinfrastructure'!L48+'EA &amp; Seed Funding'!L48+'Partnerships &amp; Collaborations'!L48+'Broadening Participation Divers'!L48+'Education Workforce Development'!L48+'Communications &amp; Disseminations'!L48+'Evaluation and Assessment '!L48+'Sustainability Plan'!L48+'Management '!L48)</f>
        <v>0</v>
      </c>
      <c r="M48" s="56">
        <f t="shared" si="20"/>
        <v>0</v>
      </c>
      <c r="N48" s="15"/>
      <c r="O48" s="55">
        <f>SUM('Research Area'!O48+'Research Cyberinfrastructure'!O48+'EA &amp; Seed Funding'!O48+'Partnerships &amp; Collaborations'!O48+'Broadening Participation Divers'!O48+'Education Workforce Development'!O48+'Communications &amp; Disseminations'!O48+'Evaluation and Assessment '!O48+'Sustainability Plan'!O48+'Management '!O48)</f>
        <v>0</v>
      </c>
      <c r="P48" s="56">
        <f>SUM('Research Area'!P48+'Research Cyberinfrastructure'!P48+'EA &amp; Seed Funding'!P48+'Partnerships &amp; Collaborations'!P48+'Broadening Participation Divers'!P48+'Education Workforce Development'!P48+'Communications &amp; Disseminations'!P48+'Evaluation and Assessment '!P48+'Sustainability Plan'!P48+'Management '!P48)</f>
        <v>0</v>
      </c>
      <c r="Q48" s="56">
        <f t="shared" si="21"/>
        <v>0</v>
      </c>
      <c r="R48" s="15"/>
      <c r="S48" s="55">
        <f>SUM('Research Area'!S48+'Research Cyberinfrastructure'!S48+'EA &amp; Seed Funding'!S48+'Partnerships &amp; Collaborations'!S48+'Broadening Participation Divers'!S48+'Education Workforce Development'!S48+'Communications &amp; Disseminations'!S48+'Evaluation and Assessment '!S48+'Sustainability Plan'!S48+'Management '!S48)</f>
        <v>0</v>
      </c>
      <c r="T48" s="56">
        <f>SUM('Research Area'!T48+'Research Cyberinfrastructure'!T48+'EA &amp; Seed Funding'!T48+'Partnerships &amp; Collaborations'!T48+'Broadening Participation Divers'!T48+'Education Workforce Development'!T48+'Communications &amp; Disseminations'!T48+'Evaluation and Assessment '!T48+'Sustainability Plan'!T48+'Management '!T48)</f>
        <v>0</v>
      </c>
      <c r="U48" s="56">
        <f t="shared" si="22"/>
        <v>0</v>
      </c>
      <c r="V48" s="16"/>
      <c r="W48" s="55">
        <f>SUM('Research Area'!W48+'Research Cyberinfrastructure'!W48+'EA &amp; Seed Funding'!W48+'Partnerships &amp; Collaborations'!W48+'Broadening Participation Divers'!W48+'Education Workforce Development'!W48+'Communications &amp; Disseminations'!W48+'Evaluation and Assessment '!W48+'Sustainability Plan'!W48+'Management '!W48)</f>
        <v>0</v>
      </c>
      <c r="X48" s="56">
        <f>SUM('Research Area'!X48+'Research Cyberinfrastructure'!X48+'EA &amp; Seed Funding'!X48+'Partnerships &amp; Collaborations'!X48+'Broadening Participation Divers'!X48+'Education Workforce Development'!X48+'Communications &amp; Disseminations'!X48+'Evaluation and Assessment '!X48+'Sustainability Plan'!X48+'Management '!X48)</f>
        <v>0</v>
      </c>
      <c r="Y48" s="56">
        <f t="shared" si="23"/>
        <v>0</v>
      </c>
    </row>
    <row r="49" spans="1:25" s="83" customFormat="1" x14ac:dyDescent="0.25">
      <c r="A49" s="78"/>
      <c r="B49" s="78" t="s">
        <v>9</v>
      </c>
      <c r="C49" s="232">
        <f>SUM(C39:C48)</f>
        <v>0</v>
      </c>
      <c r="D49" s="130">
        <f>SUM(D39:D48)</f>
        <v>50000</v>
      </c>
      <c r="E49" s="130">
        <f>SUM(E39:E48)</f>
        <v>50000</v>
      </c>
      <c r="F49" s="81"/>
      <c r="G49" s="126">
        <f>SUM(G39:G48)</f>
        <v>0</v>
      </c>
      <c r="H49" s="130">
        <f>SUM(H39:H48)</f>
        <v>0</v>
      </c>
      <c r="I49" s="130">
        <f>SUM(I39:I48)</f>
        <v>0</v>
      </c>
      <c r="J49" s="81"/>
      <c r="K49" s="126">
        <f>SUM(K39:K48)</f>
        <v>0</v>
      </c>
      <c r="L49" s="130">
        <f>SUM(L39:L48)</f>
        <v>0</v>
      </c>
      <c r="M49" s="130">
        <f>SUM(M39:M48)</f>
        <v>0</v>
      </c>
      <c r="N49" s="81"/>
      <c r="O49" s="126">
        <f>SUM(O39:O48)</f>
        <v>0</v>
      </c>
      <c r="P49" s="130">
        <f>SUM(P39:P48)</f>
        <v>0</v>
      </c>
      <c r="Q49" s="130">
        <f>SUM(Q39:Q48)</f>
        <v>0</v>
      </c>
      <c r="R49" s="81"/>
      <c r="S49" s="126">
        <f>SUM(S39:S48)</f>
        <v>0</v>
      </c>
      <c r="T49" s="130">
        <f>SUM(T39:T48)</f>
        <v>0</v>
      </c>
      <c r="U49" s="130">
        <f>SUM(U39:U48)</f>
        <v>0</v>
      </c>
      <c r="V49" s="82"/>
      <c r="W49" s="126">
        <f>SUM(W39:W48)</f>
        <v>0</v>
      </c>
      <c r="X49" s="130">
        <f>SUM(X39:X48)</f>
        <v>50000</v>
      </c>
      <c r="Y49" s="130">
        <f>SUM(Y39:Y48)</f>
        <v>50000</v>
      </c>
    </row>
    <row r="50" spans="1:25" s="77" customFormat="1" x14ac:dyDescent="0.25">
      <c r="A50" s="74" t="s">
        <v>7</v>
      </c>
      <c r="B50" s="74"/>
      <c r="C50" s="212"/>
      <c r="D50" s="212"/>
      <c r="E50" s="212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9"/>
      <c r="W50" s="58"/>
      <c r="X50" s="58"/>
      <c r="Y50" s="129"/>
    </row>
    <row r="51" spans="1:25" x14ac:dyDescent="0.25">
      <c r="A51" s="53"/>
      <c r="B51" s="52"/>
      <c r="C51" s="124">
        <f>SUM('Research Area'!C51+'Research Cyberinfrastructure'!C51+'EA &amp; Seed Funding'!C51+'Partnerships &amp; Collaborations'!C51+'Broadening Participation Divers'!C51+'Education Workforce Development'!C51+'Communications &amp; Disseminations'!C51+'Evaluation and Assessment '!C51+'Sustainability Plan'!C51+'Management '!C51)</f>
        <v>4800</v>
      </c>
      <c r="D51" s="56">
        <f>SUM('Research Area'!D51+'Research Cyberinfrastructure'!D51+'EA &amp; Seed Funding'!D51+'Partnerships &amp; Collaborations'!D51+'Broadening Participation Divers'!D51+'Education Workforce Development'!D51+'Communications &amp; Disseminations'!D51+'Evaluation and Assessment '!D51+'Sustainability Plan'!D51+'Management '!D51)</f>
        <v>7300</v>
      </c>
      <c r="E51" s="56">
        <f>SUM(C51:D51)</f>
        <v>12100</v>
      </c>
      <c r="F51" s="15"/>
      <c r="G51" s="55">
        <f>SUM('Research Area'!G51+'Research Cyberinfrastructure'!G51+'EA &amp; Seed Funding'!G51+'Partnerships &amp; Collaborations'!G51+'Broadening Participation Divers'!G51+'Education Workforce Development'!G51+'Communications &amp; Disseminations'!G51+'Evaluation and Assessment '!G51+'Sustainability Plan'!G51+'Management '!G51)</f>
        <v>5800</v>
      </c>
      <c r="H51" s="56">
        <f>SUM('Research Area'!H51+'Research Cyberinfrastructure'!H51+'EA &amp; Seed Funding'!H51+'Partnerships &amp; Collaborations'!H51+'Broadening Participation Divers'!H51+'Education Workforce Development'!H51+'Communications &amp; Disseminations'!H51+'Evaluation and Assessment '!H51+'Sustainability Plan'!H51+'Management '!H51)</f>
        <v>7300</v>
      </c>
      <c r="I51" s="56">
        <f>SUM(G51:H51)</f>
        <v>13100</v>
      </c>
      <c r="J51" s="15"/>
      <c r="K51" s="55">
        <f>SUM('Research Area'!K51+'Research Cyberinfrastructure'!K51+'EA &amp; Seed Funding'!K51+'Partnerships &amp; Collaborations'!K51+'Broadening Participation Divers'!K51+'Education Workforce Development'!K51+'Communications &amp; Disseminations'!K51+'Evaluation and Assessment '!K51+'Sustainability Plan'!K51+'Management '!K51)</f>
        <v>5800</v>
      </c>
      <c r="L51" s="56">
        <f>SUM('Research Area'!L51+'Research Cyberinfrastructure'!L51+'EA &amp; Seed Funding'!L51+'Partnerships &amp; Collaborations'!L51+'Broadening Participation Divers'!L51+'Education Workforce Development'!L51+'Communications &amp; Disseminations'!L51+'Evaluation and Assessment '!L51+'Sustainability Plan'!L51+'Management '!L51)</f>
        <v>7300</v>
      </c>
      <c r="M51" s="56">
        <f>SUM(K51:L51)</f>
        <v>13100</v>
      </c>
      <c r="N51" s="15"/>
      <c r="O51" s="55">
        <f>SUM('Research Area'!O51+'Research Cyberinfrastructure'!O51+'EA &amp; Seed Funding'!O51+'Partnerships &amp; Collaborations'!O51+'Broadening Participation Divers'!O51+'Education Workforce Development'!O51+'Communications &amp; Disseminations'!O51+'Evaluation and Assessment '!O51+'Sustainability Plan'!O51+'Management '!O51)</f>
        <v>5800</v>
      </c>
      <c r="P51" s="56">
        <f>SUM('Research Area'!P51+'Research Cyberinfrastructure'!P51+'EA &amp; Seed Funding'!P51+'Partnerships &amp; Collaborations'!P51+'Broadening Participation Divers'!P51+'Education Workforce Development'!P51+'Communications &amp; Disseminations'!P51+'Evaluation and Assessment '!P51+'Sustainability Plan'!P51+'Management '!P51)</f>
        <v>7300</v>
      </c>
      <c r="Q51" s="56">
        <f>SUM(O51:P51)</f>
        <v>13100</v>
      </c>
      <c r="R51" s="15"/>
      <c r="S51" s="55">
        <f>SUM('Research Area'!S51+'Research Cyberinfrastructure'!S51+'EA &amp; Seed Funding'!S51+'Partnerships &amp; Collaborations'!S51+'Broadening Participation Divers'!S51+'Education Workforce Development'!S51+'Communications &amp; Disseminations'!S51+'Evaluation and Assessment '!S51+'Sustainability Plan'!S51+'Management '!S51)</f>
        <v>5800</v>
      </c>
      <c r="T51" s="56">
        <f>SUM('Research Area'!T51+'Research Cyberinfrastructure'!T51+'EA &amp; Seed Funding'!T51+'Partnerships &amp; Collaborations'!T51+'Broadening Participation Divers'!T51+'Education Workforce Development'!T51+'Communications &amp; Disseminations'!T51+'Evaluation and Assessment '!T51+'Sustainability Plan'!T51+'Management '!T51)</f>
        <v>7062</v>
      </c>
      <c r="U51" s="56">
        <f>SUM(S51:T51)</f>
        <v>12862</v>
      </c>
      <c r="V51" s="16"/>
      <c r="W51" s="55">
        <f>SUM('Research Area'!W51+'Research Cyberinfrastructure'!W51+'EA &amp; Seed Funding'!W51+'Partnerships &amp; Collaborations'!W51+'Broadening Participation Divers'!W51+'Education Workforce Development'!W51+'Communications &amp; Disseminations'!W51+'Evaluation and Assessment '!W51+'Sustainability Plan'!W51+'Management '!W51)</f>
        <v>28000</v>
      </c>
      <c r="X51" s="56">
        <f>SUM('Research Area'!X51+'Research Cyberinfrastructure'!X51+'EA &amp; Seed Funding'!X51+'Partnerships &amp; Collaborations'!X51+'Broadening Participation Divers'!X51+'Education Workforce Development'!X51+'Communications &amp; Disseminations'!X51+'Evaluation and Assessment '!X51+'Sustainability Plan'!X51+'Management '!X51)</f>
        <v>36262</v>
      </c>
      <c r="Y51" s="56">
        <f>SUM(W51:X51)</f>
        <v>64262</v>
      </c>
    </row>
    <row r="52" spans="1:25" s="61" customFormat="1" x14ac:dyDescent="0.25">
      <c r="A52" s="87"/>
      <c r="B52" s="52"/>
      <c r="C52" s="124">
        <f>SUM('Research Area'!C52+'Research Cyberinfrastructure'!C52+'EA &amp; Seed Funding'!C52+'Partnerships &amp; Collaborations'!C52+'Broadening Participation Divers'!C52+'Education Workforce Development'!C52+'Communications &amp; Disseminations'!C52+'Evaluation and Assessment '!C52+'Sustainability Plan'!C52+'Management '!C52)</f>
        <v>13000</v>
      </c>
      <c r="D52" s="56">
        <f>SUM('Research Area'!D52+'Research Cyberinfrastructure'!D52+'EA &amp; Seed Funding'!D52+'Partnerships &amp; Collaborations'!D52+'Broadening Participation Divers'!D52+'Education Workforce Development'!D52+'Communications &amp; Disseminations'!D52+'Evaluation and Assessment '!D52+'Sustainability Plan'!D52+'Management '!D52)</f>
        <v>25000</v>
      </c>
      <c r="E52" s="56">
        <f t="shared" ref="E52:E56" si="24">SUM(C52:D52)</f>
        <v>38000</v>
      </c>
      <c r="F52" s="15"/>
      <c r="G52" s="55">
        <f>SUM('Research Area'!G52+'Research Cyberinfrastructure'!G52+'EA &amp; Seed Funding'!G52+'Partnerships &amp; Collaborations'!G52+'Broadening Participation Divers'!G52+'Education Workforce Development'!G52+'Communications &amp; Disseminations'!G52+'Evaluation and Assessment '!G52+'Sustainability Plan'!G52+'Management '!G52)</f>
        <v>13000</v>
      </c>
      <c r="H52" s="56">
        <f>SUM('Research Area'!H52+'Research Cyberinfrastructure'!H52+'EA &amp; Seed Funding'!H52+'Partnerships &amp; Collaborations'!H52+'Broadening Participation Divers'!H52+'Education Workforce Development'!H52+'Communications &amp; Disseminations'!H52+'Evaluation and Assessment '!H52+'Sustainability Plan'!H52+'Management '!H52)</f>
        <v>18000</v>
      </c>
      <c r="I52" s="56">
        <f t="shared" ref="I52:I56" si="25">SUM(G52:H52)</f>
        <v>31000</v>
      </c>
      <c r="J52" s="15"/>
      <c r="K52" s="55">
        <f>SUM('Research Area'!K52+'Research Cyberinfrastructure'!K52+'EA &amp; Seed Funding'!K52+'Partnerships &amp; Collaborations'!K52+'Broadening Participation Divers'!K52+'Education Workforce Development'!K52+'Communications &amp; Disseminations'!K52+'Evaluation and Assessment '!K52+'Sustainability Plan'!K52+'Management '!K52)</f>
        <v>13000</v>
      </c>
      <c r="L52" s="56">
        <f>SUM('Research Area'!L52+'Research Cyberinfrastructure'!L52+'EA &amp; Seed Funding'!L52+'Partnerships &amp; Collaborations'!L52+'Broadening Participation Divers'!L52+'Education Workforce Development'!L52+'Communications &amp; Disseminations'!L52+'Evaluation and Assessment '!L52+'Sustainability Plan'!L52+'Management '!L52)</f>
        <v>18000</v>
      </c>
      <c r="M52" s="56">
        <f t="shared" ref="M52:M56" si="26">SUM(K52:L52)</f>
        <v>31000</v>
      </c>
      <c r="N52" s="15"/>
      <c r="O52" s="55">
        <f>SUM('Research Area'!O52+'Research Cyberinfrastructure'!O52+'EA &amp; Seed Funding'!O52+'Partnerships &amp; Collaborations'!O52+'Broadening Participation Divers'!O52+'Education Workforce Development'!O52+'Communications &amp; Disseminations'!O52+'Evaluation and Assessment '!O52+'Sustainability Plan'!O52+'Management '!O52)</f>
        <v>13000</v>
      </c>
      <c r="P52" s="56">
        <f>SUM('Research Area'!P52+'Research Cyberinfrastructure'!P52+'EA &amp; Seed Funding'!P52+'Partnerships &amp; Collaborations'!P52+'Broadening Participation Divers'!P52+'Education Workforce Development'!P52+'Communications &amp; Disseminations'!P52+'Evaluation and Assessment '!P52+'Sustainability Plan'!P52+'Management '!P52)</f>
        <v>18000</v>
      </c>
      <c r="Q52" s="56">
        <f t="shared" ref="Q52:Q56" si="27">SUM(O52:P52)</f>
        <v>31000</v>
      </c>
      <c r="R52" s="15"/>
      <c r="S52" s="55">
        <f>SUM('Research Area'!S52+'Research Cyberinfrastructure'!S52+'EA &amp; Seed Funding'!S52+'Partnerships &amp; Collaborations'!S52+'Broadening Participation Divers'!S52+'Education Workforce Development'!S52+'Communications &amp; Disseminations'!S52+'Evaluation and Assessment '!S52+'Sustainability Plan'!S52+'Management '!S52)</f>
        <v>13000</v>
      </c>
      <c r="T52" s="56">
        <f>SUM('Research Area'!T52+'Research Cyberinfrastructure'!T52+'EA &amp; Seed Funding'!T52+'Partnerships &amp; Collaborations'!T52+'Broadening Participation Divers'!T52+'Education Workforce Development'!T52+'Communications &amp; Disseminations'!T52+'Evaluation and Assessment '!T52+'Sustainability Plan'!T52+'Management '!T52)</f>
        <v>15000</v>
      </c>
      <c r="U52" s="56">
        <f t="shared" ref="U52:U56" si="28">SUM(S52:T52)</f>
        <v>28000</v>
      </c>
      <c r="V52" s="16"/>
      <c r="W52" s="55">
        <f>SUM('Research Area'!W52+'Research Cyberinfrastructure'!W52+'EA &amp; Seed Funding'!W52+'Partnerships &amp; Collaborations'!W52+'Broadening Participation Divers'!W52+'Education Workforce Development'!W52+'Communications &amp; Disseminations'!W52+'Evaluation and Assessment '!W52+'Sustainability Plan'!W52+'Management '!W52)</f>
        <v>65000</v>
      </c>
      <c r="X52" s="56">
        <f>SUM('Research Area'!X52+'Research Cyberinfrastructure'!X52+'EA &amp; Seed Funding'!X52+'Partnerships &amp; Collaborations'!X52+'Broadening Participation Divers'!X52+'Education Workforce Development'!X52+'Communications &amp; Disseminations'!X52+'Evaluation and Assessment '!X52+'Sustainability Plan'!X52+'Management '!X52)</f>
        <v>94000</v>
      </c>
      <c r="Y52" s="56">
        <f t="shared" ref="Y52:Y56" si="29">SUM(W52:X52)</f>
        <v>159000</v>
      </c>
    </row>
    <row r="53" spans="1:25" s="61" customFormat="1" x14ac:dyDescent="0.25">
      <c r="A53" s="87"/>
      <c r="B53" s="52"/>
      <c r="C53" s="124">
        <f>SUM('Research Area'!C53+'Research Cyberinfrastructure'!C53+'EA &amp; Seed Funding'!C53+'Partnerships &amp; Collaborations'!C53+'Broadening Participation Divers'!C53+'Education Workforce Development'!C53+'Communications &amp; Disseminations'!C53+'Evaluation and Assessment '!C53+'Sustainability Plan'!C53+'Management '!C53)</f>
        <v>3500</v>
      </c>
      <c r="D53" s="56">
        <f>SUM('Research Area'!D53+'Research Cyberinfrastructure'!D53+'EA &amp; Seed Funding'!D53+'Partnerships &amp; Collaborations'!D53+'Broadening Participation Divers'!D53+'Education Workforce Development'!D53+'Communications &amp; Disseminations'!D53+'Evaluation and Assessment '!D53+'Sustainability Plan'!D53+'Management '!D53)</f>
        <v>0</v>
      </c>
      <c r="E53" s="56">
        <f t="shared" si="24"/>
        <v>3500</v>
      </c>
      <c r="F53" s="15"/>
      <c r="G53" s="55">
        <f>SUM('Research Area'!G53+'Research Cyberinfrastructure'!G53+'EA &amp; Seed Funding'!G53+'Partnerships &amp; Collaborations'!G53+'Broadening Participation Divers'!G53+'Education Workforce Development'!G53+'Communications &amp; Disseminations'!G53+'Evaluation and Assessment '!G53+'Sustainability Plan'!G53+'Management '!G53)</f>
        <v>13500</v>
      </c>
      <c r="H53" s="56">
        <f>SUM('Research Area'!H53+'Research Cyberinfrastructure'!H53+'EA &amp; Seed Funding'!H53+'Partnerships &amp; Collaborations'!H53+'Broadening Participation Divers'!H53+'Education Workforce Development'!H53+'Communications &amp; Disseminations'!H53+'Evaluation and Assessment '!H53+'Sustainability Plan'!H53+'Management '!H53)</f>
        <v>0</v>
      </c>
      <c r="I53" s="56">
        <f t="shared" si="25"/>
        <v>13500</v>
      </c>
      <c r="J53" s="15"/>
      <c r="K53" s="55">
        <f>SUM('Research Area'!K53+'Research Cyberinfrastructure'!K53+'EA &amp; Seed Funding'!K53+'Partnerships &amp; Collaborations'!K53+'Broadening Participation Divers'!K53+'Education Workforce Development'!K53+'Communications &amp; Disseminations'!K53+'Evaluation and Assessment '!K53+'Sustainability Plan'!K53+'Management '!K53)</f>
        <v>8500</v>
      </c>
      <c r="L53" s="56">
        <f>SUM('Research Area'!L53+'Research Cyberinfrastructure'!L53+'EA &amp; Seed Funding'!L53+'Partnerships &amp; Collaborations'!L53+'Broadening Participation Divers'!L53+'Education Workforce Development'!L53+'Communications &amp; Disseminations'!L53+'Evaluation and Assessment '!L53+'Sustainability Plan'!L53+'Management '!L53)</f>
        <v>0</v>
      </c>
      <c r="M53" s="56">
        <f t="shared" si="26"/>
        <v>8500</v>
      </c>
      <c r="N53" s="15"/>
      <c r="O53" s="55">
        <f>SUM('Research Area'!O53+'Research Cyberinfrastructure'!O53+'EA &amp; Seed Funding'!O53+'Partnerships &amp; Collaborations'!O53+'Broadening Participation Divers'!O53+'Education Workforce Development'!O53+'Communications &amp; Disseminations'!O53+'Evaluation and Assessment '!O53+'Sustainability Plan'!O53+'Management '!O53)</f>
        <v>13500</v>
      </c>
      <c r="P53" s="56">
        <f>SUM('Research Area'!P53+'Research Cyberinfrastructure'!P53+'EA &amp; Seed Funding'!P53+'Partnerships &amp; Collaborations'!P53+'Broadening Participation Divers'!P53+'Education Workforce Development'!P53+'Communications &amp; Disseminations'!P53+'Evaluation and Assessment '!P53+'Sustainability Plan'!P53+'Management '!P53)</f>
        <v>0</v>
      </c>
      <c r="Q53" s="56">
        <f t="shared" si="27"/>
        <v>13500</v>
      </c>
      <c r="R53" s="15"/>
      <c r="S53" s="55">
        <f>SUM('Research Area'!S53+'Research Cyberinfrastructure'!S53+'EA &amp; Seed Funding'!S53+'Partnerships &amp; Collaborations'!S53+'Broadening Participation Divers'!S53+'Education Workforce Development'!S53+'Communications &amp; Disseminations'!S53+'Evaluation and Assessment '!S53+'Sustainability Plan'!S53+'Management '!S53)</f>
        <v>8500</v>
      </c>
      <c r="T53" s="56">
        <f>SUM('Research Area'!T53+'Research Cyberinfrastructure'!T53+'EA &amp; Seed Funding'!T53+'Partnerships &amp; Collaborations'!T53+'Broadening Participation Divers'!T53+'Education Workforce Development'!T53+'Communications &amp; Disseminations'!T53+'Evaluation and Assessment '!T53+'Sustainability Plan'!T53+'Management '!T53)</f>
        <v>0</v>
      </c>
      <c r="U53" s="56">
        <f t="shared" si="28"/>
        <v>8500</v>
      </c>
      <c r="V53" s="16"/>
      <c r="W53" s="55">
        <f>SUM('Research Area'!W53+'Research Cyberinfrastructure'!W53+'EA &amp; Seed Funding'!W53+'Partnerships &amp; Collaborations'!W53+'Broadening Participation Divers'!W53+'Education Workforce Development'!W53+'Communications &amp; Disseminations'!W53+'Evaluation and Assessment '!W53+'Sustainability Plan'!W53+'Management '!W53)</f>
        <v>47500</v>
      </c>
      <c r="X53" s="56">
        <f>SUM('Research Area'!X53+'Research Cyberinfrastructure'!X53+'EA &amp; Seed Funding'!X53+'Partnerships &amp; Collaborations'!X53+'Broadening Participation Divers'!X53+'Education Workforce Development'!X53+'Communications &amp; Disseminations'!X53+'Evaluation and Assessment '!X53+'Sustainability Plan'!X53+'Management '!X53)</f>
        <v>0</v>
      </c>
      <c r="Y53" s="56">
        <f t="shared" si="29"/>
        <v>47500</v>
      </c>
    </row>
    <row r="54" spans="1:25" s="61" customFormat="1" x14ac:dyDescent="0.25">
      <c r="A54" s="52"/>
      <c r="B54" s="52"/>
      <c r="C54" s="124">
        <f>SUM('Research Area'!C54+'Research Cyberinfrastructure'!C54+'EA &amp; Seed Funding'!C54+'Partnerships &amp; Collaborations'!C54+'Broadening Participation Divers'!C54+'Education Workforce Development'!C54+'Communications &amp; Disseminations'!C54+'Evaluation and Assessment '!C54+'Sustainability Plan'!C54+'Management '!C54)</f>
        <v>3200</v>
      </c>
      <c r="D54" s="56">
        <f>SUM('Research Area'!D54+'Research Cyberinfrastructure'!D54+'EA &amp; Seed Funding'!D54+'Partnerships &amp; Collaborations'!D54+'Broadening Participation Divers'!D54+'Education Workforce Development'!D54+'Communications &amp; Disseminations'!D54+'Evaluation and Assessment '!D54+'Sustainability Plan'!D54+'Management '!D54)</f>
        <v>30000</v>
      </c>
      <c r="E54" s="56">
        <f t="shared" si="24"/>
        <v>33200</v>
      </c>
      <c r="F54" s="15"/>
      <c r="G54" s="55">
        <f>SUM('Research Area'!G54+'Research Cyberinfrastructure'!G54+'EA &amp; Seed Funding'!G54+'Partnerships &amp; Collaborations'!G54+'Broadening Participation Divers'!G54+'Education Workforce Development'!G54+'Communications &amp; Disseminations'!G54+'Evaluation and Assessment '!G54+'Sustainability Plan'!G54+'Management '!G54)</f>
        <v>3200</v>
      </c>
      <c r="H54" s="56">
        <f>SUM('Research Area'!H54+'Research Cyberinfrastructure'!H54+'EA &amp; Seed Funding'!H54+'Partnerships &amp; Collaborations'!H54+'Broadening Participation Divers'!H54+'Education Workforce Development'!H54+'Communications &amp; Disseminations'!H54+'Evaluation and Assessment '!H54+'Sustainability Plan'!H54+'Management '!H54)</f>
        <v>0</v>
      </c>
      <c r="I54" s="56">
        <f t="shared" si="25"/>
        <v>3200</v>
      </c>
      <c r="J54" s="15"/>
      <c r="K54" s="55">
        <f>SUM('Research Area'!K54+'Research Cyberinfrastructure'!K54+'EA &amp; Seed Funding'!K54+'Partnerships &amp; Collaborations'!K54+'Broadening Participation Divers'!K54+'Education Workforce Development'!K54+'Communications &amp; Disseminations'!K54+'Evaluation and Assessment '!K54+'Sustainability Plan'!K54+'Management '!K54)</f>
        <v>3200</v>
      </c>
      <c r="L54" s="56">
        <f>SUM('Research Area'!L54+'Research Cyberinfrastructure'!L54+'EA &amp; Seed Funding'!L54+'Partnerships &amp; Collaborations'!L54+'Broadening Participation Divers'!L54+'Education Workforce Development'!L54+'Communications &amp; Disseminations'!L54+'Evaluation and Assessment '!L54+'Sustainability Plan'!L54+'Management '!L54)</f>
        <v>0</v>
      </c>
      <c r="M54" s="56">
        <f t="shared" si="26"/>
        <v>3200</v>
      </c>
      <c r="N54" s="15"/>
      <c r="O54" s="55">
        <f>SUM('Research Area'!O54+'Research Cyberinfrastructure'!O54+'EA &amp; Seed Funding'!O54+'Partnerships &amp; Collaborations'!O54+'Broadening Participation Divers'!O54+'Education Workforce Development'!O54+'Communications &amp; Disseminations'!O54+'Evaluation and Assessment '!O54+'Sustainability Plan'!O54+'Management '!O54)</f>
        <v>3200</v>
      </c>
      <c r="P54" s="56">
        <f>SUM('Research Area'!P54+'Research Cyberinfrastructure'!P54+'EA &amp; Seed Funding'!P54+'Partnerships &amp; Collaborations'!P54+'Broadening Participation Divers'!P54+'Education Workforce Development'!P54+'Communications &amp; Disseminations'!P54+'Evaluation and Assessment '!P54+'Sustainability Plan'!P54+'Management '!P54)</f>
        <v>0</v>
      </c>
      <c r="Q54" s="56">
        <f t="shared" si="27"/>
        <v>3200</v>
      </c>
      <c r="R54" s="15"/>
      <c r="S54" s="55">
        <f>SUM('Research Area'!S54+'Research Cyberinfrastructure'!S54+'EA &amp; Seed Funding'!S54+'Partnerships &amp; Collaborations'!S54+'Broadening Participation Divers'!S54+'Education Workforce Development'!S54+'Communications &amp; Disseminations'!S54+'Evaluation and Assessment '!S54+'Sustainability Plan'!S54+'Management '!S54)</f>
        <v>3200</v>
      </c>
      <c r="T54" s="56">
        <f>SUM('Research Area'!T54+'Research Cyberinfrastructure'!T54+'EA &amp; Seed Funding'!T54+'Partnerships &amp; Collaborations'!T54+'Broadening Participation Divers'!T54+'Education Workforce Development'!T54+'Communications &amp; Disseminations'!T54+'Evaluation and Assessment '!T54+'Sustainability Plan'!T54+'Management '!T54)</f>
        <v>0</v>
      </c>
      <c r="U54" s="56">
        <f t="shared" si="28"/>
        <v>3200</v>
      </c>
      <c r="V54" s="16"/>
      <c r="W54" s="55">
        <f>SUM('Research Area'!W54+'Research Cyberinfrastructure'!W54+'EA &amp; Seed Funding'!W54+'Partnerships &amp; Collaborations'!W54+'Broadening Participation Divers'!W54+'Education Workforce Development'!W54+'Communications &amp; Disseminations'!W54+'Evaluation and Assessment '!W54+'Sustainability Plan'!W54+'Management '!W54)</f>
        <v>16000</v>
      </c>
      <c r="X54" s="56">
        <f>SUM('Research Area'!X54+'Research Cyberinfrastructure'!X54+'EA &amp; Seed Funding'!X54+'Partnerships &amp; Collaborations'!X54+'Broadening Participation Divers'!X54+'Education Workforce Development'!X54+'Communications &amp; Disseminations'!X54+'Evaluation and Assessment '!X54+'Sustainability Plan'!X54+'Management '!X54)</f>
        <v>30000</v>
      </c>
      <c r="Y54" s="56">
        <f t="shared" si="29"/>
        <v>46000</v>
      </c>
    </row>
    <row r="55" spans="1:25" s="61" customFormat="1" x14ac:dyDescent="0.25">
      <c r="A55" s="52"/>
      <c r="B55" s="52"/>
      <c r="C55" s="124">
        <f>SUM('Research Area'!C55+'Research Cyberinfrastructure'!C55+'EA &amp; Seed Funding'!C55+'Partnerships &amp; Collaborations'!C55+'Broadening Participation Divers'!C55+'Education Workforce Development'!C55+'Communications &amp; Disseminations'!C55+'Evaluation and Assessment '!C55+'Sustainability Plan'!C55+'Management '!C55)</f>
        <v>7500</v>
      </c>
      <c r="D55" s="56">
        <f>SUM('Research Area'!D55+'Research Cyberinfrastructure'!D55+'EA &amp; Seed Funding'!D55+'Partnerships &amp; Collaborations'!D55+'Broadening Participation Divers'!D55+'Education Workforce Development'!D55+'Communications &amp; Disseminations'!D55+'Evaluation and Assessment '!D55+'Sustainability Plan'!D55+'Management '!D55)</f>
        <v>0</v>
      </c>
      <c r="E55" s="56">
        <f t="shared" si="24"/>
        <v>7500</v>
      </c>
      <c r="F55" s="15"/>
      <c r="G55" s="55">
        <f>SUM('Research Area'!G55+'Research Cyberinfrastructure'!G55+'EA &amp; Seed Funding'!G55+'Partnerships &amp; Collaborations'!G55+'Broadening Participation Divers'!G55+'Education Workforce Development'!G55+'Communications &amp; Disseminations'!G55+'Evaluation and Assessment '!G55+'Sustainability Plan'!G55+'Management '!G55)</f>
        <v>9500</v>
      </c>
      <c r="H55" s="56">
        <f>SUM('Research Area'!H55+'Research Cyberinfrastructure'!H55+'EA &amp; Seed Funding'!H55+'Partnerships &amp; Collaborations'!H55+'Broadening Participation Divers'!H55+'Education Workforce Development'!H55+'Communications &amp; Disseminations'!H55+'Evaluation and Assessment '!H55+'Sustainability Plan'!H55+'Management '!H55)</f>
        <v>0</v>
      </c>
      <c r="I55" s="56">
        <f t="shared" si="25"/>
        <v>9500</v>
      </c>
      <c r="J55" s="15"/>
      <c r="K55" s="55">
        <f>SUM('Research Area'!K55+'Research Cyberinfrastructure'!K55+'EA &amp; Seed Funding'!K55+'Partnerships &amp; Collaborations'!K55+'Broadening Participation Divers'!K55+'Education Workforce Development'!K55+'Communications &amp; Disseminations'!K55+'Evaluation and Assessment '!K55+'Sustainability Plan'!K55+'Management '!K55)</f>
        <v>0</v>
      </c>
      <c r="L55" s="56">
        <f>SUM('Research Area'!L55+'Research Cyberinfrastructure'!L55+'EA &amp; Seed Funding'!L55+'Partnerships &amp; Collaborations'!L55+'Broadening Participation Divers'!L55+'Education Workforce Development'!L55+'Communications &amp; Disseminations'!L55+'Evaluation and Assessment '!L55+'Sustainability Plan'!L55+'Management '!L55)</f>
        <v>0</v>
      </c>
      <c r="M55" s="56">
        <f t="shared" si="26"/>
        <v>0</v>
      </c>
      <c r="N55" s="15"/>
      <c r="O55" s="55">
        <f>SUM('Research Area'!O55+'Research Cyberinfrastructure'!O55+'EA &amp; Seed Funding'!O55+'Partnerships &amp; Collaborations'!O55+'Broadening Participation Divers'!O55+'Education Workforce Development'!O55+'Communications &amp; Disseminations'!O55+'Evaluation and Assessment '!O55+'Sustainability Plan'!O55+'Management '!O55)</f>
        <v>8000</v>
      </c>
      <c r="P55" s="56">
        <f>SUM('Research Area'!P55+'Research Cyberinfrastructure'!P55+'EA &amp; Seed Funding'!P55+'Partnerships &amp; Collaborations'!P55+'Broadening Participation Divers'!P55+'Education Workforce Development'!P55+'Communications &amp; Disseminations'!P55+'Evaluation and Assessment '!P55+'Sustainability Plan'!P55+'Management '!P55)</f>
        <v>0</v>
      </c>
      <c r="Q55" s="56">
        <f t="shared" si="27"/>
        <v>8000</v>
      </c>
      <c r="R55" s="15"/>
      <c r="S55" s="55">
        <f>SUM('Research Area'!S55+'Research Cyberinfrastructure'!S55+'EA &amp; Seed Funding'!S55+'Partnerships &amp; Collaborations'!S55+'Broadening Participation Divers'!S55+'Education Workforce Development'!S55+'Communications &amp; Disseminations'!S55+'Evaluation and Assessment '!S55+'Sustainability Plan'!S55+'Management '!S55)</f>
        <v>0</v>
      </c>
      <c r="T55" s="56">
        <f>SUM('Research Area'!T55+'Research Cyberinfrastructure'!T55+'EA &amp; Seed Funding'!T55+'Partnerships &amp; Collaborations'!T55+'Broadening Participation Divers'!T55+'Education Workforce Development'!T55+'Communications &amp; Disseminations'!T55+'Evaluation and Assessment '!T55+'Sustainability Plan'!T55+'Management '!T55)</f>
        <v>0</v>
      </c>
      <c r="U55" s="56">
        <f t="shared" si="28"/>
        <v>0</v>
      </c>
      <c r="V55" s="16"/>
      <c r="W55" s="55">
        <f>SUM('Research Area'!W55+'Research Cyberinfrastructure'!W55+'EA &amp; Seed Funding'!W55+'Partnerships &amp; Collaborations'!W55+'Broadening Participation Divers'!W55+'Education Workforce Development'!W55+'Communications &amp; Disseminations'!W55+'Evaluation and Assessment '!W55+'Sustainability Plan'!W55+'Management '!W55)</f>
        <v>25000</v>
      </c>
      <c r="X55" s="56">
        <f>SUM('Research Area'!X55+'Research Cyberinfrastructure'!X55+'EA &amp; Seed Funding'!X55+'Partnerships &amp; Collaborations'!X55+'Broadening Participation Divers'!X55+'Education Workforce Development'!X55+'Communications &amp; Disseminations'!X55+'Evaluation and Assessment '!X55+'Sustainability Plan'!X55+'Management '!X55)</f>
        <v>0</v>
      </c>
      <c r="Y55" s="56">
        <f t="shared" si="29"/>
        <v>25000</v>
      </c>
    </row>
    <row r="56" spans="1:25" s="61" customFormat="1" x14ac:dyDescent="0.25">
      <c r="A56" s="52"/>
      <c r="B56" s="52"/>
      <c r="C56" s="124">
        <f>SUM('Research Area'!C56+'Research Cyberinfrastructure'!C56+'EA &amp; Seed Funding'!C56+'Partnerships &amp; Collaborations'!C56+'Broadening Participation Divers'!C56+'Education Workforce Development'!C56+'Communications &amp; Disseminations'!C56+'Evaluation and Assessment '!C56+'Sustainability Plan'!C56+'Management '!C56)</f>
        <v>4000</v>
      </c>
      <c r="D56" s="56">
        <f>SUM('Research Area'!D56+'Research Cyberinfrastructure'!D56+'EA &amp; Seed Funding'!D56+'Partnerships &amp; Collaborations'!D56+'Broadening Participation Divers'!D56+'Education Workforce Development'!D56+'Communications &amp; Disseminations'!D56+'Evaluation and Assessment '!D56+'Sustainability Plan'!D56+'Management '!D56)</f>
        <v>0</v>
      </c>
      <c r="E56" s="56">
        <f t="shared" si="24"/>
        <v>4000</v>
      </c>
      <c r="F56" s="15"/>
      <c r="G56" s="55">
        <f>SUM('Research Area'!G56+'Research Cyberinfrastructure'!G56+'EA &amp; Seed Funding'!G56+'Partnerships &amp; Collaborations'!G56+'Broadening Participation Divers'!G56+'Education Workforce Development'!G56+'Communications &amp; Disseminations'!G56+'Evaluation and Assessment '!G56+'Sustainability Plan'!G56+'Management '!G56)</f>
        <v>0</v>
      </c>
      <c r="H56" s="56">
        <f>SUM('Research Area'!H56+'Research Cyberinfrastructure'!H56+'EA &amp; Seed Funding'!H56+'Partnerships &amp; Collaborations'!H56+'Broadening Participation Divers'!H56+'Education Workforce Development'!H56+'Communications &amp; Disseminations'!H56+'Evaluation and Assessment '!H56+'Sustainability Plan'!H56+'Management '!H56)</f>
        <v>0</v>
      </c>
      <c r="I56" s="56">
        <f t="shared" si="25"/>
        <v>0</v>
      </c>
      <c r="J56" s="15"/>
      <c r="K56" s="55">
        <f>SUM('Research Area'!K56+'Research Cyberinfrastructure'!K56+'EA &amp; Seed Funding'!K56+'Partnerships &amp; Collaborations'!K56+'Broadening Participation Divers'!K56+'Education Workforce Development'!K56+'Communications &amp; Disseminations'!K56+'Evaluation and Assessment '!K56+'Sustainability Plan'!K56+'Management '!K56)</f>
        <v>4000</v>
      </c>
      <c r="L56" s="56">
        <f>SUM('Research Area'!L56+'Research Cyberinfrastructure'!L56+'EA &amp; Seed Funding'!L56+'Partnerships &amp; Collaborations'!L56+'Broadening Participation Divers'!L56+'Education Workforce Development'!L56+'Communications &amp; Disseminations'!L56+'Evaluation and Assessment '!L56+'Sustainability Plan'!L56+'Management '!L56)</f>
        <v>0</v>
      </c>
      <c r="M56" s="56">
        <f t="shared" si="26"/>
        <v>4000</v>
      </c>
      <c r="N56" s="15"/>
      <c r="O56" s="55">
        <f>SUM('Research Area'!O56+'Research Cyberinfrastructure'!O56+'EA &amp; Seed Funding'!O56+'Partnerships &amp; Collaborations'!O56+'Broadening Participation Divers'!O56+'Education Workforce Development'!O56+'Communications &amp; Disseminations'!O56+'Evaluation and Assessment '!O56+'Sustainability Plan'!O56+'Management '!O56)</f>
        <v>0</v>
      </c>
      <c r="P56" s="56">
        <f>SUM('Research Area'!P56+'Research Cyberinfrastructure'!P56+'EA &amp; Seed Funding'!P56+'Partnerships &amp; Collaborations'!P56+'Broadening Participation Divers'!P56+'Education Workforce Development'!P56+'Communications &amp; Disseminations'!P56+'Evaluation and Assessment '!P56+'Sustainability Plan'!P56+'Management '!P56)</f>
        <v>0</v>
      </c>
      <c r="Q56" s="56">
        <f t="shared" si="27"/>
        <v>0</v>
      </c>
      <c r="R56" s="15"/>
      <c r="S56" s="55">
        <f>SUM('Research Area'!S56+'Research Cyberinfrastructure'!S56+'EA &amp; Seed Funding'!S56+'Partnerships &amp; Collaborations'!S56+'Broadening Participation Divers'!S56+'Education Workforce Development'!S56+'Communications &amp; Disseminations'!S56+'Evaluation and Assessment '!S56+'Sustainability Plan'!S56+'Management '!S56)</f>
        <v>0</v>
      </c>
      <c r="T56" s="56">
        <f>SUM('Research Area'!T56+'Research Cyberinfrastructure'!T56+'EA &amp; Seed Funding'!T56+'Partnerships &amp; Collaborations'!T56+'Broadening Participation Divers'!T56+'Education Workforce Development'!T56+'Communications &amp; Disseminations'!T56+'Evaluation and Assessment '!T56+'Sustainability Plan'!T56+'Management '!T56)</f>
        <v>0</v>
      </c>
      <c r="U56" s="56">
        <f t="shared" si="28"/>
        <v>0</v>
      </c>
      <c r="V56" s="16"/>
      <c r="W56" s="55">
        <f>SUM('Research Area'!W56+'Research Cyberinfrastructure'!W56+'EA &amp; Seed Funding'!W56+'Partnerships &amp; Collaborations'!W56+'Broadening Participation Divers'!W56+'Education Workforce Development'!W56+'Communications &amp; Disseminations'!W56+'Evaluation and Assessment '!W56+'Sustainability Plan'!W56+'Management '!W56)</f>
        <v>8000</v>
      </c>
      <c r="X56" s="56">
        <f>SUM('Research Area'!X56+'Research Cyberinfrastructure'!X56+'EA &amp; Seed Funding'!X56+'Partnerships &amp; Collaborations'!X56+'Broadening Participation Divers'!X56+'Education Workforce Development'!X56+'Communications &amp; Disseminations'!X56+'Evaluation and Assessment '!X56+'Sustainability Plan'!X56+'Management '!X56)</f>
        <v>0</v>
      </c>
      <c r="Y56" s="56">
        <f t="shared" si="29"/>
        <v>8000</v>
      </c>
    </row>
    <row r="57" spans="1:25" s="83" customFormat="1" x14ac:dyDescent="0.25">
      <c r="A57" s="78"/>
      <c r="B57" s="78" t="s">
        <v>9</v>
      </c>
      <c r="C57" s="232">
        <f>SUM(C51:C56)</f>
        <v>36000</v>
      </c>
      <c r="D57" s="130">
        <f>SUM(D51:D56)</f>
        <v>62300</v>
      </c>
      <c r="E57" s="130">
        <f>SUM(E51:E56)</f>
        <v>98300</v>
      </c>
      <c r="F57" s="81"/>
      <c r="G57" s="126">
        <f>SUM(G51:G56)</f>
        <v>45000</v>
      </c>
      <c r="H57" s="130">
        <f>SUM(H51:H56)</f>
        <v>25300</v>
      </c>
      <c r="I57" s="130">
        <f>SUM(I51:I56)</f>
        <v>70300</v>
      </c>
      <c r="J57" s="81"/>
      <c r="K57" s="126">
        <f>SUM(K51:K56)</f>
        <v>34500</v>
      </c>
      <c r="L57" s="130">
        <f>SUM(L51:L56)</f>
        <v>25300</v>
      </c>
      <c r="M57" s="130">
        <f>SUM(M51:M56)</f>
        <v>59800</v>
      </c>
      <c r="N57" s="81"/>
      <c r="O57" s="126">
        <f>SUM(O51:O56)</f>
        <v>43500</v>
      </c>
      <c r="P57" s="130">
        <f>SUM(P51:P56)</f>
        <v>25300</v>
      </c>
      <c r="Q57" s="130">
        <f>SUM(Q51:Q56)</f>
        <v>68800</v>
      </c>
      <c r="R57" s="81"/>
      <c r="S57" s="126">
        <f>SUM(S51:S56)</f>
        <v>30500</v>
      </c>
      <c r="T57" s="130">
        <f>SUM(T51:T56)</f>
        <v>22062</v>
      </c>
      <c r="U57" s="130">
        <f>SUM(U51:U56)</f>
        <v>52562</v>
      </c>
      <c r="V57" s="82"/>
      <c r="W57" s="126">
        <f>SUM(W51:W56)</f>
        <v>189500</v>
      </c>
      <c r="X57" s="130">
        <f>SUM(X51:X56)</f>
        <v>160262</v>
      </c>
      <c r="Y57" s="130">
        <f>SUM(Y51:Y56)</f>
        <v>349762</v>
      </c>
    </row>
    <row r="58" spans="1:25" s="77" customFormat="1" x14ac:dyDescent="0.25">
      <c r="A58" s="74" t="s">
        <v>14</v>
      </c>
      <c r="B58" s="74"/>
      <c r="C58" s="212"/>
      <c r="D58" s="212"/>
      <c r="E58" s="212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9"/>
      <c r="W58" s="58"/>
      <c r="X58" s="58"/>
      <c r="Y58" s="58"/>
    </row>
    <row r="59" spans="1:25" x14ac:dyDescent="0.25">
      <c r="A59" s="53"/>
      <c r="B59" s="52"/>
      <c r="C59" s="124">
        <f>SUM('Research Area'!C59+'Research Cyberinfrastructure'!C59+'EA &amp; Seed Funding'!C59+'Partnerships &amp; Collaborations'!C59+'Broadening Participation Divers'!C59+'Education Workforce Development'!C59+'Communications &amp; Disseminations'!C59+'Evaluation and Assessment '!C59+'Sustainability Plan'!C59+'Management '!C59)</f>
        <v>0</v>
      </c>
      <c r="D59" s="56">
        <f>SUM('Research Area'!D59+'Research Cyberinfrastructure'!D59+'EA &amp; Seed Funding'!D59+'Partnerships &amp; Collaborations'!D59+'Broadening Participation Divers'!D59+'Education Workforce Development'!D59+'Communications &amp; Disseminations'!D59+'Evaluation and Assessment '!D59+'Sustainability Plan'!D59+'Management '!D59)</f>
        <v>0</v>
      </c>
      <c r="E59" s="56">
        <f>SUM(C59:D59)</f>
        <v>0</v>
      </c>
      <c r="F59" s="15"/>
      <c r="G59" s="55">
        <f>SUM('Research Area'!G59+'Research Cyberinfrastructure'!G59+'EA &amp; Seed Funding'!G59+'Partnerships &amp; Collaborations'!G59+'Broadening Participation Divers'!G59+'Education Workforce Development'!G59+'Communications &amp; Disseminations'!G59+'Evaluation and Assessment '!G59+'Sustainability Plan'!G59+'Management '!G59)</f>
        <v>83454.585000000006</v>
      </c>
      <c r="H59" s="56">
        <f>SUM('Research Area'!H59+'Research Cyberinfrastructure'!H59+'EA &amp; Seed Funding'!H59+'Partnerships &amp; Collaborations'!H59+'Broadening Participation Divers'!H59+'Education Workforce Development'!H59+'Communications &amp; Disseminations'!H59+'Evaluation and Assessment '!H59+'Sustainability Plan'!H59+'Management '!H59)</f>
        <v>0</v>
      </c>
      <c r="I59" s="56">
        <f>SUM(G59:H59)</f>
        <v>83454.585000000006</v>
      </c>
      <c r="J59" s="15"/>
      <c r="K59" s="55">
        <f>SUM('Research Area'!K59+'Research Cyberinfrastructure'!K59+'EA &amp; Seed Funding'!K59+'Partnerships &amp; Collaborations'!K59+'Broadening Participation Divers'!K59+'Education Workforce Development'!K59+'Communications &amp; Disseminations'!K59+'Evaluation and Assessment '!K59+'Sustainability Plan'!K59+'Management '!K59)</f>
        <v>84627.314249999996</v>
      </c>
      <c r="L59" s="56">
        <f>SUM('Research Area'!L59+'Research Cyberinfrastructure'!L59+'EA &amp; Seed Funding'!L59+'Partnerships &amp; Collaborations'!L59+'Broadening Participation Divers'!L59+'Education Workforce Development'!L59+'Communications &amp; Disseminations'!L59+'Evaluation and Assessment '!L59+'Sustainability Plan'!L59+'Management '!L59)</f>
        <v>0</v>
      </c>
      <c r="M59" s="56">
        <f>SUM(K59:L59)</f>
        <v>84627.314249999996</v>
      </c>
      <c r="N59" s="15"/>
      <c r="O59" s="55">
        <f>SUM('Research Area'!O59+'Research Cyberinfrastructure'!O59+'EA &amp; Seed Funding'!O59+'Partnerships &amp; Collaborations'!O59+'Broadening Participation Divers'!O59+'Education Workforce Development'!O59+'Communications &amp; Disseminations'!O59+'Evaluation and Assessment '!O59+'Sustainability Plan'!O59+'Management '!O59)</f>
        <v>85858.679962499999</v>
      </c>
      <c r="P59" s="56">
        <f>SUM('Research Area'!P59+'Research Cyberinfrastructure'!P59+'EA &amp; Seed Funding'!P59+'Partnerships &amp; Collaborations'!P59+'Broadening Participation Divers'!P59+'Education Workforce Development'!P59+'Communications &amp; Disseminations'!P59+'Evaluation and Assessment '!P59+'Sustainability Plan'!P59+'Management '!P59)</f>
        <v>0</v>
      </c>
      <c r="Q59" s="56">
        <f>SUM(O59:P59)</f>
        <v>85858.679962499999</v>
      </c>
      <c r="R59" s="15"/>
      <c r="S59" s="55">
        <f>SUM('Research Area'!S59+'Research Cyberinfrastructure'!S59+'EA &amp; Seed Funding'!S59+'Partnerships &amp; Collaborations'!S59+'Broadening Participation Divers'!S59+'Education Workforce Development'!S59+'Communications &amp; Disseminations'!S59+'Evaluation and Assessment '!S59+'Sustainability Plan'!S59+'Management '!S59)</f>
        <v>87151.613960625007</v>
      </c>
      <c r="T59" s="56">
        <f>SUM('Research Area'!T59+'Research Cyberinfrastructure'!T59+'EA &amp; Seed Funding'!T59+'Partnerships &amp; Collaborations'!T59+'Broadening Participation Divers'!T59+'Education Workforce Development'!T59+'Communications &amp; Disseminations'!T59+'Evaluation and Assessment '!T59+'Sustainability Plan'!T59+'Management '!T59)</f>
        <v>0</v>
      </c>
      <c r="U59" s="56">
        <f>SUM(S59:T59)</f>
        <v>87151.613960625007</v>
      </c>
      <c r="V59" s="16"/>
      <c r="W59" s="55">
        <f>SUM('Research Area'!W59+'Research Cyberinfrastructure'!W59+'EA &amp; Seed Funding'!W59+'Partnerships &amp; Collaborations'!W59+'Broadening Participation Divers'!W59+'Education Workforce Development'!W59+'Communications &amp; Disseminations'!W59+'Evaluation and Assessment '!W59+'Sustainability Plan'!W59+'Management '!W59)</f>
        <v>341092.19317312504</v>
      </c>
      <c r="X59" s="56">
        <f>SUM('Research Area'!X59+'Research Cyberinfrastructure'!X59+'EA &amp; Seed Funding'!X59+'Partnerships &amp; Collaborations'!X59+'Broadening Participation Divers'!X59+'Education Workforce Development'!X59+'Communications &amp; Disseminations'!X59+'Evaluation and Assessment '!X59+'Sustainability Plan'!X59+'Management '!X59)</f>
        <v>0</v>
      </c>
      <c r="Y59" s="56">
        <f>SUM(W59:X59)</f>
        <v>341092.19317312504</v>
      </c>
    </row>
    <row r="60" spans="1:25" s="61" customFormat="1" x14ac:dyDescent="0.25">
      <c r="A60" s="52"/>
      <c r="B60" s="52"/>
      <c r="C60" s="124">
        <f>SUM('Research Area'!C60+'Research Cyberinfrastructure'!C60+'EA &amp; Seed Funding'!C60+'Partnerships &amp; Collaborations'!C60+'Broadening Participation Divers'!C60+'Education Workforce Development'!C60+'Communications &amp; Disseminations'!C60+'Evaluation and Assessment '!C60+'Sustainability Plan'!C60+'Management '!C60)</f>
        <v>0</v>
      </c>
      <c r="D60" s="56">
        <f>SUM('Research Area'!D60+'Research Cyberinfrastructure'!D60+'EA &amp; Seed Funding'!D60+'Partnerships &amp; Collaborations'!D60+'Broadening Participation Divers'!D60+'Education Workforce Development'!D60+'Communications &amp; Disseminations'!D60+'Evaluation and Assessment '!D60+'Sustainability Plan'!D60+'Management '!D60)</f>
        <v>0</v>
      </c>
      <c r="E60" s="56">
        <f t="shared" ref="E60:E62" si="30">SUM(C60:D60)</f>
        <v>0</v>
      </c>
      <c r="F60" s="15"/>
      <c r="G60" s="55">
        <f>SUM('Research Area'!G60+'Research Cyberinfrastructure'!G60+'EA &amp; Seed Funding'!G60+'Partnerships &amp; Collaborations'!G60+'Broadening Participation Divers'!G60+'Education Workforce Development'!G60+'Communications &amp; Disseminations'!G60+'Evaluation and Assessment '!G60+'Sustainability Plan'!G60+'Management '!G60)</f>
        <v>20000</v>
      </c>
      <c r="H60" s="56">
        <f>SUM('Research Area'!H60+'Research Cyberinfrastructure'!H60+'EA &amp; Seed Funding'!H60+'Partnerships &amp; Collaborations'!H60+'Broadening Participation Divers'!H60+'Education Workforce Development'!H60+'Communications &amp; Disseminations'!H60+'Evaluation and Assessment '!H60+'Sustainability Plan'!H60+'Management '!H60)</f>
        <v>0</v>
      </c>
      <c r="I60" s="56">
        <f t="shared" ref="I60:I62" si="31">SUM(G60:H60)</f>
        <v>20000</v>
      </c>
      <c r="J60" s="15"/>
      <c r="K60" s="55">
        <f>SUM('Research Area'!K60+'Research Cyberinfrastructure'!K60+'EA &amp; Seed Funding'!K60+'Partnerships &amp; Collaborations'!K60+'Broadening Participation Divers'!K60+'Education Workforce Development'!K60+'Communications &amp; Disseminations'!K60+'Evaluation and Assessment '!K60+'Sustainability Plan'!K60+'Management '!K60)</f>
        <v>20000</v>
      </c>
      <c r="L60" s="56">
        <f>SUM('Research Area'!L60+'Research Cyberinfrastructure'!L60+'EA &amp; Seed Funding'!L60+'Partnerships &amp; Collaborations'!L60+'Broadening Participation Divers'!L60+'Education Workforce Development'!L60+'Communications &amp; Disseminations'!L60+'Evaluation and Assessment '!L60+'Sustainability Plan'!L60+'Management '!L60)</f>
        <v>0</v>
      </c>
      <c r="M60" s="56">
        <f t="shared" ref="M60:M62" si="32">SUM(K60:L60)</f>
        <v>20000</v>
      </c>
      <c r="N60" s="15"/>
      <c r="O60" s="55">
        <f>SUM('Research Area'!O60+'Research Cyberinfrastructure'!O60+'EA &amp; Seed Funding'!O60+'Partnerships &amp; Collaborations'!O60+'Broadening Participation Divers'!O60+'Education Workforce Development'!O60+'Communications &amp; Disseminations'!O60+'Evaluation and Assessment '!O60+'Sustainability Plan'!O60+'Management '!O60)</f>
        <v>20000</v>
      </c>
      <c r="P60" s="56">
        <f>SUM('Research Area'!P60+'Research Cyberinfrastructure'!P60+'EA &amp; Seed Funding'!P60+'Partnerships &amp; Collaborations'!P60+'Broadening Participation Divers'!P60+'Education Workforce Development'!P60+'Communications &amp; Disseminations'!P60+'Evaluation and Assessment '!P60+'Sustainability Plan'!P60+'Management '!P60)</f>
        <v>0</v>
      </c>
      <c r="Q60" s="56">
        <f t="shared" ref="Q60:Q62" si="33">SUM(O60:P60)</f>
        <v>20000</v>
      </c>
      <c r="R60" s="15"/>
      <c r="S60" s="55">
        <f>SUM('Research Area'!S60+'Research Cyberinfrastructure'!S60+'EA &amp; Seed Funding'!S60+'Partnerships &amp; Collaborations'!S60+'Broadening Participation Divers'!S60+'Education Workforce Development'!S60+'Communications &amp; Disseminations'!S60+'Evaluation and Assessment '!S60+'Sustainability Plan'!S60+'Management '!S60)</f>
        <v>20000</v>
      </c>
      <c r="T60" s="56">
        <f>SUM('Research Area'!T60+'Research Cyberinfrastructure'!T60+'EA &amp; Seed Funding'!T60+'Partnerships &amp; Collaborations'!T60+'Broadening Participation Divers'!T60+'Education Workforce Development'!T60+'Communications &amp; Disseminations'!T60+'Evaluation and Assessment '!T60+'Sustainability Plan'!T60+'Management '!T60)</f>
        <v>0</v>
      </c>
      <c r="U60" s="56">
        <f t="shared" ref="U60:U62" si="34">SUM(S60:T60)</f>
        <v>20000</v>
      </c>
      <c r="V60" s="16"/>
      <c r="W60" s="55">
        <f>SUM('Research Area'!W60+'Research Cyberinfrastructure'!W60+'EA &amp; Seed Funding'!W60+'Partnerships &amp; Collaborations'!W60+'Broadening Participation Divers'!W60+'Education Workforce Development'!W60+'Communications &amp; Disseminations'!W60+'Evaluation and Assessment '!W60+'Sustainability Plan'!W60+'Management '!W60)</f>
        <v>80000</v>
      </c>
      <c r="X60" s="56">
        <f>SUM('Research Area'!X60+'Research Cyberinfrastructure'!X60+'EA &amp; Seed Funding'!X60+'Partnerships &amp; Collaborations'!X60+'Broadening Participation Divers'!X60+'Education Workforce Development'!X60+'Communications &amp; Disseminations'!X60+'Evaluation and Assessment '!X60+'Sustainability Plan'!X60+'Management '!X60)</f>
        <v>0</v>
      </c>
      <c r="Y60" s="56">
        <f>SUM(W60:X60)</f>
        <v>80000</v>
      </c>
    </row>
    <row r="61" spans="1:25" s="61" customFormat="1" x14ac:dyDescent="0.25">
      <c r="A61" s="52"/>
      <c r="B61" s="52"/>
      <c r="C61" s="124">
        <f>SUM('Research Area'!C61+'Research Cyberinfrastructure'!C61+'EA &amp; Seed Funding'!C61+'Partnerships &amp; Collaborations'!C61+'Broadening Participation Divers'!C61+'Education Workforce Development'!C61+'Communications &amp; Disseminations'!C61+'Evaluation and Assessment '!C61+'Sustainability Plan'!C61+'Management '!C61)</f>
        <v>0</v>
      </c>
      <c r="D61" s="56">
        <f>SUM('Research Area'!D61+'Research Cyberinfrastructure'!D61+'EA &amp; Seed Funding'!D61+'Partnerships &amp; Collaborations'!D61+'Broadening Participation Divers'!D61+'Education Workforce Development'!D61+'Communications &amp; Disseminations'!D61+'Evaluation and Assessment '!D61+'Sustainability Plan'!D61+'Management '!D61)</f>
        <v>0</v>
      </c>
      <c r="E61" s="56">
        <f t="shared" si="30"/>
        <v>0</v>
      </c>
      <c r="F61" s="15"/>
      <c r="G61" s="55">
        <f>SUM('Research Area'!G61+'Research Cyberinfrastructure'!G61+'EA &amp; Seed Funding'!G61+'Partnerships &amp; Collaborations'!G61+'Broadening Participation Divers'!G61+'Education Workforce Development'!G61+'Communications &amp; Disseminations'!G61+'Evaluation and Assessment '!G61+'Sustainability Plan'!G61+'Management '!G61)</f>
        <v>0</v>
      </c>
      <c r="H61" s="56">
        <f>SUM('Research Area'!H61+'Research Cyberinfrastructure'!H61+'EA &amp; Seed Funding'!H61+'Partnerships &amp; Collaborations'!H61+'Broadening Participation Divers'!H61+'Education Workforce Development'!H61+'Communications &amp; Disseminations'!H61+'Evaluation and Assessment '!H61+'Sustainability Plan'!H61+'Management '!H61)</f>
        <v>0</v>
      </c>
      <c r="I61" s="56">
        <f t="shared" si="31"/>
        <v>0</v>
      </c>
      <c r="J61" s="15"/>
      <c r="K61" s="55">
        <f>SUM('Research Area'!K61+'Research Cyberinfrastructure'!K61+'EA &amp; Seed Funding'!K61+'Partnerships &amp; Collaborations'!K61+'Broadening Participation Divers'!K61+'Education Workforce Development'!K61+'Communications &amp; Disseminations'!K61+'Evaluation and Assessment '!K61+'Sustainability Plan'!K61+'Management '!K61)</f>
        <v>0</v>
      </c>
      <c r="L61" s="56">
        <f>SUM('Research Area'!L61+'Research Cyberinfrastructure'!L61+'EA &amp; Seed Funding'!L61+'Partnerships &amp; Collaborations'!L61+'Broadening Participation Divers'!L61+'Education Workforce Development'!L61+'Communications &amp; Disseminations'!L61+'Evaluation and Assessment '!L61+'Sustainability Plan'!L61+'Management '!L61)</f>
        <v>0</v>
      </c>
      <c r="M61" s="56">
        <f t="shared" si="32"/>
        <v>0</v>
      </c>
      <c r="N61" s="15"/>
      <c r="O61" s="55">
        <f>SUM('Research Area'!O61+'Research Cyberinfrastructure'!O61+'EA &amp; Seed Funding'!O61+'Partnerships &amp; Collaborations'!O61+'Broadening Participation Divers'!O61+'Education Workforce Development'!O61+'Communications &amp; Disseminations'!O61+'Evaluation and Assessment '!O61+'Sustainability Plan'!O61+'Management '!O61)</f>
        <v>0</v>
      </c>
      <c r="P61" s="56">
        <f>SUM('Research Area'!P61+'Research Cyberinfrastructure'!P61+'EA &amp; Seed Funding'!P61+'Partnerships &amp; Collaborations'!P61+'Broadening Participation Divers'!P61+'Education Workforce Development'!P61+'Communications &amp; Disseminations'!P61+'Evaluation and Assessment '!P61+'Sustainability Plan'!P61+'Management '!P61)</f>
        <v>0</v>
      </c>
      <c r="Q61" s="56">
        <f t="shared" si="33"/>
        <v>0</v>
      </c>
      <c r="R61" s="15"/>
      <c r="S61" s="55">
        <f>SUM('Research Area'!S61+'Research Cyberinfrastructure'!S61+'EA &amp; Seed Funding'!S61+'Partnerships &amp; Collaborations'!S61+'Broadening Participation Divers'!S61+'Education Workforce Development'!S61+'Communications &amp; Disseminations'!S61+'Evaluation and Assessment '!S61+'Sustainability Plan'!S61+'Management '!S61)</f>
        <v>0</v>
      </c>
      <c r="T61" s="56">
        <f>SUM('Research Area'!T61+'Research Cyberinfrastructure'!T61+'EA &amp; Seed Funding'!T61+'Partnerships &amp; Collaborations'!T61+'Broadening Participation Divers'!T61+'Education Workforce Development'!T61+'Communications &amp; Disseminations'!T61+'Evaluation and Assessment '!T61+'Sustainability Plan'!T61+'Management '!T61)</f>
        <v>0</v>
      </c>
      <c r="U61" s="56">
        <f t="shared" si="34"/>
        <v>0</v>
      </c>
      <c r="V61" s="16"/>
      <c r="W61" s="55">
        <f>SUM('Research Area'!W61+'Research Cyberinfrastructure'!W61+'EA &amp; Seed Funding'!W61+'Partnerships &amp; Collaborations'!W61+'Broadening Participation Divers'!W61+'Education Workforce Development'!W61+'Communications &amp; Disseminations'!W61+'Evaluation and Assessment '!W61+'Sustainability Plan'!W61+'Management '!W61)</f>
        <v>0</v>
      </c>
      <c r="X61" s="56">
        <f>SUM('Research Area'!X61+'Research Cyberinfrastructure'!X61+'EA &amp; Seed Funding'!X61+'Partnerships &amp; Collaborations'!X61+'Broadening Participation Divers'!X61+'Education Workforce Development'!X61+'Communications &amp; Disseminations'!X61+'Evaluation and Assessment '!X61+'Sustainability Plan'!X61+'Management '!X61)</f>
        <v>0</v>
      </c>
      <c r="Y61" s="56">
        <f>SUM(W61:X61)</f>
        <v>0</v>
      </c>
    </row>
    <row r="62" spans="1:25" s="61" customFormat="1" x14ac:dyDescent="0.25">
      <c r="A62" s="52"/>
      <c r="B62" s="52"/>
      <c r="C62" s="124">
        <f>SUM('Research Area'!C62+'Research Cyberinfrastructure'!C62+'EA &amp; Seed Funding'!C62+'Partnerships &amp; Collaborations'!C62+'Broadening Participation Divers'!C62+'Education Workforce Development'!C62+'Communications &amp; Disseminations'!C62+'Evaluation and Assessment '!C62+'Sustainability Plan'!C62+'Management '!C62)</f>
        <v>0</v>
      </c>
      <c r="D62" s="56">
        <f>SUM('Research Area'!D62+'Research Cyberinfrastructure'!D62+'EA &amp; Seed Funding'!D62+'Partnerships &amp; Collaborations'!D62+'Broadening Participation Divers'!D62+'Education Workforce Development'!D62+'Communications &amp; Disseminations'!D62+'Evaluation and Assessment '!D62+'Sustainability Plan'!D62+'Management '!D62)</f>
        <v>0</v>
      </c>
      <c r="E62" s="56">
        <f t="shared" si="30"/>
        <v>0</v>
      </c>
      <c r="F62" s="15"/>
      <c r="G62" s="55">
        <f>SUM('Research Area'!G62+'Research Cyberinfrastructure'!G62+'EA &amp; Seed Funding'!G62+'Partnerships &amp; Collaborations'!G62+'Broadening Participation Divers'!G62+'Education Workforce Development'!G62+'Communications &amp; Disseminations'!G62+'Evaluation and Assessment '!G62+'Sustainability Plan'!G62+'Management '!G62)+0.5</f>
        <v>80584.14</v>
      </c>
      <c r="H62" s="56">
        <f>SUM('Research Area'!H62+'Research Cyberinfrastructure'!H62+'EA &amp; Seed Funding'!H62+'Partnerships &amp; Collaborations'!H62+'Broadening Participation Divers'!H62+'Education Workforce Development'!H62+'Communications &amp; Disseminations'!H62+'Evaluation and Assessment '!H62+'Sustainability Plan'!H62+'Management '!H62)</f>
        <v>0</v>
      </c>
      <c r="I62" s="56">
        <f t="shared" si="31"/>
        <v>80584.14</v>
      </c>
      <c r="J62" s="15"/>
      <c r="K62" s="55">
        <f>SUM('Research Area'!K62+'Research Cyberinfrastructure'!K62+'EA &amp; Seed Funding'!K62+'Partnerships &amp; Collaborations'!K62+'Broadening Participation Divers'!K62+'Education Workforce Development'!K62+'Communications &amp; Disseminations'!K62+'Evaluation and Assessment '!K62+'Sustainability Plan'!K62+'Management '!K62)</f>
        <v>83362.822</v>
      </c>
      <c r="L62" s="56">
        <f>SUM('Research Area'!L62+'Research Cyberinfrastructure'!L62+'EA &amp; Seed Funding'!L62+'Partnerships &amp; Collaborations'!L62+'Broadening Participation Divers'!L62+'Education Workforce Development'!L62+'Communications &amp; Disseminations'!L62+'Evaluation and Assessment '!L62+'Sustainability Plan'!L62+'Management '!L62)</f>
        <v>0</v>
      </c>
      <c r="M62" s="56">
        <f t="shared" si="32"/>
        <v>83362.822</v>
      </c>
      <c r="N62" s="15"/>
      <c r="O62" s="55">
        <f>SUM('Research Area'!O62+'Research Cyberinfrastructure'!O62+'EA &amp; Seed Funding'!O62+'Partnerships &amp; Collaborations'!O62+'Broadening Participation Divers'!O62+'Education Workforce Development'!O62+'Communications &amp; Disseminations'!O62+'Evaluation and Assessment '!O62+'Sustainability Plan'!O62+'Management '!O62)</f>
        <v>86280.963099999994</v>
      </c>
      <c r="P62" s="56">
        <f>SUM('Research Area'!P62+'Research Cyberinfrastructure'!P62+'EA &amp; Seed Funding'!P62+'Partnerships &amp; Collaborations'!P62+'Broadening Participation Divers'!P62+'Education Workforce Development'!P62+'Communications &amp; Disseminations'!P62+'Evaluation and Assessment '!P62+'Sustainability Plan'!P62+'Management '!P62)</f>
        <v>0</v>
      </c>
      <c r="Q62" s="56">
        <f t="shared" si="33"/>
        <v>86280.963099999994</v>
      </c>
      <c r="R62" s="15"/>
      <c r="S62" s="55">
        <f>SUM('Research Area'!S62+'Research Cyberinfrastructure'!S62+'EA &amp; Seed Funding'!S62+'Partnerships &amp; Collaborations'!S62+'Broadening Participation Divers'!S62+'Education Workforce Development'!S62+'Communications &amp; Disseminations'!S62+'Evaluation and Assessment '!S62+'Sustainability Plan'!S62+'Management '!S62)</f>
        <v>89345.011255000005</v>
      </c>
      <c r="T62" s="56">
        <f>SUM('Research Area'!T62+'Research Cyberinfrastructure'!T62+'EA &amp; Seed Funding'!T62+'Partnerships &amp; Collaborations'!T62+'Broadening Participation Divers'!T62+'Education Workforce Development'!T62+'Communications &amp; Disseminations'!T62+'Evaluation and Assessment '!T62+'Sustainability Plan'!T62+'Management '!T62)</f>
        <v>0</v>
      </c>
      <c r="U62" s="56">
        <f t="shared" si="34"/>
        <v>89345.011255000005</v>
      </c>
      <c r="V62" s="16"/>
      <c r="W62" s="55">
        <f>SUM('Research Area'!W62+'Research Cyberinfrastructure'!W62+'EA &amp; Seed Funding'!W62+'Partnerships &amp; Collaborations'!W62+'Broadening Participation Divers'!W62+'Education Workforce Development'!W62+'Communications &amp; Disseminations'!W62+'Evaluation and Assessment '!W62+'Sustainability Plan'!W62+'Management '!W62)</f>
        <v>339572.43635500001</v>
      </c>
      <c r="X62" s="56">
        <f>SUM('Research Area'!X62+'Research Cyberinfrastructure'!X62+'EA &amp; Seed Funding'!X62+'Partnerships &amp; Collaborations'!X62+'Broadening Participation Divers'!X62+'Education Workforce Development'!X62+'Communications &amp; Disseminations'!X62+'Evaluation and Assessment '!X62+'Sustainability Plan'!X62+'Management '!X62)</f>
        <v>0</v>
      </c>
      <c r="Y62" s="56">
        <f>SUM(W62:X62)</f>
        <v>339572.43635500001</v>
      </c>
    </row>
    <row r="63" spans="1:25" s="83" customFormat="1" x14ac:dyDescent="0.25">
      <c r="A63" s="78"/>
      <c r="B63" s="78" t="s">
        <v>9</v>
      </c>
      <c r="C63" s="232">
        <f>SUM(C59:C62)</f>
        <v>0</v>
      </c>
      <c r="D63" s="130">
        <f>SUM(D59:D62)</f>
        <v>0</v>
      </c>
      <c r="E63" s="130">
        <f>SUM(E59:E62)</f>
        <v>0</v>
      </c>
      <c r="F63" s="81"/>
      <c r="G63" s="126">
        <f>SUM(G59:G62)</f>
        <v>184038.72500000001</v>
      </c>
      <c r="H63" s="130">
        <f>SUM(H59:H62)</f>
        <v>0</v>
      </c>
      <c r="I63" s="130">
        <f>SUM(I59:I62)</f>
        <v>184038.72500000001</v>
      </c>
      <c r="J63" s="81"/>
      <c r="K63" s="126">
        <f>SUM(K59:K62)</f>
        <v>187990.13624999998</v>
      </c>
      <c r="L63" s="130">
        <f>SUM(L59:L62)</f>
        <v>0</v>
      </c>
      <c r="M63" s="130">
        <f>SUM(M59:M62)</f>
        <v>187990.13624999998</v>
      </c>
      <c r="N63" s="81"/>
      <c r="O63" s="126">
        <f>SUM(O59:O62)</f>
        <v>192139.64306249999</v>
      </c>
      <c r="P63" s="130">
        <f>SUM(P59:P62)</f>
        <v>0</v>
      </c>
      <c r="Q63" s="130">
        <f>SUM(Q59:Q62)</f>
        <v>192139.64306249999</v>
      </c>
      <c r="R63" s="81"/>
      <c r="S63" s="126">
        <f>SUM(S59:S62)</f>
        <v>196496.62521562501</v>
      </c>
      <c r="T63" s="130">
        <f>SUM(T59:T62)</f>
        <v>0</v>
      </c>
      <c r="U63" s="130">
        <f>SUM(U59:U62)</f>
        <v>196496.62521562501</v>
      </c>
      <c r="V63" s="82"/>
      <c r="W63" s="126">
        <f>SUM(W59:W62)</f>
        <v>760664.62952812505</v>
      </c>
      <c r="X63" s="130">
        <f>SUM(X59:X62)</f>
        <v>0</v>
      </c>
      <c r="Y63" s="130">
        <f>SUM(Y59:Y62)</f>
        <v>760664.62952812505</v>
      </c>
    </row>
    <row r="64" spans="1:25" s="77" customFormat="1" x14ac:dyDescent="0.25">
      <c r="A64" s="74" t="s">
        <v>8</v>
      </c>
      <c r="B64" s="74"/>
      <c r="C64" s="212"/>
      <c r="D64" s="212"/>
      <c r="E64" s="212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9"/>
      <c r="W64" s="58"/>
      <c r="X64" s="58"/>
      <c r="Y64" s="58"/>
    </row>
    <row r="65" spans="1:25" x14ac:dyDescent="0.25">
      <c r="A65" s="53"/>
      <c r="B65" s="52"/>
      <c r="C65" s="124">
        <f>SUM('Research Area'!C65+'Research Cyberinfrastructure'!C65+'EA &amp; Seed Funding'!C65+'Partnerships &amp; Collaborations'!C65+'Broadening Participation Divers'!C65+'Education Workforce Development'!C65+'Communications &amp; Disseminations'!C65+'Evaluation and Assessment '!C65+'Sustainability Plan'!C65+'Management '!C65)</f>
        <v>0</v>
      </c>
      <c r="D65" s="56">
        <f>SUM('Research Area'!D65+'Research Cyberinfrastructure'!D65+'EA &amp; Seed Funding'!D65+'Partnerships &amp; Collaborations'!D65+'Broadening Participation Divers'!D65+'Education Workforce Development'!D65+'Communications &amp; Disseminations'!D65+'Evaluation and Assessment '!D65+'Sustainability Plan'!D65+'Management '!D65)</f>
        <v>0</v>
      </c>
      <c r="E65" s="56">
        <f>SUM(C65:D65)</f>
        <v>0</v>
      </c>
      <c r="F65" s="15"/>
      <c r="G65" s="55">
        <f>SUM('Research Area'!G65+'Research Cyberinfrastructure'!G65+'EA &amp; Seed Funding'!G65+'Partnerships &amp; Collaborations'!G65+'Broadening Participation Divers'!G65+'Education Workforce Development'!G65+'Communications &amp; Disseminations'!G65+'Evaluation and Assessment '!G65+'Sustainability Plan'!G65+'Management '!G65)</f>
        <v>0</v>
      </c>
      <c r="H65" s="56">
        <f>SUM('Research Area'!H65+'Research Cyberinfrastructure'!H65+'EA &amp; Seed Funding'!H65+'Partnerships &amp; Collaborations'!H65+'Broadening Participation Divers'!H65+'Education Workforce Development'!H65+'Communications &amp; Disseminations'!H65+'Evaluation and Assessment '!H65+'Sustainability Plan'!H65+'Management '!H65)</f>
        <v>0</v>
      </c>
      <c r="I65" s="56">
        <f>SUM(G65:H65)</f>
        <v>0</v>
      </c>
      <c r="J65" s="15"/>
      <c r="K65" s="55">
        <f>SUM('Research Area'!K65+'Research Cyberinfrastructure'!K65+'EA &amp; Seed Funding'!K65+'Partnerships &amp; Collaborations'!K65+'Broadening Participation Divers'!K65+'Education Workforce Development'!K65+'Communications &amp; Disseminations'!K65+'Evaluation and Assessment '!K65+'Sustainability Plan'!K65+'Management '!K65)</f>
        <v>0</v>
      </c>
      <c r="L65" s="56">
        <f>SUM('Research Area'!L65+'Research Cyberinfrastructure'!L65+'EA &amp; Seed Funding'!L65+'Partnerships &amp; Collaborations'!L65+'Broadening Participation Divers'!L65+'Education Workforce Development'!L65+'Communications &amp; Disseminations'!L65+'Evaluation and Assessment '!L65+'Sustainability Plan'!L65+'Management '!L65)</f>
        <v>0</v>
      </c>
      <c r="M65" s="56">
        <f>SUM(K65:L65)</f>
        <v>0</v>
      </c>
      <c r="N65" s="15"/>
      <c r="O65" s="55">
        <f>SUM('Research Area'!O65+'Research Cyberinfrastructure'!O65+'EA &amp; Seed Funding'!O65+'Partnerships &amp; Collaborations'!O65+'Broadening Participation Divers'!O65+'Education Workforce Development'!O65+'Communications &amp; Disseminations'!O65+'Evaluation and Assessment '!O65+'Sustainability Plan'!O65+'Management '!O65)</f>
        <v>0</v>
      </c>
      <c r="P65" s="56">
        <f>SUM('Research Area'!P65+'Research Cyberinfrastructure'!P65+'EA &amp; Seed Funding'!P65+'Partnerships &amp; Collaborations'!P65+'Broadening Participation Divers'!P65+'Education Workforce Development'!P65+'Communications &amp; Disseminations'!P65+'Evaluation and Assessment '!P65+'Sustainability Plan'!P65+'Management '!P65)</f>
        <v>0</v>
      </c>
      <c r="Q65" s="56">
        <f>SUM(O65:P65)</f>
        <v>0</v>
      </c>
      <c r="R65" s="15"/>
      <c r="S65" s="55">
        <f>SUM('Research Area'!S65+'Research Cyberinfrastructure'!S65+'EA &amp; Seed Funding'!S65+'Partnerships &amp; Collaborations'!S65+'Broadening Participation Divers'!S65+'Education Workforce Development'!S65+'Communications &amp; Disseminations'!S65+'Evaluation and Assessment '!S65+'Sustainability Plan'!S65+'Management '!S65)</f>
        <v>0</v>
      </c>
      <c r="T65" s="56">
        <f>SUM('Research Area'!T65+'Research Cyberinfrastructure'!T65+'EA &amp; Seed Funding'!T65+'Partnerships &amp; Collaborations'!T65+'Broadening Participation Divers'!T65+'Education Workforce Development'!T65+'Communications &amp; Disseminations'!T65+'Evaluation and Assessment '!T65+'Sustainability Plan'!T65+'Management '!T65)</f>
        <v>0</v>
      </c>
      <c r="U65" s="56">
        <f>SUM(S65:T65)</f>
        <v>0</v>
      </c>
      <c r="V65" s="16"/>
      <c r="W65" s="55">
        <f>SUM('Research Area'!W65+'Research Cyberinfrastructure'!W65+'EA &amp; Seed Funding'!W65+'Partnerships &amp; Collaborations'!W65+'Broadening Participation Divers'!W65+'Education Workforce Development'!W65+'Communications &amp; Disseminations'!W65+'Evaluation and Assessment '!W65+'Sustainability Plan'!W65+'Management '!W65)</f>
        <v>0</v>
      </c>
      <c r="X65" s="56">
        <f>SUM('Research Area'!X65+'Research Cyberinfrastructure'!X65+'EA &amp; Seed Funding'!X65+'Partnerships &amp; Collaborations'!X65+'Broadening Participation Divers'!X65+'Education Workforce Development'!X65+'Communications &amp; Disseminations'!X65+'Evaluation and Assessment '!X65+'Sustainability Plan'!X65+'Management '!X65)</f>
        <v>0</v>
      </c>
      <c r="Y65" s="56">
        <f>SUM(W65:X65)</f>
        <v>0</v>
      </c>
    </row>
    <row r="66" spans="1:25" s="61" customFormat="1" x14ac:dyDescent="0.25">
      <c r="A66" s="52"/>
      <c r="B66" s="52"/>
      <c r="C66" s="124">
        <f>SUM('Research Area'!C66+'Research Cyberinfrastructure'!C66+'EA &amp; Seed Funding'!C66+'Partnerships &amp; Collaborations'!C66+'Broadening Participation Divers'!C66+'Education Workforce Development'!C66+'Communications &amp; Disseminations'!C66+'Evaluation and Assessment '!C66+'Sustainability Plan'!C66+'Management '!C66)</f>
        <v>145617</v>
      </c>
      <c r="D66" s="56">
        <f>SUM('Research Area'!D66+'Research Cyberinfrastructure'!D66+'EA &amp; Seed Funding'!D66+'Partnerships &amp; Collaborations'!D66+'Broadening Participation Divers'!D66+'Education Workforce Development'!D66+'Communications &amp; Disseminations'!D66+'Evaluation and Assessment '!D66+'Sustainability Plan'!D66+'Management '!D66)</f>
        <v>124000</v>
      </c>
      <c r="E66" s="56">
        <f t="shared" ref="E66:E84" si="35">SUM(C66:D66)</f>
        <v>269617</v>
      </c>
      <c r="F66" s="15"/>
      <c r="G66" s="55">
        <f>SUM('Research Area'!G66+'Research Cyberinfrastructure'!G66+'EA &amp; Seed Funding'!G66+'Partnerships &amp; Collaborations'!G66+'Broadening Participation Divers'!G66+'Education Workforce Development'!G66+'Communications &amp; Disseminations'!G66+'Evaluation and Assessment '!G66+'Sustainability Plan'!G66+'Management '!G66)</f>
        <v>243000</v>
      </c>
      <c r="H66" s="56">
        <f>SUM('Research Area'!H66+'Research Cyberinfrastructure'!H66+'EA &amp; Seed Funding'!H66+'Partnerships &amp; Collaborations'!H66+'Broadening Participation Divers'!H66+'Education Workforce Development'!H66+'Communications &amp; Disseminations'!H66+'Evaluation and Assessment '!H66+'Sustainability Plan'!H66+'Management '!H66)</f>
        <v>99000</v>
      </c>
      <c r="I66" s="56">
        <f t="shared" ref="I66:I84" si="36">SUM(G66:H66)</f>
        <v>342000</v>
      </c>
      <c r="J66" s="15"/>
      <c r="K66" s="55">
        <f>SUM('Research Area'!K66+'Research Cyberinfrastructure'!K66+'EA &amp; Seed Funding'!K66+'Partnerships &amp; Collaborations'!K66+'Broadening Participation Divers'!K66+'Education Workforce Development'!K66+'Communications &amp; Disseminations'!K66+'Evaluation and Assessment '!K66+'Sustainability Plan'!K66+'Management '!K66)</f>
        <v>180000</v>
      </c>
      <c r="L66" s="56">
        <f>SUM('Research Area'!L66+'Research Cyberinfrastructure'!L66+'EA &amp; Seed Funding'!L66+'Partnerships &amp; Collaborations'!L66+'Broadening Participation Divers'!L66+'Education Workforce Development'!L66+'Communications &amp; Disseminations'!L66+'Evaluation and Assessment '!L66+'Sustainability Plan'!L66+'Management '!L66)</f>
        <v>99000</v>
      </c>
      <c r="M66" s="56">
        <f t="shared" ref="M66:M84" si="37">SUM(K66:L66)</f>
        <v>279000</v>
      </c>
      <c r="N66" s="15"/>
      <c r="O66" s="55">
        <f>SUM('Research Area'!O66+'Research Cyberinfrastructure'!O66+'EA &amp; Seed Funding'!O66+'Partnerships &amp; Collaborations'!O66+'Broadening Participation Divers'!O66+'Education Workforce Development'!O66+'Communications &amp; Disseminations'!O66+'Evaluation and Assessment '!O66+'Sustainability Plan'!O66+'Management '!O66)</f>
        <v>165000</v>
      </c>
      <c r="P66" s="56">
        <f>SUM('Research Area'!P66+'Research Cyberinfrastructure'!P66+'EA &amp; Seed Funding'!P66+'Partnerships &amp; Collaborations'!P66+'Broadening Participation Divers'!P66+'Education Workforce Development'!P66+'Communications &amp; Disseminations'!P66+'Evaluation and Assessment '!P66+'Sustainability Plan'!P66+'Management '!P66)</f>
        <v>99000</v>
      </c>
      <c r="Q66" s="56">
        <f t="shared" ref="Q66:Q84" si="38">SUM(O66:P66)</f>
        <v>264000</v>
      </c>
      <c r="R66" s="15"/>
      <c r="S66" s="55">
        <f>SUM('Research Area'!S66+'Research Cyberinfrastructure'!S66+'EA &amp; Seed Funding'!S66+'Partnerships &amp; Collaborations'!S66+'Broadening Participation Divers'!S66+'Education Workforce Development'!S66+'Communications &amp; Disseminations'!S66+'Evaluation and Assessment '!S66+'Sustainability Plan'!S66+'Management '!S66)</f>
        <v>110000</v>
      </c>
      <c r="T66" s="56">
        <f>SUM('Research Area'!T66+'Research Cyberinfrastructure'!T66+'EA &amp; Seed Funding'!T66+'Partnerships &amp; Collaborations'!T66+'Broadening Participation Divers'!T66+'Education Workforce Development'!T66+'Communications &amp; Disseminations'!T66+'Evaluation and Assessment '!T66+'Sustainability Plan'!T66+'Management '!T66)</f>
        <v>94000</v>
      </c>
      <c r="U66" s="56">
        <f t="shared" ref="U66:U84" si="39">SUM(S66:T66)</f>
        <v>204000</v>
      </c>
      <c r="V66" s="16"/>
      <c r="W66" s="55">
        <f>SUM('Research Area'!W66+'Research Cyberinfrastructure'!W66+'EA &amp; Seed Funding'!W66+'Partnerships &amp; Collaborations'!W66+'Broadening Participation Divers'!W66+'Education Workforce Development'!W66+'Communications &amp; Disseminations'!W66+'Evaluation and Assessment '!W66+'Sustainability Plan'!W66+'Management '!W66)</f>
        <v>843617</v>
      </c>
      <c r="X66" s="56">
        <f>SUM('Research Area'!X66+'Research Cyberinfrastructure'!X66+'EA &amp; Seed Funding'!X66+'Partnerships &amp; Collaborations'!X66+'Broadening Participation Divers'!X66+'Education Workforce Development'!X66+'Communications &amp; Disseminations'!X66+'Evaluation and Assessment '!X66+'Sustainability Plan'!X66+'Management '!X66)</f>
        <v>515000</v>
      </c>
      <c r="Y66" s="56">
        <f t="shared" ref="Y66:Y84" si="40">SUM(W66:X66)</f>
        <v>1358617</v>
      </c>
    </row>
    <row r="67" spans="1:25" s="61" customFormat="1" x14ac:dyDescent="0.25">
      <c r="A67" s="52"/>
      <c r="B67" s="52"/>
      <c r="C67" s="124">
        <f>SUM('Research Area'!C67+'Research Cyberinfrastructure'!C67+'EA &amp; Seed Funding'!C67+'Partnerships &amp; Collaborations'!C67+'Broadening Participation Divers'!C67+'Education Workforce Development'!C67+'Communications &amp; Disseminations'!C67+'Evaluation and Assessment '!C67+'Sustainability Plan'!C67+'Management '!C67)</f>
        <v>0</v>
      </c>
      <c r="D67" s="56">
        <f>SUM('Research Area'!D67+'Research Cyberinfrastructure'!D67+'EA &amp; Seed Funding'!D67+'Partnerships &amp; Collaborations'!D67+'Broadening Participation Divers'!D67+'Education Workforce Development'!D67+'Communications &amp; Disseminations'!D67+'Evaluation and Assessment '!D67+'Sustainability Plan'!D67+'Management '!D67)</f>
        <v>77000</v>
      </c>
      <c r="E67" s="56">
        <f t="shared" si="35"/>
        <v>77000</v>
      </c>
      <c r="F67" s="15"/>
      <c r="G67" s="55">
        <f>SUM('Research Area'!G67+'Research Cyberinfrastructure'!G67+'EA &amp; Seed Funding'!G67+'Partnerships &amp; Collaborations'!G67+'Broadening Participation Divers'!G67+'Education Workforce Development'!G67+'Communications &amp; Disseminations'!G67+'Evaluation and Assessment '!G67+'Sustainability Plan'!G67+'Management '!G67)</f>
        <v>203000</v>
      </c>
      <c r="H67" s="56">
        <f>SUM('Research Area'!H67+'Research Cyberinfrastructure'!H67+'EA &amp; Seed Funding'!H67+'Partnerships &amp; Collaborations'!H67+'Broadening Participation Divers'!H67+'Education Workforce Development'!H67+'Communications &amp; Disseminations'!H67+'Evaluation and Assessment '!H67+'Sustainability Plan'!H67+'Management '!H67)</f>
        <v>77000</v>
      </c>
      <c r="I67" s="56">
        <f t="shared" si="36"/>
        <v>280000</v>
      </c>
      <c r="J67" s="15"/>
      <c r="K67" s="55">
        <f>SUM('Research Area'!K67+'Research Cyberinfrastructure'!K67+'EA &amp; Seed Funding'!K67+'Partnerships &amp; Collaborations'!K67+'Broadening Participation Divers'!K67+'Education Workforce Development'!K67+'Communications &amp; Disseminations'!K67+'Evaluation and Assessment '!K67+'Sustainability Plan'!K67+'Management '!K67)</f>
        <v>170000</v>
      </c>
      <c r="L67" s="56">
        <f>SUM('Research Area'!L67+'Research Cyberinfrastructure'!L67+'EA &amp; Seed Funding'!L67+'Partnerships &amp; Collaborations'!L67+'Broadening Participation Divers'!L67+'Education Workforce Development'!L67+'Communications &amp; Disseminations'!L67+'Evaluation and Assessment '!L67+'Sustainability Plan'!L67+'Management '!L67)</f>
        <v>17000</v>
      </c>
      <c r="M67" s="56">
        <f t="shared" si="37"/>
        <v>187000</v>
      </c>
      <c r="N67" s="15"/>
      <c r="O67" s="55">
        <f>SUM('Research Area'!O67+'Research Cyberinfrastructure'!O67+'EA &amp; Seed Funding'!O67+'Partnerships &amp; Collaborations'!O67+'Broadening Participation Divers'!O67+'Education Workforce Development'!O67+'Communications &amp; Disseminations'!O67+'Evaluation and Assessment '!O67+'Sustainability Plan'!O67+'Management '!O67)</f>
        <v>165000</v>
      </c>
      <c r="P67" s="56">
        <f>SUM('Research Area'!P67+'Research Cyberinfrastructure'!P67+'EA &amp; Seed Funding'!P67+'Partnerships &amp; Collaborations'!P67+'Broadening Participation Divers'!P67+'Education Workforce Development'!P67+'Communications &amp; Disseminations'!P67+'Evaluation and Assessment '!P67+'Sustainability Plan'!P67+'Management '!P67)</f>
        <v>77000</v>
      </c>
      <c r="Q67" s="56">
        <f t="shared" si="38"/>
        <v>242000</v>
      </c>
      <c r="R67" s="15"/>
      <c r="S67" s="55">
        <f>SUM('Research Area'!S67+'Research Cyberinfrastructure'!S67+'EA &amp; Seed Funding'!S67+'Partnerships &amp; Collaborations'!S67+'Broadening Participation Divers'!S67+'Education Workforce Development'!S67+'Communications &amp; Disseminations'!S67+'Evaluation and Assessment '!S67+'Sustainability Plan'!S67+'Management '!S67)</f>
        <v>0</v>
      </c>
      <c r="T67" s="56">
        <f>SUM('Research Area'!T67+'Research Cyberinfrastructure'!T67+'EA &amp; Seed Funding'!T67+'Partnerships &amp; Collaborations'!T67+'Broadening Participation Divers'!T67+'Education Workforce Development'!T67+'Communications &amp; Disseminations'!T67+'Evaluation and Assessment '!T67+'Sustainability Plan'!T67+'Management '!T67)</f>
        <v>17000</v>
      </c>
      <c r="U67" s="56">
        <f t="shared" si="39"/>
        <v>17000</v>
      </c>
      <c r="V67" s="16"/>
      <c r="W67" s="55">
        <f>SUM('Research Area'!W67+'Research Cyberinfrastructure'!W67+'EA &amp; Seed Funding'!W67+'Partnerships &amp; Collaborations'!W67+'Broadening Participation Divers'!W67+'Education Workforce Development'!W67+'Communications &amp; Disseminations'!W67+'Evaluation and Assessment '!W67+'Sustainability Plan'!W67+'Management '!W67)</f>
        <v>538000</v>
      </c>
      <c r="X67" s="56">
        <f>SUM('Research Area'!X67+'Research Cyberinfrastructure'!X67+'EA &amp; Seed Funding'!X67+'Partnerships &amp; Collaborations'!X67+'Broadening Participation Divers'!X67+'Education Workforce Development'!X67+'Communications &amp; Disseminations'!X67+'Evaluation and Assessment '!X67+'Sustainability Plan'!X67+'Management '!X67)</f>
        <v>265000</v>
      </c>
      <c r="Y67" s="56">
        <f t="shared" si="40"/>
        <v>803000</v>
      </c>
    </row>
    <row r="68" spans="1:25" s="61" customFormat="1" x14ac:dyDescent="0.25">
      <c r="A68" s="52"/>
      <c r="B68" s="52"/>
      <c r="C68" s="124">
        <f>SUM('Research Area'!C68+'Research Cyberinfrastructure'!C68+'EA &amp; Seed Funding'!C68+'Partnerships &amp; Collaborations'!C68+'Broadening Participation Divers'!C68+'Education Workforce Development'!C68+'Communications &amp; Disseminations'!C68+'Evaluation and Assessment '!C68+'Sustainability Plan'!C68+'Management '!C68)</f>
        <v>13600.000000000002</v>
      </c>
      <c r="D68" s="56">
        <f>SUM('Research Area'!D68+'Research Cyberinfrastructure'!D68+'EA &amp; Seed Funding'!D68+'Partnerships &amp; Collaborations'!D68+'Broadening Participation Divers'!D68+'Education Workforce Development'!D68+'Communications &amp; Disseminations'!D68+'Evaluation and Assessment '!D68+'Sustainability Plan'!D68+'Management '!D68)</f>
        <v>5250</v>
      </c>
      <c r="E68" s="56">
        <f t="shared" si="35"/>
        <v>18850</v>
      </c>
      <c r="F68" s="15"/>
      <c r="G68" s="55">
        <f>SUM('Research Area'!G68+'Research Cyberinfrastructure'!G68+'EA &amp; Seed Funding'!G68+'Partnerships &amp; Collaborations'!G68+'Broadening Participation Divers'!G68+'Education Workforce Development'!G68+'Communications &amp; Disseminations'!G68+'Evaluation and Assessment '!G68+'Sustainability Plan'!G68+'Management '!G68)</f>
        <v>47008</v>
      </c>
      <c r="H68" s="56">
        <f>SUM('Research Area'!H68+'Research Cyberinfrastructure'!H68+'EA &amp; Seed Funding'!H68+'Partnerships &amp; Collaborations'!H68+'Broadening Participation Divers'!H68+'Education Workforce Development'!H68+'Communications &amp; Disseminations'!H68+'Evaluation and Assessment '!H68+'Sustainability Plan'!H68+'Management '!H68)</f>
        <v>5250</v>
      </c>
      <c r="I68" s="56">
        <f t="shared" si="36"/>
        <v>52258</v>
      </c>
      <c r="J68" s="15"/>
      <c r="K68" s="55">
        <f>SUM('Research Area'!K68+'Research Cyberinfrastructure'!K68+'EA &amp; Seed Funding'!K68+'Partnerships &amp; Collaborations'!K68+'Broadening Participation Divers'!K68+'Education Workforce Development'!K68+'Communications &amp; Disseminations'!K68+'Evaluation and Assessment '!K68+'Sustainability Plan'!K68+'Management '!K68)</f>
        <v>14428.240000000002</v>
      </c>
      <c r="L68" s="56">
        <f>SUM('Research Area'!L68+'Research Cyberinfrastructure'!L68+'EA &amp; Seed Funding'!L68+'Partnerships &amp; Collaborations'!L68+'Broadening Participation Divers'!L68+'Education Workforce Development'!L68+'Communications &amp; Disseminations'!L68+'Evaluation and Assessment '!L68+'Sustainability Plan'!L68+'Management '!L68)</f>
        <v>5250</v>
      </c>
      <c r="M68" s="56">
        <f t="shared" si="37"/>
        <v>19678.240000000002</v>
      </c>
      <c r="N68" s="15"/>
      <c r="O68" s="55">
        <f>SUM('Research Area'!O68+'Research Cyberinfrastructure'!O68+'EA &amp; Seed Funding'!O68+'Partnerships &amp; Collaborations'!O68+'Broadening Participation Divers'!O68+'Education Workforce Development'!O68+'Communications &amp; Disseminations'!O68+'Evaluation and Assessment '!O68+'Sustainability Plan'!O68+'Management '!O68)</f>
        <v>14861.087200000002</v>
      </c>
      <c r="P68" s="56">
        <f>SUM('Research Area'!P68+'Research Cyberinfrastructure'!P68+'EA &amp; Seed Funding'!P68+'Partnerships &amp; Collaborations'!P68+'Broadening Participation Divers'!P68+'Education Workforce Development'!P68+'Communications &amp; Disseminations'!P68+'Evaluation and Assessment '!P68+'Sustainability Plan'!P68+'Management '!P68)</f>
        <v>5250</v>
      </c>
      <c r="Q68" s="56">
        <f t="shared" si="38"/>
        <v>20111.087200000002</v>
      </c>
      <c r="R68" s="15"/>
      <c r="S68" s="55">
        <f>SUM('Research Area'!S68+'Research Cyberinfrastructure'!S68+'EA &amp; Seed Funding'!S68+'Partnerships &amp; Collaborations'!S68+'Broadening Participation Divers'!S68+'Education Workforce Development'!S68+'Communications &amp; Disseminations'!S68+'Evaluation and Assessment '!S68+'Sustainability Plan'!S68+'Management '!S68)</f>
        <v>0</v>
      </c>
      <c r="T68" s="56">
        <f>SUM('Research Area'!T68+'Research Cyberinfrastructure'!T68+'EA &amp; Seed Funding'!T68+'Partnerships &amp; Collaborations'!T68+'Broadening Participation Divers'!T68+'Education Workforce Development'!T68+'Communications &amp; Disseminations'!T68+'Evaluation and Assessment '!T68+'Sustainability Plan'!T68+'Management '!T68)</f>
        <v>5250</v>
      </c>
      <c r="U68" s="56">
        <f t="shared" si="39"/>
        <v>5250</v>
      </c>
      <c r="V68" s="16"/>
      <c r="W68" s="55">
        <f>SUM('Research Area'!W68+'Research Cyberinfrastructure'!W68+'EA &amp; Seed Funding'!W68+'Partnerships &amp; Collaborations'!W68+'Broadening Participation Divers'!W68+'Education Workforce Development'!W68+'Communications &amp; Disseminations'!W68+'Evaluation and Assessment '!W68+'Sustainability Plan'!W68+'Management '!W68)</f>
        <v>89897.3272</v>
      </c>
      <c r="X68" s="56">
        <f>SUM('Research Area'!X68+'Research Cyberinfrastructure'!X68+'EA &amp; Seed Funding'!X68+'Partnerships &amp; Collaborations'!X68+'Broadening Participation Divers'!X68+'Education Workforce Development'!X68+'Communications &amp; Disseminations'!X68+'Evaluation and Assessment '!X68+'Sustainability Plan'!X68+'Management '!X68)</f>
        <v>26250</v>
      </c>
      <c r="Y68" s="56">
        <f t="shared" si="40"/>
        <v>116147.3272</v>
      </c>
    </row>
    <row r="69" spans="1:25" s="61" customFormat="1" x14ac:dyDescent="0.25">
      <c r="A69" s="52"/>
      <c r="B69" s="52"/>
      <c r="C69" s="124">
        <f>SUM('Research Area'!C69+'Research Cyberinfrastructure'!C69+'EA &amp; Seed Funding'!C69+'Partnerships &amp; Collaborations'!C69+'Broadening Participation Divers'!C69+'Education Workforce Development'!C69+'Communications &amp; Disseminations'!C69+'Evaluation and Assessment '!C69+'Sustainability Plan'!C69+'Management '!C69)</f>
        <v>28800</v>
      </c>
      <c r="D69" s="56">
        <f>SUM('Research Area'!D69+'Research Cyberinfrastructure'!D69+'EA &amp; Seed Funding'!D69+'Partnerships &amp; Collaborations'!D69+'Broadening Participation Divers'!D69+'Education Workforce Development'!D69+'Communications &amp; Disseminations'!D69+'Evaluation and Assessment '!D69+'Sustainability Plan'!D69+'Management '!D69)</f>
        <v>45000</v>
      </c>
      <c r="E69" s="56">
        <f t="shared" si="35"/>
        <v>73800</v>
      </c>
      <c r="F69" s="15"/>
      <c r="G69" s="55">
        <f>SUM('Research Area'!G69+'Research Cyberinfrastructure'!G69+'EA &amp; Seed Funding'!G69+'Partnerships &amp; Collaborations'!G69+'Broadening Participation Divers'!G69+'Education Workforce Development'!G69+'Communications &amp; Disseminations'!G69+'Evaluation and Assessment '!G69+'Sustainability Plan'!G69+'Management '!G69)</f>
        <v>28800</v>
      </c>
      <c r="H69" s="56">
        <f>SUM('Research Area'!H69+'Research Cyberinfrastructure'!H69+'EA &amp; Seed Funding'!H69+'Partnerships &amp; Collaborations'!H69+'Broadening Participation Divers'!H69+'Education Workforce Development'!H69+'Communications &amp; Disseminations'!H69+'Evaluation and Assessment '!H69+'Sustainability Plan'!H69+'Management '!H69)</f>
        <v>45000</v>
      </c>
      <c r="I69" s="56">
        <f t="shared" si="36"/>
        <v>73800</v>
      </c>
      <c r="J69" s="15"/>
      <c r="K69" s="55">
        <f>SUM('Research Area'!K69+'Research Cyberinfrastructure'!K69+'EA &amp; Seed Funding'!K69+'Partnerships &amp; Collaborations'!K69+'Broadening Participation Divers'!K69+'Education Workforce Development'!K69+'Communications &amp; Disseminations'!K69+'Evaluation and Assessment '!K69+'Sustainability Plan'!K69+'Management '!K69)</f>
        <v>68800</v>
      </c>
      <c r="L69" s="56">
        <f>SUM('Research Area'!L69+'Research Cyberinfrastructure'!L69+'EA &amp; Seed Funding'!L69+'Partnerships &amp; Collaborations'!L69+'Broadening Participation Divers'!L69+'Education Workforce Development'!L69+'Communications &amp; Disseminations'!L69+'Evaluation and Assessment '!L69+'Sustainability Plan'!L69+'Management '!L69)</f>
        <v>65000</v>
      </c>
      <c r="M69" s="56">
        <f t="shared" si="37"/>
        <v>133800</v>
      </c>
      <c r="N69" s="15"/>
      <c r="O69" s="55">
        <f>SUM('Research Area'!O69+'Research Cyberinfrastructure'!O69+'EA &amp; Seed Funding'!O69+'Partnerships &amp; Collaborations'!O69+'Broadening Participation Divers'!O69+'Education Workforce Development'!O69+'Communications &amp; Disseminations'!O69+'Evaluation and Assessment '!O69+'Sustainability Plan'!O69+'Management '!O69)</f>
        <v>28800</v>
      </c>
      <c r="P69" s="56">
        <f>SUM('Research Area'!P69+'Research Cyberinfrastructure'!P69+'EA &amp; Seed Funding'!P69+'Partnerships &amp; Collaborations'!P69+'Broadening Participation Divers'!P69+'Education Workforce Development'!P69+'Communications &amp; Disseminations'!P69+'Evaluation and Assessment '!P69+'Sustainability Plan'!P69+'Management '!P69)</f>
        <v>45000</v>
      </c>
      <c r="Q69" s="56">
        <f t="shared" si="38"/>
        <v>73800</v>
      </c>
      <c r="R69" s="15"/>
      <c r="S69" s="55">
        <f>SUM('Research Area'!S69+'Research Cyberinfrastructure'!S69+'EA &amp; Seed Funding'!S69+'Partnerships &amp; Collaborations'!S69+'Broadening Participation Divers'!S69+'Education Workforce Development'!S69+'Communications &amp; Disseminations'!S69+'Evaluation and Assessment '!S69+'Sustainability Plan'!S69+'Management '!S69)</f>
        <v>24000</v>
      </c>
      <c r="T69" s="56">
        <f>SUM('Research Area'!T69+'Research Cyberinfrastructure'!T69+'EA &amp; Seed Funding'!T69+'Partnerships &amp; Collaborations'!T69+'Broadening Participation Divers'!T69+'Education Workforce Development'!T69+'Communications &amp; Disseminations'!T69+'Evaluation and Assessment '!T69+'Sustainability Plan'!T69+'Management '!T69)</f>
        <v>42500</v>
      </c>
      <c r="U69" s="56">
        <f t="shared" si="39"/>
        <v>66500</v>
      </c>
      <c r="V69" s="16"/>
      <c r="W69" s="55">
        <f>SUM('Research Area'!W69+'Research Cyberinfrastructure'!W69+'EA &amp; Seed Funding'!W69+'Partnerships &amp; Collaborations'!W69+'Broadening Participation Divers'!W69+'Education Workforce Development'!W69+'Communications &amp; Disseminations'!W69+'Evaluation and Assessment '!W69+'Sustainability Plan'!W69+'Management '!W69)</f>
        <v>179200</v>
      </c>
      <c r="X69" s="56">
        <f>SUM('Research Area'!X69+'Research Cyberinfrastructure'!X69+'EA &amp; Seed Funding'!X69+'Partnerships &amp; Collaborations'!X69+'Broadening Participation Divers'!X69+'Education Workforce Development'!X69+'Communications &amp; Disseminations'!X69+'Evaluation and Assessment '!X69+'Sustainability Plan'!X69+'Management '!X69)</f>
        <v>242500</v>
      </c>
      <c r="Y69" s="56">
        <f t="shared" si="40"/>
        <v>421700</v>
      </c>
    </row>
    <row r="70" spans="1:25" s="61" customFormat="1" x14ac:dyDescent="0.25">
      <c r="A70" s="52"/>
      <c r="B70" s="52"/>
      <c r="C70" s="124">
        <f>SUM('Research Area'!C70+'Research Cyberinfrastructure'!C70+'EA &amp; Seed Funding'!C70+'Partnerships &amp; Collaborations'!C70+'Broadening Participation Divers'!C70+'Education Workforce Development'!C70+'Communications &amp; Disseminations'!C70+'Evaluation and Assessment '!C70+'Sustainability Plan'!C70+'Management '!C70)</f>
        <v>14000</v>
      </c>
      <c r="D70" s="56">
        <f>SUM('Research Area'!D70+'Research Cyberinfrastructure'!D70+'EA &amp; Seed Funding'!D70+'Partnerships &amp; Collaborations'!D70+'Broadening Participation Divers'!D70+'Education Workforce Development'!D70+'Communications &amp; Disseminations'!D70+'Evaluation and Assessment '!D70+'Sustainability Plan'!D70+'Management '!D70)</f>
        <v>0</v>
      </c>
      <c r="E70" s="56">
        <f t="shared" si="35"/>
        <v>14000</v>
      </c>
      <c r="F70" s="15"/>
      <c r="G70" s="55">
        <f>SUM('Research Area'!G70+'Research Cyberinfrastructure'!G70+'EA &amp; Seed Funding'!G70+'Partnerships &amp; Collaborations'!G70+'Broadening Participation Divers'!G70+'Education Workforce Development'!G70+'Communications &amp; Disseminations'!G70+'Evaluation and Assessment '!G70+'Sustainability Plan'!G70+'Management '!G70)</f>
        <v>19000</v>
      </c>
      <c r="H70" s="56">
        <f>SUM('Research Area'!H70+'Research Cyberinfrastructure'!H70+'EA &amp; Seed Funding'!H70+'Partnerships &amp; Collaborations'!H70+'Broadening Participation Divers'!H70+'Education Workforce Development'!H70+'Communications &amp; Disseminations'!H70+'Evaluation and Assessment '!H70+'Sustainability Plan'!H70+'Management '!H70)</f>
        <v>0</v>
      </c>
      <c r="I70" s="56">
        <f t="shared" si="36"/>
        <v>19000</v>
      </c>
      <c r="J70" s="15"/>
      <c r="K70" s="55">
        <f>SUM('Research Area'!K70+'Research Cyberinfrastructure'!K70+'EA &amp; Seed Funding'!K70+'Partnerships &amp; Collaborations'!K70+'Broadening Participation Divers'!K70+'Education Workforce Development'!K70+'Communications &amp; Disseminations'!K70+'Evaluation and Assessment '!K70+'Sustainability Plan'!K70+'Management '!K70)</f>
        <v>14000</v>
      </c>
      <c r="L70" s="56">
        <f>SUM('Research Area'!L70+'Research Cyberinfrastructure'!L70+'EA &amp; Seed Funding'!L70+'Partnerships &amp; Collaborations'!L70+'Broadening Participation Divers'!L70+'Education Workforce Development'!L70+'Communications &amp; Disseminations'!L70+'Evaluation and Assessment '!L70+'Sustainability Plan'!L70+'Management '!L70)</f>
        <v>0</v>
      </c>
      <c r="M70" s="56">
        <f t="shared" si="37"/>
        <v>14000</v>
      </c>
      <c r="N70" s="15"/>
      <c r="O70" s="55">
        <f>SUM('Research Area'!O70+'Research Cyberinfrastructure'!O70+'EA &amp; Seed Funding'!O70+'Partnerships &amp; Collaborations'!O70+'Broadening Participation Divers'!O70+'Education Workforce Development'!O70+'Communications &amp; Disseminations'!O70+'Evaluation and Assessment '!O70+'Sustainability Plan'!O70+'Management '!O70)</f>
        <v>19000</v>
      </c>
      <c r="P70" s="56">
        <f>SUM('Research Area'!P70+'Research Cyberinfrastructure'!P70+'EA &amp; Seed Funding'!P70+'Partnerships &amp; Collaborations'!P70+'Broadening Participation Divers'!P70+'Education Workforce Development'!P70+'Communications &amp; Disseminations'!P70+'Evaluation and Assessment '!P70+'Sustainability Plan'!P70+'Management '!P70)</f>
        <v>0</v>
      </c>
      <c r="Q70" s="56">
        <f t="shared" si="38"/>
        <v>19000</v>
      </c>
      <c r="R70" s="15"/>
      <c r="S70" s="55">
        <f>SUM('Research Area'!S70+'Research Cyberinfrastructure'!S70+'EA &amp; Seed Funding'!S70+'Partnerships &amp; Collaborations'!S70+'Broadening Participation Divers'!S70+'Education Workforce Development'!S70+'Communications &amp; Disseminations'!S70+'Evaluation and Assessment '!S70+'Sustainability Plan'!S70+'Management '!S70)</f>
        <v>14000</v>
      </c>
      <c r="T70" s="56">
        <f>SUM('Research Area'!T70+'Research Cyberinfrastructure'!T70+'EA &amp; Seed Funding'!T70+'Partnerships &amp; Collaborations'!T70+'Broadening Participation Divers'!T70+'Education Workforce Development'!T70+'Communications &amp; Disseminations'!T70+'Evaluation and Assessment '!T70+'Sustainability Plan'!T70+'Management '!T70)</f>
        <v>0</v>
      </c>
      <c r="U70" s="56">
        <f t="shared" si="39"/>
        <v>14000</v>
      </c>
      <c r="V70" s="16"/>
      <c r="W70" s="55">
        <f>SUM('Research Area'!W70+'Research Cyberinfrastructure'!W70+'EA &amp; Seed Funding'!W70+'Partnerships &amp; Collaborations'!W70+'Broadening Participation Divers'!W70+'Education Workforce Development'!W70+'Communications &amp; Disseminations'!W70+'Evaluation and Assessment '!W70+'Sustainability Plan'!W70+'Management '!W70)</f>
        <v>80000</v>
      </c>
      <c r="X70" s="56">
        <f>SUM('Research Area'!X70+'Research Cyberinfrastructure'!X70+'EA &amp; Seed Funding'!X70+'Partnerships &amp; Collaborations'!X70+'Broadening Participation Divers'!X70+'Education Workforce Development'!X70+'Communications &amp; Disseminations'!X70+'Evaluation and Assessment '!X70+'Sustainability Plan'!X70+'Management '!X70)</f>
        <v>0</v>
      </c>
      <c r="Y70" s="56">
        <f t="shared" si="40"/>
        <v>80000</v>
      </c>
    </row>
    <row r="71" spans="1:25" s="61" customFormat="1" x14ac:dyDescent="0.25">
      <c r="A71" s="52"/>
      <c r="B71" s="52"/>
      <c r="C71" s="124">
        <f>SUM('Research Area'!C71+'Research Cyberinfrastructure'!C71+'EA &amp; Seed Funding'!C71+'Partnerships &amp; Collaborations'!C71+'Broadening Participation Divers'!C71+'Education Workforce Development'!C71+'Communications &amp; Disseminations'!C71+'Evaluation and Assessment '!C71+'Sustainability Plan'!C71+'Management '!C71)</f>
        <v>42000</v>
      </c>
      <c r="D71" s="56">
        <f>SUM('Research Area'!D71+'Research Cyberinfrastructure'!D71+'EA &amp; Seed Funding'!D71+'Partnerships &amp; Collaborations'!D71+'Broadening Participation Divers'!D71+'Education Workforce Development'!D71+'Communications &amp; Disseminations'!D71+'Evaluation and Assessment '!D71+'Sustainability Plan'!D71+'Management '!D71)</f>
        <v>7500</v>
      </c>
      <c r="E71" s="56">
        <f t="shared" si="35"/>
        <v>49500</v>
      </c>
      <c r="F71" s="15"/>
      <c r="G71" s="55">
        <f>SUM('Research Area'!G71+'Research Cyberinfrastructure'!G71+'EA &amp; Seed Funding'!G71+'Partnerships &amp; Collaborations'!G71+'Broadening Participation Divers'!G71+'Education Workforce Development'!G71+'Communications &amp; Disseminations'!G71+'Evaluation and Assessment '!G71+'Sustainability Plan'!G71+'Management '!G71)</f>
        <v>42000</v>
      </c>
      <c r="H71" s="56">
        <f>SUM('Research Area'!H71+'Research Cyberinfrastructure'!H71+'EA &amp; Seed Funding'!H71+'Partnerships &amp; Collaborations'!H71+'Broadening Participation Divers'!H71+'Education Workforce Development'!H71+'Communications &amp; Disseminations'!H71+'Evaluation and Assessment '!H71+'Sustainability Plan'!H71+'Management '!H71)</f>
        <v>27500</v>
      </c>
      <c r="I71" s="56">
        <f t="shared" si="36"/>
        <v>69500</v>
      </c>
      <c r="J71" s="15"/>
      <c r="K71" s="55">
        <f>SUM('Research Area'!K71+'Research Cyberinfrastructure'!K71+'EA &amp; Seed Funding'!K71+'Partnerships &amp; Collaborations'!K71+'Broadening Participation Divers'!K71+'Education Workforce Development'!K71+'Communications &amp; Disseminations'!K71+'Evaluation and Assessment '!K71+'Sustainability Plan'!K71+'Management '!K71)</f>
        <v>62000</v>
      </c>
      <c r="L71" s="56">
        <f>SUM('Research Area'!L71+'Research Cyberinfrastructure'!L71+'EA &amp; Seed Funding'!L71+'Partnerships &amp; Collaborations'!L71+'Broadening Participation Divers'!L71+'Education Workforce Development'!L71+'Communications &amp; Disseminations'!L71+'Evaluation and Assessment '!L71+'Sustainability Plan'!L71+'Management '!L71)</f>
        <v>7500</v>
      </c>
      <c r="M71" s="56">
        <f t="shared" si="37"/>
        <v>69500</v>
      </c>
      <c r="N71" s="15"/>
      <c r="O71" s="55">
        <f>SUM('Research Area'!O71+'Research Cyberinfrastructure'!O71+'EA &amp; Seed Funding'!O71+'Partnerships &amp; Collaborations'!O71+'Broadening Participation Divers'!O71+'Education Workforce Development'!O71+'Communications &amp; Disseminations'!O71+'Evaluation and Assessment '!O71+'Sustainability Plan'!O71+'Management '!O71)</f>
        <v>38000</v>
      </c>
      <c r="P71" s="56">
        <f>SUM('Research Area'!P71+'Research Cyberinfrastructure'!P71+'EA &amp; Seed Funding'!P71+'Partnerships &amp; Collaborations'!P71+'Broadening Participation Divers'!P71+'Education Workforce Development'!P71+'Communications &amp; Disseminations'!P71+'Evaluation and Assessment '!P71+'Sustainability Plan'!P71+'Management '!P71)</f>
        <v>7500</v>
      </c>
      <c r="Q71" s="56">
        <f t="shared" si="38"/>
        <v>45500</v>
      </c>
      <c r="R71" s="15"/>
      <c r="S71" s="55">
        <f>SUM('Research Area'!S71+'Research Cyberinfrastructure'!S71+'EA &amp; Seed Funding'!S71+'Partnerships &amp; Collaborations'!S71+'Broadening Participation Divers'!S71+'Education Workforce Development'!S71+'Communications &amp; Disseminations'!S71+'Evaluation and Assessment '!S71+'Sustainability Plan'!S71+'Management '!S71)</f>
        <v>26000</v>
      </c>
      <c r="T71" s="56">
        <f>SUM('Research Area'!T71+'Research Cyberinfrastructure'!T71+'EA &amp; Seed Funding'!T71+'Partnerships &amp; Collaborations'!T71+'Broadening Participation Divers'!T71+'Education Workforce Development'!T71+'Communications &amp; Disseminations'!T71+'Evaluation and Assessment '!T71+'Sustainability Plan'!T71+'Management '!T71)</f>
        <v>7500</v>
      </c>
      <c r="U71" s="56">
        <f t="shared" si="39"/>
        <v>33500</v>
      </c>
      <c r="V71" s="16"/>
      <c r="W71" s="55">
        <f>SUM('Research Area'!W71+'Research Cyberinfrastructure'!W71+'EA &amp; Seed Funding'!W71+'Partnerships &amp; Collaborations'!W71+'Broadening Participation Divers'!W71+'Education Workforce Development'!W71+'Communications &amp; Disseminations'!W71+'Evaluation and Assessment '!W71+'Sustainability Plan'!W71+'Management '!W71)</f>
        <v>210000</v>
      </c>
      <c r="X71" s="56">
        <f>SUM('Research Area'!X71+'Research Cyberinfrastructure'!X71+'EA &amp; Seed Funding'!X71+'Partnerships &amp; Collaborations'!X71+'Broadening Participation Divers'!X71+'Education Workforce Development'!X71+'Communications &amp; Disseminations'!X71+'Evaluation and Assessment '!X71+'Sustainability Plan'!X71+'Management '!X71)</f>
        <v>57500</v>
      </c>
      <c r="Y71" s="56">
        <f t="shared" si="40"/>
        <v>267500</v>
      </c>
    </row>
    <row r="72" spans="1:25" s="61" customFormat="1" x14ac:dyDescent="0.25">
      <c r="A72" s="52"/>
      <c r="B72" s="52"/>
      <c r="C72" s="124">
        <f>SUM('Research Area'!C72+'Research Cyberinfrastructure'!C72+'EA &amp; Seed Funding'!C72+'Partnerships &amp; Collaborations'!C72+'Broadening Participation Divers'!C72+'Education Workforce Development'!C72+'Communications &amp; Disseminations'!C72+'Evaluation and Assessment '!C72+'Sustainability Plan'!C72+'Management '!C72)</f>
        <v>0</v>
      </c>
      <c r="D72" s="56">
        <f>SUM('Research Area'!D72+'Research Cyberinfrastructure'!D72+'EA &amp; Seed Funding'!D72+'Partnerships &amp; Collaborations'!D72+'Broadening Participation Divers'!D72+'Education Workforce Development'!D72+'Communications &amp; Disseminations'!D72+'Evaluation and Assessment '!D72+'Sustainability Plan'!D72+'Management '!D72)</f>
        <v>21000</v>
      </c>
      <c r="E72" s="56">
        <f t="shared" si="35"/>
        <v>21000</v>
      </c>
      <c r="F72" s="15"/>
      <c r="G72" s="55">
        <f>SUM('Research Area'!G72+'Research Cyberinfrastructure'!G72+'EA &amp; Seed Funding'!G72+'Partnerships &amp; Collaborations'!G72+'Broadening Participation Divers'!G72+'Education Workforce Development'!G72+'Communications &amp; Disseminations'!G72+'Evaluation and Assessment '!G72+'Sustainability Plan'!G72+'Management '!G72)</f>
        <v>7500</v>
      </c>
      <c r="H72" s="56">
        <f>SUM('Research Area'!H72+'Research Cyberinfrastructure'!H72+'EA &amp; Seed Funding'!H72+'Partnerships &amp; Collaborations'!H72+'Broadening Participation Divers'!H72+'Education Workforce Development'!H72+'Communications &amp; Disseminations'!H72+'Evaluation and Assessment '!H72+'Sustainability Plan'!H72+'Management '!H72)</f>
        <v>21000</v>
      </c>
      <c r="I72" s="56">
        <f t="shared" si="36"/>
        <v>28500</v>
      </c>
      <c r="J72" s="15"/>
      <c r="K72" s="55">
        <f>SUM('Research Area'!K72+'Research Cyberinfrastructure'!K72+'EA &amp; Seed Funding'!K72+'Partnerships &amp; Collaborations'!K72+'Broadening Participation Divers'!K72+'Education Workforce Development'!K72+'Communications &amp; Disseminations'!K72+'Evaluation and Assessment '!K72+'Sustainability Plan'!K72+'Management '!K72)</f>
        <v>10500</v>
      </c>
      <c r="L72" s="56">
        <f>SUM('Research Area'!L72+'Research Cyberinfrastructure'!L72+'EA &amp; Seed Funding'!L72+'Partnerships &amp; Collaborations'!L72+'Broadening Participation Divers'!L72+'Education Workforce Development'!L72+'Communications &amp; Disseminations'!L72+'Evaluation and Assessment '!L72+'Sustainability Plan'!L72+'Management '!L72)</f>
        <v>21000</v>
      </c>
      <c r="M72" s="56">
        <f t="shared" si="37"/>
        <v>31500</v>
      </c>
      <c r="N72" s="15"/>
      <c r="O72" s="55">
        <f>SUM('Research Area'!O72+'Research Cyberinfrastructure'!O72+'EA &amp; Seed Funding'!O72+'Partnerships &amp; Collaborations'!O72+'Broadening Participation Divers'!O72+'Education Workforce Development'!O72+'Communications &amp; Disseminations'!O72+'Evaluation and Assessment '!O72+'Sustainability Plan'!O72+'Management '!O72)</f>
        <v>11500</v>
      </c>
      <c r="P72" s="56">
        <f>SUM('Research Area'!P72+'Research Cyberinfrastructure'!P72+'EA &amp; Seed Funding'!P72+'Partnerships &amp; Collaborations'!P72+'Broadening Participation Divers'!P72+'Education Workforce Development'!P72+'Communications &amp; Disseminations'!P72+'Evaluation and Assessment '!P72+'Sustainability Plan'!P72+'Management '!P72)</f>
        <v>21000</v>
      </c>
      <c r="Q72" s="56">
        <f t="shared" si="38"/>
        <v>32500</v>
      </c>
      <c r="R72" s="15"/>
      <c r="S72" s="55">
        <f>SUM('Research Area'!S72+'Research Cyberinfrastructure'!S72+'EA &amp; Seed Funding'!S72+'Partnerships &amp; Collaborations'!S72+'Broadening Participation Divers'!S72+'Education Workforce Development'!S72+'Communications &amp; Disseminations'!S72+'Evaluation and Assessment '!S72+'Sustainability Plan'!S72+'Management '!S72)</f>
        <v>13000</v>
      </c>
      <c r="T72" s="56">
        <f>SUM('Research Area'!T72+'Research Cyberinfrastructure'!T72+'EA &amp; Seed Funding'!T72+'Partnerships &amp; Collaborations'!T72+'Broadening Participation Divers'!T72+'Education Workforce Development'!T72+'Communications &amp; Disseminations'!T72+'Evaluation and Assessment '!T72+'Sustainability Plan'!T72+'Management '!T72)</f>
        <v>21000</v>
      </c>
      <c r="U72" s="56">
        <f t="shared" si="39"/>
        <v>34000</v>
      </c>
      <c r="V72" s="16"/>
      <c r="W72" s="55">
        <f>SUM('Research Area'!W72+'Research Cyberinfrastructure'!W72+'EA &amp; Seed Funding'!W72+'Partnerships &amp; Collaborations'!W72+'Broadening Participation Divers'!W72+'Education Workforce Development'!W72+'Communications &amp; Disseminations'!W72+'Evaluation and Assessment '!W72+'Sustainability Plan'!W72+'Management '!W72)</f>
        <v>42500</v>
      </c>
      <c r="X72" s="56">
        <f>SUM('Research Area'!X72+'Research Cyberinfrastructure'!X72+'EA &amp; Seed Funding'!X72+'Partnerships &amp; Collaborations'!X72+'Broadening Participation Divers'!X72+'Education Workforce Development'!X72+'Communications &amp; Disseminations'!X72+'Evaluation and Assessment '!X72+'Sustainability Plan'!X72+'Management '!X72)</f>
        <v>105000</v>
      </c>
      <c r="Y72" s="56">
        <f t="shared" si="40"/>
        <v>147500</v>
      </c>
    </row>
    <row r="73" spans="1:25" s="61" customFormat="1" x14ac:dyDescent="0.25">
      <c r="A73" s="87"/>
      <c r="B73" s="54"/>
      <c r="C73" s="124">
        <f>SUM('Research Area'!C73+'Research Cyberinfrastructure'!C73+'EA &amp; Seed Funding'!C73+'Partnerships &amp; Collaborations'!C73+'Broadening Participation Divers'!C73+'Education Workforce Development'!C73+'Communications &amp; Disseminations'!C73+'Evaluation and Assessment '!C73+'Sustainability Plan'!C73+'Management '!C73)</f>
        <v>0</v>
      </c>
      <c r="D73" s="56">
        <f>SUM('Research Area'!D73+'Research Cyberinfrastructure'!D73+'EA &amp; Seed Funding'!D73+'Partnerships &amp; Collaborations'!D73+'Broadening Participation Divers'!D73+'Education Workforce Development'!D73+'Communications &amp; Disseminations'!D73+'Evaluation and Assessment '!D73+'Sustainability Plan'!D73+'Management '!D73)</f>
        <v>0</v>
      </c>
      <c r="E73" s="56">
        <f t="shared" si="35"/>
        <v>0</v>
      </c>
      <c r="F73" s="15"/>
      <c r="G73" s="55">
        <f>SUM('Research Area'!G73+'Research Cyberinfrastructure'!G73+'EA &amp; Seed Funding'!G73+'Partnerships &amp; Collaborations'!G73+'Broadening Participation Divers'!G73+'Education Workforce Development'!G73+'Communications &amp; Disseminations'!G73+'Evaluation and Assessment '!G73+'Sustainability Plan'!G73+'Management '!G73)</f>
        <v>16000</v>
      </c>
      <c r="H73" s="56">
        <f>SUM('Research Area'!H73+'Research Cyberinfrastructure'!H73+'EA &amp; Seed Funding'!H73+'Partnerships &amp; Collaborations'!H73+'Broadening Participation Divers'!H73+'Education Workforce Development'!H73+'Communications &amp; Disseminations'!H73+'Evaluation and Assessment '!H73+'Sustainability Plan'!H73+'Management '!H73)</f>
        <v>0</v>
      </c>
      <c r="I73" s="56">
        <f t="shared" si="36"/>
        <v>16000</v>
      </c>
      <c r="J73" s="15"/>
      <c r="K73" s="55">
        <f>SUM('Research Area'!K73+'Research Cyberinfrastructure'!K73+'EA &amp; Seed Funding'!K73+'Partnerships &amp; Collaborations'!K73+'Broadening Participation Divers'!K73+'Education Workforce Development'!K73+'Communications &amp; Disseminations'!K73+'Evaluation and Assessment '!K73+'Sustainability Plan'!K73+'Management '!K73)</f>
        <v>16000</v>
      </c>
      <c r="L73" s="56">
        <f>SUM('Research Area'!L73+'Research Cyberinfrastructure'!L73+'EA &amp; Seed Funding'!L73+'Partnerships &amp; Collaborations'!L73+'Broadening Participation Divers'!L73+'Education Workforce Development'!L73+'Communications &amp; Disseminations'!L73+'Evaluation and Assessment '!L73+'Sustainability Plan'!L73+'Management '!L73)</f>
        <v>0</v>
      </c>
      <c r="M73" s="56">
        <f t="shared" si="37"/>
        <v>16000</v>
      </c>
      <c r="N73" s="15"/>
      <c r="O73" s="55">
        <f>SUM('Research Area'!O73+'Research Cyberinfrastructure'!O73+'EA &amp; Seed Funding'!O73+'Partnerships &amp; Collaborations'!O73+'Broadening Participation Divers'!O73+'Education Workforce Development'!O73+'Communications &amp; Disseminations'!O73+'Evaluation and Assessment '!O73+'Sustainability Plan'!O73+'Management '!O73)</f>
        <v>16000</v>
      </c>
      <c r="P73" s="56">
        <f>SUM('Research Area'!P73+'Research Cyberinfrastructure'!P73+'EA &amp; Seed Funding'!P73+'Partnerships &amp; Collaborations'!P73+'Broadening Participation Divers'!P73+'Education Workforce Development'!P73+'Communications &amp; Disseminations'!P73+'Evaluation and Assessment '!P73+'Sustainability Plan'!P73+'Management '!P73)</f>
        <v>0</v>
      </c>
      <c r="Q73" s="56">
        <f t="shared" si="38"/>
        <v>16000</v>
      </c>
      <c r="R73" s="15"/>
      <c r="S73" s="55">
        <f>SUM('Research Area'!S73+'Research Cyberinfrastructure'!S73+'EA &amp; Seed Funding'!S73+'Partnerships &amp; Collaborations'!S73+'Broadening Participation Divers'!S73+'Education Workforce Development'!S73+'Communications &amp; Disseminations'!S73+'Evaluation and Assessment '!S73+'Sustainability Plan'!S73+'Management '!S73)</f>
        <v>6000</v>
      </c>
      <c r="T73" s="56">
        <f>SUM('Research Area'!T73+'Research Cyberinfrastructure'!T73+'EA &amp; Seed Funding'!T73+'Partnerships &amp; Collaborations'!T73+'Broadening Participation Divers'!T73+'Education Workforce Development'!T73+'Communications &amp; Disseminations'!T73+'Evaluation and Assessment '!T73+'Sustainability Plan'!T73+'Management '!T73)</f>
        <v>0</v>
      </c>
      <c r="U73" s="56">
        <f t="shared" si="39"/>
        <v>6000</v>
      </c>
      <c r="V73" s="16"/>
      <c r="W73" s="55">
        <f>SUM('Research Area'!W73+'Research Cyberinfrastructure'!W73+'EA &amp; Seed Funding'!W73+'Partnerships &amp; Collaborations'!W73+'Broadening Participation Divers'!W73+'Education Workforce Development'!W73+'Communications &amp; Disseminations'!W73+'Evaluation and Assessment '!W73+'Sustainability Plan'!W73+'Management '!W73)</f>
        <v>54000</v>
      </c>
      <c r="X73" s="56">
        <f>SUM('Research Area'!X73+'Research Cyberinfrastructure'!X73+'EA &amp; Seed Funding'!X73+'Partnerships &amp; Collaborations'!X73+'Broadening Participation Divers'!X73+'Education Workforce Development'!X73+'Communications &amp; Disseminations'!X73+'Evaluation and Assessment '!X73+'Sustainability Plan'!X73+'Management '!X73)</f>
        <v>0</v>
      </c>
      <c r="Y73" s="56">
        <f t="shared" si="40"/>
        <v>54000</v>
      </c>
    </row>
    <row r="74" spans="1:25" s="61" customFormat="1" x14ac:dyDescent="0.25">
      <c r="A74" s="87"/>
      <c r="B74" s="54"/>
      <c r="C74" s="124">
        <f>SUM('Research Area'!C74+'Research Cyberinfrastructure'!C74+'EA &amp; Seed Funding'!C74+'Partnerships &amp; Collaborations'!C74+'Broadening Participation Divers'!C74+'Education Workforce Development'!C74+'Communications &amp; Disseminations'!C74+'Evaluation and Assessment '!C74+'Sustainability Plan'!C74+'Management '!C74)</f>
        <v>0</v>
      </c>
      <c r="D74" s="56">
        <f>SUM('Research Area'!D74+'Research Cyberinfrastructure'!D74+'EA &amp; Seed Funding'!D74+'Partnerships &amp; Collaborations'!D74+'Broadening Participation Divers'!D74+'Education Workforce Development'!D74+'Communications &amp; Disseminations'!D74+'Evaluation and Assessment '!D74+'Sustainability Plan'!D74+'Management '!D74)</f>
        <v>0</v>
      </c>
      <c r="E74" s="56">
        <f t="shared" si="35"/>
        <v>0</v>
      </c>
      <c r="F74" s="15"/>
      <c r="G74" s="55">
        <f>SUM('Research Area'!G74+'Research Cyberinfrastructure'!G74+'EA &amp; Seed Funding'!G74+'Partnerships &amp; Collaborations'!G74+'Broadening Participation Divers'!G74+'Education Workforce Development'!G74+'Communications &amp; Disseminations'!G74+'Evaluation and Assessment '!G74+'Sustainability Plan'!G74+'Management '!G74)</f>
        <v>2000</v>
      </c>
      <c r="H74" s="56">
        <f>SUM('Research Area'!H74+'Research Cyberinfrastructure'!H74+'EA &amp; Seed Funding'!H74+'Partnerships &amp; Collaborations'!H74+'Broadening Participation Divers'!H74+'Education Workforce Development'!H74+'Communications &amp; Disseminations'!H74+'Evaluation and Assessment '!H74+'Sustainability Plan'!H74+'Management '!H74)</f>
        <v>0</v>
      </c>
      <c r="I74" s="56">
        <f t="shared" si="36"/>
        <v>2000</v>
      </c>
      <c r="J74" s="15"/>
      <c r="K74" s="55">
        <f>SUM('Research Area'!K74+'Research Cyberinfrastructure'!K74+'EA &amp; Seed Funding'!K74+'Partnerships &amp; Collaborations'!K74+'Broadening Participation Divers'!K74+'Education Workforce Development'!K74+'Communications &amp; Disseminations'!K74+'Evaluation and Assessment '!K74+'Sustainability Plan'!K74+'Management '!K74)</f>
        <v>2000</v>
      </c>
      <c r="L74" s="56">
        <f>SUM('Research Area'!L74+'Research Cyberinfrastructure'!L74+'EA &amp; Seed Funding'!L74+'Partnerships &amp; Collaborations'!L74+'Broadening Participation Divers'!L74+'Education Workforce Development'!L74+'Communications &amp; Disseminations'!L74+'Evaluation and Assessment '!L74+'Sustainability Plan'!L74+'Management '!L74)</f>
        <v>0</v>
      </c>
      <c r="M74" s="56">
        <f t="shared" si="37"/>
        <v>2000</v>
      </c>
      <c r="N74" s="15"/>
      <c r="O74" s="55">
        <f>SUM('Research Area'!O74+'Research Cyberinfrastructure'!O74+'EA &amp; Seed Funding'!O74+'Partnerships &amp; Collaborations'!O74+'Broadening Participation Divers'!O74+'Education Workforce Development'!O74+'Communications &amp; Disseminations'!O74+'Evaluation and Assessment '!O74+'Sustainability Plan'!O74+'Management '!O74)</f>
        <v>2000</v>
      </c>
      <c r="P74" s="56">
        <f>SUM('Research Area'!P74+'Research Cyberinfrastructure'!P74+'EA &amp; Seed Funding'!P74+'Partnerships &amp; Collaborations'!P74+'Broadening Participation Divers'!P74+'Education Workforce Development'!P74+'Communications &amp; Disseminations'!P74+'Evaluation and Assessment '!P74+'Sustainability Plan'!P74+'Management '!P74)</f>
        <v>0</v>
      </c>
      <c r="Q74" s="56">
        <f t="shared" si="38"/>
        <v>2000</v>
      </c>
      <c r="R74" s="15"/>
      <c r="S74" s="55">
        <f>SUM('Research Area'!S74+'Research Cyberinfrastructure'!S74+'EA &amp; Seed Funding'!S74+'Partnerships &amp; Collaborations'!S74+'Broadening Participation Divers'!S74+'Education Workforce Development'!S74+'Communications &amp; Disseminations'!S74+'Evaluation and Assessment '!S74+'Sustainability Plan'!S74+'Management '!S74)</f>
        <v>2000</v>
      </c>
      <c r="T74" s="56">
        <f>SUM('Research Area'!T74+'Research Cyberinfrastructure'!T74+'EA &amp; Seed Funding'!T74+'Partnerships &amp; Collaborations'!T74+'Broadening Participation Divers'!T74+'Education Workforce Development'!T74+'Communications &amp; Disseminations'!T74+'Evaluation and Assessment '!T74+'Sustainability Plan'!T74+'Management '!T74)</f>
        <v>0</v>
      </c>
      <c r="U74" s="56">
        <f t="shared" si="39"/>
        <v>2000</v>
      </c>
      <c r="V74" s="16"/>
      <c r="W74" s="55">
        <f>SUM('Research Area'!W74+'Research Cyberinfrastructure'!W74+'EA &amp; Seed Funding'!W74+'Partnerships &amp; Collaborations'!W74+'Broadening Participation Divers'!W74+'Education Workforce Development'!W74+'Communications &amp; Disseminations'!W74+'Evaluation and Assessment '!W74+'Sustainability Plan'!W74+'Management '!W74)</f>
        <v>8000</v>
      </c>
      <c r="X74" s="56">
        <f>SUM('Research Area'!X74+'Research Cyberinfrastructure'!X74+'EA &amp; Seed Funding'!X74+'Partnerships &amp; Collaborations'!X74+'Broadening Participation Divers'!X74+'Education Workforce Development'!X74+'Communications &amp; Disseminations'!X74+'Evaluation and Assessment '!X74+'Sustainability Plan'!X74+'Management '!X74)</f>
        <v>0</v>
      </c>
      <c r="Y74" s="56">
        <f t="shared" si="40"/>
        <v>8000</v>
      </c>
    </row>
    <row r="75" spans="1:25" s="61" customFormat="1" x14ac:dyDescent="0.25">
      <c r="A75" s="87"/>
      <c r="B75" s="54"/>
      <c r="C75" s="124">
        <f>SUM('Research Area'!C75+'Research Cyberinfrastructure'!C75+'EA &amp; Seed Funding'!C75+'Partnerships &amp; Collaborations'!C75+'Broadening Participation Divers'!C75+'Education Workforce Development'!C75+'Communications &amp; Disseminations'!C75+'Evaluation and Assessment '!C75+'Sustainability Plan'!C75+'Management '!C75)</f>
        <v>0</v>
      </c>
      <c r="D75" s="56">
        <f>SUM('Research Area'!D75+'Research Cyberinfrastructure'!D75+'EA &amp; Seed Funding'!D75+'Partnerships &amp; Collaborations'!D75+'Broadening Participation Divers'!D75+'Education Workforce Development'!D75+'Communications &amp; Disseminations'!D75+'Evaluation and Assessment '!D75+'Sustainability Plan'!D75+'Management '!D75)</f>
        <v>0</v>
      </c>
      <c r="E75" s="56">
        <f t="shared" si="35"/>
        <v>0</v>
      </c>
      <c r="F75" s="15"/>
      <c r="G75" s="55">
        <f>SUM('Research Area'!G75+'Research Cyberinfrastructure'!G75+'EA &amp; Seed Funding'!G75+'Partnerships &amp; Collaborations'!G75+'Broadening Participation Divers'!G75+'Education Workforce Development'!G75+'Communications &amp; Disseminations'!G75+'Evaluation and Assessment '!G75+'Sustainability Plan'!G75+'Management '!G75)</f>
        <v>0</v>
      </c>
      <c r="H75" s="56">
        <f>SUM('Research Area'!H75+'Research Cyberinfrastructure'!H75+'EA &amp; Seed Funding'!H75+'Partnerships &amp; Collaborations'!H75+'Broadening Participation Divers'!H75+'Education Workforce Development'!H75+'Communications &amp; Disseminations'!H75+'Evaluation and Assessment '!H75+'Sustainability Plan'!H75+'Management '!H75)</f>
        <v>0</v>
      </c>
      <c r="I75" s="56">
        <f t="shared" si="36"/>
        <v>0</v>
      </c>
      <c r="J75" s="15"/>
      <c r="K75" s="55">
        <f>SUM('Research Area'!K75+'Research Cyberinfrastructure'!K75+'EA &amp; Seed Funding'!K75+'Partnerships &amp; Collaborations'!K75+'Broadening Participation Divers'!K75+'Education Workforce Development'!K75+'Communications &amp; Disseminations'!K75+'Evaluation and Assessment '!K75+'Sustainability Plan'!K75+'Management '!K75)</f>
        <v>0</v>
      </c>
      <c r="L75" s="56">
        <f>SUM('Research Area'!L75+'Research Cyberinfrastructure'!L75+'EA &amp; Seed Funding'!L75+'Partnerships &amp; Collaborations'!L75+'Broadening Participation Divers'!L75+'Education Workforce Development'!L75+'Communications &amp; Disseminations'!L75+'Evaluation and Assessment '!L75+'Sustainability Plan'!L75+'Management '!L75)</f>
        <v>0</v>
      </c>
      <c r="M75" s="56">
        <f t="shared" si="37"/>
        <v>0</v>
      </c>
      <c r="N75" s="15"/>
      <c r="O75" s="55">
        <f>SUM('Research Area'!O75+'Research Cyberinfrastructure'!O75+'EA &amp; Seed Funding'!O75+'Partnerships &amp; Collaborations'!O75+'Broadening Participation Divers'!O75+'Education Workforce Development'!O75+'Communications &amp; Disseminations'!O75+'Evaluation and Assessment '!O75+'Sustainability Plan'!O75+'Management '!O75)</f>
        <v>0</v>
      </c>
      <c r="P75" s="56">
        <f>SUM('Research Area'!P75+'Research Cyberinfrastructure'!P75+'EA &amp; Seed Funding'!P75+'Partnerships &amp; Collaborations'!P75+'Broadening Participation Divers'!P75+'Education Workforce Development'!P75+'Communications &amp; Disseminations'!P75+'Evaluation and Assessment '!P75+'Sustainability Plan'!P75+'Management '!P75)</f>
        <v>0</v>
      </c>
      <c r="Q75" s="56">
        <f t="shared" si="38"/>
        <v>0</v>
      </c>
      <c r="R75" s="15"/>
      <c r="S75" s="55">
        <f>SUM('Research Area'!S75+'Research Cyberinfrastructure'!S75+'EA &amp; Seed Funding'!S75+'Partnerships &amp; Collaborations'!S75+'Broadening Participation Divers'!S75+'Education Workforce Development'!S75+'Communications &amp; Disseminations'!S75+'Evaluation and Assessment '!S75+'Sustainability Plan'!S75+'Management '!S75)</f>
        <v>0</v>
      </c>
      <c r="T75" s="56">
        <f>SUM('Research Area'!T75+'Research Cyberinfrastructure'!T75+'EA &amp; Seed Funding'!T75+'Partnerships &amp; Collaborations'!T75+'Broadening Participation Divers'!T75+'Education Workforce Development'!T75+'Communications &amp; Disseminations'!T75+'Evaluation and Assessment '!T75+'Sustainability Plan'!T75+'Management '!T75)</f>
        <v>0</v>
      </c>
      <c r="U75" s="56">
        <f t="shared" si="39"/>
        <v>0</v>
      </c>
      <c r="V75" s="16"/>
      <c r="W75" s="55">
        <f>SUM('Research Area'!W75+'Research Cyberinfrastructure'!W75+'EA &amp; Seed Funding'!W75+'Partnerships &amp; Collaborations'!W75+'Broadening Participation Divers'!W75+'Education Workforce Development'!W75+'Communications &amp; Disseminations'!W75+'Evaluation and Assessment '!W75+'Sustainability Plan'!W75+'Management '!W75)</f>
        <v>0</v>
      </c>
      <c r="X75" s="56">
        <f>SUM('Research Area'!X75+'Research Cyberinfrastructure'!X75+'EA &amp; Seed Funding'!X75+'Partnerships &amp; Collaborations'!X75+'Broadening Participation Divers'!X75+'Education Workforce Development'!X75+'Communications &amp; Disseminations'!X75+'Evaluation and Assessment '!X75+'Sustainability Plan'!X75+'Management '!X75)</f>
        <v>0</v>
      </c>
      <c r="Y75" s="56">
        <f t="shared" si="40"/>
        <v>0</v>
      </c>
    </row>
    <row r="76" spans="1:25" s="61" customFormat="1" x14ac:dyDescent="0.25">
      <c r="A76" s="87"/>
      <c r="B76" s="54"/>
      <c r="C76" s="124">
        <f>SUM('Research Area'!C76+'Research Cyberinfrastructure'!C76+'EA &amp; Seed Funding'!C76+'Partnerships &amp; Collaborations'!C76+'Broadening Participation Divers'!C76+'Education Workforce Development'!C76+'Communications &amp; Disseminations'!C76+'Evaluation and Assessment '!C76+'Sustainability Plan'!C76+'Management '!C76)</f>
        <v>0</v>
      </c>
      <c r="D76" s="56">
        <f>SUM('Research Area'!D76+'Research Cyberinfrastructure'!D76+'EA &amp; Seed Funding'!D76+'Partnerships &amp; Collaborations'!D76+'Broadening Participation Divers'!D76+'Education Workforce Development'!D76+'Communications &amp; Disseminations'!D76+'Evaluation and Assessment '!D76+'Sustainability Plan'!D76+'Management '!D76)</f>
        <v>0</v>
      </c>
      <c r="E76" s="56">
        <f t="shared" si="35"/>
        <v>0</v>
      </c>
      <c r="F76" s="15"/>
      <c r="G76" s="55">
        <f>SUM('Research Area'!G76+'Research Cyberinfrastructure'!G76+'EA &amp; Seed Funding'!G76+'Partnerships &amp; Collaborations'!G76+'Broadening Participation Divers'!G76+'Education Workforce Development'!G76+'Communications &amp; Disseminations'!G76+'Evaluation and Assessment '!G76+'Sustainability Plan'!G76+'Management '!G76)</f>
        <v>2500</v>
      </c>
      <c r="H76" s="56">
        <f>SUM('Research Area'!H76+'Research Cyberinfrastructure'!H76+'EA &amp; Seed Funding'!H76+'Partnerships &amp; Collaborations'!H76+'Broadening Participation Divers'!H76+'Education Workforce Development'!H76+'Communications &amp; Disseminations'!H76+'Evaluation and Assessment '!H76+'Sustainability Plan'!H76+'Management '!H76)</f>
        <v>0</v>
      </c>
      <c r="I76" s="56">
        <f t="shared" si="36"/>
        <v>2500</v>
      </c>
      <c r="J76" s="15"/>
      <c r="K76" s="55">
        <f>SUM('Research Area'!K76+'Research Cyberinfrastructure'!K76+'EA &amp; Seed Funding'!K76+'Partnerships &amp; Collaborations'!K76+'Broadening Participation Divers'!K76+'Education Workforce Development'!K76+'Communications &amp; Disseminations'!K76+'Evaluation and Assessment '!K76+'Sustainability Plan'!K76+'Management '!K76)</f>
        <v>2500</v>
      </c>
      <c r="L76" s="56">
        <f>SUM('Research Area'!L76+'Research Cyberinfrastructure'!L76+'EA &amp; Seed Funding'!L76+'Partnerships &amp; Collaborations'!L76+'Broadening Participation Divers'!L76+'Education Workforce Development'!L76+'Communications &amp; Disseminations'!L76+'Evaluation and Assessment '!L76+'Sustainability Plan'!L76+'Management '!L76)</f>
        <v>0</v>
      </c>
      <c r="M76" s="56">
        <f t="shared" si="37"/>
        <v>2500</v>
      </c>
      <c r="N76" s="15"/>
      <c r="O76" s="55">
        <f>SUM('Research Area'!O76+'Research Cyberinfrastructure'!O76+'EA &amp; Seed Funding'!O76+'Partnerships &amp; Collaborations'!O76+'Broadening Participation Divers'!O76+'Education Workforce Development'!O76+'Communications &amp; Disseminations'!O76+'Evaluation and Assessment '!O76+'Sustainability Plan'!O76+'Management '!O76)</f>
        <v>2500</v>
      </c>
      <c r="P76" s="56">
        <f>SUM('Research Area'!P76+'Research Cyberinfrastructure'!P76+'EA &amp; Seed Funding'!P76+'Partnerships &amp; Collaborations'!P76+'Broadening Participation Divers'!P76+'Education Workforce Development'!P76+'Communications &amp; Disseminations'!P76+'Evaluation and Assessment '!P76+'Sustainability Plan'!P76+'Management '!P76)</f>
        <v>0</v>
      </c>
      <c r="Q76" s="56">
        <f t="shared" si="38"/>
        <v>2500</v>
      </c>
      <c r="R76" s="15"/>
      <c r="S76" s="55">
        <f>SUM('Research Area'!S76+'Research Cyberinfrastructure'!S76+'EA &amp; Seed Funding'!S76+'Partnerships &amp; Collaborations'!S76+'Broadening Participation Divers'!S76+'Education Workforce Development'!S76+'Communications &amp; Disseminations'!S76+'Evaluation and Assessment '!S76+'Sustainability Plan'!S76+'Management '!S76)</f>
        <v>2500</v>
      </c>
      <c r="T76" s="56">
        <f>SUM('Research Area'!T76+'Research Cyberinfrastructure'!T76+'EA &amp; Seed Funding'!T76+'Partnerships &amp; Collaborations'!T76+'Broadening Participation Divers'!T76+'Education Workforce Development'!T76+'Communications &amp; Disseminations'!T76+'Evaluation and Assessment '!T76+'Sustainability Plan'!T76+'Management '!T76)</f>
        <v>0</v>
      </c>
      <c r="U76" s="56">
        <f t="shared" si="39"/>
        <v>2500</v>
      </c>
      <c r="V76" s="16"/>
      <c r="W76" s="55">
        <f>SUM('Research Area'!W76+'Research Cyberinfrastructure'!W76+'EA &amp; Seed Funding'!W76+'Partnerships &amp; Collaborations'!W76+'Broadening Participation Divers'!W76+'Education Workforce Development'!W76+'Communications &amp; Disseminations'!W76+'Evaluation and Assessment '!W76+'Sustainability Plan'!W76+'Management '!W76)</f>
        <v>10000</v>
      </c>
      <c r="X76" s="56">
        <f>SUM('Research Area'!X76+'Research Cyberinfrastructure'!X76+'EA &amp; Seed Funding'!X76+'Partnerships &amp; Collaborations'!X76+'Broadening Participation Divers'!X76+'Education Workforce Development'!X76+'Communications &amp; Disseminations'!X76+'Evaluation and Assessment '!X76+'Sustainability Plan'!X76+'Management '!X76)</f>
        <v>0</v>
      </c>
      <c r="Y76" s="56">
        <f t="shared" si="40"/>
        <v>10000</v>
      </c>
    </row>
    <row r="77" spans="1:25" s="61" customFormat="1" x14ac:dyDescent="0.25">
      <c r="A77" s="87"/>
      <c r="B77" s="54"/>
      <c r="C77" s="124">
        <f>SUM('Research Area'!C77+'Research Cyberinfrastructure'!C77+'EA &amp; Seed Funding'!C77+'Partnerships &amp; Collaborations'!C77+'Broadening Participation Divers'!C77+'Education Workforce Development'!C77+'Communications &amp; Disseminations'!C77+'Evaluation and Assessment '!C77+'Sustainability Plan'!C77+'Management '!C77)</f>
        <v>1000</v>
      </c>
      <c r="D77" s="56">
        <f>SUM('Research Area'!D77+'Research Cyberinfrastructure'!D77+'EA &amp; Seed Funding'!D77+'Partnerships &amp; Collaborations'!D77+'Broadening Participation Divers'!D77+'Education Workforce Development'!D77+'Communications &amp; Disseminations'!D77+'Evaluation and Assessment '!D77+'Sustainability Plan'!D77+'Management '!D77)</f>
        <v>0</v>
      </c>
      <c r="E77" s="56">
        <f t="shared" si="35"/>
        <v>1000</v>
      </c>
      <c r="F77" s="15"/>
      <c r="G77" s="55">
        <f>SUM('Research Area'!G77+'Research Cyberinfrastructure'!G77+'EA &amp; Seed Funding'!G77+'Partnerships &amp; Collaborations'!G77+'Broadening Participation Divers'!G77+'Education Workforce Development'!G77+'Communications &amp; Disseminations'!G77+'Evaluation and Assessment '!G77+'Sustainability Plan'!G77+'Management '!G77)</f>
        <v>1000</v>
      </c>
      <c r="H77" s="56">
        <f>SUM('Research Area'!H77+'Research Cyberinfrastructure'!H77+'EA &amp; Seed Funding'!H77+'Partnerships &amp; Collaborations'!H77+'Broadening Participation Divers'!H77+'Education Workforce Development'!H77+'Communications &amp; Disseminations'!H77+'Evaluation and Assessment '!H77+'Sustainability Plan'!H77+'Management '!H77)</f>
        <v>0</v>
      </c>
      <c r="I77" s="56">
        <f t="shared" si="36"/>
        <v>1000</v>
      </c>
      <c r="J77" s="15"/>
      <c r="K77" s="55">
        <f>SUM('Research Area'!K77+'Research Cyberinfrastructure'!K77+'EA &amp; Seed Funding'!K77+'Partnerships &amp; Collaborations'!K77+'Broadening Participation Divers'!K77+'Education Workforce Development'!K77+'Communications &amp; Disseminations'!K77+'Evaluation and Assessment '!K77+'Sustainability Plan'!K77+'Management '!K77)</f>
        <v>1000</v>
      </c>
      <c r="L77" s="56">
        <f>SUM('Research Area'!L77+'Research Cyberinfrastructure'!L77+'EA &amp; Seed Funding'!L77+'Partnerships &amp; Collaborations'!L77+'Broadening Participation Divers'!L77+'Education Workforce Development'!L77+'Communications &amp; Disseminations'!L77+'Evaluation and Assessment '!L77+'Sustainability Plan'!L77+'Management '!L77)</f>
        <v>0</v>
      </c>
      <c r="M77" s="56">
        <f t="shared" si="37"/>
        <v>1000</v>
      </c>
      <c r="N77" s="15"/>
      <c r="O77" s="55">
        <f>SUM('Research Area'!O77+'Research Cyberinfrastructure'!O77+'EA &amp; Seed Funding'!O77+'Partnerships &amp; Collaborations'!O77+'Broadening Participation Divers'!O77+'Education Workforce Development'!O77+'Communications &amp; Disseminations'!O77+'Evaluation and Assessment '!O77+'Sustainability Plan'!O77+'Management '!O77)</f>
        <v>1000</v>
      </c>
      <c r="P77" s="56">
        <f>SUM('Research Area'!P77+'Research Cyberinfrastructure'!P77+'EA &amp; Seed Funding'!P77+'Partnerships &amp; Collaborations'!P77+'Broadening Participation Divers'!P77+'Education Workforce Development'!P77+'Communications &amp; Disseminations'!P77+'Evaluation and Assessment '!P77+'Sustainability Plan'!P77+'Management '!P77)</f>
        <v>0</v>
      </c>
      <c r="Q77" s="56">
        <f t="shared" si="38"/>
        <v>1000</v>
      </c>
      <c r="R77" s="15"/>
      <c r="S77" s="55">
        <f>SUM('Research Area'!S77+'Research Cyberinfrastructure'!S77+'EA &amp; Seed Funding'!S77+'Partnerships &amp; Collaborations'!S77+'Broadening Participation Divers'!S77+'Education Workforce Development'!S77+'Communications &amp; Disseminations'!S77+'Evaluation and Assessment '!S77+'Sustainability Plan'!S77+'Management '!S77)</f>
        <v>1000</v>
      </c>
      <c r="T77" s="56">
        <f>SUM('Research Area'!T77+'Research Cyberinfrastructure'!T77+'EA &amp; Seed Funding'!T77+'Partnerships &amp; Collaborations'!T77+'Broadening Participation Divers'!T77+'Education Workforce Development'!T77+'Communications &amp; Disseminations'!T77+'Evaluation and Assessment '!T77+'Sustainability Plan'!T77+'Management '!T77)</f>
        <v>0</v>
      </c>
      <c r="U77" s="56">
        <f t="shared" si="39"/>
        <v>1000</v>
      </c>
      <c r="V77" s="16"/>
      <c r="W77" s="55">
        <f>SUM('Research Area'!W77+'Research Cyberinfrastructure'!W77+'EA &amp; Seed Funding'!W77+'Partnerships &amp; Collaborations'!W77+'Broadening Participation Divers'!W77+'Education Workforce Development'!W77+'Communications &amp; Disseminations'!W77+'Evaluation and Assessment '!W77+'Sustainability Plan'!W77+'Management '!W77)</f>
        <v>5000</v>
      </c>
      <c r="X77" s="56">
        <f>SUM('Research Area'!X77+'Research Cyberinfrastructure'!X77+'EA &amp; Seed Funding'!X77+'Partnerships &amp; Collaborations'!X77+'Broadening Participation Divers'!X77+'Education Workforce Development'!X77+'Communications &amp; Disseminations'!X77+'Evaluation and Assessment '!X77+'Sustainability Plan'!X77+'Management '!X77)</f>
        <v>0</v>
      </c>
      <c r="Y77" s="56">
        <f t="shared" si="40"/>
        <v>5000</v>
      </c>
    </row>
    <row r="78" spans="1:25" s="61" customFormat="1" x14ac:dyDescent="0.25">
      <c r="A78" s="87"/>
      <c r="B78" s="54"/>
      <c r="C78" s="124">
        <f>SUM('Research Area'!C78+'Research Cyberinfrastructure'!C78+'EA &amp; Seed Funding'!C78+'Partnerships &amp; Collaborations'!C78+'Broadening Participation Divers'!C78+'Education Workforce Development'!C78+'Communications &amp; Disseminations'!C78+'Evaluation and Assessment '!C78+'Sustainability Plan'!C78+'Management '!C78)</f>
        <v>0</v>
      </c>
      <c r="D78" s="56">
        <f>SUM('Research Area'!D78+'Research Cyberinfrastructure'!D78+'EA &amp; Seed Funding'!D78+'Partnerships &amp; Collaborations'!D78+'Broadening Participation Divers'!D78+'Education Workforce Development'!D78+'Communications &amp; Disseminations'!D78+'Evaluation and Assessment '!D78+'Sustainability Plan'!D78+'Management '!D78)</f>
        <v>0</v>
      </c>
      <c r="E78" s="56">
        <f t="shared" si="35"/>
        <v>0</v>
      </c>
      <c r="F78" s="15"/>
      <c r="G78" s="55">
        <f>SUM('Research Area'!G78+'Research Cyberinfrastructure'!G78+'EA &amp; Seed Funding'!G78+'Partnerships &amp; Collaborations'!G78+'Broadening Participation Divers'!G78+'Education Workforce Development'!G78+'Communications &amp; Disseminations'!G78+'Evaluation and Assessment '!G78+'Sustainability Plan'!G78+'Management '!G78)</f>
        <v>0</v>
      </c>
      <c r="H78" s="56">
        <f>SUM('Research Area'!H78+'Research Cyberinfrastructure'!H78+'EA &amp; Seed Funding'!H78+'Partnerships &amp; Collaborations'!H78+'Broadening Participation Divers'!H78+'Education Workforce Development'!H78+'Communications &amp; Disseminations'!H78+'Evaluation and Assessment '!H78+'Sustainability Plan'!H78+'Management '!H78)</f>
        <v>0</v>
      </c>
      <c r="I78" s="56">
        <f t="shared" si="36"/>
        <v>0</v>
      </c>
      <c r="J78" s="15"/>
      <c r="K78" s="55">
        <f>SUM('Research Area'!K78+'Research Cyberinfrastructure'!K78+'EA &amp; Seed Funding'!K78+'Partnerships &amp; Collaborations'!K78+'Broadening Participation Divers'!K78+'Education Workforce Development'!K78+'Communications &amp; Disseminations'!K78+'Evaluation and Assessment '!K78+'Sustainability Plan'!K78+'Management '!K78)</f>
        <v>0</v>
      </c>
      <c r="L78" s="56">
        <f>SUM('Research Area'!L78+'Research Cyberinfrastructure'!L78+'EA &amp; Seed Funding'!L78+'Partnerships &amp; Collaborations'!L78+'Broadening Participation Divers'!L78+'Education Workforce Development'!L78+'Communications &amp; Disseminations'!L78+'Evaluation and Assessment '!L78+'Sustainability Plan'!L78+'Management '!L78)</f>
        <v>0</v>
      </c>
      <c r="M78" s="56">
        <f t="shared" si="37"/>
        <v>0</v>
      </c>
      <c r="N78" s="15"/>
      <c r="O78" s="55">
        <f>SUM('Research Area'!O78+'Research Cyberinfrastructure'!O78+'EA &amp; Seed Funding'!O78+'Partnerships &amp; Collaborations'!O78+'Broadening Participation Divers'!O78+'Education Workforce Development'!O78+'Communications &amp; Disseminations'!O78+'Evaluation and Assessment '!O78+'Sustainability Plan'!O78+'Management '!O78)</f>
        <v>0</v>
      </c>
      <c r="P78" s="56">
        <f>SUM('Research Area'!P78+'Research Cyberinfrastructure'!P78+'EA &amp; Seed Funding'!P78+'Partnerships &amp; Collaborations'!P78+'Broadening Participation Divers'!P78+'Education Workforce Development'!P78+'Communications &amp; Disseminations'!P78+'Evaluation and Assessment '!P78+'Sustainability Plan'!P78+'Management '!P78)</f>
        <v>0</v>
      </c>
      <c r="Q78" s="56">
        <f t="shared" si="38"/>
        <v>0</v>
      </c>
      <c r="R78" s="15"/>
      <c r="S78" s="55">
        <f>SUM('Research Area'!S78+'Research Cyberinfrastructure'!S78+'EA &amp; Seed Funding'!S78+'Partnerships &amp; Collaborations'!S78+'Broadening Participation Divers'!S78+'Education Workforce Development'!S78+'Communications &amp; Disseminations'!S78+'Evaluation and Assessment '!S78+'Sustainability Plan'!S78+'Management '!S78)</f>
        <v>0</v>
      </c>
      <c r="T78" s="56">
        <f>SUM('Research Area'!T78+'Research Cyberinfrastructure'!T78+'EA &amp; Seed Funding'!T78+'Partnerships &amp; Collaborations'!T78+'Broadening Participation Divers'!T78+'Education Workforce Development'!T78+'Communications &amp; Disseminations'!T78+'Evaluation and Assessment '!T78+'Sustainability Plan'!T78+'Management '!T78)</f>
        <v>0</v>
      </c>
      <c r="U78" s="56">
        <f t="shared" si="39"/>
        <v>0</v>
      </c>
      <c r="V78" s="16"/>
      <c r="W78" s="55">
        <f>SUM('Research Area'!W78+'Research Cyberinfrastructure'!W78+'EA &amp; Seed Funding'!W78+'Partnerships &amp; Collaborations'!W78+'Broadening Participation Divers'!W78+'Education Workforce Development'!W78+'Communications &amp; Disseminations'!W78+'Evaluation and Assessment '!W78+'Sustainability Plan'!W78+'Management '!W78)</f>
        <v>0</v>
      </c>
      <c r="X78" s="56">
        <f>SUM('Research Area'!X78+'Research Cyberinfrastructure'!X78+'EA &amp; Seed Funding'!X78+'Partnerships &amp; Collaborations'!X78+'Broadening Participation Divers'!X78+'Education Workforce Development'!X78+'Communications &amp; Disseminations'!X78+'Evaluation and Assessment '!X78+'Sustainability Plan'!X78+'Management '!X78)</f>
        <v>0</v>
      </c>
      <c r="Y78" s="56">
        <f t="shared" si="40"/>
        <v>0</v>
      </c>
    </row>
    <row r="79" spans="1:25" s="61" customFormat="1" x14ac:dyDescent="0.25">
      <c r="A79" s="87"/>
      <c r="B79" s="54"/>
      <c r="C79" s="124">
        <f>SUM('Research Area'!C79+'Research Cyberinfrastructure'!C79+'EA &amp; Seed Funding'!C79+'Partnerships &amp; Collaborations'!C79+'Broadening Participation Divers'!C79+'Education Workforce Development'!C79+'Communications &amp; Disseminations'!C79+'Evaluation and Assessment '!C79+'Sustainability Plan'!C79+'Management '!C79)</f>
        <v>0</v>
      </c>
      <c r="D79" s="56">
        <f>SUM('Research Area'!D79+'Research Cyberinfrastructure'!D79+'EA &amp; Seed Funding'!D79+'Partnerships &amp; Collaborations'!D79+'Broadening Participation Divers'!D79+'Education Workforce Development'!D79+'Communications &amp; Disseminations'!D79+'Evaluation and Assessment '!D79+'Sustainability Plan'!D79+'Management '!D79)</f>
        <v>0</v>
      </c>
      <c r="E79" s="56">
        <f t="shared" si="35"/>
        <v>0</v>
      </c>
      <c r="F79" s="15"/>
      <c r="G79" s="55">
        <f>SUM('Research Area'!G79+'Research Cyberinfrastructure'!G79+'EA &amp; Seed Funding'!G79+'Partnerships &amp; Collaborations'!G79+'Broadening Participation Divers'!G79+'Education Workforce Development'!G79+'Communications &amp; Disseminations'!G79+'Evaluation and Assessment '!G79+'Sustainability Plan'!G79+'Management '!G79)</f>
        <v>0</v>
      </c>
      <c r="H79" s="56">
        <f>SUM('Research Area'!H79+'Research Cyberinfrastructure'!H79+'EA &amp; Seed Funding'!H79+'Partnerships &amp; Collaborations'!H79+'Broadening Participation Divers'!H79+'Education Workforce Development'!H79+'Communications &amp; Disseminations'!H79+'Evaluation and Assessment '!H79+'Sustainability Plan'!H79+'Management '!H79)</f>
        <v>0</v>
      </c>
      <c r="I79" s="56">
        <f t="shared" si="36"/>
        <v>0</v>
      </c>
      <c r="J79" s="15"/>
      <c r="K79" s="55">
        <f>SUM('Research Area'!K79+'Research Cyberinfrastructure'!K79+'EA &amp; Seed Funding'!K79+'Partnerships &amp; Collaborations'!K79+'Broadening Participation Divers'!K79+'Education Workforce Development'!K79+'Communications &amp; Disseminations'!K79+'Evaluation and Assessment '!K79+'Sustainability Plan'!K79+'Management '!K79)</f>
        <v>0</v>
      </c>
      <c r="L79" s="56">
        <f>SUM('Research Area'!L79+'Research Cyberinfrastructure'!L79+'EA &amp; Seed Funding'!L79+'Partnerships &amp; Collaborations'!L79+'Broadening Participation Divers'!L79+'Education Workforce Development'!L79+'Communications &amp; Disseminations'!L79+'Evaluation and Assessment '!L79+'Sustainability Plan'!L79+'Management '!L79)</f>
        <v>0</v>
      </c>
      <c r="M79" s="56">
        <f t="shared" si="37"/>
        <v>0</v>
      </c>
      <c r="N79" s="15"/>
      <c r="O79" s="55">
        <f>SUM('Research Area'!O79+'Research Cyberinfrastructure'!O79+'EA &amp; Seed Funding'!O79+'Partnerships &amp; Collaborations'!O79+'Broadening Participation Divers'!O79+'Education Workforce Development'!O79+'Communications &amp; Disseminations'!O79+'Evaluation and Assessment '!O79+'Sustainability Plan'!O79+'Management '!O79)</f>
        <v>0</v>
      </c>
      <c r="P79" s="56">
        <f>SUM('Research Area'!P79+'Research Cyberinfrastructure'!P79+'EA &amp; Seed Funding'!P79+'Partnerships &amp; Collaborations'!P79+'Broadening Participation Divers'!P79+'Education Workforce Development'!P79+'Communications &amp; Disseminations'!P79+'Evaluation and Assessment '!P79+'Sustainability Plan'!P79+'Management '!P79)</f>
        <v>0</v>
      </c>
      <c r="Q79" s="56">
        <f t="shared" si="38"/>
        <v>0</v>
      </c>
      <c r="R79" s="15"/>
      <c r="S79" s="55">
        <f>SUM('Research Area'!S79+'Research Cyberinfrastructure'!S79+'EA &amp; Seed Funding'!S79+'Partnerships &amp; Collaborations'!S79+'Broadening Participation Divers'!S79+'Education Workforce Development'!S79+'Communications &amp; Disseminations'!S79+'Evaluation and Assessment '!S79+'Sustainability Plan'!S79+'Management '!S79)</f>
        <v>0</v>
      </c>
      <c r="T79" s="56">
        <f>SUM('Research Area'!T79+'Research Cyberinfrastructure'!T79+'EA &amp; Seed Funding'!T79+'Partnerships &amp; Collaborations'!T79+'Broadening Participation Divers'!T79+'Education Workforce Development'!T79+'Communications &amp; Disseminations'!T79+'Evaluation and Assessment '!T79+'Sustainability Plan'!T79+'Management '!T79)</f>
        <v>0</v>
      </c>
      <c r="U79" s="56">
        <f t="shared" si="39"/>
        <v>0</v>
      </c>
      <c r="V79" s="16"/>
      <c r="W79" s="55">
        <f>SUM('Research Area'!W79+'Research Cyberinfrastructure'!W79+'EA &amp; Seed Funding'!W79+'Partnerships &amp; Collaborations'!W79+'Broadening Participation Divers'!W79+'Education Workforce Development'!W79+'Communications &amp; Disseminations'!W79+'Evaluation and Assessment '!W79+'Sustainability Plan'!W79+'Management '!W79)</f>
        <v>0</v>
      </c>
      <c r="X79" s="56">
        <f>SUM('Research Area'!X79+'Research Cyberinfrastructure'!X79+'EA &amp; Seed Funding'!X79+'Partnerships &amp; Collaborations'!X79+'Broadening Participation Divers'!X79+'Education Workforce Development'!X79+'Communications &amp; Disseminations'!X79+'Evaluation and Assessment '!X79+'Sustainability Plan'!X79+'Management '!X79)</f>
        <v>0</v>
      </c>
      <c r="Y79" s="56">
        <f t="shared" si="40"/>
        <v>0</v>
      </c>
    </row>
    <row r="80" spans="1:25" s="61" customFormat="1" x14ac:dyDescent="0.25">
      <c r="A80" s="52"/>
      <c r="B80" s="52"/>
      <c r="C80" s="124">
        <f>SUM('Research Area'!C80+'Research Cyberinfrastructure'!C80+'EA &amp; Seed Funding'!C80+'Partnerships &amp; Collaborations'!C80+'Broadening Participation Divers'!C80+'Education Workforce Development'!C80+'Communications &amp; Disseminations'!C80+'Evaluation and Assessment '!C80+'Sustainability Plan'!C80+'Management '!C80)</f>
        <v>0</v>
      </c>
      <c r="D80" s="56">
        <f>SUM('Research Area'!D80+'Research Cyberinfrastructure'!D80+'EA &amp; Seed Funding'!D80+'Partnerships &amp; Collaborations'!D80+'Broadening Participation Divers'!D80+'Education Workforce Development'!D80+'Communications &amp; Disseminations'!D80+'Evaluation and Assessment '!D80+'Sustainability Plan'!D80+'Management '!D80)</f>
        <v>0</v>
      </c>
      <c r="E80" s="56">
        <f t="shared" si="35"/>
        <v>0</v>
      </c>
      <c r="F80" s="15"/>
      <c r="G80" s="55">
        <f>SUM('Research Area'!G80+'Research Cyberinfrastructure'!G80+'EA &amp; Seed Funding'!G80+'Partnerships &amp; Collaborations'!G80+'Broadening Participation Divers'!G80+'Education Workforce Development'!G80+'Communications &amp; Disseminations'!G80+'Evaluation and Assessment '!G80+'Sustainability Plan'!G80+'Management '!G80)</f>
        <v>0</v>
      </c>
      <c r="H80" s="56">
        <f>SUM('Research Area'!H80+'Research Cyberinfrastructure'!H80+'EA &amp; Seed Funding'!H80+'Partnerships &amp; Collaborations'!H80+'Broadening Participation Divers'!H80+'Education Workforce Development'!H80+'Communications &amp; Disseminations'!H80+'Evaluation and Assessment '!H80+'Sustainability Plan'!H80+'Management '!H80)</f>
        <v>0</v>
      </c>
      <c r="I80" s="56">
        <f t="shared" si="36"/>
        <v>0</v>
      </c>
      <c r="J80" s="15"/>
      <c r="K80" s="55">
        <f>SUM('Research Area'!K80+'Research Cyberinfrastructure'!K80+'EA &amp; Seed Funding'!K80+'Partnerships &amp; Collaborations'!K80+'Broadening Participation Divers'!K80+'Education Workforce Development'!K80+'Communications &amp; Disseminations'!K80+'Evaluation and Assessment '!K80+'Sustainability Plan'!K80+'Management '!K80)</f>
        <v>0</v>
      </c>
      <c r="L80" s="56">
        <f>SUM('Research Area'!L80+'Research Cyberinfrastructure'!L80+'EA &amp; Seed Funding'!L80+'Partnerships &amp; Collaborations'!L80+'Broadening Participation Divers'!L80+'Education Workforce Development'!L80+'Communications &amp; Disseminations'!L80+'Evaluation and Assessment '!L80+'Sustainability Plan'!L80+'Management '!L80)</f>
        <v>0</v>
      </c>
      <c r="M80" s="56">
        <f t="shared" si="37"/>
        <v>0</v>
      </c>
      <c r="N80" s="15"/>
      <c r="O80" s="55">
        <f>SUM('Research Area'!O80+'Research Cyberinfrastructure'!O80+'EA &amp; Seed Funding'!O80+'Partnerships &amp; Collaborations'!O80+'Broadening Participation Divers'!O80+'Education Workforce Development'!O80+'Communications &amp; Disseminations'!O80+'Evaluation and Assessment '!O80+'Sustainability Plan'!O80+'Management '!O80)</f>
        <v>0</v>
      </c>
      <c r="P80" s="56">
        <f>SUM('Research Area'!P80+'Research Cyberinfrastructure'!P80+'EA &amp; Seed Funding'!P80+'Partnerships &amp; Collaborations'!P80+'Broadening Participation Divers'!P80+'Education Workforce Development'!P80+'Communications &amp; Disseminations'!P80+'Evaluation and Assessment '!P80+'Sustainability Plan'!P80+'Management '!P80)</f>
        <v>0</v>
      </c>
      <c r="Q80" s="56">
        <f t="shared" si="38"/>
        <v>0</v>
      </c>
      <c r="R80" s="15"/>
      <c r="S80" s="55">
        <f>SUM('Research Area'!S80+'Research Cyberinfrastructure'!S80+'EA &amp; Seed Funding'!S80+'Partnerships &amp; Collaborations'!S80+'Broadening Participation Divers'!S80+'Education Workforce Development'!S80+'Communications &amp; Disseminations'!S80+'Evaluation and Assessment '!S80+'Sustainability Plan'!S80+'Management '!S80)</f>
        <v>0</v>
      </c>
      <c r="T80" s="56">
        <f>SUM('Research Area'!T80+'Research Cyberinfrastructure'!T80+'EA &amp; Seed Funding'!T80+'Partnerships &amp; Collaborations'!T80+'Broadening Participation Divers'!T80+'Education Workforce Development'!T80+'Communications &amp; Disseminations'!T80+'Evaluation and Assessment '!T80+'Sustainability Plan'!T80+'Management '!T80)</f>
        <v>0</v>
      </c>
      <c r="U80" s="56">
        <f t="shared" si="39"/>
        <v>0</v>
      </c>
      <c r="V80" s="16"/>
      <c r="W80" s="55">
        <f>SUM('Research Area'!W80+'Research Cyberinfrastructure'!W80+'EA &amp; Seed Funding'!W80+'Partnerships &amp; Collaborations'!W80+'Broadening Participation Divers'!W80+'Education Workforce Development'!W80+'Communications &amp; Disseminations'!W80+'Evaluation and Assessment '!W80+'Sustainability Plan'!W80+'Management '!W80)</f>
        <v>0</v>
      </c>
      <c r="X80" s="56">
        <f>SUM('Research Area'!X80+'Research Cyberinfrastructure'!X80+'EA &amp; Seed Funding'!X80+'Partnerships &amp; Collaborations'!X80+'Broadening Participation Divers'!X80+'Education Workforce Development'!X80+'Communications &amp; Disseminations'!X80+'Evaluation and Assessment '!X80+'Sustainability Plan'!X80+'Management '!X80)</f>
        <v>0</v>
      </c>
      <c r="Y80" s="56">
        <f t="shared" si="40"/>
        <v>0</v>
      </c>
    </row>
    <row r="81" spans="1:77" s="61" customFormat="1" x14ac:dyDescent="0.25">
      <c r="A81" s="52"/>
      <c r="B81" s="54"/>
      <c r="C81" s="124">
        <f>SUM('Research Area'!C81+'Research Cyberinfrastructure'!C81+'EA &amp; Seed Funding'!C81+'Partnerships &amp; Collaborations'!C81+'Broadening Participation Divers'!C81+'Education Workforce Development'!C81+'Communications &amp; Disseminations'!C81+'Evaluation and Assessment '!C81+'Sustainability Plan'!C81+'Management '!C81)</f>
        <v>0</v>
      </c>
      <c r="D81" s="56">
        <f>SUM('Research Area'!D81+'Research Cyberinfrastructure'!D81+'EA &amp; Seed Funding'!D81+'Partnerships &amp; Collaborations'!D81+'Broadening Participation Divers'!D81+'Education Workforce Development'!D81+'Communications &amp; Disseminations'!D81+'Evaluation and Assessment '!D81+'Sustainability Plan'!D81+'Management '!D81)</f>
        <v>0</v>
      </c>
      <c r="E81" s="56">
        <f t="shared" si="35"/>
        <v>0</v>
      </c>
      <c r="F81" s="15"/>
      <c r="G81" s="55">
        <f>SUM('Research Area'!G81+'Research Cyberinfrastructure'!G81+'EA &amp; Seed Funding'!G81+'Partnerships &amp; Collaborations'!G81+'Broadening Participation Divers'!G81+'Education Workforce Development'!G81+'Communications &amp; Disseminations'!G81+'Evaluation and Assessment '!G81+'Sustainability Plan'!G81+'Management '!G81)</f>
        <v>0</v>
      </c>
      <c r="H81" s="56">
        <f>SUM('Research Area'!H81+'Research Cyberinfrastructure'!H81+'EA &amp; Seed Funding'!H81+'Partnerships &amp; Collaborations'!H81+'Broadening Participation Divers'!H81+'Education Workforce Development'!H81+'Communications &amp; Disseminations'!H81+'Evaluation and Assessment '!H81+'Sustainability Plan'!H81+'Management '!H81)</f>
        <v>0</v>
      </c>
      <c r="I81" s="56">
        <f t="shared" si="36"/>
        <v>0</v>
      </c>
      <c r="J81" s="15"/>
      <c r="K81" s="55">
        <f>SUM('Research Area'!K81+'Research Cyberinfrastructure'!K81+'EA &amp; Seed Funding'!K81+'Partnerships &amp; Collaborations'!K81+'Broadening Participation Divers'!K81+'Education Workforce Development'!K81+'Communications &amp; Disseminations'!K81+'Evaluation and Assessment '!K81+'Sustainability Plan'!K81+'Management '!K81)</f>
        <v>0</v>
      </c>
      <c r="L81" s="56">
        <f>SUM('Research Area'!L81+'Research Cyberinfrastructure'!L81+'EA &amp; Seed Funding'!L81+'Partnerships &amp; Collaborations'!L81+'Broadening Participation Divers'!L81+'Education Workforce Development'!L81+'Communications &amp; Disseminations'!L81+'Evaluation and Assessment '!L81+'Sustainability Plan'!L81+'Management '!L81)</f>
        <v>0</v>
      </c>
      <c r="M81" s="56">
        <f t="shared" si="37"/>
        <v>0</v>
      </c>
      <c r="N81" s="15"/>
      <c r="O81" s="55">
        <f>SUM('Research Area'!O81+'Research Cyberinfrastructure'!O81+'EA &amp; Seed Funding'!O81+'Partnerships &amp; Collaborations'!O81+'Broadening Participation Divers'!O81+'Education Workforce Development'!O81+'Communications &amp; Disseminations'!O81+'Evaluation and Assessment '!O81+'Sustainability Plan'!O81+'Management '!O81)</f>
        <v>0</v>
      </c>
      <c r="P81" s="56">
        <f>SUM('Research Area'!P81+'Research Cyberinfrastructure'!P81+'EA &amp; Seed Funding'!P81+'Partnerships &amp; Collaborations'!P81+'Broadening Participation Divers'!P81+'Education Workforce Development'!P81+'Communications &amp; Disseminations'!P81+'Evaluation and Assessment '!P81+'Sustainability Plan'!P81+'Management '!P81)</f>
        <v>0</v>
      </c>
      <c r="Q81" s="56">
        <f t="shared" si="38"/>
        <v>0</v>
      </c>
      <c r="R81" s="15"/>
      <c r="S81" s="55">
        <f>SUM('Research Area'!S81+'Research Cyberinfrastructure'!S81+'EA &amp; Seed Funding'!S81+'Partnerships &amp; Collaborations'!S81+'Broadening Participation Divers'!S81+'Education Workforce Development'!S81+'Communications &amp; Disseminations'!S81+'Evaluation and Assessment '!S81+'Sustainability Plan'!S81+'Management '!S81)</f>
        <v>0</v>
      </c>
      <c r="T81" s="56">
        <f>SUM('Research Area'!T81+'Research Cyberinfrastructure'!T81+'EA &amp; Seed Funding'!T81+'Partnerships &amp; Collaborations'!T81+'Broadening Participation Divers'!T81+'Education Workforce Development'!T81+'Communications &amp; Disseminations'!T81+'Evaluation and Assessment '!T81+'Sustainability Plan'!T81+'Management '!T81)</f>
        <v>0</v>
      </c>
      <c r="U81" s="56">
        <f t="shared" si="39"/>
        <v>0</v>
      </c>
      <c r="V81" s="16"/>
      <c r="W81" s="55">
        <f>SUM('Research Area'!W81+'Research Cyberinfrastructure'!W81+'EA &amp; Seed Funding'!W81+'Partnerships &amp; Collaborations'!W81+'Broadening Participation Divers'!W81+'Education Workforce Development'!W81+'Communications &amp; Disseminations'!W81+'Evaluation and Assessment '!W81+'Sustainability Plan'!W81+'Management '!W81)</f>
        <v>0</v>
      </c>
      <c r="X81" s="56">
        <f>SUM('Research Area'!X81+'Research Cyberinfrastructure'!X81+'EA &amp; Seed Funding'!X81+'Partnerships &amp; Collaborations'!X81+'Broadening Participation Divers'!X81+'Education Workforce Development'!X81+'Communications &amp; Disseminations'!X81+'Evaluation and Assessment '!X81+'Sustainability Plan'!X81+'Management '!X81)</f>
        <v>0</v>
      </c>
      <c r="Y81" s="56">
        <f t="shared" si="40"/>
        <v>0</v>
      </c>
    </row>
    <row r="82" spans="1:77" s="61" customFormat="1" x14ac:dyDescent="0.25">
      <c r="A82" s="52"/>
      <c r="B82" s="54"/>
      <c r="C82" s="124">
        <f>SUM('Research Area'!C82+'Research Cyberinfrastructure'!C82+'EA &amp; Seed Funding'!C82+'Partnerships &amp; Collaborations'!C82+'Broadening Participation Divers'!C82+'Education Workforce Development'!C82+'Communications &amp; Disseminations'!C82+'Evaluation and Assessment '!C82+'Sustainability Plan'!C82+'Management '!C82)</f>
        <v>0</v>
      </c>
      <c r="D82" s="56">
        <f>SUM('Research Area'!D82+'Research Cyberinfrastructure'!D82+'EA &amp; Seed Funding'!D82+'Partnerships &amp; Collaborations'!D82+'Broadening Participation Divers'!D82+'Education Workforce Development'!D82+'Communications &amp; Disseminations'!D82+'Evaluation and Assessment '!D82+'Sustainability Plan'!D82+'Management '!D82)</f>
        <v>0</v>
      </c>
      <c r="E82" s="56">
        <f t="shared" si="35"/>
        <v>0</v>
      </c>
      <c r="F82" s="15"/>
      <c r="G82" s="55">
        <f>SUM('Research Area'!G82+'Research Cyberinfrastructure'!G82+'EA &amp; Seed Funding'!G82+'Partnerships &amp; Collaborations'!G82+'Broadening Participation Divers'!G82+'Education Workforce Development'!G82+'Communications &amp; Disseminations'!G82+'Evaluation and Assessment '!G82+'Sustainability Plan'!G82+'Management '!G82)</f>
        <v>0</v>
      </c>
      <c r="H82" s="56">
        <f>SUM('Research Area'!H82+'Research Cyberinfrastructure'!H82+'EA &amp; Seed Funding'!H82+'Partnerships &amp; Collaborations'!H82+'Broadening Participation Divers'!H82+'Education Workforce Development'!H82+'Communications &amp; Disseminations'!H82+'Evaluation and Assessment '!H82+'Sustainability Plan'!H82+'Management '!H82)</f>
        <v>0</v>
      </c>
      <c r="I82" s="56">
        <f t="shared" si="36"/>
        <v>0</v>
      </c>
      <c r="J82" s="15"/>
      <c r="K82" s="55">
        <f>SUM('Research Area'!K82+'Research Cyberinfrastructure'!K82+'EA &amp; Seed Funding'!K82+'Partnerships &amp; Collaborations'!K82+'Broadening Participation Divers'!K82+'Education Workforce Development'!K82+'Communications &amp; Disseminations'!K82+'Evaluation and Assessment '!K82+'Sustainability Plan'!K82+'Management '!K82)</f>
        <v>0</v>
      </c>
      <c r="L82" s="56">
        <f>SUM('Research Area'!L82+'Research Cyberinfrastructure'!L82+'EA &amp; Seed Funding'!L82+'Partnerships &amp; Collaborations'!L82+'Broadening Participation Divers'!L82+'Education Workforce Development'!L82+'Communications &amp; Disseminations'!L82+'Evaluation and Assessment '!L82+'Sustainability Plan'!L82+'Management '!L82)</f>
        <v>0</v>
      </c>
      <c r="M82" s="56">
        <f t="shared" si="37"/>
        <v>0</v>
      </c>
      <c r="N82" s="15"/>
      <c r="O82" s="55">
        <f>SUM('Research Area'!O82+'Research Cyberinfrastructure'!O82+'EA &amp; Seed Funding'!O82+'Partnerships &amp; Collaborations'!O82+'Broadening Participation Divers'!O82+'Education Workforce Development'!O82+'Communications &amp; Disseminations'!O82+'Evaluation and Assessment '!O82+'Sustainability Plan'!O82+'Management '!O82)</f>
        <v>0</v>
      </c>
      <c r="P82" s="56">
        <f>SUM('Research Area'!P82+'Research Cyberinfrastructure'!P82+'EA &amp; Seed Funding'!P82+'Partnerships &amp; Collaborations'!P82+'Broadening Participation Divers'!P82+'Education Workforce Development'!P82+'Communications &amp; Disseminations'!P82+'Evaluation and Assessment '!P82+'Sustainability Plan'!P82+'Management '!P82)</f>
        <v>0</v>
      </c>
      <c r="Q82" s="56">
        <f t="shared" si="38"/>
        <v>0</v>
      </c>
      <c r="R82" s="15"/>
      <c r="S82" s="55">
        <f>SUM('Research Area'!S82+'Research Cyberinfrastructure'!S82+'EA &amp; Seed Funding'!S82+'Partnerships &amp; Collaborations'!S82+'Broadening Participation Divers'!S82+'Education Workforce Development'!S82+'Communications &amp; Disseminations'!S82+'Evaluation and Assessment '!S82+'Sustainability Plan'!S82+'Management '!S82)</f>
        <v>0</v>
      </c>
      <c r="T82" s="56">
        <f>SUM('Research Area'!T82+'Research Cyberinfrastructure'!T82+'EA &amp; Seed Funding'!T82+'Partnerships &amp; Collaborations'!T82+'Broadening Participation Divers'!T82+'Education Workforce Development'!T82+'Communications &amp; Disseminations'!T82+'Evaluation and Assessment '!T82+'Sustainability Plan'!T82+'Management '!T82)</f>
        <v>0</v>
      </c>
      <c r="U82" s="56">
        <f t="shared" si="39"/>
        <v>0</v>
      </c>
      <c r="V82" s="16"/>
      <c r="W82" s="55">
        <f>SUM('Research Area'!W82+'Research Cyberinfrastructure'!W82+'EA &amp; Seed Funding'!W82+'Partnerships &amp; Collaborations'!W82+'Broadening Participation Divers'!W82+'Education Workforce Development'!W82+'Communications &amp; Disseminations'!W82+'Evaluation and Assessment '!W82+'Sustainability Plan'!W82+'Management '!W82)</f>
        <v>0</v>
      </c>
      <c r="X82" s="56">
        <f>SUM('Research Area'!X82+'Research Cyberinfrastructure'!X82+'EA &amp; Seed Funding'!X82+'Partnerships &amp; Collaborations'!X82+'Broadening Participation Divers'!X82+'Education Workforce Development'!X82+'Communications &amp; Disseminations'!X82+'Evaluation and Assessment '!X82+'Sustainability Plan'!X82+'Management '!X82)</f>
        <v>0</v>
      </c>
      <c r="Y82" s="56">
        <f t="shared" si="40"/>
        <v>0</v>
      </c>
    </row>
    <row r="83" spans="1:77" s="61" customFormat="1" x14ac:dyDescent="0.25">
      <c r="A83" s="52"/>
      <c r="B83" s="54"/>
      <c r="C83" s="124">
        <f>SUM('Research Area'!C83+'Research Cyberinfrastructure'!C83+'EA &amp; Seed Funding'!C83+'Partnerships &amp; Collaborations'!C83+'Broadening Participation Divers'!C83+'Education Workforce Development'!C83+'Communications &amp; Disseminations'!C83+'Evaluation and Assessment '!C83+'Sustainability Plan'!C83+'Management '!C83)</f>
        <v>0</v>
      </c>
      <c r="D83" s="56">
        <f>SUM('Research Area'!D83+'Research Cyberinfrastructure'!D83+'EA &amp; Seed Funding'!D83+'Partnerships &amp; Collaborations'!D83+'Broadening Participation Divers'!D83+'Education Workforce Development'!D83+'Communications &amp; Disseminations'!D83+'Evaluation and Assessment '!D83+'Sustainability Plan'!D83+'Management '!D83)</f>
        <v>0</v>
      </c>
      <c r="E83" s="56">
        <f t="shared" si="35"/>
        <v>0</v>
      </c>
      <c r="F83" s="15"/>
      <c r="G83" s="55">
        <f>SUM('Research Area'!G83+'Research Cyberinfrastructure'!G83+'EA &amp; Seed Funding'!G83+'Partnerships &amp; Collaborations'!G83+'Broadening Participation Divers'!G83+'Education Workforce Development'!G83+'Communications &amp; Disseminations'!G83+'Evaluation and Assessment '!G83+'Sustainability Plan'!G83+'Management '!G83)</f>
        <v>0</v>
      </c>
      <c r="H83" s="56">
        <f>SUM('Research Area'!H83+'Research Cyberinfrastructure'!H83+'EA &amp; Seed Funding'!H83+'Partnerships &amp; Collaborations'!H83+'Broadening Participation Divers'!H83+'Education Workforce Development'!H83+'Communications &amp; Disseminations'!H83+'Evaluation and Assessment '!H83+'Sustainability Plan'!H83+'Management '!H83)</f>
        <v>0</v>
      </c>
      <c r="I83" s="56">
        <f t="shared" si="36"/>
        <v>0</v>
      </c>
      <c r="J83" s="15"/>
      <c r="K83" s="55">
        <f>SUM('Research Area'!K83+'Research Cyberinfrastructure'!K83+'EA &amp; Seed Funding'!K83+'Partnerships &amp; Collaborations'!K83+'Broadening Participation Divers'!K83+'Education Workforce Development'!K83+'Communications &amp; Disseminations'!K83+'Evaluation and Assessment '!K83+'Sustainability Plan'!K83+'Management '!K83)</f>
        <v>0</v>
      </c>
      <c r="L83" s="56">
        <f>SUM('Research Area'!L83+'Research Cyberinfrastructure'!L83+'EA &amp; Seed Funding'!L83+'Partnerships &amp; Collaborations'!L83+'Broadening Participation Divers'!L83+'Education Workforce Development'!L83+'Communications &amp; Disseminations'!L83+'Evaluation and Assessment '!L83+'Sustainability Plan'!L83+'Management '!L83)</f>
        <v>0</v>
      </c>
      <c r="M83" s="56">
        <f t="shared" si="37"/>
        <v>0</v>
      </c>
      <c r="N83" s="15"/>
      <c r="O83" s="55">
        <f>SUM('Research Area'!O83+'Research Cyberinfrastructure'!O83+'EA &amp; Seed Funding'!O83+'Partnerships &amp; Collaborations'!O83+'Broadening Participation Divers'!O83+'Education Workforce Development'!O83+'Communications &amp; Disseminations'!O83+'Evaluation and Assessment '!O83+'Sustainability Plan'!O83+'Management '!O83)</f>
        <v>0</v>
      </c>
      <c r="P83" s="56">
        <f>SUM('Research Area'!P83+'Research Cyberinfrastructure'!P83+'EA &amp; Seed Funding'!P83+'Partnerships &amp; Collaborations'!P83+'Broadening Participation Divers'!P83+'Education Workforce Development'!P83+'Communications &amp; Disseminations'!P83+'Evaluation and Assessment '!P83+'Sustainability Plan'!P83+'Management '!P83)</f>
        <v>0</v>
      </c>
      <c r="Q83" s="56">
        <f t="shared" si="38"/>
        <v>0</v>
      </c>
      <c r="R83" s="15"/>
      <c r="S83" s="55">
        <f>SUM('Research Area'!S83+'Research Cyberinfrastructure'!S83+'EA &amp; Seed Funding'!S83+'Partnerships &amp; Collaborations'!S83+'Broadening Participation Divers'!S83+'Education Workforce Development'!S83+'Communications &amp; Disseminations'!S83+'Evaluation and Assessment '!S83+'Sustainability Plan'!S83+'Management '!S83)</f>
        <v>0</v>
      </c>
      <c r="T83" s="56">
        <f>SUM('Research Area'!T83+'Research Cyberinfrastructure'!T83+'EA &amp; Seed Funding'!T83+'Partnerships &amp; Collaborations'!T83+'Broadening Participation Divers'!T83+'Education Workforce Development'!T83+'Communications &amp; Disseminations'!T83+'Evaluation and Assessment '!T83+'Sustainability Plan'!T83+'Management '!T83)</f>
        <v>0</v>
      </c>
      <c r="U83" s="56">
        <f t="shared" si="39"/>
        <v>0</v>
      </c>
      <c r="V83" s="16"/>
      <c r="W83" s="55">
        <f>SUM('Research Area'!W83+'Research Cyberinfrastructure'!W83+'EA &amp; Seed Funding'!W83+'Partnerships &amp; Collaborations'!W83+'Broadening Participation Divers'!W83+'Education Workforce Development'!W83+'Communications &amp; Disseminations'!W83+'Evaluation and Assessment '!W83+'Sustainability Plan'!W83+'Management '!W83)</f>
        <v>0</v>
      </c>
      <c r="X83" s="56">
        <f>SUM('Research Area'!X83+'Research Cyberinfrastructure'!X83+'EA &amp; Seed Funding'!X83+'Partnerships &amp; Collaborations'!X83+'Broadening Participation Divers'!X83+'Education Workforce Development'!X83+'Communications &amp; Disseminations'!X83+'Evaluation and Assessment '!X83+'Sustainability Plan'!X83+'Management '!X83)</f>
        <v>0</v>
      </c>
      <c r="Y83" s="56">
        <f t="shared" si="40"/>
        <v>0</v>
      </c>
    </row>
    <row r="84" spans="1:77" s="61" customFormat="1" x14ac:dyDescent="0.25">
      <c r="A84" s="52"/>
      <c r="B84" s="52"/>
      <c r="C84" s="124">
        <f>SUM('Research Area'!C84+'Research Cyberinfrastructure'!C84+'EA &amp; Seed Funding'!C84+'Partnerships &amp; Collaborations'!C84+'Broadening Participation Divers'!C84+'Education Workforce Development'!C84+'Communications &amp; Disseminations'!C84+'Evaluation and Assessment '!C84+'Sustainability Plan'!C84+'Management '!C84)</f>
        <v>0</v>
      </c>
      <c r="D84" s="56">
        <f>SUM('Research Area'!D84+'Research Cyberinfrastructure'!D84+'EA &amp; Seed Funding'!D84+'Partnerships &amp; Collaborations'!D84+'Broadening Participation Divers'!D84+'Education Workforce Development'!D84+'Communications &amp; Disseminations'!D84+'Evaluation and Assessment '!D84+'Sustainability Plan'!D84+'Management '!D84)</f>
        <v>0</v>
      </c>
      <c r="E84" s="56">
        <f t="shared" si="35"/>
        <v>0</v>
      </c>
      <c r="F84" s="15"/>
      <c r="G84" s="55">
        <f>SUM('Research Area'!G84+'Research Cyberinfrastructure'!G84+'EA &amp; Seed Funding'!G84+'Partnerships &amp; Collaborations'!G84+'Broadening Participation Divers'!G84+'Education Workforce Development'!G84+'Communications &amp; Disseminations'!G84+'Evaluation and Assessment '!G84+'Sustainability Plan'!G84+'Management '!G84)</f>
        <v>0</v>
      </c>
      <c r="H84" s="56">
        <f>SUM('Research Area'!H84+'Research Cyberinfrastructure'!H84+'EA &amp; Seed Funding'!H84+'Partnerships &amp; Collaborations'!H84+'Broadening Participation Divers'!H84+'Education Workforce Development'!H84+'Communications &amp; Disseminations'!H84+'Evaluation and Assessment '!H84+'Sustainability Plan'!H84+'Management '!H84)</f>
        <v>0</v>
      </c>
      <c r="I84" s="56">
        <f t="shared" si="36"/>
        <v>0</v>
      </c>
      <c r="J84" s="15"/>
      <c r="K84" s="55">
        <f>SUM('Research Area'!K84+'Research Cyberinfrastructure'!K84+'EA &amp; Seed Funding'!K84+'Partnerships &amp; Collaborations'!K84+'Broadening Participation Divers'!K84+'Education Workforce Development'!K84+'Communications &amp; Disseminations'!K84+'Evaluation and Assessment '!K84+'Sustainability Plan'!K84+'Management '!K84)</f>
        <v>0</v>
      </c>
      <c r="L84" s="56">
        <f>SUM('Research Area'!L84+'Research Cyberinfrastructure'!L84+'EA &amp; Seed Funding'!L84+'Partnerships &amp; Collaborations'!L84+'Broadening Participation Divers'!L84+'Education Workforce Development'!L84+'Communications &amp; Disseminations'!L84+'Evaluation and Assessment '!L84+'Sustainability Plan'!L84+'Management '!L84)</f>
        <v>0</v>
      </c>
      <c r="M84" s="56">
        <f t="shared" si="37"/>
        <v>0</v>
      </c>
      <c r="N84" s="15"/>
      <c r="O84" s="55">
        <f>SUM('Research Area'!O84+'Research Cyberinfrastructure'!O84+'EA &amp; Seed Funding'!O84+'Partnerships &amp; Collaborations'!O84+'Broadening Participation Divers'!O84+'Education Workforce Development'!O84+'Communications &amp; Disseminations'!O84+'Evaluation and Assessment '!O84+'Sustainability Plan'!O84+'Management '!O84)</f>
        <v>0</v>
      </c>
      <c r="P84" s="56">
        <f>SUM('Research Area'!P84+'Research Cyberinfrastructure'!P84+'EA &amp; Seed Funding'!P84+'Partnerships &amp; Collaborations'!P84+'Broadening Participation Divers'!P84+'Education Workforce Development'!P84+'Communications &amp; Disseminations'!P84+'Evaluation and Assessment '!P84+'Sustainability Plan'!P84+'Management '!P84)</f>
        <v>0</v>
      </c>
      <c r="Q84" s="56">
        <f t="shared" si="38"/>
        <v>0</v>
      </c>
      <c r="R84" s="15"/>
      <c r="S84" s="55">
        <f>SUM('Research Area'!S84+'Research Cyberinfrastructure'!S84+'EA &amp; Seed Funding'!S84+'Partnerships &amp; Collaborations'!S84+'Broadening Participation Divers'!S84+'Education Workforce Development'!S84+'Communications &amp; Disseminations'!S84+'Evaluation and Assessment '!S84+'Sustainability Plan'!S84+'Management '!S84)</f>
        <v>0</v>
      </c>
      <c r="T84" s="56">
        <f>SUM('Research Area'!T84+'Research Cyberinfrastructure'!T84+'EA &amp; Seed Funding'!T84+'Partnerships &amp; Collaborations'!T84+'Broadening Participation Divers'!T84+'Education Workforce Development'!T84+'Communications &amp; Disseminations'!T84+'Evaluation and Assessment '!T84+'Sustainability Plan'!T84+'Management '!T84)</f>
        <v>0</v>
      </c>
      <c r="U84" s="56">
        <f t="shared" si="39"/>
        <v>0</v>
      </c>
      <c r="V84" s="16"/>
      <c r="W84" s="55">
        <f>SUM('Research Area'!W84+'Research Cyberinfrastructure'!W84+'EA &amp; Seed Funding'!W84+'Partnerships &amp; Collaborations'!W84+'Broadening Participation Divers'!W84+'Education Workforce Development'!W84+'Communications &amp; Disseminations'!W84+'Evaluation and Assessment '!W84+'Sustainability Plan'!W84+'Management '!W84)</f>
        <v>0</v>
      </c>
      <c r="X84" s="56">
        <f>SUM('Research Area'!X84+'Research Cyberinfrastructure'!X84+'EA &amp; Seed Funding'!X84+'Partnerships &amp; Collaborations'!X84+'Broadening Participation Divers'!X84+'Education Workforce Development'!X84+'Communications &amp; Disseminations'!X84+'Evaluation and Assessment '!X84+'Sustainability Plan'!X84+'Management '!X84)</f>
        <v>0</v>
      </c>
      <c r="Y84" s="56">
        <f t="shared" si="40"/>
        <v>0</v>
      </c>
    </row>
    <row r="85" spans="1:77" s="83" customFormat="1" x14ac:dyDescent="0.25">
      <c r="A85" s="78"/>
      <c r="B85" s="78" t="s">
        <v>9</v>
      </c>
      <c r="C85" s="232">
        <f>SUM(C65:C84)</f>
        <v>245017</v>
      </c>
      <c r="D85" s="130">
        <f>SUM(D65:D84)</f>
        <v>279750</v>
      </c>
      <c r="E85" s="130">
        <f>SUM(E65:E84)</f>
        <v>524767</v>
      </c>
      <c r="F85" s="81"/>
      <c r="G85" s="126">
        <f>SUM(G65:G84)</f>
        <v>611808</v>
      </c>
      <c r="H85" s="130">
        <f>SUM(H65:H84)</f>
        <v>274750</v>
      </c>
      <c r="I85" s="130">
        <f>SUM(I65:I84)</f>
        <v>886558</v>
      </c>
      <c r="J85" s="81"/>
      <c r="K85" s="126">
        <f>SUM(K65:K84)</f>
        <v>541228.24</v>
      </c>
      <c r="L85" s="130">
        <f>SUM(L65:L84)</f>
        <v>214750</v>
      </c>
      <c r="M85" s="130">
        <f>SUM(M65:M84)</f>
        <v>755978.23999999999</v>
      </c>
      <c r="N85" s="81"/>
      <c r="O85" s="126">
        <f>SUM(O65:O84)</f>
        <v>463661.08720000001</v>
      </c>
      <c r="P85" s="130">
        <f>SUM(P65:P84)</f>
        <v>254750</v>
      </c>
      <c r="Q85" s="130">
        <f>SUM(Q65:Q84)</f>
        <v>718411.08719999995</v>
      </c>
      <c r="R85" s="81"/>
      <c r="S85" s="126">
        <f>SUM(S65:S84)</f>
        <v>198500</v>
      </c>
      <c r="T85" s="130">
        <f>SUM(T65:T84)</f>
        <v>187250</v>
      </c>
      <c r="U85" s="130">
        <f>SUM(U65:U84)</f>
        <v>385750</v>
      </c>
      <c r="V85" s="82"/>
      <c r="W85" s="126">
        <f>SUM(W65:W84)</f>
        <v>2060214.3271999999</v>
      </c>
      <c r="X85" s="130">
        <f>SUM(X65:X84)</f>
        <v>1211250</v>
      </c>
      <c r="Y85" s="130">
        <f>SUM(Y65:Y84)</f>
        <v>3271464.3272000002</v>
      </c>
    </row>
    <row r="86" spans="1:77" s="8" customFormat="1" x14ac:dyDescent="0.25">
      <c r="A86" s="132" t="s">
        <v>28</v>
      </c>
      <c r="B86" s="132"/>
      <c r="C86" s="206">
        <f>C85+C63+C57+C49+C37</f>
        <v>825326.99184867274</v>
      </c>
      <c r="D86" s="206">
        <f t="shared" ref="D86:X86" si="41">D85+D63+D57+D49+D37</f>
        <v>773309.41694443952</v>
      </c>
      <c r="E86" s="206">
        <f>SUM(C86:D86)</f>
        <v>1598636.4087931123</v>
      </c>
      <c r="F86" s="95"/>
      <c r="G86" s="95">
        <f>G85+G63+G57+G49+G37</f>
        <v>1940547.169631212</v>
      </c>
      <c r="H86" s="95">
        <f t="shared" si="41"/>
        <v>667640.28457539331</v>
      </c>
      <c r="I86" s="95">
        <f>SUM(G86:H86)</f>
        <v>2608187.4542066054</v>
      </c>
      <c r="J86" s="95"/>
      <c r="K86" s="95">
        <f t="shared" si="41"/>
        <v>1555202.3565556216</v>
      </c>
      <c r="L86" s="95">
        <f t="shared" si="41"/>
        <v>614965.83303303167</v>
      </c>
      <c r="M86" s="95">
        <f>SUM(K86:L86)</f>
        <v>2170168.1895886534</v>
      </c>
      <c r="N86" s="95"/>
      <c r="O86" s="95">
        <f t="shared" si="41"/>
        <v>1520178.6454958906</v>
      </c>
      <c r="P86" s="95">
        <f t="shared" si="41"/>
        <v>669710.27915182628</v>
      </c>
      <c r="Q86" s="95">
        <f>SUM(O86:P86)</f>
        <v>2189888.9246477168</v>
      </c>
      <c r="R86" s="95"/>
      <c r="S86" s="95">
        <f t="shared" si="41"/>
        <v>1261320.4281598511</v>
      </c>
      <c r="T86" s="95">
        <f t="shared" si="41"/>
        <v>646424.92288230674</v>
      </c>
      <c r="U86" s="95">
        <f>SUM(S86:T86)</f>
        <v>1907745.351042158</v>
      </c>
      <c r="V86" s="95"/>
      <c r="W86" s="95">
        <f>W85+W63+W57+W49+W37</f>
        <v>7102575.0916912481</v>
      </c>
      <c r="X86" s="95">
        <f t="shared" si="41"/>
        <v>3372050.7365869973</v>
      </c>
      <c r="Y86" s="95">
        <f>SUM(W86:X86)</f>
        <v>10474625.828278245</v>
      </c>
    </row>
    <row r="87" spans="1:77" s="8" customFormat="1" x14ac:dyDescent="0.25">
      <c r="A87" s="132" t="s">
        <v>27</v>
      </c>
      <c r="B87" s="132"/>
      <c r="C87" s="206">
        <f>((C37+C57+C85)*0.5)+(25000*2*0.5)+((18336+20060)*0.5)</f>
        <v>456861.49592433637</v>
      </c>
      <c r="D87" s="206">
        <v>0</v>
      </c>
      <c r="E87" s="206">
        <f>SUM(C87:D87)</f>
        <v>456861.49592433637</v>
      </c>
      <c r="F87" s="95"/>
      <c r="G87" s="95">
        <f>((G37+G57+G85)*0.5)+((6664+4940)*0.5)</f>
        <v>884056.22231560608</v>
      </c>
      <c r="H87" s="95">
        <v>0</v>
      </c>
      <c r="I87" s="95">
        <f>SUM(G87:H87)</f>
        <v>884056.22231560608</v>
      </c>
      <c r="J87" s="95"/>
      <c r="K87" s="95">
        <f>(K37+K57+K85)*0.5</f>
        <v>683606.11015281081</v>
      </c>
      <c r="L87" s="95">
        <v>0</v>
      </c>
      <c r="M87" s="95">
        <f>SUM(K87:L87)</f>
        <v>683606.11015281081</v>
      </c>
      <c r="N87" s="95"/>
      <c r="O87" s="95">
        <f>(O37+O57+O85)*0.5</f>
        <v>664019.50121669529</v>
      </c>
      <c r="P87" s="95">
        <v>0</v>
      </c>
      <c r="Q87" s="95">
        <f>SUM(O87:P87)</f>
        <v>664019.50121669529</v>
      </c>
      <c r="R87" s="95"/>
      <c r="S87" s="95">
        <f>(S37+S57+S85)*0.5</f>
        <v>532411.9014721131</v>
      </c>
      <c r="T87" s="95">
        <v>0</v>
      </c>
      <c r="U87" s="95">
        <f>SUM(S87:T87)</f>
        <v>532411.9014721131</v>
      </c>
      <c r="V87" s="95"/>
      <c r="W87" s="95">
        <f>((W37+W57+W85)*0.5)+(25000*4*0.5)</f>
        <v>3220955.2310815617</v>
      </c>
      <c r="X87" s="95">
        <v>0</v>
      </c>
      <c r="Y87" s="95">
        <f>SUM(W87:X87)</f>
        <v>3220955.2310815617</v>
      </c>
      <c r="Z87" s="269">
        <f>C87+G87+K87+O87+S87</f>
        <v>3220955.2310815617</v>
      </c>
    </row>
    <row r="88" spans="1:77" s="8" customFormat="1" x14ac:dyDescent="0.25">
      <c r="A88" s="132" t="s">
        <v>29</v>
      </c>
      <c r="B88" s="132"/>
      <c r="C88" s="206">
        <f>SUM(C86:C87)</f>
        <v>1282188.4877730091</v>
      </c>
      <c r="D88" s="206">
        <f>SUM(D86:D87)</f>
        <v>773309.41694443952</v>
      </c>
      <c r="E88" s="206">
        <f>SUM(C88:D88)</f>
        <v>2055497.9047174486</v>
      </c>
      <c r="F88" s="95">
        <f t="shared" ref="F88:X88" si="42">SUM(F86:F87)</f>
        <v>0</v>
      </c>
      <c r="G88" s="95">
        <f t="shared" si="42"/>
        <v>2824603.3919468182</v>
      </c>
      <c r="H88" s="95">
        <f t="shared" si="42"/>
        <v>667640.28457539331</v>
      </c>
      <c r="I88" s="95">
        <f>SUM(G88:H88)</f>
        <v>3492243.6765222116</v>
      </c>
      <c r="J88" s="95"/>
      <c r="K88" s="95">
        <f t="shared" si="42"/>
        <v>2238808.4667084324</v>
      </c>
      <c r="L88" s="95">
        <f t="shared" si="42"/>
        <v>614965.83303303167</v>
      </c>
      <c r="M88" s="95">
        <f>SUM(K88:L88)</f>
        <v>2853774.2997414642</v>
      </c>
      <c r="N88" s="95"/>
      <c r="O88" s="95">
        <f t="shared" si="42"/>
        <v>2184198.1467125858</v>
      </c>
      <c r="P88" s="95">
        <f t="shared" si="42"/>
        <v>669710.27915182628</v>
      </c>
      <c r="Q88" s="95">
        <f>SUM(Q86:Q87)</f>
        <v>2853908.425864412</v>
      </c>
      <c r="R88" s="95"/>
      <c r="S88" s="95">
        <f t="shared" si="42"/>
        <v>1793732.3296319642</v>
      </c>
      <c r="T88" s="95">
        <f t="shared" si="42"/>
        <v>646424.92288230674</v>
      </c>
      <c r="U88" s="95">
        <f>SUM(S88:T88)</f>
        <v>2440157.2525142711</v>
      </c>
      <c r="V88" s="95"/>
      <c r="W88" s="95">
        <f t="shared" si="42"/>
        <v>10323530.32277281</v>
      </c>
      <c r="X88" s="95">
        <f t="shared" si="42"/>
        <v>3372050.7365869973</v>
      </c>
      <c r="Y88" s="95">
        <f>SUM(W88:X88)</f>
        <v>13695581.059359808</v>
      </c>
    </row>
    <row r="89" spans="1:77" s="30" customFormat="1" x14ac:dyDescent="0.25">
      <c r="A89" s="24"/>
      <c r="B89" s="24"/>
      <c r="C89" s="27"/>
      <c r="D89" s="27"/>
      <c r="E89" s="28"/>
      <c r="F89" s="24"/>
      <c r="G89" s="27"/>
      <c r="H89" s="27"/>
      <c r="I89" s="28"/>
      <c r="J89" s="24"/>
      <c r="K89" s="27"/>
      <c r="L89" s="27"/>
      <c r="M89" s="28"/>
      <c r="N89" s="24"/>
      <c r="O89" s="27"/>
      <c r="P89" s="27"/>
      <c r="Q89" s="28"/>
      <c r="R89" s="24"/>
      <c r="S89" s="27"/>
      <c r="T89" s="27"/>
      <c r="U89" s="28"/>
      <c r="V89" s="29"/>
      <c r="W89" s="28"/>
      <c r="X89" s="28"/>
      <c r="Y89" s="27"/>
      <c r="Z89" s="28"/>
      <c r="AA89" s="28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</row>
    <row r="90" spans="1:77" s="99" customFormat="1" ht="21" x14ac:dyDescent="0.4">
      <c r="A90" s="330" t="s">
        <v>20</v>
      </c>
      <c r="B90" s="330"/>
      <c r="C90" s="330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  <c r="BJ90" s="98"/>
      <c r="BK90" s="98"/>
      <c r="BL90" s="98"/>
      <c r="BM90" s="98"/>
      <c r="BN90" s="98"/>
      <c r="BO90" s="98"/>
      <c r="BP90" s="98"/>
      <c r="BQ90" s="98"/>
      <c r="BR90" s="98"/>
      <c r="BS90" s="98"/>
      <c r="BT90" s="98"/>
      <c r="BU90" s="98"/>
      <c r="BV90" s="98"/>
      <c r="BW90" s="98"/>
      <c r="BX90" s="98"/>
      <c r="BY90" s="98"/>
    </row>
    <row r="91" spans="1:77" s="77" customFormat="1" x14ac:dyDescent="0.25">
      <c r="A91" s="74" t="s">
        <v>5</v>
      </c>
      <c r="B91" s="74"/>
      <c r="C91" s="211"/>
      <c r="D91" s="211"/>
      <c r="E91" s="211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5"/>
      <c r="W91" s="74"/>
      <c r="X91" s="74"/>
      <c r="Y91" s="7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</row>
    <row r="92" spans="1:77" x14ac:dyDescent="0.25">
      <c r="A92" s="53"/>
      <c r="B92" s="52"/>
      <c r="C92" s="124">
        <f>SUM('Research Area'!C92+'Research Cyberinfrastructure'!C92+'EA &amp; Seed Funding'!C92+'Partnerships &amp; Collaborations'!C92+'Broadening Participation Divers'!C92+'Education Workforce Development'!C92+'Communications &amp; Disseminations'!C92+'Evaluation and Assessment '!C92+'Sustainability Plan'!C92+'Management '!C92)</f>
        <v>37133.254166666666</v>
      </c>
      <c r="D92" s="56">
        <f>SUM('Research Area'!D92+'Research Cyberinfrastructure'!D92+'EA &amp; Seed Funding'!D92+'Partnerships &amp; Collaborations'!D92+'Broadening Participation Divers'!D92+'Education Workforce Development'!D92+'Communications &amp; Disseminations'!D92+'Evaluation and Assessment '!D92+'Sustainability Plan'!D92+'Management '!D92)</f>
        <v>0</v>
      </c>
      <c r="E92" s="56">
        <f>SUM(C92:D92)</f>
        <v>37133.254166666666</v>
      </c>
      <c r="F92" s="15"/>
      <c r="G92" s="55">
        <f>SUM('Research Area'!G92+'Research Cyberinfrastructure'!G92+'EA &amp; Seed Funding'!G92+'Partnerships &amp; Collaborations'!G92+'Broadening Participation Divers'!G92+'Education Workforce Development'!G92+'Communications &amp; Disseminations'!G92+'Evaluation and Assessment '!G92+'Sustainability Plan'!G92+'Management '!G92)</f>
        <v>38247.251791666669</v>
      </c>
      <c r="H92" s="56">
        <f>SUM('Research Area'!H92+'Research Cyberinfrastructure'!H92+'EA &amp; Seed Funding'!H92+'Partnerships &amp; Collaborations'!H92+'Broadening Participation Divers'!H92+'Education Workforce Development'!H92+'Communications &amp; Disseminations'!H92+'Evaluation and Assessment '!H92+'Sustainability Plan'!H92+'Management '!H92)</f>
        <v>0</v>
      </c>
      <c r="I92" s="56">
        <f>SUM(G92:H92)</f>
        <v>38247.251791666669</v>
      </c>
      <c r="J92" s="15"/>
      <c r="K92" s="55">
        <f>SUM('Research Area'!K92+'Research Cyberinfrastructure'!K92+'EA &amp; Seed Funding'!K92+'Partnerships &amp; Collaborations'!K92+'Broadening Participation Divers'!K92+'Education Workforce Development'!K92+'Communications &amp; Disseminations'!K92+'Evaluation and Assessment '!K92+'Sustainability Plan'!K92+'Management '!K92)</f>
        <v>39394.669345416667</v>
      </c>
      <c r="L92" s="56">
        <f>SUM('Research Area'!L92+'Research Cyberinfrastructure'!L92+'EA &amp; Seed Funding'!L92+'Partnerships &amp; Collaborations'!L92+'Broadening Participation Divers'!L92+'Education Workforce Development'!L92+'Communications &amp; Disseminations'!L92+'Evaluation and Assessment '!L92+'Sustainability Plan'!L92+'Management '!L92)</f>
        <v>0</v>
      </c>
      <c r="M92" s="56">
        <f>SUM(K92:L92)</f>
        <v>39394.669345416667</v>
      </c>
      <c r="N92" s="15"/>
      <c r="O92" s="55">
        <f>SUM('Research Area'!O92+'Research Cyberinfrastructure'!O92+'EA &amp; Seed Funding'!O92+'Partnerships &amp; Collaborations'!O92+'Broadening Participation Divers'!O92+'Education Workforce Development'!O92+'Communications &amp; Disseminations'!O92+'Evaluation and Assessment '!O92+'Sustainability Plan'!O92+'Management '!O92)</f>
        <v>40576.509425779172</v>
      </c>
      <c r="P92" s="56">
        <f>SUM('Research Area'!P92+'Research Cyberinfrastructure'!P92+'EA &amp; Seed Funding'!P92+'Partnerships &amp; Collaborations'!P92+'Broadening Participation Divers'!P92+'Education Workforce Development'!P92+'Communications &amp; Disseminations'!P92+'Evaluation and Assessment '!P92+'Sustainability Plan'!P92+'Management '!P92)</f>
        <v>0</v>
      </c>
      <c r="Q92" s="56">
        <f>SUM(O92:P92)</f>
        <v>40576.509425779172</v>
      </c>
      <c r="R92" s="15"/>
      <c r="S92" s="55">
        <f>SUM('Research Area'!S92+'Research Cyberinfrastructure'!S92+'EA &amp; Seed Funding'!S92+'Partnerships &amp; Collaborations'!S92+'Broadening Participation Divers'!S92+'Education Workforce Development'!S92+'Communications &amp; Disseminations'!S92+'Evaluation and Assessment '!S92+'Sustainability Plan'!S92+'Management '!S92)</f>
        <v>41793.804708552547</v>
      </c>
      <c r="T92" s="56">
        <f>SUM('Research Area'!T92+'Research Cyberinfrastructure'!T92+'EA &amp; Seed Funding'!T92+'Partnerships &amp; Collaborations'!T92+'Broadening Participation Divers'!T92+'Education Workforce Development'!T92+'Communications &amp; Disseminations'!T92+'Evaluation and Assessment '!T92+'Sustainability Plan'!T92+'Management '!T92)</f>
        <v>0</v>
      </c>
      <c r="U92" s="56">
        <f>SUM(S92:T92)</f>
        <v>41793.804708552547</v>
      </c>
      <c r="V92" s="16"/>
      <c r="W92" s="55">
        <f>SUM('Research Area'!W92+'Research Cyberinfrastructure'!W92+'EA &amp; Seed Funding'!W92+'Partnerships &amp; Collaborations'!W92+'Broadening Participation Divers'!W92+'Education Workforce Development'!W92+'Communications &amp; Disseminations'!W92+'Evaluation and Assessment '!W92+'Sustainability Plan'!W92+'Management '!W92)</f>
        <v>197145.48943808174</v>
      </c>
      <c r="X92" s="56">
        <f>SUM('Research Area'!X92+'Research Cyberinfrastructure'!X92+'EA &amp; Seed Funding'!X92+'Partnerships &amp; Collaborations'!X92+'Broadening Participation Divers'!X92+'Education Workforce Development'!X92+'Communications &amp; Disseminations'!X92+'Evaluation and Assessment '!X92+'Sustainability Plan'!X92+'Management '!X92)</f>
        <v>0</v>
      </c>
      <c r="Y92" s="56">
        <f>SUM(W92:X92)</f>
        <v>197145.48943808174</v>
      </c>
    </row>
    <row r="93" spans="1:77" x14ac:dyDescent="0.25">
      <c r="A93" s="17"/>
      <c r="B93" s="18"/>
      <c r="C93" s="124">
        <f>SUM('Research Area'!C93+'Research Cyberinfrastructure'!C93+'EA &amp; Seed Funding'!C93+'Partnerships &amp; Collaborations'!C93+'Broadening Participation Divers'!C93+'Education Workforce Development'!C93+'Communications &amp; Disseminations'!C93+'Evaluation and Assessment '!C93+'Sustainability Plan'!C93+'Management '!C93)</f>
        <v>13152</v>
      </c>
      <c r="D93" s="56">
        <f>SUM('Research Area'!D93+'Research Cyberinfrastructure'!D93+'EA &amp; Seed Funding'!D93+'Partnerships &amp; Collaborations'!D93+'Broadening Participation Divers'!D93+'Education Workforce Development'!D93+'Communications &amp; Disseminations'!D93+'Evaluation and Assessment '!D93+'Sustainability Plan'!D93+'Management '!D93)</f>
        <v>0</v>
      </c>
      <c r="E93" s="56">
        <f t="shared" ref="E93:E98" si="43">SUM(C93:D93)</f>
        <v>13152</v>
      </c>
      <c r="F93" s="15"/>
      <c r="G93" s="55">
        <f>SUM('Research Area'!G93+'Research Cyberinfrastructure'!G93+'EA &amp; Seed Funding'!G93+'Partnerships &amp; Collaborations'!G93+'Broadening Participation Divers'!G93+'Education Workforce Development'!G93+'Communications &amp; Disseminations'!G93+'Evaluation and Assessment '!G93+'Sustainability Plan'!G93+'Management '!G93)</f>
        <v>13546.56</v>
      </c>
      <c r="H93" s="56">
        <f>SUM('Research Area'!H93+'Research Cyberinfrastructure'!H93+'EA &amp; Seed Funding'!H93+'Partnerships &amp; Collaborations'!H93+'Broadening Participation Divers'!H93+'Education Workforce Development'!H93+'Communications &amp; Disseminations'!H93+'Evaluation and Assessment '!H93+'Sustainability Plan'!H93+'Management '!H93)</f>
        <v>0</v>
      </c>
      <c r="I93" s="56">
        <f t="shared" ref="I93:I98" si="44">SUM(G93:H93)</f>
        <v>13546.56</v>
      </c>
      <c r="J93" s="15"/>
      <c r="K93" s="55">
        <f>SUM('Research Area'!K93+'Research Cyberinfrastructure'!K93+'EA &amp; Seed Funding'!K93+'Partnerships &amp; Collaborations'!K93+'Broadening Participation Divers'!K93+'Education Workforce Development'!K93+'Communications &amp; Disseminations'!K93+'Evaluation and Assessment '!K93+'Sustainability Plan'!K93+'Management '!K93)</f>
        <v>98952.9568</v>
      </c>
      <c r="L93" s="56">
        <f>SUM('Research Area'!L93+'Research Cyberinfrastructure'!L93+'EA &amp; Seed Funding'!L93+'Partnerships &amp; Collaborations'!L93+'Broadening Participation Divers'!L93+'Education Workforce Development'!L93+'Communications &amp; Disseminations'!L93+'Evaluation and Assessment '!L93+'Sustainability Plan'!L93+'Management '!L93)</f>
        <v>0</v>
      </c>
      <c r="M93" s="56">
        <f t="shared" ref="M93:M98" si="45">SUM(K93:L93)</f>
        <v>98952.9568</v>
      </c>
      <c r="N93" s="15"/>
      <c r="O93" s="55">
        <f>SUM('Research Area'!O93+'Research Cyberinfrastructure'!O93+'EA &amp; Seed Funding'!O93+'Partnerships &amp; Collaborations'!O93+'Broadening Participation Divers'!O93+'Education Workforce Development'!O93+'Communications &amp; Disseminations'!O93+'Evaluation and Assessment '!O93+'Sustainability Plan'!O93+'Management '!O93)</f>
        <v>14371.545504</v>
      </c>
      <c r="P93" s="56">
        <f>SUM('Research Area'!P93+'Research Cyberinfrastructure'!P93+'EA &amp; Seed Funding'!P93+'Partnerships &amp; Collaborations'!P93+'Broadening Participation Divers'!P93+'Education Workforce Development'!P93+'Communications &amp; Disseminations'!P93+'Evaluation and Assessment '!P93+'Sustainability Plan'!P93+'Management '!P93)</f>
        <v>0</v>
      </c>
      <c r="Q93" s="56">
        <f t="shared" ref="Q93:Q98" si="46">SUM(O93:P93)</f>
        <v>14371.545504</v>
      </c>
      <c r="R93" s="15"/>
      <c r="S93" s="55">
        <f>SUM('Research Area'!S93+'Research Cyberinfrastructure'!S93+'EA &amp; Seed Funding'!S93+'Partnerships &amp; Collaborations'!S93+'Broadening Participation Divers'!S93+'Education Workforce Development'!S93+'Communications &amp; Disseminations'!S93+'Evaluation and Assessment '!S93+'Sustainability Plan'!S93+'Management '!S93)</f>
        <v>14802.691869120001</v>
      </c>
      <c r="T93" s="56">
        <f>SUM('Research Area'!T93+'Research Cyberinfrastructure'!T93+'EA &amp; Seed Funding'!T93+'Partnerships &amp; Collaborations'!T93+'Broadening Participation Divers'!T93+'Education Workforce Development'!T93+'Communications &amp; Disseminations'!T93+'Evaluation and Assessment '!T93+'Sustainability Plan'!T93+'Management '!T93)</f>
        <v>0</v>
      </c>
      <c r="U93" s="56">
        <f t="shared" ref="U93:U98" si="47">SUM(S93:T93)</f>
        <v>14802.691869120001</v>
      </c>
      <c r="V93" s="16"/>
      <c r="W93" s="55">
        <f>SUM('Research Area'!W93+'Research Cyberinfrastructure'!W93+'EA &amp; Seed Funding'!W93+'Partnerships &amp; Collaborations'!W93+'Broadening Participation Divers'!W93+'Education Workforce Development'!W93+'Communications &amp; Disseminations'!W93+'Evaluation and Assessment '!W93+'Sustainability Plan'!W93+'Management '!W93)</f>
        <v>154825.75417312002</v>
      </c>
      <c r="X93" s="56">
        <f>SUM('Research Area'!X93+'Research Cyberinfrastructure'!X93+'EA &amp; Seed Funding'!X93+'Partnerships &amp; Collaborations'!X93+'Broadening Participation Divers'!X93+'Education Workforce Development'!X93+'Communications &amp; Disseminations'!X93+'Evaluation and Assessment '!X93+'Sustainability Plan'!X93+'Management '!X93)</f>
        <v>0</v>
      </c>
      <c r="Y93" s="56">
        <f t="shared" ref="Y93:Y98" si="48">SUM(W93:X93)</f>
        <v>154825.75417312002</v>
      </c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</row>
    <row r="94" spans="1:77" x14ac:dyDescent="0.25">
      <c r="A94" s="17"/>
      <c r="B94" s="17"/>
      <c r="C94" s="124">
        <f>SUM('Research Area'!C94+'Research Cyberinfrastructure'!C94+'EA &amp; Seed Funding'!C94+'Partnerships &amp; Collaborations'!C94+'Broadening Participation Divers'!C94+'Education Workforce Development'!C94+'Communications &amp; Disseminations'!C94+'Evaluation and Assessment '!C94+'Sustainability Plan'!C94+'Management '!C94)</f>
        <v>11576</v>
      </c>
      <c r="D94" s="56">
        <f>SUM('Research Area'!D94+'Research Cyberinfrastructure'!D94+'EA &amp; Seed Funding'!D94+'Partnerships &amp; Collaborations'!D94+'Broadening Participation Divers'!D94+'Education Workforce Development'!D94+'Communications &amp; Disseminations'!D94+'Evaluation and Assessment '!D94+'Sustainability Plan'!D94+'Management '!D94)</f>
        <v>0</v>
      </c>
      <c r="E94" s="56">
        <f t="shared" si="43"/>
        <v>11576</v>
      </c>
      <c r="F94" s="15"/>
      <c r="G94" s="55">
        <f>SUM('Research Area'!G94+'Research Cyberinfrastructure'!G94+'EA &amp; Seed Funding'!G94+'Partnerships &amp; Collaborations'!G94+'Broadening Participation Divers'!G94+'Education Workforce Development'!G94+'Communications &amp; Disseminations'!G94+'Evaluation and Assessment '!G94+'Sustainability Plan'!G94+'Management '!G94)</f>
        <v>11773.279999999999</v>
      </c>
      <c r="H94" s="56">
        <f>SUM('Research Area'!H94+'Research Cyberinfrastructure'!H94+'EA &amp; Seed Funding'!H94+'Partnerships &amp; Collaborations'!H94+'Broadening Participation Divers'!H94+'Education Workforce Development'!H94+'Communications &amp; Disseminations'!H94+'Evaluation and Assessment '!H94+'Sustainability Plan'!H94+'Management '!H94)</f>
        <v>0</v>
      </c>
      <c r="I94" s="56">
        <f t="shared" si="44"/>
        <v>11773.279999999999</v>
      </c>
      <c r="J94" s="15"/>
      <c r="K94" s="55">
        <f>SUM('Research Area'!K94+'Research Cyberinfrastructure'!K94+'EA &amp; Seed Funding'!K94+'Partnerships &amp; Collaborations'!K94+'Broadening Participation Divers'!K94+'Education Workforce Development'!K94+'Communications &amp; Disseminations'!K94+'Evaluation and Assessment '!K94+'Sustainability Plan'!K94+'Management '!K94)</f>
        <v>96976.478399999993</v>
      </c>
      <c r="L94" s="56">
        <f>SUM('Research Area'!L94+'Research Cyberinfrastructure'!L94+'EA &amp; Seed Funding'!L94+'Partnerships &amp; Collaborations'!L94+'Broadening Participation Divers'!L94+'Education Workforce Development'!L94+'Communications &amp; Disseminations'!L94+'Evaluation and Assessment '!L94+'Sustainability Plan'!L94+'Management '!L94)</f>
        <v>0</v>
      </c>
      <c r="M94" s="56">
        <f t="shared" si="45"/>
        <v>96976.478399999993</v>
      </c>
      <c r="N94" s="15"/>
      <c r="O94" s="55">
        <f>SUM('Research Area'!O94+'Research Cyberinfrastructure'!O94+'EA &amp; Seed Funding'!O94+'Partnerships &amp; Collaborations'!O94+'Broadening Participation Divers'!O94+'Education Workforce Development'!O94+'Communications &amp; Disseminations'!O94+'Evaluation and Assessment '!O94+'Sustainability Plan'!O94+'Management '!O94)</f>
        <v>12185.772752000001</v>
      </c>
      <c r="P94" s="56">
        <f>SUM('Research Area'!P94+'Research Cyberinfrastructure'!P94+'EA &amp; Seed Funding'!P94+'Partnerships &amp; Collaborations'!P94+'Broadening Participation Divers'!P94+'Education Workforce Development'!P94+'Communications &amp; Disseminations'!P94+'Evaluation and Assessment '!P94+'Sustainability Plan'!P94+'Management '!P94)</f>
        <v>0</v>
      </c>
      <c r="Q94" s="56">
        <f t="shared" si="46"/>
        <v>12185.772752000001</v>
      </c>
      <c r="R94" s="15"/>
      <c r="S94" s="55">
        <f>SUM('Research Area'!S94+'Research Cyberinfrastructure'!S94+'EA &amp; Seed Funding'!S94+'Partnerships &amp; Collaborations'!S94+'Broadening Participation Divers'!S94+'Education Workforce Development'!S94+'Communications &amp; Disseminations'!S94+'Evaluation and Assessment '!S94+'Sustainability Plan'!S94+'Management '!S94)</f>
        <v>7401.3459345600004</v>
      </c>
      <c r="T94" s="56">
        <f>SUM('Research Area'!T94+'Research Cyberinfrastructure'!T94+'EA &amp; Seed Funding'!T94+'Partnerships &amp; Collaborations'!T94+'Broadening Participation Divers'!T94+'Education Workforce Development'!T94+'Communications &amp; Disseminations'!T94+'Evaluation and Assessment '!T94+'Sustainability Plan'!T94+'Management '!T94)</f>
        <v>0</v>
      </c>
      <c r="U94" s="56">
        <f t="shared" si="47"/>
        <v>7401.3459345600004</v>
      </c>
      <c r="V94" s="16"/>
      <c r="W94" s="55">
        <f>SUM('Research Area'!W94+'Research Cyberinfrastructure'!W94+'EA &amp; Seed Funding'!W94+'Partnerships &amp; Collaborations'!W94+'Broadening Participation Divers'!W94+'Education Workforce Development'!W94+'Communications &amp; Disseminations'!W94+'Evaluation and Assessment '!W94+'Sustainability Plan'!W94+'Management '!W94)</f>
        <v>139912.87708656001</v>
      </c>
      <c r="X94" s="56">
        <f>SUM('Research Area'!X94+'Research Cyberinfrastructure'!X94+'EA &amp; Seed Funding'!X94+'Partnerships &amp; Collaborations'!X94+'Broadening Participation Divers'!X94+'Education Workforce Development'!X94+'Communications &amp; Disseminations'!X94+'Evaluation and Assessment '!X94+'Sustainability Plan'!X94+'Management '!X94)</f>
        <v>0</v>
      </c>
      <c r="Y94" s="56">
        <f t="shared" si="48"/>
        <v>139912.87708656001</v>
      </c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</row>
    <row r="95" spans="1:77" x14ac:dyDescent="0.25">
      <c r="A95" s="17"/>
      <c r="B95" s="17"/>
      <c r="C95" s="124">
        <f>SUM('Research Area'!C95+'Research Cyberinfrastructure'!C95+'EA &amp; Seed Funding'!C95+'Partnerships &amp; Collaborations'!C95+'Broadening Participation Divers'!C95+'Education Workforce Development'!C95+'Communications &amp; Disseminations'!C95+'Evaluation and Assessment '!C95+'Sustainability Plan'!C95+'Management '!C95)</f>
        <v>0</v>
      </c>
      <c r="D95" s="56">
        <f>SUM('Research Area'!D95+'Research Cyberinfrastructure'!D95+'EA &amp; Seed Funding'!D95+'Partnerships &amp; Collaborations'!D95+'Broadening Participation Divers'!D95+'Education Workforce Development'!D95+'Communications &amp; Disseminations'!D95+'Evaluation and Assessment '!D95+'Sustainability Plan'!D95+'Management '!D95)</f>
        <v>5000</v>
      </c>
      <c r="E95" s="56">
        <f t="shared" si="43"/>
        <v>5000</v>
      </c>
      <c r="F95" s="15"/>
      <c r="G95" s="55">
        <f>SUM('Research Area'!G95+'Research Cyberinfrastructure'!G95+'EA &amp; Seed Funding'!G95+'Partnerships &amp; Collaborations'!G95+'Broadening Participation Divers'!G95+'Education Workforce Development'!G95+'Communications &amp; Disseminations'!G95+'Evaluation and Assessment '!G95+'Sustainability Plan'!G95+'Management '!G95)</f>
        <v>0</v>
      </c>
      <c r="H95" s="56">
        <f>SUM('Research Area'!H95+'Research Cyberinfrastructure'!H95+'EA &amp; Seed Funding'!H95+'Partnerships &amp; Collaborations'!H95+'Broadening Participation Divers'!H95+'Education Workforce Development'!H95+'Communications &amp; Disseminations'!H95+'Evaluation and Assessment '!H95+'Sustainability Plan'!H95+'Management '!H95)</f>
        <v>5150</v>
      </c>
      <c r="I95" s="56">
        <f t="shared" si="44"/>
        <v>5150</v>
      </c>
      <c r="J95" s="15"/>
      <c r="K95" s="55">
        <f>SUM('Research Area'!K95+'Research Cyberinfrastructure'!K95+'EA &amp; Seed Funding'!K95+'Partnerships &amp; Collaborations'!K95+'Broadening Participation Divers'!K95+'Education Workforce Development'!K95+'Communications &amp; Disseminations'!K95+'Evaluation and Assessment '!K95+'Sustainability Plan'!K95+'Management '!K95)</f>
        <v>85000</v>
      </c>
      <c r="L95" s="56">
        <f>SUM('Research Area'!L95+'Research Cyberinfrastructure'!L95+'EA &amp; Seed Funding'!L95+'Partnerships &amp; Collaborations'!L95+'Broadening Participation Divers'!L95+'Education Workforce Development'!L95+'Communications &amp; Disseminations'!L95+'Evaluation and Assessment '!L95+'Sustainability Plan'!L95+'Management '!L95)</f>
        <v>0</v>
      </c>
      <c r="M95" s="56">
        <f t="shared" si="45"/>
        <v>85000</v>
      </c>
      <c r="N95" s="15"/>
      <c r="O95" s="55">
        <f>SUM('Research Area'!O95+'Research Cyberinfrastructure'!O95+'EA &amp; Seed Funding'!O95+'Partnerships &amp; Collaborations'!O95+'Broadening Participation Divers'!O95+'Education Workforce Development'!O95+'Communications &amp; Disseminations'!O95+'Evaluation and Assessment '!O95+'Sustainability Plan'!O95+'Management '!O95)</f>
        <v>0</v>
      </c>
      <c r="P95" s="56">
        <f>SUM('Research Area'!P95+'Research Cyberinfrastructure'!P95+'EA &amp; Seed Funding'!P95+'Partnerships &amp; Collaborations'!P95+'Broadening Participation Divers'!P95+'Education Workforce Development'!P95+'Communications &amp; Disseminations'!P95+'Evaluation and Assessment '!P95+'Sustainability Plan'!P95+'Management '!P95)</f>
        <v>0</v>
      </c>
      <c r="Q95" s="56">
        <f t="shared" si="46"/>
        <v>0</v>
      </c>
      <c r="R95" s="15"/>
      <c r="S95" s="55">
        <f>SUM('Research Area'!S95+'Research Cyberinfrastructure'!S95+'EA &amp; Seed Funding'!S95+'Partnerships &amp; Collaborations'!S95+'Broadening Participation Divers'!S95+'Education Workforce Development'!S95+'Communications &amp; Disseminations'!S95+'Evaluation and Assessment '!S95+'Sustainability Plan'!S95+'Management '!S95)</f>
        <v>0</v>
      </c>
      <c r="T95" s="56">
        <f>SUM('Research Area'!T95+'Research Cyberinfrastructure'!T95+'EA &amp; Seed Funding'!T95+'Partnerships &amp; Collaborations'!T95+'Broadening Participation Divers'!T95+'Education Workforce Development'!T95+'Communications &amp; Disseminations'!T95+'Evaluation and Assessment '!T95+'Sustainability Plan'!T95+'Management '!T95)</f>
        <v>0</v>
      </c>
      <c r="U95" s="56">
        <f t="shared" si="47"/>
        <v>0</v>
      </c>
      <c r="V95" s="16"/>
      <c r="W95" s="55">
        <f>SUM('Research Area'!W95+'Research Cyberinfrastructure'!W95+'EA &amp; Seed Funding'!W95+'Partnerships &amp; Collaborations'!W95+'Broadening Participation Divers'!W95+'Education Workforce Development'!W95+'Communications &amp; Disseminations'!W95+'Evaluation and Assessment '!W95+'Sustainability Plan'!W95+'Management '!W95)</f>
        <v>85000</v>
      </c>
      <c r="X95" s="56">
        <f>SUM('Research Area'!X95+'Research Cyberinfrastructure'!X95+'EA &amp; Seed Funding'!X95+'Partnerships &amp; Collaborations'!X95+'Broadening Participation Divers'!X95+'Education Workforce Development'!X95+'Communications &amp; Disseminations'!X95+'Evaluation and Assessment '!X95+'Sustainability Plan'!X95+'Management '!X95)</f>
        <v>10150</v>
      </c>
      <c r="Y95" s="56">
        <f t="shared" si="48"/>
        <v>95150</v>
      </c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</row>
    <row r="96" spans="1:77" x14ac:dyDescent="0.25">
      <c r="A96" s="17"/>
      <c r="B96" s="17"/>
      <c r="C96" s="124">
        <f>SUM('Research Area'!C96+'Research Cyberinfrastructure'!C96+'EA &amp; Seed Funding'!C96+'Partnerships &amp; Collaborations'!C96+'Broadening Participation Divers'!C96+'Education Workforce Development'!C96+'Communications &amp; Disseminations'!C96+'Evaluation and Assessment '!C96+'Sustainability Plan'!C96+'Management '!C96)</f>
        <v>16000</v>
      </c>
      <c r="D96" s="56">
        <f>SUM('Research Area'!D96+'Research Cyberinfrastructure'!D96+'EA &amp; Seed Funding'!D96+'Partnerships &amp; Collaborations'!D96+'Broadening Participation Divers'!D96+'Education Workforce Development'!D96+'Communications &amp; Disseminations'!D96+'Evaluation and Assessment '!D96+'Sustainability Plan'!D96+'Management '!D96)</f>
        <v>0</v>
      </c>
      <c r="E96" s="56">
        <f t="shared" si="43"/>
        <v>16000</v>
      </c>
      <c r="F96" s="15"/>
      <c r="G96" s="55">
        <f>SUM('Research Area'!G96+'Research Cyberinfrastructure'!G96+'EA &amp; Seed Funding'!G96+'Partnerships &amp; Collaborations'!G96+'Broadening Participation Divers'!G96+'Education Workforce Development'!G96+'Communications &amp; Disseminations'!G96+'Evaluation and Assessment '!G96+'Sustainability Plan'!G96+'Management '!G96)</f>
        <v>16300</v>
      </c>
      <c r="H96" s="56">
        <f>SUM('Research Area'!H96+'Research Cyberinfrastructure'!H96+'EA &amp; Seed Funding'!H96+'Partnerships &amp; Collaborations'!H96+'Broadening Participation Divers'!H96+'Education Workforce Development'!H96+'Communications &amp; Disseminations'!H96+'Evaluation and Assessment '!H96+'Sustainability Plan'!H96+'Management '!H96)</f>
        <v>0</v>
      </c>
      <c r="I96" s="56">
        <f t="shared" si="44"/>
        <v>16300</v>
      </c>
      <c r="J96" s="15"/>
      <c r="K96" s="55">
        <f>SUM('Research Area'!K96+'Research Cyberinfrastructure'!K96+'EA &amp; Seed Funding'!K96+'Partnerships &amp; Collaborations'!K96+'Broadening Participation Divers'!K96+'Education Workforce Development'!K96+'Communications &amp; Disseminations'!K96+'Evaluation and Assessment '!K96+'Sustainability Plan'!K96+'Management '!K96)</f>
        <v>16609</v>
      </c>
      <c r="L96" s="56">
        <f>SUM('Research Area'!L96+'Research Cyberinfrastructure'!L96+'EA &amp; Seed Funding'!L96+'Partnerships &amp; Collaborations'!L96+'Broadening Participation Divers'!L96+'Education Workforce Development'!L96+'Communications &amp; Disseminations'!L96+'Evaluation and Assessment '!L96+'Sustainability Plan'!L96+'Management '!L96)</f>
        <v>0</v>
      </c>
      <c r="M96" s="56">
        <f t="shared" si="45"/>
        <v>16609</v>
      </c>
      <c r="N96" s="15"/>
      <c r="O96" s="55">
        <f>SUM('Research Area'!O96+'Research Cyberinfrastructure'!O96+'EA &amp; Seed Funding'!O96+'Partnerships &amp; Collaborations'!O96+'Broadening Participation Divers'!O96+'Education Workforce Development'!O96+'Communications &amp; Disseminations'!O96+'Evaluation and Assessment '!O96+'Sustainability Plan'!O96+'Management '!O96)</f>
        <v>16927.27</v>
      </c>
      <c r="P96" s="56">
        <f>SUM('Research Area'!P96+'Research Cyberinfrastructure'!P96+'EA &amp; Seed Funding'!P96+'Partnerships &amp; Collaborations'!P96+'Broadening Participation Divers'!P96+'Education Workforce Development'!P96+'Communications &amp; Disseminations'!P96+'Evaluation and Assessment '!P96+'Sustainability Plan'!P96+'Management '!P96)</f>
        <v>0</v>
      </c>
      <c r="Q96" s="56">
        <f t="shared" si="46"/>
        <v>16927.27</v>
      </c>
      <c r="R96" s="15"/>
      <c r="S96" s="55">
        <f>SUM('Research Area'!S96+'Research Cyberinfrastructure'!S96+'EA &amp; Seed Funding'!S96+'Partnerships &amp; Collaborations'!S96+'Broadening Participation Divers'!S96+'Education Workforce Development'!S96+'Communications &amp; Disseminations'!S96+'Evaluation and Assessment '!S96+'Sustainability Plan'!S96+'Management '!S96)</f>
        <v>11255.088100000001</v>
      </c>
      <c r="T96" s="56">
        <f>SUM('Research Area'!T96+'Research Cyberinfrastructure'!T96+'EA &amp; Seed Funding'!T96+'Partnerships &amp; Collaborations'!T96+'Broadening Participation Divers'!T96+'Education Workforce Development'!T96+'Communications &amp; Disseminations'!T96+'Evaluation and Assessment '!T96+'Sustainability Plan'!T96+'Management '!T96)</f>
        <v>0</v>
      </c>
      <c r="U96" s="56">
        <f t="shared" si="47"/>
        <v>11255.088100000001</v>
      </c>
      <c r="V96" s="16"/>
      <c r="W96" s="55">
        <f>SUM('Research Area'!W96+'Research Cyberinfrastructure'!W96+'EA &amp; Seed Funding'!W96+'Partnerships &amp; Collaborations'!W96+'Broadening Participation Divers'!W96+'Education Workforce Development'!W96+'Communications &amp; Disseminations'!W96+'Evaluation and Assessment '!W96+'Sustainability Plan'!W96+'Management '!W96)</f>
        <v>77091.358100000012</v>
      </c>
      <c r="X96" s="56">
        <f>SUM('Research Area'!X96+'Research Cyberinfrastructure'!X96+'EA &amp; Seed Funding'!X96+'Partnerships &amp; Collaborations'!X96+'Broadening Participation Divers'!X96+'Education Workforce Development'!X96+'Communications &amp; Disseminations'!X96+'Evaluation and Assessment '!X96+'Sustainability Plan'!X96+'Management '!X96)</f>
        <v>0</v>
      </c>
      <c r="Y96" s="56">
        <f t="shared" si="48"/>
        <v>77091.358100000012</v>
      </c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</row>
    <row r="97" spans="1:77" x14ac:dyDescent="0.25">
      <c r="A97" s="17"/>
      <c r="B97" s="17"/>
      <c r="C97" s="124">
        <f>SUM('Research Area'!C97+'Research Cyberinfrastructure'!C97+'EA &amp; Seed Funding'!C97+'Partnerships &amp; Collaborations'!C97+'Broadening Participation Divers'!C97+'Education Workforce Development'!C97+'Communications &amp; Disseminations'!C97+'Evaluation and Assessment '!C97+'Sustainability Plan'!C97+'Management '!C97)</f>
        <v>20000</v>
      </c>
      <c r="D97" s="56">
        <f>SUM('Research Area'!D97+'Research Cyberinfrastructure'!D97+'EA &amp; Seed Funding'!D97+'Partnerships &amp; Collaborations'!D97+'Broadening Participation Divers'!D97+'Education Workforce Development'!D97+'Communications &amp; Disseminations'!D97+'Evaluation and Assessment '!D97+'Sustainability Plan'!D97+'Management '!D97)</f>
        <v>0</v>
      </c>
      <c r="E97" s="56">
        <f t="shared" si="43"/>
        <v>20000</v>
      </c>
      <c r="F97" s="15"/>
      <c r="G97" s="55">
        <f>SUM('Research Area'!G97+'Research Cyberinfrastructure'!G97+'EA &amp; Seed Funding'!G97+'Partnerships &amp; Collaborations'!G97+'Broadening Participation Divers'!G97+'Education Workforce Development'!G97+'Communications &amp; Disseminations'!G97+'Evaluation and Assessment '!G97+'Sustainability Plan'!G97+'Management '!G97)</f>
        <v>20600</v>
      </c>
      <c r="H97" s="56">
        <f>SUM('Research Area'!H97+'Research Cyberinfrastructure'!H97+'EA &amp; Seed Funding'!H97+'Partnerships &amp; Collaborations'!H97+'Broadening Participation Divers'!H97+'Education Workforce Development'!H97+'Communications &amp; Disseminations'!H97+'Evaluation and Assessment '!H97+'Sustainability Plan'!H97+'Management '!H97)</f>
        <v>0</v>
      </c>
      <c r="I97" s="56">
        <f t="shared" si="44"/>
        <v>20600</v>
      </c>
      <c r="J97" s="15"/>
      <c r="K97" s="55">
        <f>SUM('Research Area'!K97+'Research Cyberinfrastructure'!K97+'EA &amp; Seed Funding'!K97+'Partnerships &amp; Collaborations'!K97+'Broadening Participation Divers'!K97+'Education Workforce Development'!K97+'Communications &amp; Disseminations'!K97+'Evaluation and Assessment '!K97+'Sustainability Plan'!K97+'Management '!K97)</f>
        <v>21218</v>
      </c>
      <c r="L97" s="56">
        <f>SUM('Research Area'!L97+'Research Cyberinfrastructure'!L97+'EA &amp; Seed Funding'!L97+'Partnerships &amp; Collaborations'!L97+'Broadening Participation Divers'!L97+'Education Workforce Development'!L97+'Communications &amp; Disseminations'!L97+'Evaluation and Assessment '!L97+'Sustainability Plan'!L97+'Management '!L97)</f>
        <v>0</v>
      </c>
      <c r="M97" s="56">
        <f t="shared" si="45"/>
        <v>21218</v>
      </c>
      <c r="N97" s="15"/>
      <c r="O97" s="55">
        <f>SUM('Research Area'!O97+'Research Cyberinfrastructure'!O97+'EA &amp; Seed Funding'!O97+'Partnerships &amp; Collaborations'!O97+'Broadening Participation Divers'!O97+'Education Workforce Development'!O97+'Communications &amp; Disseminations'!O97+'Evaluation and Assessment '!O97+'Sustainability Plan'!O97+'Management '!O97)</f>
        <v>21854.54</v>
      </c>
      <c r="P97" s="56">
        <f>SUM('Research Area'!P97+'Research Cyberinfrastructure'!P97+'EA &amp; Seed Funding'!P97+'Partnerships &amp; Collaborations'!P97+'Broadening Participation Divers'!P97+'Education Workforce Development'!P97+'Communications &amp; Disseminations'!P97+'Evaluation and Assessment '!P97+'Sustainability Plan'!P97+'Management '!P97)</f>
        <v>0</v>
      </c>
      <c r="Q97" s="56">
        <f t="shared" si="46"/>
        <v>21854.54</v>
      </c>
      <c r="R97" s="15"/>
      <c r="S97" s="55">
        <f>SUM('Research Area'!S97+'Research Cyberinfrastructure'!S97+'EA &amp; Seed Funding'!S97+'Partnerships &amp; Collaborations'!S97+'Broadening Participation Divers'!S97+'Education Workforce Development'!S97+'Communications &amp; Disseminations'!S97+'Evaluation and Assessment '!S97+'Sustainability Plan'!S97+'Management '!S97)</f>
        <v>22510.176200000002</v>
      </c>
      <c r="T97" s="56">
        <f>SUM('Research Area'!T97+'Research Cyberinfrastructure'!T97+'EA &amp; Seed Funding'!T97+'Partnerships &amp; Collaborations'!T97+'Broadening Participation Divers'!T97+'Education Workforce Development'!T97+'Communications &amp; Disseminations'!T97+'Evaluation and Assessment '!T97+'Sustainability Plan'!T97+'Management '!T97)</f>
        <v>0</v>
      </c>
      <c r="U97" s="56">
        <f t="shared" si="47"/>
        <v>22510.176200000002</v>
      </c>
      <c r="V97" s="16"/>
      <c r="W97" s="55">
        <f>SUM('Research Area'!W97+'Research Cyberinfrastructure'!W97+'EA &amp; Seed Funding'!W97+'Partnerships &amp; Collaborations'!W97+'Broadening Participation Divers'!W97+'Education Workforce Development'!W97+'Communications &amp; Disseminations'!W97+'Evaluation and Assessment '!W97+'Sustainability Plan'!W97+'Management '!W97)</f>
        <v>106182.71620000001</v>
      </c>
      <c r="X97" s="56">
        <f>SUM('Research Area'!X97+'Research Cyberinfrastructure'!X97+'EA &amp; Seed Funding'!X97+'Partnerships &amp; Collaborations'!X97+'Broadening Participation Divers'!X97+'Education Workforce Development'!X97+'Communications &amp; Disseminations'!X97+'Evaluation and Assessment '!X97+'Sustainability Plan'!X97+'Management '!X97)</f>
        <v>0</v>
      </c>
      <c r="Y97" s="56">
        <f t="shared" si="48"/>
        <v>106182.71620000001</v>
      </c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</row>
    <row r="98" spans="1:77" x14ac:dyDescent="0.25">
      <c r="A98" s="17"/>
      <c r="B98" s="17"/>
      <c r="C98" s="124">
        <f>SUM('Research Area'!C98+'Research Cyberinfrastructure'!C98+'EA &amp; Seed Funding'!C98+'Partnerships &amp; Collaborations'!C98+'Broadening Participation Divers'!C98+'Education Workforce Development'!C98+'Communications &amp; Disseminations'!C98+'Evaluation and Assessment '!C98+'Sustainability Plan'!C98+'Management '!C98)</f>
        <v>0</v>
      </c>
      <c r="D98" s="56">
        <f>SUM('Research Area'!D98+'Research Cyberinfrastructure'!D98+'EA &amp; Seed Funding'!D98+'Partnerships &amp; Collaborations'!D98+'Broadening Participation Divers'!D98+'Education Workforce Development'!D98+'Communications &amp; Disseminations'!D98+'Evaluation and Assessment '!D98+'Sustainability Plan'!D98+'Management '!D98)</f>
        <v>0</v>
      </c>
      <c r="E98" s="56">
        <f t="shared" si="43"/>
        <v>0</v>
      </c>
      <c r="F98" s="15"/>
      <c r="G98" s="55">
        <f>SUM('Research Area'!G98+'Research Cyberinfrastructure'!G98+'EA &amp; Seed Funding'!G98+'Partnerships &amp; Collaborations'!G98+'Broadening Participation Divers'!G98+'Education Workforce Development'!G98+'Communications &amp; Disseminations'!G98+'Evaluation and Assessment '!G98+'Sustainability Plan'!G98+'Management '!G98)</f>
        <v>0</v>
      </c>
      <c r="H98" s="56">
        <f>SUM('Research Area'!H98+'Research Cyberinfrastructure'!H98+'EA &amp; Seed Funding'!H98+'Partnerships &amp; Collaborations'!H98+'Broadening Participation Divers'!H98+'Education Workforce Development'!H98+'Communications &amp; Disseminations'!H98+'Evaluation and Assessment '!H98+'Sustainability Plan'!H98+'Management '!H98)</f>
        <v>0</v>
      </c>
      <c r="I98" s="56">
        <f t="shared" si="44"/>
        <v>0</v>
      </c>
      <c r="J98" s="15"/>
      <c r="K98" s="55">
        <f>SUM('Research Area'!K98+'Research Cyberinfrastructure'!K98+'EA &amp; Seed Funding'!K98+'Partnerships &amp; Collaborations'!K98+'Broadening Participation Divers'!K98+'Education Workforce Development'!K98+'Communications &amp; Disseminations'!K98+'Evaluation and Assessment '!K98+'Sustainability Plan'!K98+'Management '!K98)</f>
        <v>0</v>
      </c>
      <c r="L98" s="56">
        <f>SUM('Research Area'!L98+'Research Cyberinfrastructure'!L98+'EA &amp; Seed Funding'!L98+'Partnerships &amp; Collaborations'!L98+'Broadening Participation Divers'!L98+'Education Workforce Development'!L98+'Communications &amp; Disseminations'!L98+'Evaluation and Assessment '!L98+'Sustainability Plan'!L98+'Management '!L98)</f>
        <v>0</v>
      </c>
      <c r="M98" s="56">
        <f t="shared" si="45"/>
        <v>0</v>
      </c>
      <c r="N98" s="15"/>
      <c r="O98" s="55">
        <f>SUM('Research Area'!O98+'Research Cyberinfrastructure'!O98+'EA &amp; Seed Funding'!O98+'Partnerships &amp; Collaborations'!O98+'Broadening Participation Divers'!O98+'Education Workforce Development'!O98+'Communications &amp; Disseminations'!O98+'Evaluation and Assessment '!O98+'Sustainability Plan'!O98+'Management '!O98)</f>
        <v>0</v>
      </c>
      <c r="P98" s="56">
        <f>SUM('Research Area'!P98+'Research Cyberinfrastructure'!P98+'EA &amp; Seed Funding'!P98+'Partnerships &amp; Collaborations'!P98+'Broadening Participation Divers'!P98+'Education Workforce Development'!P98+'Communications &amp; Disseminations'!P98+'Evaluation and Assessment '!P98+'Sustainability Plan'!P98+'Management '!P98)</f>
        <v>0</v>
      </c>
      <c r="Q98" s="56">
        <f t="shared" si="46"/>
        <v>0</v>
      </c>
      <c r="R98" s="15"/>
      <c r="S98" s="55">
        <f>SUM('Research Area'!S98+'Research Cyberinfrastructure'!S98+'EA &amp; Seed Funding'!S98+'Partnerships &amp; Collaborations'!S98+'Broadening Participation Divers'!S98+'Education Workforce Development'!S98+'Communications &amp; Disseminations'!S98+'Evaluation and Assessment '!S98+'Sustainability Plan'!S98+'Management '!S98)</f>
        <v>0</v>
      </c>
      <c r="T98" s="56">
        <f>SUM('Research Area'!T98+'Research Cyberinfrastructure'!T98+'EA &amp; Seed Funding'!T98+'Partnerships &amp; Collaborations'!T98+'Broadening Participation Divers'!T98+'Education Workforce Development'!T98+'Communications &amp; Disseminations'!T98+'Evaluation and Assessment '!T98+'Sustainability Plan'!T98+'Management '!T98)</f>
        <v>0</v>
      </c>
      <c r="U98" s="56">
        <f t="shared" si="47"/>
        <v>0</v>
      </c>
      <c r="V98" s="16"/>
      <c r="W98" s="55">
        <f>SUM('Research Area'!W98+'Research Cyberinfrastructure'!W98+'EA &amp; Seed Funding'!W98+'Partnerships &amp; Collaborations'!W98+'Broadening Participation Divers'!W98+'Education Workforce Development'!W98+'Communications &amp; Disseminations'!W98+'Evaluation and Assessment '!W98+'Sustainability Plan'!W98+'Management '!W98)</f>
        <v>0</v>
      </c>
      <c r="X98" s="56">
        <f>SUM('Research Area'!X98+'Research Cyberinfrastructure'!X98+'EA &amp; Seed Funding'!X98+'Partnerships &amp; Collaborations'!X98+'Broadening Participation Divers'!X98+'Education Workforce Development'!X98+'Communications &amp; Disseminations'!X98+'Evaluation and Assessment '!X98+'Sustainability Plan'!X98+'Management '!X98)</f>
        <v>0</v>
      </c>
      <c r="Y98" s="56">
        <f t="shared" si="48"/>
        <v>0</v>
      </c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</row>
    <row r="99" spans="1:77" s="83" customFormat="1" x14ac:dyDescent="0.25">
      <c r="A99" s="78"/>
      <c r="B99" s="78" t="s">
        <v>9</v>
      </c>
      <c r="C99" s="232">
        <f>SUM(C92:C98)</f>
        <v>97861.254166666666</v>
      </c>
      <c r="D99" s="130">
        <f>SUM(D92:D98)</f>
        <v>5000</v>
      </c>
      <c r="E99" s="130">
        <f>SUM(E92:E98)</f>
        <v>102861.25416666667</v>
      </c>
      <c r="F99" s="81"/>
      <c r="G99" s="126">
        <f>SUM(G92:G98)</f>
        <v>100467.09179166667</v>
      </c>
      <c r="H99" s="130">
        <f>SUM(H92:H98)</f>
        <v>5150</v>
      </c>
      <c r="I99" s="130">
        <f>SUM(I92:I98)</f>
        <v>105617.09179166667</v>
      </c>
      <c r="J99" s="81"/>
      <c r="K99" s="126">
        <f>SUM(K92:K98)</f>
        <v>358151.10454541666</v>
      </c>
      <c r="L99" s="130">
        <f>SUM(L92:L98)</f>
        <v>0</v>
      </c>
      <c r="M99" s="130">
        <f>SUM(M92:M98)</f>
        <v>358151.10454541666</v>
      </c>
      <c r="N99" s="81"/>
      <c r="O99" s="126">
        <f>SUM(O92:O98)</f>
        <v>105915.63768177919</v>
      </c>
      <c r="P99" s="130">
        <f>SUM(P92:P98)</f>
        <v>0</v>
      </c>
      <c r="Q99" s="130">
        <f>SUM(Q92:Q98)</f>
        <v>105915.63768177919</v>
      </c>
      <c r="R99" s="81"/>
      <c r="S99" s="126">
        <f>SUM(S92:S98)</f>
        <v>97763.106812232538</v>
      </c>
      <c r="T99" s="130">
        <f>SUM(T92:T98)</f>
        <v>0</v>
      </c>
      <c r="U99" s="130">
        <f>SUM(U92:U98)</f>
        <v>97763.106812232538</v>
      </c>
      <c r="V99" s="82"/>
      <c r="W99" s="126">
        <f>SUM(W92:W98)</f>
        <v>760158.19499776175</v>
      </c>
      <c r="X99" s="130">
        <f>SUM(X92:X98)</f>
        <v>10150</v>
      </c>
      <c r="Y99" s="130">
        <f>SUM(Y92:Y98)</f>
        <v>770308.19499776175</v>
      </c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</row>
    <row r="100" spans="1:77" s="77" customFormat="1" x14ac:dyDescent="0.25">
      <c r="A100" s="74" t="s">
        <v>12</v>
      </c>
      <c r="B100" s="74"/>
      <c r="C100" s="212"/>
      <c r="D100" s="212"/>
      <c r="E100" s="212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9"/>
      <c r="W100" s="58"/>
      <c r="X100" s="58"/>
      <c r="Y100" s="58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</row>
    <row r="101" spans="1:77" x14ac:dyDescent="0.25">
      <c r="A101" s="53"/>
      <c r="B101" s="52"/>
      <c r="C101" s="124">
        <f>SUM('Research Area'!C101+'Research Cyberinfrastructure'!C101+'EA &amp; Seed Funding'!C101+'Partnerships &amp; Collaborations'!C101+'Broadening Participation Divers'!C101+'Education Workforce Development'!C101+'Communications &amp; Disseminations'!C101+'Evaluation and Assessment '!C101+'Sustainability Plan'!C101+'Management '!C101)</f>
        <v>20000</v>
      </c>
      <c r="D101" s="56">
        <f>SUM('Research Area'!D101+'Research Cyberinfrastructure'!D101+'EA &amp; Seed Funding'!D101+'Partnerships &amp; Collaborations'!D101+'Broadening Participation Divers'!D101+'Education Workforce Development'!D101+'Communications &amp; Disseminations'!D101+'Evaluation and Assessment '!D101+'Sustainability Plan'!D101+'Management '!D101)</f>
        <v>0</v>
      </c>
      <c r="E101" s="56">
        <f>SUM(C101:D101)</f>
        <v>20000</v>
      </c>
      <c r="F101" s="15"/>
      <c r="G101" s="55">
        <f>SUM('Research Area'!G101+'Research Cyberinfrastructure'!G101+'EA &amp; Seed Funding'!G101+'Partnerships &amp; Collaborations'!G101+'Broadening Participation Divers'!G101+'Education Workforce Development'!G101+'Communications &amp; Disseminations'!G101+'Evaluation and Assessment '!G101+'Sustainability Plan'!G101+'Management '!G101)</f>
        <v>144200</v>
      </c>
      <c r="H101" s="56">
        <f>SUM('Research Area'!H101+'Research Cyberinfrastructure'!H101+'EA &amp; Seed Funding'!H101+'Partnerships &amp; Collaborations'!H101+'Broadening Participation Divers'!H101+'Education Workforce Development'!H101+'Communications &amp; Disseminations'!H101+'Evaluation and Assessment '!H101+'Sustainability Plan'!H101+'Management '!H101)</f>
        <v>0</v>
      </c>
      <c r="I101" s="56">
        <f>SUM(G101:H101)</f>
        <v>144200</v>
      </c>
      <c r="J101" s="15"/>
      <c r="K101" s="55">
        <f>SUM('Research Area'!K101+'Research Cyberinfrastructure'!K101+'EA &amp; Seed Funding'!K101+'Partnerships &amp; Collaborations'!K101+'Broadening Participation Divers'!K101+'Education Workforce Development'!K101+'Communications &amp; Disseminations'!K101+'Evaluation and Assessment '!K101+'Sustainability Plan'!K101+'Management '!K101)</f>
        <v>212180</v>
      </c>
      <c r="L101" s="56">
        <f>SUM('Research Area'!L101+'Research Cyberinfrastructure'!L101+'EA &amp; Seed Funding'!L101+'Partnerships &amp; Collaborations'!L101+'Broadening Participation Divers'!L101+'Education Workforce Development'!L101+'Communications &amp; Disseminations'!L101+'Evaluation and Assessment '!L101+'Sustainability Plan'!L101+'Management '!L101)</f>
        <v>0</v>
      </c>
      <c r="M101" s="56">
        <f>SUM(K101:L101)</f>
        <v>212180</v>
      </c>
      <c r="N101" s="15"/>
      <c r="O101" s="55">
        <f>SUM('Research Area'!O101+'Research Cyberinfrastructure'!O101+'EA &amp; Seed Funding'!O101+'Partnerships &amp; Collaborations'!O101+'Broadening Participation Divers'!O101+'Education Workforce Development'!O101+'Communications &amp; Disseminations'!O101+'Evaluation and Assessment '!O101+'Sustainability Plan'!O101+'Management '!O101)</f>
        <v>218545.40000000002</v>
      </c>
      <c r="P101" s="56">
        <f>SUM('Research Area'!P101+'Research Cyberinfrastructure'!P101+'EA &amp; Seed Funding'!P101+'Partnerships &amp; Collaborations'!P101+'Broadening Participation Divers'!P101+'Education Workforce Development'!P101+'Communications &amp; Disseminations'!P101+'Evaluation and Assessment '!P101+'Sustainability Plan'!P101+'Management '!P101)</f>
        <v>0</v>
      </c>
      <c r="Q101" s="56">
        <f>SUM(O101:P101)</f>
        <v>218545.40000000002</v>
      </c>
      <c r="R101" s="15"/>
      <c r="S101" s="55">
        <f>SUM('Research Area'!S101+'Research Cyberinfrastructure'!S101+'EA &amp; Seed Funding'!S101+'Partnerships &amp; Collaborations'!S101+'Broadening Participation Divers'!S101+'Education Workforce Development'!S101+'Communications &amp; Disseminations'!S101+'Evaluation and Assessment '!S101+'Sustainability Plan'!S101+'Management '!S101)</f>
        <v>157571.23340000003</v>
      </c>
      <c r="T101" s="56">
        <f>SUM('Research Area'!T101+'Research Cyberinfrastructure'!T101+'EA &amp; Seed Funding'!T101+'Partnerships &amp; Collaborations'!T101+'Broadening Participation Divers'!T101+'Education Workforce Development'!T101+'Communications &amp; Disseminations'!T101+'Evaluation and Assessment '!T101+'Sustainability Plan'!T101+'Management '!T101)</f>
        <v>0</v>
      </c>
      <c r="U101" s="56">
        <f>SUM(S101:T101)</f>
        <v>157571.23340000003</v>
      </c>
      <c r="V101" s="16"/>
      <c r="W101" s="55">
        <f>SUM('Research Area'!W101+'Research Cyberinfrastructure'!W101+'EA &amp; Seed Funding'!W101+'Partnerships &amp; Collaborations'!W101+'Broadening Participation Divers'!W101+'Education Workforce Development'!W101+'Communications &amp; Disseminations'!W101+'Evaluation and Assessment '!W101+'Sustainability Plan'!W101+'Management '!W101)</f>
        <v>752496.63340000005</v>
      </c>
      <c r="X101" s="56">
        <f>SUM('Research Area'!X101+'Research Cyberinfrastructure'!X101+'EA &amp; Seed Funding'!X101+'Partnerships &amp; Collaborations'!X101+'Broadening Participation Divers'!X101+'Education Workforce Development'!X101+'Communications &amp; Disseminations'!X101+'Evaluation and Assessment '!X101+'Sustainability Plan'!X101+'Management '!X101)</f>
        <v>0</v>
      </c>
      <c r="Y101" s="56">
        <f>SUM(W101:X101)</f>
        <v>752496.63340000005</v>
      </c>
    </row>
    <row r="102" spans="1:77" x14ac:dyDescent="0.25">
      <c r="A102" s="23"/>
      <c r="B102" s="17"/>
      <c r="C102" s="124">
        <f>SUM('Research Area'!C102+'Research Cyberinfrastructure'!C102+'EA &amp; Seed Funding'!C102+'Partnerships &amp; Collaborations'!C102+'Broadening Participation Divers'!C102+'Education Workforce Development'!C102+'Communications &amp; Disseminations'!C102+'Evaluation and Assessment '!C102+'Sustainability Plan'!C102+'Management '!C102)</f>
        <v>60638.2</v>
      </c>
      <c r="D102" s="56">
        <f>SUM('Research Area'!D102+'Research Cyberinfrastructure'!D102+'EA &amp; Seed Funding'!D102+'Partnerships &amp; Collaborations'!D102+'Broadening Participation Divers'!D102+'Education Workforce Development'!D102+'Communications &amp; Disseminations'!D102+'Evaluation and Assessment '!D102+'Sustainability Plan'!D102+'Management '!D102)</f>
        <v>32500</v>
      </c>
      <c r="E102" s="56">
        <f t="shared" ref="E102:E111" si="49">SUM(C102:D102)</f>
        <v>93138.2</v>
      </c>
      <c r="F102" s="15"/>
      <c r="G102" s="55">
        <f>SUM('Research Area'!G102+'Research Cyberinfrastructure'!G102+'EA &amp; Seed Funding'!G102+'Partnerships &amp; Collaborations'!G102+'Broadening Participation Divers'!G102+'Education Workforce Development'!G102+'Communications &amp; Disseminations'!G102+'Evaluation and Assessment '!G102+'Sustainability Plan'!G102+'Management '!G102)</f>
        <v>104772.31</v>
      </c>
      <c r="H102" s="56">
        <f>SUM('Research Area'!H102+'Research Cyberinfrastructure'!H102+'EA &amp; Seed Funding'!H102+'Partnerships &amp; Collaborations'!H102+'Broadening Participation Divers'!H102+'Education Workforce Development'!H102+'Communications &amp; Disseminations'!H102+'Evaluation and Assessment '!H102+'Sustainability Plan'!H102+'Management '!H102)</f>
        <v>33475</v>
      </c>
      <c r="I102" s="56">
        <f t="shared" ref="I102:I111" si="50">SUM(G102:H102)</f>
        <v>138247.31</v>
      </c>
      <c r="J102" s="15"/>
      <c r="K102" s="55">
        <f>SUM('Research Area'!K102+'Research Cyberinfrastructure'!K102+'EA &amp; Seed Funding'!K102+'Partnerships &amp; Collaborations'!K102+'Broadening Participation Divers'!K102+'Education Workforce Development'!K102+'Communications &amp; Disseminations'!K102+'Evaluation and Assessment '!K102+'Sustainability Plan'!K102+'Management '!K102)</f>
        <v>106986.1915</v>
      </c>
      <c r="L102" s="56">
        <f>SUM('Research Area'!L102+'Research Cyberinfrastructure'!L102+'EA &amp; Seed Funding'!L102+'Partnerships &amp; Collaborations'!L102+'Broadening Participation Divers'!L102+'Education Workforce Development'!L102+'Communications &amp; Disseminations'!L102+'Evaluation and Assessment '!L102+'Sustainability Plan'!L102+'Management '!L102)</f>
        <v>34479.25</v>
      </c>
      <c r="M102" s="56">
        <f t="shared" ref="M102:M111" si="51">SUM(K102:L102)</f>
        <v>141465.44150000002</v>
      </c>
      <c r="N102" s="15"/>
      <c r="O102" s="55">
        <f>SUM('Research Area'!O102+'Research Cyberinfrastructure'!O102+'EA &amp; Seed Funding'!O102+'Partnerships &amp; Collaborations'!O102+'Broadening Participation Divers'!O102+'Education Workforce Development'!O102+'Communications &amp; Disseminations'!O102+'Evaluation and Assessment '!O102+'Sustainability Plan'!O102+'Management '!O102)</f>
        <v>109283.02505500001</v>
      </c>
      <c r="P102" s="56">
        <f>SUM('Research Area'!P102+'Research Cyberinfrastructure'!P102+'EA &amp; Seed Funding'!P102+'Partnerships &amp; Collaborations'!P102+'Broadening Participation Divers'!P102+'Education Workforce Development'!P102+'Communications &amp; Disseminations'!P102+'Evaluation and Assessment '!P102+'Sustainability Plan'!P102+'Management '!P102)</f>
        <v>35513.627500000002</v>
      </c>
      <c r="Q102" s="56">
        <f t="shared" ref="Q102:Q111" si="52">SUM(O102:P102)</f>
        <v>144796.65255500001</v>
      </c>
      <c r="R102" s="15"/>
      <c r="S102" s="55">
        <f>SUM('Research Area'!S102+'Research Cyberinfrastructure'!S102+'EA &amp; Seed Funding'!S102+'Partnerships &amp; Collaborations'!S102+'Broadening Participation Divers'!S102+'Education Workforce Development'!S102+'Communications &amp; Disseminations'!S102+'Evaluation and Assessment '!S102+'Sustainability Plan'!S102+'Management '!S102)</f>
        <v>111666.12600715001</v>
      </c>
      <c r="T102" s="56">
        <f>SUM('Research Area'!T102+'Research Cyberinfrastructure'!T102+'EA &amp; Seed Funding'!T102+'Partnerships &amp; Collaborations'!T102+'Broadening Participation Divers'!T102+'Education Workforce Development'!T102+'Communications &amp; Disseminations'!T102+'Evaluation and Assessment '!T102+'Sustainability Plan'!T102+'Management '!T102)</f>
        <v>36579.036325000001</v>
      </c>
      <c r="U102" s="56">
        <f t="shared" ref="U102:U111" si="53">SUM(S102:T102)</f>
        <v>148245.16233215001</v>
      </c>
      <c r="V102" s="16"/>
      <c r="W102" s="55">
        <f>SUM('Research Area'!W102+'Research Cyberinfrastructure'!W102+'EA &amp; Seed Funding'!W102+'Partnerships &amp; Collaborations'!W102+'Broadening Participation Divers'!W102+'Education Workforce Development'!W102+'Communications &amp; Disseminations'!W102+'Evaluation and Assessment '!W102+'Sustainability Plan'!W102+'Management '!W102)</f>
        <v>493345.85256215004</v>
      </c>
      <c r="X102" s="56">
        <f>SUM('Research Area'!X102+'Research Cyberinfrastructure'!X102+'EA &amp; Seed Funding'!X102+'Partnerships &amp; Collaborations'!X102+'Broadening Participation Divers'!X102+'Education Workforce Development'!X102+'Communications &amp; Disseminations'!X102+'Evaluation and Assessment '!X102+'Sustainability Plan'!X102+'Management '!X102)</f>
        <v>172546.913825</v>
      </c>
      <c r="Y102" s="56">
        <f t="shared" ref="Y102:Y111" si="54">SUM(W102:X102)</f>
        <v>665892.76638715004</v>
      </c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</row>
    <row r="103" spans="1:77" x14ac:dyDescent="0.25">
      <c r="A103" s="17"/>
      <c r="B103" s="13"/>
      <c r="C103" s="124">
        <f>SUM('Research Area'!C103+'Research Cyberinfrastructure'!C103+'EA &amp; Seed Funding'!C103+'Partnerships &amp; Collaborations'!C103+'Broadening Participation Divers'!C103+'Education Workforce Development'!C103+'Communications &amp; Disseminations'!C103+'Evaluation and Assessment '!C103+'Sustainability Plan'!C103+'Management '!C103)</f>
        <v>0</v>
      </c>
      <c r="D103" s="56">
        <f>SUM('Research Area'!D103+'Research Cyberinfrastructure'!D103+'EA &amp; Seed Funding'!D103+'Partnerships &amp; Collaborations'!D103+'Broadening Participation Divers'!D103+'Education Workforce Development'!D103+'Communications &amp; Disseminations'!D103+'Evaluation and Assessment '!D103+'Sustainability Plan'!D103+'Management '!D103)</f>
        <v>0</v>
      </c>
      <c r="E103" s="56">
        <f t="shared" si="49"/>
        <v>0</v>
      </c>
      <c r="F103" s="15"/>
      <c r="G103" s="55">
        <f>SUM('Research Area'!G103+'Research Cyberinfrastructure'!G103+'EA &amp; Seed Funding'!G103+'Partnerships &amp; Collaborations'!G103+'Broadening Participation Divers'!G103+'Education Workforce Development'!G103+'Communications &amp; Disseminations'!G103+'Evaluation and Assessment '!G103+'Sustainability Plan'!G103+'Management '!G103)</f>
        <v>0</v>
      </c>
      <c r="H103" s="56">
        <f>SUM('Research Area'!H103+'Research Cyberinfrastructure'!H103+'EA &amp; Seed Funding'!H103+'Partnerships &amp; Collaborations'!H103+'Broadening Participation Divers'!H103+'Education Workforce Development'!H103+'Communications &amp; Disseminations'!H103+'Evaluation and Assessment '!H103+'Sustainability Plan'!H103+'Management '!H103)</f>
        <v>0</v>
      </c>
      <c r="I103" s="56">
        <f t="shared" si="50"/>
        <v>0</v>
      </c>
      <c r="J103" s="15"/>
      <c r="K103" s="55">
        <f>SUM('Research Area'!K103+'Research Cyberinfrastructure'!K103+'EA &amp; Seed Funding'!K103+'Partnerships &amp; Collaborations'!K103+'Broadening Participation Divers'!K103+'Education Workforce Development'!K103+'Communications &amp; Disseminations'!K103+'Evaluation and Assessment '!K103+'Sustainability Plan'!K103+'Management '!K103)</f>
        <v>0</v>
      </c>
      <c r="L103" s="56">
        <f>SUM('Research Area'!L103+'Research Cyberinfrastructure'!L103+'EA &amp; Seed Funding'!L103+'Partnerships &amp; Collaborations'!L103+'Broadening Participation Divers'!L103+'Education Workforce Development'!L103+'Communications &amp; Disseminations'!L103+'Evaluation and Assessment '!L103+'Sustainability Plan'!L103+'Management '!L103)</f>
        <v>0</v>
      </c>
      <c r="M103" s="56">
        <f t="shared" si="51"/>
        <v>0</v>
      </c>
      <c r="N103" s="15"/>
      <c r="O103" s="55">
        <f>SUM('Research Area'!O103+'Research Cyberinfrastructure'!O103+'EA &amp; Seed Funding'!O103+'Partnerships &amp; Collaborations'!O103+'Broadening Participation Divers'!O103+'Education Workforce Development'!O103+'Communications &amp; Disseminations'!O103+'Evaluation and Assessment '!O103+'Sustainability Plan'!O103+'Management '!O103)</f>
        <v>0</v>
      </c>
      <c r="P103" s="56">
        <f>SUM('Research Area'!P103+'Research Cyberinfrastructure'!P103+'EA &amp; Seed Funding'!P103+'Partnerships &amp; Collaborations'!P103+'Broadening Participation Divers'!P103+'Education Workforce Development'!P103+'Communications &amp; Disseminations'!P103+'Evaluation and Assessment '!P103+'Sustainability Plan'!P103+'Management '!P103)</f>
        <v>0</v>
      </c>
      <c r="Q103" s="56">
        <f t="shared" si="52"/>
        <v>0</v>
      </c>
      <c r="R103" s="15"/>
      <c r="S103" s="55">
        <f>SUM('Research Area'!S103+'Research Cyberinfrastructure'!S103+'EA &amp; Seed Funding'!S103+'Partnerships &amp; Collaborations'!S103+'Broadening Participation Divers'!S103+'Education Workforce Development'!S103+'Communications &amp; Disseminations'!S103+'Evaluation and Assessment '!S103+'Sustainability Plan'!S103+'Management '!S103)</f>
        <v>0</v>
      </c>
      <c r="T103" s="56">
        <f>SUM('Research Area'!T103+'Research Cyberinfrastructure'!T103+'EA &amp; Seed Funding'!T103+'Partnerships &amp; Collaborations'!T103+'Broadening Participation Divers'!T103+'Education Workforce Development'!T103+'Communications &amp; Disseminations'!T103+'Evaluation and Assessment '!T103+'Sustainability Plan'!T103+'Management '!T103)</f>
        <v>0</v>
      </c>
      <c r="U103" s="56">
        <f t="shared" si="53"/>
        <v>0</v>
      </c>
      <c r="V103" s="16"/>
      <c r="W103" s="55">
        <f>SUM('Research Area'!W103+'Research Cyberinfrastructure'!W103+'EA &amp; Seed Funding'!W103+'Partnerships &amp; Collaborations'!W103+'Broadening Participation Divers'!W103+'Education Workforce Development'!W103+'Communications &amp; Disseminations'!W103+'Evaluation and Assessment '!W103+'Sustainability Plan'!W103+'Management '!W103)</f>
        <v>0</v>
      </c>
      <c r="X103" s="56">
        <f>SUM('Research Area'!X103+'Research Cyberinfrastructure'!X103+'EA &amp; Seed Funding'!X103+'Partnerships &amp; Collaborations'!X103+'Broadening Participation Divers'!X103+'Education Workforce Development'!X103+'Communications &amp; Disseminations'!X103+'Evaluation and Assessment '!X103+'Sustainability Plan'!X103+'Management '!X103)</f>
        <v>0</v>
      </c>
      <c r="Y103" s="56">
        <f t="shared" si="54"/>
        <v>0</v>
      </c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</row>
    <row r="104" spans="1:77" x14ac:dyDescent="0.25">
      <c r="A104" s="17"/>
      <c r="B104" s="17"/>
      <c r="C104" s="124">
        <f>SUM('Research Area'!C104+'Research Cyberinfrastructure'!C104+'EA &amp; Seed Funding'!C104+'Partnerships &amp; Collaborations'!C104+'Broadening Participation Divers'!C104+'Education Workforce Development'!C104+'Communications &amp; Disseminations'!C104+'Evaluation and Assessment '!C104+'Sustainability Plan'!C104+'Management '!C104)</f>
        <v>17186</v>
      </c>
      <c r="D104" s="56">
        <f>SUM('Research Area'!D104+'Research Cyberinfrastructure'!D104+'EA &amp; Seed Funding'!D104+'Partnerships &amp; Collaborations'!D104+'Broadening Participation Divers'!D104+'Education Workforce Development'!D104+'Communications &amp; Disseminations'!D104+'Evaluation and Assessment '!D104+'Sustainability Plan'!D104+'Management '!D104)</f>
        <v>0</v>
      </c>
      <c r="E104" s="56">
        <f t="shared" si="49"/>
        <v>17186</v>
      </c>
      <c r="F104" s="15"/>
      <c r="G104" s="55">
        <f>SUM('Research Area'!G104+'Research Cyberinfrastructure'!G104+'EA &amp; Seed Funding'!G104+'Partnerships &amp; Collaborations'!G104+'Broadening Participation Divers'!G104+'Education Workforce Development'!G104+'Communications &amp; Disseminations'!G104+'Evaluation and Assessment '!G104+'Sustainability Plan'!G104+'Management '!G104)</f>
        <v>41701.58</v>
      </c>
      <c r="H104" s="56">
        <f>SUM('Research Area'!H104+'Research Cyberinfrastructure'!H104+'EA &amp; Seed Funding'!H104+'Partnerships &amp; Collaborations'!H104+'Broadening Participation Divers'!H104+'Education Workforce Development'!H104+'Communications &amp; Disseminations'!H104+'Evaluation and Assessment '!H104+'Sustainability Plan'!H104+'Management '!H104)</f>
        <v>0</v>
      </c>
      <c r="I104" s="56">
        <f t="shared" si="50"/>
        <v>41701.58</v>
      </c>
      <c r="J104" s="15"/>
      <c r="K104" s="55">
        <f>SUM('Research Area'!K104+'Research Cyberinfrastructure'!K104+'EA &amp; Seed Funding'!K104+'Partnerships &amp; Collaborations'!K104+'Broadening Participation Divers'!K104+'Education Workforce Development'!K104+'Communications &amp; Disseminations'!K104+'Evaluation and Assessment '!K104+'Sustainability Plan'!K104+'Management '!K104)</f>
        <v>42232.627399999998</v>
      </c>
      <c r="L104" s="56">
        <f>SUM('Research Area'!L104+'Research Cyberinfrastructure'!L104+'EA &amp; Seed Funding'!L104+'Partnerships &amp; Collaborations'!L104+'Broadening Participation Divers'!L104+'Education Workforce Development'!L104+'Communications &amp; Disseminations'!L104+'Evaluation and Assessment '!L104+'Sustainability Plan'!L104+'Management '!L104)</f>
        <v>0</v>
      </c>
      <c r="M104" s="56">
        <f t="shared" si="51"/>
        <v>42232.627399999998</v>
      </c>
      <c r="N104" s="15"/>
      <c r="O104" s="55">
        <f>SUM('Research Area'!O104+'Research Cyberinfrastructure'!O104+'EA &amp; Seed Funding'!O104+'Partnerships &amp; Collaborations'!O104+'Broadening Participation Divers'!O104+'Education Workforce Development'!O104+'Communications &amp; Disseminations'!O104+'Evaluation and Assessment '!O104+'Sustainability Plan'!O104+'Management '!O104)</f>
        <v>18779.606222000002</v>
      </c>
      <c r="P104" s="56">
        <f>SUM('Research Area'!P104+'Research Cyberinfrastructure'!P104+'EA &amp; Seed Funding'!P104+'Partnerships &amp; Collaborations'!P104+'Broadening Participation Divers'!P104+'Education Workforce Development'!P104+'Communications &amp; Disseminations'!P104+'Evaluation and Assessment '!P104+'Sustainability Plan'!P104+'Management '!P104)</f>
        <v>0</v>
      </c>
      <c r="Q104" s="56">
        <f t="shared" si="52"/>
        <v>18779.606222000002</v>
      </c>
      <c r="R104" s="15"/>
      <c r="S104" s="55">
        <f>SUM('Research Area'!S104+'Research Cyberinfrastructure'!S104+'EA &amp; Seed Funding'!S104+'Partnerships &amp; Collaborations'!S104+'Broadening Participation Divers'!S104+'Education Workforce Development'!S104+'Communications &amp; Disseminations'!S104+'Evaluation and Assessment '!S104+'Sustainability Plan'!S104+'Management '!S104)</f>
        <v>19342.994408660004</v>
      </c>
      <c r="T104" s="56">
        <f>SUM('Research Area'!T104+'Research Cyberinfrastructure'!T104+'EA &amp; Seed Funding'!T104+'Partnerships &amp; Collaborations'!T104+'Broadening Participation Divers'!T104+'Education Workforce Development'!T104+'Communications &amp; Disseminations'!T104+'Evaluation and Assessment '!T104+'Sustainability Plan'!T104+'Management '!T104)</f>
        <v>0</v>
      </c>
      <c r="U104" s="56">
        <f t="shared" si="53"/>
        <v>19342.994408660004</v>
      </c>
      <c r="V104" s="16"/>
      <c r="W104" s="55">
        <f>SUM('Research Area'!W104+'Research Cyberinfrastructure'!W104+'EA &amp; Seed Funding'!W104+'Partnerships &amp; Collaborations'!W104+'Broadening Participation Divers'!W104+'Education Workforce Development'!W104+'Communications &amp; Disseminations'!W104+'Evaluation and Assessment '!W104+'Sustainability Plan'!W104+'Management '!W104)</f>
        <v>139242.80803066</v>
      </c>
      <c r="X104" s="56">
        <f>SUM('Research Area'!X104+'Research Cyberinfrastructure'!X104+'EA &amp; Seed Funding'!X104+'Partnerships &amp; Collaborations'!X104+'Broadening Participation Divers'!X104+'Education Workforce Development'!X104+'Communications &amp; Disseminations'!X104+'Evaluation and Assessment '!X104+'Sustainability Plan'!X104+'Management '!X104)</f>
        <v>0</v>
      </c>
      <c r="Y104" s="56">
        <f t="shared" si="54"/>
        <v>139242.80803066</v>
      </c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</row>
    <row r="105" spans="1:77" x14ac:dyDescent="0.25">
      <c r="A105" s="23"/>
      <c r="B105" s="17"/>
      <c r="C105" s="124">
        <f>SUM('Research Area'!C105+'Research Cyberinfrastructure'!C105+'EA &amp; Seed Funding'!C105+'Partnerships &amp; Collaborations'!C105+'Broadening Participation Divers'!C105+'Education Workforce Development'!C105+'Communications &amp; Disseminations'!C105+'Evaluation and Assessment '!C105+'Sustainability Plan'!C105+'Management '!C105)</f>
        <v>0</v>
      </c>
      <c r="D105" s="56">
        <f>SUM('Research Area'!D105+'Research Cyberinfrastructure'!D105+'EA &amp; Seed Funding'!D105+'Partnerships &amp; Collaborations'!D105+'Broadening Participation Divers'!D105+'Education Workforce Development'!D105+'Communications &amp; Disseminations'!D105+'Evaluation and Assessment '!D105+'Sustainability Plan'!D105+'Management '!D105)</f>
        <v>0</v>
      </c>
      <c r="E105" s="56">
        <f t="shared" si="49"/>
        <v>0</v>
      </c>
      <c r="F105" s="15"/>
      <c r="G105" s="55">
        <f>SUM('Research Area'!G105+'Research Cyberinfrastructure'!G105+'EA &amp; Seed Funding'!G105+'Partnerships &amp; Collaborations'!G105+'Broadening Participation Divers'!G105+'Education Workforce Development'!G105+'Communications &amp; Disseminations'!G105+'Evaluation and Assessment '!G105+'Sustainability Plan'!G105+'Management '!G105)</f>
        <v>0</v>
      </c>
      <c r="H105" s="56">
        <f>SUM('Research Area'!H105+'Research Cyberinfrastructure'!H105+'EA &amp; Seed Funding'!H105+'Partnerships &amp; Collaborations'!H105+'Broadening Participation Divers'!H105+'Education Workforce Development'!H105+'Communications &amp; Disseminations'!H105+'Evaluation and Assessment '!H105+'Sustainability Plan'!H105+'Management '!H105)</f>
        <v>0</v>
      </c>
      <c r="I105" s="56">
        <f t="shared" si="50"/>
        <v>0</v>
      </c>
      <c r="J105" s="15"/>
      <c r="K105" s="55">
        <f>SUM('Research Area'!K105+'Research Cyberinfrastructure'!K105+'EA &amp; Seed Funding'!K105+'Partnerships &amp; Collaborations'!K105+'Broadening Participation Divers'!K105+'Education Workforce Development'!K105+'Communications &amp; Disseminations'!K105+'Evaluation and Assessment '!K105+'Sustainability Plan'!K105+'Management '!K105)</f>
        <v>0</v>
      </c>
      <c r="L105" s="56">
        <f>SUM('Research Area'!L105+'Research Cyberinfrastructure'!L105+'EA &amp; Seed Funding'!L105+'Partnerships &amp; Collaborations'!L105+'Broadening Participation Divers'!L105+'Education Workforce Development'!L105+'Communications &amp; Disseminations'!L105+'Evaluation and Assessment '!L105+'Sustainability Plan'!L105+'Management '!L105)</f>
        <v>0</v>
      </c>
      <c r="M105" s="56">
        <f t="shared" si="51"/>
        <v>0</v>
      </c>
      <c r="N105" s="15"/>
      <c r="O105" s="55">
        <f>SUM('Research Area'!O105+'Research Cyberinfrastructure'!O105+'EA &amp; Seed Funding'!O105+'Partnerships &amp; Collaborations'!O105+'Broadening Participation Divers'!O105+'Education Workforce Development'!O105+'Communications &amp; Disseminations'!O105+'Evaluation and Assessment '!O105+'Sustainability Plan'!O105+'Management '!O105)</f>
        <v>0</v>
      </c>
      <c r="P105" s="56">
        <f>SUM('Research Area'!P105+'Research Cyberinfrastructure'!P105+'EA &amp; Seed Funding'!P105+'Partnerships &amp; Collaborations'!P105+'Broadening Participation Divers'!P105+'Education Workforce Development'!P105+'Communications &amp; Disseminations'!P105+'Evaluation and Assessment '!P105+'Sustainability Plan'!P105+'Management '!P105)</f>
        <v>0</v>
      </c>
      <c r="Q105" s="56">
        <f t="shared" si="52"/>
        <v>0</v>
      </c>
      <c r="R105" s="15"/>
      <c r="S105" s="55">
        <f>SUM('Research Area'!S105+'Research Cyberinfrastructure'!S105+'EA &amp; Seed Funding'!S105+'Partnerships &amp; Collaborations'!S105+'Broadening Participation Divers'!S105+'Education Workforce Development'!S105+'Communications &amp; Disseminations'!S105+'Evaluation and Assessment '!S105+'Sustainability Plan'!S105+'Management '!S105)</f>
        <v>0</v>
      </c>
      <c r="T105" s="56">
        <f>SUM('Research Area'!T105+'Research Cyberinfrastructure'!T105+'EA &amp; Seed Funding'!T105+'Partnerships &amp; Collaborations'!T105+'Broadening Participation Divers'!T105+'Education Workforce Development'!T105+'Communications &amp; Disseminations'!T105+'Evaluation and Assessment '!T105+'Sustainability Plan'!T105+'Management '!T105)</f>
        <v>0</v>
      </c>
      <c r="U105" s="56">
        <f t="shared" si="53"/>
        <v>0</v>
      </c>
      <c r="V105" s="16"/>
      <c r="W105" s="55">
        <f>SUM('Research Area'!W105+'Research Cyberinfrastructure'!W105+'EA &amp; Seed Funding'!W105+'Partnerships &amp; Collaborations'!W105+'Broadening Participation Divers'!W105+'Education Workforce Development'!W105+'Communications &amp; Disseminations'!W105+'Evaluation and Assessment '!W105+'Sustainability Plan'!W105+'Management '!W105)</f>
        <v>0</v>
      </c>
      <c r="X105" s="56">
        <f>SUM('Research Area'!X105+'Research Cyberinfrastructure'!X105+'EA &amp; Seed Funding'!X105+'Partnerships &amp; Collaborations'!X105+'Broadening Participation Divers'!X105+'Education Workforce Development'!X105+'Communications &amp; Disseminations'!X105+'Evaluation and Assessment '!X105+'Sustainability Plan'!X105+'Management '!X105)</f>
        <v>0</v>
      </c>
      <c r="Y105" s="56">
        <f t="shared" si="54"/>
        <v>0</v>
      </c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</row>
    <row r="106" spans="1:77" x14ac:dyDescent="0.25">
      <c r="A106" s="23"/>
      <c r="B106" s="17"/>
      <c r="C106" s="124">
        <f>SUM('Research Area'!C106+'Research Cyberinfrastructure'!C106+'EA &amp; Seed Funding'!C106+'Partnerships &amp; Collaborations'!C106+'Broadening Participation Divers'!C106+'Education Workforce Development'!C106+'Communications &amp; Disseminations'!C106+'Evaluation and Assessment '!C106+'Sustainability Plan'!C106+'Management '!C106)</f>
        <v>0</v>
      </c>
      <c r="D106" s="56">
        <f>SUM('Research Area'!D106+'Research Cyberinfrastructure'!D106+'EA &amp; Seed Funding'!D106+'Partnerships &amp; Collaborations'!D106+'Broadening Participation Divers'!D106+'Education Workforce Development'!D106+'Communications &amp; Disseminations'!D106+'Evaluation and Assessment '!D106+'Sustainability Plan'!D106+'Management '!D106)</f>
        <v>0</v>
      </c>
      <c r="E106" s="56">
        <f t="shared" si="49"/>
        <v>0</v>
      </c>
      <c r="F106" s="15"/>
      <c r="G106" s="55">
        <f>SUM('Research Area'!G106+'Research Cyberinfrastructure'!G106+'EA &amp; Seed Funding'!G106+'Partnerships &amp; Collaborations'!G106+'Broadening Participation Divers'!G106+'Education Workforce Development'!G106+'Communications &amp; Disseminations'!G106+'Evaluation and Assessment '!G106+'Sustainability Plan'!G106+'Management '!G106)</f>
        <v>0</v>
      </c>
      <c r="H106" s="56">
        <f>SUM('Research Area'!H106+'Research Cyberinfrastructure'!H106+'EA &amp; Seed Funding'!H106+'Partnerships &amp; Collaborations'!H106+'Broadening Participation Divers'!H106+'Education Workforce Development'!H106+'Communications &amp; Disseminations'!H106+'Evaluation and Assessment '!H106+'Sustainability Plan'!H106+'Management '!H106)</f>
        <v>0</v>
      </c>
      <c r="I106" s="56">
        <f t="shared" si="50"/>
        <v>0</v>
      </c>
      <c r="J106" s="15"/>
      <c r="K106" s="55">
        <f>SUM('Research Area'!K106+'Research Cyberinfrastructure'!K106+'EA &amp; Seed Funding'!K106+'Partnerships &amp; Collaborations'!K106+'Broadening Participation Divers'!K106+'Education Workforce Development'!K106+'Communications &amp; Disseminations'!K106+'Evaluation and Assessment '!K106+'Sustainability Plan'!K106+'Management '!K106)</f>
        <v>0</v>
      </c>
      <c r="L106" s="56">
        <f>SUM('Research Area'!L106+'Research Cyberinfrastructure'!L106+'EA &amp; Seed Funding'!L106+'Partnerships &amp; Collaborations'!L106+'Broadening Participation Divers'!L106+'Education Workforce Development'!L106+'Communications &amp; Disseminations'!L106+'Evaluation and Assessment '!L106+'Sustainability Plan'!L106+'Management '!L106)</f>
        <v>0</v>
      </c>
      <c r="M106" s="56">
        <f t="shared" si="51"/>
        <v>0</v>
      </c>
      <c r="N106" s="15"/>
      <c r="O106" s="55">
        <f>SUM('Research Area'!O106+'Research Cyberinfrastructure'!O106+'EA &amp; Seed Funding'!O106+'Partnerships &amp; Collaborations'!O106+'Broadening Participation Divers'!O106+'Education Workforce Development'!O106+'Communications &amp; Disseminations'!O106+'Evaluation and Assessment '!O106+'Sustainability Plan'!O106+'Management '!O106)</f>
        <v>0</v>
      </c>
      <c r="P106" s="56">
        <f>SUM('Research Area'!P106+'Research Cyberinfrastructure'!P106+'EA &amp; Seed Funding'!P106+'Partnerships &amp; Collaborations'!P106+'Broadening Participation Divers'!P106+'Education Workforce Development'!P106+'Communications &amp; Disseminations'!P106+'Evaluation and Assessment '!P106+'Sustainability Plan'!P106+'Management '!P106)</f>
        <v>0</v>
      </c>
      <c r="Q106" s="56">
        <f t="shared" si="52"/>
        <v>0</v>
      </c>
      <c r="R106" s="15"/>
      <c r="S106" s="55">
        <f>SUM('Research Area'!S106+'Research Cyberinfrastructure'!S106+'EA &amp; Seed Funding'!S106+'Partnerships &amp; Collaborations'!S106+'Broadening Participation Divers'!S106+'Education Workforce Development'!S106+'Communications &amp; Disseminations'!S106+'Evaluation and Assessment '!S106+'Sustainability Plan'!S106+'Management '!S106)</f>
        <v>0</v>
      </c>
      <c r="T106" s="56">
        <f>SUM('Research Area'!T106+'Research Cyberinfrastructure'!T106+'EA &amp; Seed Funding'!T106+'Partnerships &amp; Collaborations'!T106+'Broadening Participation Divers'!T106+'Education Workforce Development'!T106+'Communications &amp; Disseminations'!T106+'Evaluation and Assessment '!T106+'Sustainability Plan'!T106+'Management '!T106)</f>
        <v>0</v>
      </c>
      <c r="U106" s="56">
        <f t="shared" si="53"/>
        <v>0</v>
      </c>
      <c r="V106" s="16"/>
      <c r="W106" s="55">
        <f>SUM('Research Area'!W106+'Research Cyberinfrastructure'!W106+'EA &amp; Seed Funding'!W106+'Partnerships &amp; Collaborations'!W106+'Broadening Participation Divers'!W106+'Education Workforce Development'!W106+'Communications &amp; Disseminations'!W106+'Evaluation and Assessment '!W106+'Sustainability Plan'!W106+'Management '!W106)</f>
        <v>0</v>
      </c>
      <c r="X106" s="56">
        <f>SUM('Research Area'!X106+'Research Cyberinfrastructure'!X106+'EA &amp; Seed Funding'!X106+'Partnerships &amp; Collaborations'!X106+'Broadening Participation Divers'!X106+'Education Workforce Development'!X106+'Communications &amp; Disseminations'!X106+'Evaluation and Assessment '!X106+'Sustainability Plan'!X106+'Management '!X106)</f>
        <v>0</v>
      </c>
      <c r="Y106" s="56">
        <f t="shared" si="54"/>
        <v>0</v>
      </c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</row>
    <row r="107" spans="1:77" x14ac:dyDescent="0.25">
      <c r="A107" s="17"/>
      <c r="B107" s="17"/>
      <c r="C107" s="124">
        <f>SUM('Research Area'!C107+'Research Cyberinfrastructure'!C107+'EA &amp; Seed Funding'!C107+'Partnerships &amp; Collaborations'!C107+'Broadening Participation Divers'!C107+'Education Workforce Development'!C107+'Communications &amp; Disseminations'!C107+'Evaluation and Assessment '!C107+'Sustainability Plan'!C107+'Management '!C107)</f>
        <v>0</v>
      </c>
      <c r="D107" s="56">
        <f>SUM('Research Area'!D107+'Research Cyberinfrastructure'!D107+'EA &amp; Seed Funding'!D107+'Partnerships &amp; Collaborations'!D107+'Broadening Participation Divers'!D107+'Education Workforce Development'!D107+'Communications &amp; Disseminations'!D107+'Evaluation and Assessment '!D107+'Sustainability Plan'!D107+'Management '!D107)</f>
        <v>0</v>
      </c>
      <c r="E107" s="56">
        <f t="shared" si="49"/>
        <v>0</v>
      </c>
      <c r="F107" s="15"/>
      <c r="G107" s="55">
        <f>SUM('Research Area'!G107+'Research Cyberinfrastructure'!G107+'EA &amp; Seed Funding'!G107+'Partnerships &amp; Collaborations'!G107+'Broadening Participation Divers'!G107+'Education Workforce Development'!G107+'Communications &amp; Disseminations'!G107+'Evaluation and Assessment '!G107+'Sustainability Plan'!G107+'Management '!G107)</f>
        <v>0</v>
      </c>
      <c r="H107" s="56">
        <f>SUM('Research Area'!H107+'Research Cyberinfrastructure'!H107+'EA &amp; Seed Funding'!H107+'Partnerships &amp; Collaborations'!H107+'Broadening Participation Divers'!H107+'Education Workforce Development'!H107+'Communications &amp; Disseminations'!H107+'Evaluation and Assessment '!H107+'Sustainability Plan'!H107+'Management '!H107)</f>
        <v>0</v>
      </c>
      <c r="I107" s="56">
        <f t="shared" si="50"/>
        <v>0</v>
      </c>
      <c r="J107" s="15"/>
      <c r="K107" s="55">
        <f>SUM('Research Area'!K107+'Research Cyberinfrastructure'!K107+'EA &amp; Seed Funding'!K107+'Partnerships &amp; Collaborations'!K107+'Broadening Participation Divers'!K107+'Education Workforce Development'!K107+'Communications &amp; Disseminations'!K107+'Evaluation and Assessment '!K107+'Sustainability Plan'!K107+'Management '!K107)</f>
        <v>0</v>
      </c>
      <c r="L107" s="56">
        <f>SUM('Research Area'!L107+'Research Cyberinfrastructure'!L107+'EA &amp; Seed Funding'!L107+'Partnerships &amp; Collaborations'!L107+'Broadening Participation Divers'!L107+'Education Workforce Development'!L107+'Communications &amp; Disseminations'!L107+'Evaluation and Assessment '!L107+'Sustainability Plan'!L107+'Management '!L107)</f>
        <v>0</v>
      </c>
      <c r="M107" s="56">
        <f t="shared" si="51"/>
        <v>0</v>
      </c>
      <c r="N107" s="15"/>
      <c r="O107" s="55">
        <f>SUM('Research Area'!O107+'Research Cyberinfrastructure'!O107+'EA &amp; Seed Funding'!O107+'Partnerships &amp; Collaborations'!O107+'Broadening Participation Divers'!O107+'Education Workforce Development'!O107+'Communications &amp; Disseminations'!O107+'Evaluation and Assessment '!O107+'Sustainability Plan'!O107+'Management '!O107)</f>
        <v>0</v>
      </c>
      <c r="P107" s="56">
        <f>SUM('Research Area'!P107+'Research Cyberinfrastructure'!P107+'EA &amp; Seed Funding'!P107+'Partnerships &amp; Collaborations'!P107+'Broadening Participation Divers'!P107+'Education Workforce Development'!P107+'Communications &amp; Disseminations'!P107+'Evaluation and Assessment '!P107+'Sustainability Plan'!P107+'Management '!P107)</f>
        <v>0</v>
      </c>
      <c r="Q107" s="56">
        <f t="shared" si="52"/>
        <v>0</v>
      </c>
      <c r="R107" s="15"/>
      <c r="S107" s="55">
        <f>SUM('Research Area'!S107+'Research Cyberinfrastructure'!S107+'EA &amp; Seed Funding'!S107+'Partnerships &amp; Collaborations'!S107+'Broadening Participation Divers'!S107+'Education Workforce Development'!S107+'Communications &amp; Disseminations'!S107+'Evaluation and Assessment '!S107+'Sustainability Plan'!S107+'Management '!S107)</f>
        <v>0</v>
      </c>
      <c r="T107" s="56">
        <f>SUM('Research Area'!T107+'Research Cyberinfrastructure'!T107+'EA &amp; Seed Funding'!T107+'Partnerships &amp; Collaborations'!T107+'Broadening Participation Divers'!T107+'Education Workforce Development'!T107+'Communications &amp; Disseminations'!T107+'Evaluation and Assessment '!T107+'Sustainability Plan'!T107+'Management '!T107)</f>
        <v>0</v>
      </c>
      <c r="U107" s="56">
        <f t="shared" si="53"/>
        <v>0</v>
      </c>
      <c r="V107" s="16"/>
      <c r="W107" s="55">
        <f>SUM('Research Area'!W107+'Research Cyberinfrastructure'!W107+'EA &amp; Seed Funding'!W107+'Partnerships &amp; Collaborations'!W107+'Broadening Participation Divers'!W107+'Education Workforce Development'!W107+'Communications &amp; Disseminations'!W107+'Evaluation and Assessment '!W107+'Sustainability Plan'!W107+'Management '!W107)</f>
        <v>0</v>
      </c>
      <c r="X107" s="56">
        <f>SUM('Research Area'!X107+'Research Cyberinfrastructure'!X107+'EA &amp; Seed Funding'!X107+'Partnerships &amp; Collaborations'!X107+'Broadening Participation Divers'!X107+'Education Workforce Development'!X107+'Communications &amp; Disseminations'!X107+'Evaluation and Assessment '!X107+'Sustainability Plan'!X107+'Management '!X107)</f>
        <v>0</v>
      </c>
      <c r="Y107" s="56">
        <f t="shared" si="54"/>
        <v>0</v>
      </c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</row>
    <row r="108" spans="1:77" x14ac:dyDescent="0.25">
      <c r="A108" s="17"/>
      <c r="B108" s="13"/>
      <c r="C108" s="124">
        <f>SUM('Research Area'!C108+'Research Cyberinfrastructure'!C108+'EA &amp; Seed Funding'!C108+'Partnerships &amp; Collaborations'!C108+'Broadening Participation Divers'!C108+'Education Workforce Development'!C108+'Communications &amp; Disseminations'!C108+'Evaluation and Assessment '!C108+'Sustainability Plan'!C108+'Management '!C108)</f>
        <v>0</v>
      </c>
      <c r="D108" s="56">
        <f>SUM('Research Area'!D108+'Research Cyberinfrastructure'!D108+'EA &amp; Seed Funding'!D108+'Partnerships &amp; Collaborations'!D108+'Broadening Participation Divers'!D108+'Education Workforce Development'!D108+'Communications &amp; Disseminations'!D108+'Evaluation and Assessment '!D108+'Sustainability Plan'!D108+'Management '!D108)</f>
        <v>0</v>
      </c>
      <c r="E108" s="56">
        <f t="shared" si="49"/>
        <v>0</v>
      </c>
      <c r="F108" s="15"/>
      <c r="G108" s="55">
        <f>SUM('Research Area'!G108+'Research Cyberinfrastructure'!G108+'EA &amp; Seed Funding'!G108+'Partnerships &amp; Collaborations'!G108+'Broadening Participation Divers'!G108+'Education Workforce Development'!G108+'Communications &amp; Disseminations'!G108+'Evaluation and Assessment '!G108+'Sustainability Plan'!G108+'Management '!G108)</f>
        <v>0</v>
      </c>
      <c r="H108" s="56">
        <f>SUM('Research Area'!H108+'Research Cyberinfrastructure'!H108+'EA &amp; Seed Funding'!H108+'Partnerships &amp; Collaborations'!H108+'Broadening Participation Divers'!H108+'Education Workforce Development'!H108+'Communications &amp; Disseminations'!H108+'Evaluation and Assessment '!H108+'Sustainability Plan'!H108+'Management '!H108)</f>
        <v>0</v>
      </c>
      <c r="I108" s="56">
        <f t="shared" si="50"/>
        <v>0</v>
      </c>
      <c r="J108" s="15"/>
      <c r="K108" s="55">
        <f>SUM('Research Area'!K108+'Research Cyberinfrastructure'!K108+'EA &amp; Seed Funding'!K108+'Partnerships &amp; Collaborations'!K108+'Broadening Participation Divers'!K108+'Education Workforce Development'!K108+'Communications &amp; Disseminations'!K108+'Evaluation and Assessment '!K108+'Sustainability Plan'!K108+'Management '!K108)</f>
        <v>0</v>
      </c>
      <c r="L108" s="56">
        <f>SUM('Research Area'!L108+'Research Cyberinfrastructure'!L108+'EA &amp; Seed Funding'!L108+'Partnerships &amp; Collaborations'!L108+'Broadening Participation Divers'!L108+'Education Workforce Development'!L108+'Communications &amp; Disseminations'!L108+'Evaluation and Assessment '!L108+'Sustainability Plan'!L108+'Management '!L108)</f>
        <v>0</v>
      </c>
      <c r="M108" s="56">
        <f t="shared" si="51"/>
        <v>0</v>
      </c>
      <c r="N108" s="15"/>
      <c r="O108" s="55">
        <f>SUM('Research Area'!O108+'Research Cyberinfrastructure'!O108+'EA &amp; Seed Funding'!O108+'Partnerships &amp; Collaborations'!O108+'Broadening Participation Divers'!O108+'Education Workforce Development'!O108+'Communications &amp; Disseminations'!O108+'Evaluation and Assessment '!O108+'Sustainability Plan'!O108+'Management '!O108)</f>
        <v>0</v>
      </c>
      <c r="P108" s="56">
        <f>SUM('Research Area'!P108+'Research Cyberinfrastructure'!P108+'EA &amp; Seed Funding'!P108+'Partnerships &amp; Collaborations'!P108+'Broadening Participation Divers'!P108+'Education Workforce Development'!P108+'Communications &amp; Disseminations'!P108+'Evaluation and Assessment '!P108+'Sustainability Plan'!P108+'Management '!P108)</f>
        <v>0</v>
      </c>
      <c r="Q108" s="56">
        <f t="shared" si="52"/>
        <v>0</v>
      </c>
      <c r="R108" s="15"/>
      <c r="S108" s="55">
        <f>SUM('Research Area'!S108+'Research Cyberinfrastructure'!S108+'EA &amp; Seed Funding'!S108+'Partnerships &amp; Collaborations'!S108+'Broadening Participation Divers'!S108+'Education Workforce Development'!S108+'Communications &amp; Disseminations'!S108+'Evaluation and Assessment '!S108+'Sustainability Plan'!S108+'Management '!S108)</f>
        <v>0</v>
      </c>
      <c r="T108" s="56">
        <f>SUM('Research Area'!T108+'Research Cyberinfrastructure'!T108+'EA &amp; Seed Funding'!T108+'Partnerships &amp; Collaborations'!T108+'Broadening Participation Divers'!T108+'Education Workforce Development'!T108+'Communications &amp; Disseminations'!T108+'Evaluation and Assessment '!T108+'Sustainability Plan'!T108+'Management '!T108)</f>
        <v>0</v>
      </c>
      <c r="U108" s="56">
        <f t="shared" si="53"/>
        <v>0</v>
      </c>
      <c r="V108" s="16"/>
      <c r="W108" s="55">
        <f>SUM('Research Area'!W108+'Research Cyberinfrastructure'!W108+'EA &amp; Seed Funding'!W108+'Partnerships &amp; Collaborations'!W108+'Broadening Participation Divers'!W108+'Education Workforce Development'!W108+'Communications &amp; Disseminations'!W108+'Evaluation and Assessment '!W108+'Sustainability Plan'!W108+'Management '!W108)</f>
        <v>0</v>
      </c>
      <c r="X108" s="56">
        <f>SUM('Research Area'!X108+'Research Cyberinfrastructure'!X108+'EA &amp; Seed Funding'!X108+'Partnerships &amp; Collaborations'!X108+'Broadening Participation Divers'!X108+'Education Workforce Development'!X108+'Communications &amp; Disseminations'!X108+'Evaluation and Assessment '!X108+'Sustainability Plan'!X108+'Management '!X108)</f>
        <v>0</v>
      </c>
      <c r="Y108" s="56">
        <f t="shared" si="54"/>
        <v>0</v>
      </c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</row>
    <row r="109" spans="1:77" x14ac:dyDescent="0.25">
      <c r="A109" s="17"/>
      <c r="B109" s="17"/>
      <c r="C109" s="124">
        <f>SUM('Research Area'!C109+'Research Cyberinfrastructure'!C109+'EA &amp; Seed Funding'!C109+'Partnerships &amp; Collaborations'!C109+'Broadening Participation Divers'!C109+'Education Workforce Development'!C109+'Communications &amp; Disseminations'!C109+'Evaluation and Assessment '!C109+'Sustainability Plan'!C109+'Management '!C109)</f>
        <v>0</v>
      </c>
      <c r="D109" s="56">
        <f>SUM('Research Area'!D109+'Research Cyberinfrastructure'!D109+'EA &amp; Seed Funding'!D109+'Partnerships &amp; Collaborations'!D109+'Broadening Participation Divers'!D109+'Education Workforce Development'!D109+'Communications &amp; Disseminations'!D109+'Evaluation and Assessment '!D109+'Sustainability Plan'!D109+'Management '!D109)</f>
        <v>0</v>
      </c>
      <c r="E109" s="56">
        <f t="shared" si="49"/>
        <v>0</v>
      </c>
      <c r="F109" s="15"/>
      <c r="G109" s="55">
        <f>SUM('Research Area'!G109+'Research Cyberinfrastructure'!G109+'EA &amp; Seed Funding'!G109+'Partnerships &amp; Collaborations'!G109+'Broadening Participation Divers'!G109+'Education Workforce Development'!G109+'Communications &amp; Disseminations'!G109+'Evaluation and Assessment '!G109+'Sustainability Plan'!G109+'Management '!G109)</f>
        <v>0</v>
      </c>
      <c r="H109" s="56">
        <f>SUM('Research Area'!H109+'Research Cyberinfrastructure'!H109+'EA &amp; Seed Funding'!H109+'Partnerships &amp; Collaborations'!H109+'Broadening Participation Divers'!H109+'Education Workforce Development'!H109+'Communications &amp; Disseminations'!H109+'Evaluation and Assessment '!H109+'Sustainability Plan'!H109+'Management '!H109)</f>
        <v>0</v>
      </c>
      <c r="I109" s="56">
        <f t="shared" si="50"/>
        <v>0</v>
      </c>
      <c r="J109" s="15"/>
      <c r="K109" s="55">
        <f>SUM('Research Area'!K109+'Research Cyberinfrastructure'!K109+'EA &amp; Seed Funding'!K109+'Partnerships &amp; Collaborations'!K109+'Broadening Participation Divers'!K109+'Education Workforce Development'!K109+'Communications &amp; Disseminations'!K109+'Evaluation and Assessment '!K109+'Sustainability Plan'!K109+'Management '!K109)</f>
        <v>0</v>
      </c>
      <c r="L109" s="56">
        <f>SUM('Research Area'!L109+'Research Cyberinfrastructure'!L109+'EA &amp; Seed Funding'!L109+'Partnerships &amp; Collaborations'!L109+'Broadening Participation Divers'!L109+'Education Workforce Development'!L109+'Communications &amp; Disseminations'!L109+'Evaluation and Assessment '!L109+'Sustainability Plan'!L109+'Management '!L109)</f>
        <v>0</v>
      </c>
      <c r="M109" s="56">
        <f t="shared" si="51"/>
        <v>0</v>
      </c>
      <c r="N109" s="15"/>
      <c r="O109" s="55">
        <f>SUM('Research Area'!O109+'Research Cyberinfrastructure'!O109+'EA &amp; Seed Funding'!O109+'Partnerships &amp; Collaborations'!O109+'Broadening Participation Divers'!O109+'Education Workforce Development'!O109+'Communications &amp; Disseminations'!O109+'Evaluation and Assessment '!O109+'Sustainability Plan'!O109+'Management '!O109)</f>
        <v>0</v>
      </c>
      <c r="P109" s="56">
        <f>SUM('Research Area'!P109+'Research Cyberinfrastructure'!P109+'EA &amp; Seed Funding'!P109+'Partnerships &amp; Collaborations'!P109+'Broadening Participation Divers'!P109+'Education Workforce Development'!P109+'Communications &amp; Disseminations'!P109+'Evaluation and Assessment '!P109+'Sustainability Plan'!P109+'Management '!P109)</f>
        <v>0</v>
      </c>
      <c r="Q109" s="56">
        <f t="shared" si="52"/>
        <v>0</v>
      </c>
      <c r="R109" s="15"/>
      <c r="S109" s="55">
        <f>SUM('Research Area'!S109+'Research Cyberinfrastructure'!S109+'EA &amp; Seed Funding'!S109+'Partnerships &amp; Collaborations'!S109+'Broadening Participation Divers'!S109+'Education Workforce Development'!S109+'Communications &amp; Disseminations'!S109+'Evaluation and Assessment '!S109+'Sustainability Plan'!S109+'Management '!S109)</f>
        <v>0</v>
      </c>
      <c r="T109" s="56">
        <f>SUM('Research Area'!T109+'Research Cyberinfrastructure'!T109+'EA &amp; Seed Funding'!T109+'Partnerships &amp; Collaborations'!T109+'Broadening Participation Divers'!T109+'Education Workforce Development'!T109+'Communications &amp; Disseminations'!T109+'Evaluation and Assessment '!T109+'Sustainability Plan'!T109+'Management '!T109)</f>
        <v>0</v>
      </c>
      <c r="U109" s="56">
        <f t="shared" si="53"/>
        <v>0</v>
      </c>
      <c r="V109" s="16"/>
      <c r="W109" s="55">
        <f>SUM('Research Area'!W109+'Research Cyberinfrastructure'!W109+'EA &amp; Seed Funding'!W109+'Partnerships &amp; Collaborations'!W109+'Broadening Participation Divers'!W109+'Education Workforce Development'!W109+'Communications &amp; Disseminations'!W109+'Evaluation and Assessment '!W109+'Sustainability Plan'!W109+'Management '!W109)</f>
        <v>0</v>
      </c>
      <c r="X109" s="56">
        <f>SUM('Research Area'!X109+'Research Cyberinfrastructure'!X109+'EA &amp; Seed Funding'!X109+'Partnerships &amp; Collaborations'!X109+'Broadening Participation Divers'!X109+'Education Workforce Development'!X109+'Communications &amp; Disseminations'!X109+'Evaluation and Assessment '!X109+'Sustainability Plan'!X109+'Management '!X109)</f>
        <v>0</v>
      </c>
      <c r="Y109" s="56">
        <f t="shared" si="54"/>
        <v>0</v>
      </c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</row>
    <row r="110" spans="1:77" x14ac:dyDescent="0.25">
      <c r="A110" s="23"/>
      <c r="B110" s="17"/>
      <c r="C110" s="124">
        <f>SUM('Research Area'!C110+'Research Cyberinfrastructure'!C110+'EA &amp; Seed Funding'!C110+'Partnerships &amp; Collaborations'!C110+'Broadening Participation Divers'!C110+'Education Workforce Development'!C110+'Communications &amp; Disseminations'!C110+'Evaluation and Assessment '!C110+'Sustainability Plan'!C110+'Management '!C110)</f>
        <v>0</v>
      </c>
      <c r="D110" s="56">
        <f>SUM('Research Area'!D110+'Research Cyberinfrastructure'!D110+'EA &amp; Seed Funding'!D110+'Partnerships &amp; Collaborations'!D110+'Broadening Participation Divers'!D110+'Education Workforce Development'!D110+'Communications &amp; Disseminations'!D110+'Evaluation and Assessment '!D110+'Sustainability Plan'!D110+'Management '!D110)</f>
        <v>0</v>
      </c>
      <c r="E110" s="56">
        <f t="shared" si="49"/>
        <v>0</v>
      </c>
      <c r="F110" s="15"/>
      <c r="G110" s="55">
        <f>SUM('Research Area'!G110+'Research Cyberinfrastructure'!G110+'EA &amp; Seed Funding'!G110+'Partnerships &amp; Collaborations'!G110+'Broadening Participation Divers'!G110+'Education Workforce Development'!G110+'Communications &amp; Disseminations'!G110+'Evaluation and Assessment '!G110+'Sustainability Plan'!G110+'Management '!G110)</f>
        <v>0</v>
      </c>
      <c r="H110" s="56">
        <f>SUM('Research Area'!H110+'Research Cyberinfrastructure'!H110+'EA &amp; Seed Funding'!H110+'Partnerships &amp; Collaborations'!H110+'Broadening Participation Divers'!H110+'Education Workforce Development'!H110+'Communications &amp; Disseminations'!H110+'Evaluation and Assessment '!H110+'Sustainability Plan'!H110+'Management '!H110)</f>
        <v>0</v>
      </c>
      <c r="I110" s="56">
        <f t="shared" si="50"/>
        <v>0</v>
      </c>
      <c r="J110" s="15"/>
      <c r="K110" s="55">
        <f>SUM('Research Area'!K110+'Research Cyberinfrastructure'!K110+'EA &amp; Seed Funding'!K110+'Partnerships &amp; Collaborations'!K110+'Broadening Participation Divers'!K110+'Education Workforce Development'!K110+'Communications &amp; Disseminations'!K110+'Evaluation and Assessment '!K110+'Sustainability Plan'!K110+'Management '!K110)</f>
        <v>0</v>
      </c>
      <c r="L110" s="56">
        <f>SUM('Research Area'!L110+'Research Cyberinfrastructure'!L110+'EA &amp; Seed Funding'!L110+'Partnerships &amp; Collaborations'!L110+'Broadening Participation Divers'!L110+'Education Workforce Development'!L110+'Communications &amp; Disseminations'!L110+'Evaluation and Assessment '!L110+'Sustainability Plan'!L110+'Management '!L110)</f>
        <v>0</v>
      </c>
      <c r="M110" s="56">
        <f t="shared" si="51"/>
        <v>0</v>
      </c>
      <c r="N110" s="15"/>
      <c r="O110" s="55">
        <f>SUM('Research Area'!O110+'Research Cyberinfrastructure'!O110+'EA &amp; Seed Funding'!O110+'Partnerships &amp; Collaborations'!O110+'Broadening Participation Divers'!O110+'Education Workforce Development'!O110+'Communications &amp; Disseminations'!O110+'Evaluation and Assessment '!O110+'Sustainability Plan'!O110+'Management '!O110)</f>
        <v>0</v>
      </c>
      <c r="P110" s="56">
        <f>SUM('Research Area'!P110+'Research Cyberinfrastructure'!P110+'EA &amp; Seed Funding'!P110+'Partnerships &amp; Collaborations'!P110+'Broadening Participation Divers'!P110+'Education Workforce Development'!P110+'Communications &amp; Disseminations'!P110+'Evaluation and Assessment '!P110+'Sustainability Plan'!P110+'Management '!P110)</f>
        <v>0</v>
      </c>
      <c r="Q110" s="56">
        <f t="shared" si="52"/>
        <v>0</v>
      </c>
      <c r="R110" s="15"/>
      <c r="S110" s="55">
        <f>SUM('Research Area'!S110+'Research Cyberinfrastructure'!S110+'EA &amp; Seed Funding'!S110+'Partnerships &amp; Collaborations'!S110+'Broadening Participation Divers'!S110+'Education Workforce Development'!S110+'Communications &amp; Disseminations'!S110+'Evaluation and Assessment '!S110+'Sustainability Plan'!S110+'Management '!S110)</f>
        <v>0</v>
      </c>
      <c r="T110" s="56">
        <f>SUM('Research Area'!T110+'Research Cyberinfrastructure'!T110+'EA &amp; Seed Funding'!T110+'Partnerships &amp; Collaborations'!T110+'Broadening Participation Divers'!T110+'Education Workforce Development'!T110+'Communications &amp; Disseminations'!T110+'Evaluation and Assessment '!T110+'Sustainability Plan'!T110+'Management '!T110)</f>
        <v>0</v>
      </c>
      <c r="U110" s="56">
        <f t="shared" si="53"/>
        <v>0</v>
      </c>
      <c r="V110" s="16"/>
      <c r="W110" s="55">
        <f>SUM('Research Area'!W110+'Research Cyberinfrastructure'!W110+'EA &amp; Seed Funding'!W110+'Partnerships &amp; Collaborations'!W110+'Broadening Participation Divers'!W110+'Education Workforce Development'!W110+'Communications &amp; Disseminations'!W110+'Evaluation and Assessment '!W110+'Sustainability Plan'!W110+'Management '!W110)</f>
        <v>0</v>
      </c>
      <c r="X110" s="56">
        <f>SUM('Research Area'!X110+'Research Cyberinfrastructure'!X110+'EA &amp; Seed Funding'!X110+'Partnerships &amp; Collaborations'!X110+'Broadening Participation Divers'!X110+'Education Workforce Development'!X110+'Communications &amp; Disseminations'!X110+'Evaluation and Assessment '!X110+'Sustainability Plan'!X110+'Management '!X110)</f>
        <v>0</v>
      </c>
      <c r="Y110" s="56">
        <f t="shared" si="54"/>
        <v>0</v>
      </c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</row>
    <row r="111" spans="1:77" x14ac:dyDescent="0.25">
      <c r="A111" s="23"/>
      <c r="B111" s="17"/>
      <c r="C111" s="124">
        <f>SUM('Research Area'!C111+'Research Cyberinfrastructure'!C111+'EA &amp; Seed Funding'!C111+'Partnerships &amp; Collaborations'!C111+'Broadening Participation Divers'!C111+'Education Workforce Development'!C111+'Communications &amp; Disseminations'!C111+'Evaluation and Assessment '!C111+'Sustainability Plan'!C111+'Management '!C111)</f>
        <v>0</v>
      </c>
      <c r="D111" s="56">
        <f>SUM('Research Area'!D111+'Research Cyberinfrastructure'!D111+'EA &amp; Seed Funding'!D111+'Partnerships &amp; Collaborations'!D111+'Broadening Participation Divers'!D111+'Education Workforce Development'!D111+'Communications &amp; Disseminations'!D111+'Evaluation and Assessment '!D111+'Sustainability Plan'!D111+'Management '!D111)</f>
        <v>0</v>
      </c>
      <c r="E111" s="56">
        <f t="shared" si="49"/>
        <v>0</v>
      </c>
      <c r="F111" s="15"/>
      <c r="G111" s="55">
        <f>SUM('Research Area'!G111+'Research Cyberinfrastructure'!G111+'EA &amp; Seed Funding'!G111+'Partnerships &amp; Collaborations'!G111+'Broadening Participation Divers'!G111+'Education Workforce Development'!G111+'Communications &amp; Disseminations'!G111+'Evaluation and Assessment '!G111+'Sustainability Plan'!G111+'Management '!G111)</f>
        <v>0</v>
      </c>
      <c r="H111" s="56">
        <f>SUM('Research Area'!H111+'Research Cyberinfrastructure'!H111+'EA &amp; Seed Funding'!H111+'Partnerships &amp; Collaborations'!H111+'Broadening Participation Divers'!H111+'Education Workforce Development'!H111+'Communications &amp; Disseminations'!H111+'Evaluation and Assessment '!H111+'Sustainability Plan'!H111+'Management '!H111)</f>
        <v>0</v>
      </c>
      <c r="I111" s="56">
        <f t="shared" si="50"/>
        <v>0</v>
      </c>
      <c r="J111" s="15"/>
      <c r="K111" s="55">
        <f>SUM('Research Area'!K111+'Research Cyberinfrastructure'!K111+'EA &amp; Seed Funding'!K111+'Partnerships &amp; Collaborations'!K111+'Broadening Participation Divers'!K111+'Education Workforce Development'!K111+'Communications &amp; Disseminations'!K111+'Evaluation and Assessment '!K111+'Sustainability Plan'!K111+'Management '!K111)</f>
        <v>0</v>
      </c>
      <c r="L111" s="56">
        <f>SUM('Research Area'!L111+'Research Cyberinfrastructure'!L111+'EA &amp; Seed Funding'!L111+'Partnerships &amp; Collaborations'!L111+'Broadening Participation Divers'!L111+'Education Workforce Development'!L111+'Communications &amp; Disseminations'!L111+'Evaluation and Assessment '!L111+'Sustainability Plan'!L111+'Management '!L111)</f>
        <v>0</v>
      </c>
      <c r="M111" s="56">
        <f t="shared" si="51"/>
        <v>0</v>
      </c>
      <c r="N111" s="15"/>
      <c r="O111" s="55">
        <f>SUM('Research Area'!O111+'Research Cyberinfrastructure'!O111+'EA &amp; Seed Funding'!O111+'Partnerships &amp; Collaborations'!O111+'Broadening Participation Divers'!O111+'Education Workforce Development'!O111+'Communications &amp; Disseminations'!O111+'Evaluation and Assessment '!O111+'Sustainability Plan'!O111+'Management '!O111)</f>
        <v>0</v>
      </c>
      <c r="P111" s="56">
        <f>SUM('Research Area'!P111+'Research Cyberinfrastructure'!P111+'EA &amp; Seed Funding'!P111+'Partnerships &amp; Collaborations'!P111+'Broadening Participation Divers'!P111+'Education Workforce Development'!P111+'Communications &amp; Disseminations'!P111+'Evaluation and Assessment '!P111+'Sustainability Plan'!P111+'Management '!P111)</f>
        <v>0</v>
      </c>
      <c r="Q111" s="56">
        <f t="shared" si="52"/>
        <v>0</v>
      </c>
      <c r="R111" s="15"/>
      <c r="S111" s="55">
        <f>SUM('Research Area'!S111+'Research Cyberinfrastructure'!S111+'EA &amp; Seed Funding'!S111+'Partnerships &amp; Collaborations'!S111+'Broadening Participation Divers'!S111+'Education Workforce Development'!S111+'Communications &amp; Disseminations'!S111+'Evaluation and Assessment '!S111+'Sustainability Plan'!S111+'Management '!S111)</f>
        <v>0</v>
      </c>
      <c r="T111" s="56">
        <f>SUM('Research Area'!T111+'Research Cyberinfrastructure'!T111+'EA &amp; Seed Funding'!T111+'Partnerships &amp; Collaborations'!T111+'Broadening Participation Divers'!T111+'Education Workforce Development'!T111+'Communications &amp; Disseminations'!T111+'Evaluation and Assessment '!T111+'Sustainability Plan'!T111+'Management '!T111)</f>
        <v>0</v>
      </c>
      <c r="U111" s="56">
        <f t="shared" si="53"/>
        <v>0</v>
      </c>
      <c r="V111" s="16"/>
      <c r="W111" s="55">
        <f>SUM('Research Area'!W111+'Research Cyberinfrastructure'!W111+'EA &amp; Seed Funding'!W111+'Partnerships &amp; Collaborations'!W111+'Broadening Participation Divers'!W111+'Education Workforce Development'!W111+'Communications &amp; Disseminations'!W111+'Evaluation and Assessment '!W111+'Sustainability Plan'!W111+'Management '!W111)</f>
        <v>0</v>
      </c>
      <c r="X111" s="56">
        <f>SUM('Research Area'!X111+'Research Cyberinfrastructure'!X111+'EA &amp; Seed Funding'!X111+'Partnerships &amp; Collaborations'!X111+'Broadening Participation Divers'!X111+'Education Workforce Development'!X111+'Communications &amp; Disseminations'!X111+'Evaluation and Assessment '!X111+'Sustainability Plan'!X111+'Management '!X111)</f>
        <v>0</v>
      </c>
      <c r="Y111" s="56">
        <f t="shared" si="54"/>
        <v>0</v>
      </c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</row>
    <row r="112" spans="1:77" s="83" customFormat="1" x14ac:dyDescent="0.25">
      <c r="A112" s="78"/>
      <c r="B112" s="78" t="s">
        <v>9</v>
      </c>
      <c r="C112" s="232">
        <f>SUM(C101:C111)</f>
        <v>97824.2</v>
      </c>
      <c r="D112" s="130">
        <f>SUM(D101:D111)</f>
        <v>32500</v>
      </c>
      <c r="E112" s="130">
        <f>SUM(E101:E111)</f>
        <v>130324.2</v>
      </c>
      <c r="F112" s="81"/>
      <c r="G112" s="126">
        <f>SUM(G101:G111)</f>
        <v>290673.89</v>
      </c>
      <c r="H112" s="130">
        <f>SUM(H101:H111)</f>
        <v>33475</v>
      </c>
      <c r="I112" s="130">
        <f>SUM(I101:I111)</f>
        <v>324148.89</v>
      </c>
      <c r="J112" s="81"/>
      <c r="K112" s="126">
        <f>SUM(K101:K111)</f>
        <v>361398.81890000001</v>
      </c>
      <c r="L112" s="130">
        <f>SUM(L101:L111)</f>
        <v>34479.25</v>
      </c>
      <c r="M112" s="130">
        <f>SUM(M101:M111)</f>
        <v>395878.06890000001</v>
      </c>
      <c r="N112" s="81"/>
      <c r="O112" s="126">
        <f>SUM(O101:O111)</f>
        <v>346608.03127699997</v>
      </c>
      <c r="P112" s="130">
        <f>SUM(P101:P111)</f>
        <v>35513.627500000002</v>
      </c>
      <c r="Q112" s="130">
        <f>SUM(Q101:Q111)</f>
        <v>382121.65877700003</v>
      </c>
      <c r="R112" s="81"/>
      <c r="S112" s="126">
        <f>SUM(S101:S111)</f>
        <v>288580.35381581006</v>
      </c>
      <c r="T112" s="130">
        <f>SUM(T101:T111)</f>
        <v>36579.036325000001</v>
      </c>
      <c r="U112" s="130">
        <f>SUM(U101:U111)</f>
        <v>325159.39014081005</v>
      </c>
      <c r="V112" s="82"/>
      <c r="W112" s="126">
        <f>SUM(W101:W111)</f>
        <v>1385085.2939928102</v>
      </c>
      <c r="X112" s="130">
        <f>SUM(X101:X111)</f>
        <v>172546.913825</v>
      </c>
      <c r="Y112" s="130">
        <f>SUM(Y101:Y111)</f>
        <v>1557632.2078178101</v>
      </c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</row>
    <row r="113" spans="1:77" s="102" customFormat="1" x14ac:dyDescent="0.25">
      <c r="A113" s="100" t="s">
        <v>16</v>
      </c>
      <c r="B113" s="207"/>
      <c r="C113" s="134">
        <f>C99+C112</f>
        <v>195685.45416666666</v>
      </c>
      <c r="D113" s="134">
        <f>D99+D112</f>
        <v>37500</v>
      </c>
      <c r="E113" s="134">
        <f>E99+E112</f>
        <v>233185.45416666666</v>
      </c>
      <c r="F113" s="134" t="e">
        <f>SUM(#REF!+#REF!+'Research Cyberinfrastructure'!F113+'EA &amp; Seed Funding'!F113+'Partnerships &amp; Collaborations'!F113+'Broadening Participation Divers'!F113+'Education Workforce Development'!F113+'Communications &amp; Disseminations'!F113+'Evaluation and Assessment '!F113+'Sustainability Plan'!F113+'Management '!F113)</f>
        <v>#REF!</v>
      </c>
      <c r="G113" s="134">
        <f>G99+G112</f>
        <v>391140.98179166671</v>
      </c>
      <c r="H113" s="134">
        <f>H99+H112</f>
        <v>38625</v>
      </c>
      <c r="I113" s="134">
        <f>I99+I112</f>
        <v>429765.98179166671</v>
      </c>
      <c r="J113" s="134" t="e">
        <f>SUM(#REF!+#REF!+'Research Cyberinfrastructure'!J113+'EA &amp; Seed Funding'!J113+'Partnerships &amp; Collaborations'!J113+'Broadening Participation Divers'!J113+'Education Workforce Development'!J113+'Communications &amp; Disseminations'!J113+'Evaluation and Assessment '!J113+'Sustainability Plan'!J113+'Management '!J113)</f>
        <v>#REF!</v>
      </c>
      <c r="K113" s="134">
        <f>K99+K112</f>
        <v>719549.92344541661</v>
      </c>
      <c r="L113" s="134">
        <f>L99+L112</f>
        <v>34479.25</v>
      </c>
      <c r="M113" s="134">
        <f>M99+M112</f>
        <v>754029.17344541661</v>
      </c>
      <c r="N113" s="134" t="e">
        <f>SUM(#REF!+#REF!+'Research Cyberinfrastructure'!N113+'EA &amp; Seed Funding'!N113+'Partnerships &amp; Collaborations'!N113+'Broadening Participation Divers'!N113+'Education Workforce Development'!N113+'Communications &amp; Disseminations'!N113+'Evaluation and Assessment '!N113+'Sustainability Plan'!N113+'Management '!N113)</f>
        <v>#REF!</v>
      </c>
      <c r="O113" s="134">
        <f>O99+O112</f>
        <v>452523.66895877919</v>
      </c>
      <c r="P113" s="134">
        <f>P99+P112</f>
        <v>35513.627500000002</v>
      </c>
      <c r="Q113" s="134">
        <f>Q99+Q112</f>
        <v>488037.29645877925</v>
      </c>
      <c r="R113" s="134" t="e">
        <f>SUM(#REF!+#REF!+'Research Cyberinfrastructure'!R113+'EA &amp; Seed Funding'!R113+'Partnerships &amp; Collaborations'!R113+'Broadening Participation Divers'!R113+'Education Workforce Development'!R113+'Communications &amp; Disseminations'!R113+'Evaluation and Assessment '!R113+'Sustainability Plan'!R113+'Management '!R113)</f>
        <v>#REF!</v>
      </c>
      <c r="S113" s="134">
        <f>S99+S112</f>
        <v>386343.46062804258</v>
      </c>
      <c r="T113" s="134">
        <f>T99+T112</f>
        <v>36579.036325000001</v>
      </c>
      <c r="U113" s="134">
        <f>U99+U112</f>
        <v>422922.49695304257</v>
      </c>
      <c r="V113" s="134" t="e">
        <f>SUM(#REF!+#REF!+'Research Cyberinfrastructure'!V113+'EA &amp; Seed Funding'!V113+'Partnerships &amp; Collaborations'!V113+'Broadening Participation Divers'!V113+'Education Workforce Development'!V113+'Communications &amp; Disseminations'!V113+'Evaluation and Assessment '!V113+'Sustainability Plan'!V113+'Management '!V113)</f>
        <v>#REF!</v>
      </c>
      <c r="W113" s="134">
        <f>W99+W112</f>
        <v>2145243.4889905718</v>
      </c>
      <c r="X113" s="134">
        <f>X99+X112</f>
        <v>182696.913825</v>
      </c>
      <c r="Y113" s="134">
        <f>Y99+Y112</f>
        <v>2327940.402815572</v>
      </c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</row>
    <row r="114" spans="1:77" s="77" customFormat="1" x14ac:dyDescent="0.25">
      <c r="A114" s="74" t="s">
        <v>6</v>
      </c>
      <c r="B114" s="74"/>
      <c r="C114" s="212"/>
      <c r="D114" s="212"/>
      <c r="E114" s="212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9"/>
      <c r="W114" s="58"/>
      <c r="X114" s="58"/>
      <c r="Y114" s="58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</row>
    <row r="115" spans="1:77" x14ac:dyDescent="0.25">
      <c r="A115" s="53"/>
      <c r="B115" s="52"/>
      <c r="C115" s="124">
        <f>SUM('Research Area'!C115+'Research Cyberinfrastructure'!C115+'EA &amp; Seed Funding'!C115+'Partnerships &amp; Collaborations'!C115+'Broadening Participation Divers'!C115+'Education Workforce Development'!C115+'Communications &amp; Disseminations'!C115+'Evaluation and Assessment '!C115+'Sustainability Plan'!C115+'Management '!C115)</f>
        <v>0</v>
      </c>
      <c r="D115" s="56">
        <f>SUM('Research Area'!D115+'Research Cyberinfrastructure'!D115+'EA &amp; Seed Funding'!D115+'Partnerships &amp; Collaborations'!D115+'Broadening Participation Divers'!D115+'Education Workforce Development'!D115+'Communications &amp; Disseminations'!D115+'Evaluation and Assessment '!D115+'Sustainability Plan'!D115+'Management '!D115)</f>
        <v>0</v>
      </c>
      <c r="E115" s="56">
        <f>SUM(C115:D115)</f>
        <v>0</v>
      </c>
      <c r="F115" s="15"/>
      <c r="G115" s="55">
        <f>SUM('Research Area'!G115+'Research Cyberinfrastructure'!G115+'EA &amp; Seed Funding'!G115+'Partnerships &amp; Collaborations'!G115+'Broadening Participation Divers'!G115+'Education Workforce Development'!G115+'Communications &amp; Disseminations'!G115+'Evaluation and Assessment '!G115+'Sustainability Plan'!G115+'Management '!G115)</f>
        <v>0</v>
      </c>
      <c r="H115" s="56">
        <f>SUM('Research Area'!H115+'Research Cyberinfrastructure'!H115+'EA &amp; Seed Funding'!H115+'Partnerships &amp; Collaborations'!H115+'Broadening Participation Divers'!H115+'Education Workforce Development'!H115+'Communications &amp; Disseminations'!H115+'Evaluation and Assessment '!H115+'Sustainability Plan'!H115+'Management '!H115)</f>
        <v>0</v>
      </c>
      <c r="I115" s="56">
        <f>SUM(G115:H115)</f>
        <v>0</v>
      </c>
      <c r="J115" s="15"/>
      <c r="K115" s="55">
        <f>SUM('Research Area'!K115+'Research Cyberinfrastructure'!K115+'EA &amp; Seed Funding'!K115+'Partnerships &amp; Collaborations'!K115+'Broadening Participation Divers'!K115+'Education Workforce Development'!K115+'Communications &amp; Disseminations'!K115+'Evaluation and Assessment '!K115+'Sustainability Plan'!K115+'Management '!K115)</f>
        <v>0</v>
      </c>
      <c r="L115" s="56">
        <f>SUM('Research Area'!L115+'Research Cyberinfrastructure'!L115+'EA &amp; Seed Funding'!L115+'Partnerships &amp; Collaborations'!L115+'Broadening Participation Divers'!L115+'Education Workforce Development'!L115+'Communications &amp; Disseminations'!L115+'Evaluation and Assessment '!L115+'Sustainability Plan'!L115+'Management '!L115)</f>
        <v>0</v>
      </c>
      <c r="M115" s="56">
        <f>SUM(K115:L115)</f>
        <v>0</v>
      </c>
      <c r="N115" s="15"/>
      <c r="O115" s="55">
        <f>SUM('Research Area'!O115+'Research Cyberinfrastructure'!O115+'EA &amp; Seed Funding'!O115+'Partnerships &amp; Collaborations'!O115+'Broadening Participation Divers'!O115+'Education Workforce Development'!O115+'Communications &amp; Disseminations'!O115+'Evaluation and Assessment '!O115+'Sustainability Plan'!O115+'Management '!O115)</f>
        <v>0</v>
      </c>
      <c r="P115" s="56">
        <f>SUM('Research Area'!P115+'Research Cyberinfrastructure'!P115+'EA &amp; Seed Funding'!P115+'Partnerships &amp; Collaborations'!P115+'Broadening Participation Divers'!P115+'Education Workforce Development'!P115+'Communications &amp; Disseminations'!P115+'Evaluation and Assessment '!P115+'Sustainability Plan'!P115+'Management '!P115)</f>
        <v>0</v>
      </c>
      <c r="Q115" s="56">
        <f>SUM(O115:P115)</f>
        <v>0</v>
      </c>
      <c r="R115" s="15"/>
      <c r="S115" s="55">
        <f>SUM('Research Area'!S115+'Research Cyberinfrastructure'!S115+'EA &amp; Seed Funding'!S115+'Partnerships &amp; Collaborations'!S115+'Broadening Participation Divers'!S115+'Education Workforce Development'!S115+'Communications &amp; Disseminations'!S115+'Evaluation and Assessment '!S115+'Sustainability Plan'!S115+'Management '!S115)</f>
        <v>0</v>
      </c>
      <c r="T115" s="56">
        <f>SUM('Research Area'!T115+'Research Cyberinfrastructure'!T115+'EA &amp; Seed Funding'!T115+'Partnerships &amp; Collaborations'!T115+'Broadening Participation Divers'!T115+'Education Workforce Development'!T115+'Communications &amp; Disseminations'!T115+'Evaluation and Assessment '!T115+'Sustainability Plan'!T115+'Management '!T115)</f>
        <v>0</v>
      </c>
      <c r="U115" s="56">
        <f>SUM(S115:T115)</f>
        <v>0</v>
      </c>
      <c r="V115" s="16"/>
      <c r="W115" s="55">
        <f>SUM('Research Area'!W115+'Research Cyberinfrastructure'!W115+'EA &amp; Seed Funding'!W115+'Partnerships &amp; Collaborations'!W115+'Broadening Participation Divers'!W115+'Education Workforce Development'!W115+'Communications &amp; Disseminations'!W115+'Evaluation and Assessment '!W115+'Sustainability Plan'!W115+'Management '!W115)</f>
        <v>0</v>
      </c>
      <c r="X115" s="56">
        <f>SUM('Research Area'!X115+'Research Cyberinfrastructure'!X115+'EA &amp; Seed Funding'!X115+'Partnerships &amp; Collaborations'!X115+'Broadening Participation Divers'!X115+'Education Workforce Development'!X115+'Communications &amp; Disseminations'!X115+'Evaluation and Assessment '!X115+'Sustainability Plan'!X115+'Management '!X115)</f>
        <v>0</v>
      </c>
      <c r="Y115" s="56">
        <f>SUM(W115:X115)</f>
        <v>0</v>
      </c>
    </row>
    <row r="116" spans="1:77" s="61" customFormat="1" x14ac:dyDescent="0.25">
      <c r="A116" s="3">
        <v>0.04</v>
      </c>
      <c r="B116" s="52" t="s">
        <v>37</v>
      </c>
      <c r="C116" s="124">
        <f>SUM('Research Area'!C116+'Research Cyberinfrastructure'!C116+'EA &amp; Seed Funding'!C116+'Partnerships &amp; Collaborations'!C116+'Broadening Participation Divers'!C116+'Education Workforce Development'!C116+'Communications &amp; Disseminations'!C116+'Evaluation and Assessment '!C116+'Sustainability Plan'!C116+'Management '!C116)</f>
        <v>12834.204513250001</v>
      </c>
      <c r="D116" s="56">
        <f>SUM('Research Area'!D116+'Research Cyberinfrastructure'!D116+'EA &amp; Seed Funding'!D116+'Partnerships &amp; Collaborations'!D116+'Broadening Participation Divers'!D116+'Education Workforce Development'!D116+'Communications &amp; Disseminations'!D116+'Evaluation and Assessment '!D116+'Sustainability Plan'!D116+'Management '!D116)</f>
        <v>0</v>
      </c>
      <c r="E116" s="56">
        <f t="shared" ref="E116:E123" si="55">SUM(C116:D116)</f>
        <v>12834.204513250001</v>
      </c>
      <c r="F116" s="15"/>
      <c r="G116" s="55">
        <f>SUM('Research Area'!G116+'Research Cyberinfrastructure'!G116+'EA &amp; Seed Funding'!G116+'Partnerships &amp; Collaborations'!G116+'Broadening Participation Divers'!G116+'Education Workforce Development'!G116+'Communications &amp; Disseminations'!G116+'Evaluation and Assessment '!G116+'Sustainability Plan'!G116+'Management '!G116)</f>
        <v>13719.230648647501</v>
      </c>
      <c r="H116" s="56">
        <f>SUM('Research Area'!H116+'Research Cyberinfrastructure'!H116+'EA &amp; Seed Funding'!H116+'Partnerships &amp; Collaborations'!H116+'Broadening Participation Divers'!H116+'Education Workforce Development'!H116+'Communications &amp; Disseminations'!H116+'Evaluation and Assessment '!H116+'Sustainability Plan'!H116+'Management '!H116)</f>
        <v>0</v>
      </c>
      <c r="I116" s="56">
        <f t="shared" ref="I116:I123" si="56">SUM(G116:H116)</f>
        <v>13719.230648647501</v>
      </c>
      <c r="J116" s="15"/>
      <c r="K116" s="55">
        <f>SUM('Research Area'!K116+'Research Cyberinfrastructure'!K116+'EA &amp; Seed Funding'!K116+'Partnerships &amp; Collaborations'!K116+'Broadening Participation Divers'!K116+'Education Workforce Development'!K116+'Communications &amp; Disseminations'!K116+'Evaluation and Assessment '!K116+'Sustainability Plan'!K116+'Management '!K116)</f>
        <v>14054.007568106925</v>
      </c>
      <c r="L116" s="56">
        <f>SUM('Research Area'!L116+'Research Cyberinfrastructure'!L116+'EA &amp; Seed Funding'!L116+'Partnerships &amp; Collaborations'!L116+'Broadening Participation Divers'!L116+'Education Workforce Development'!L116+'Communications &amp; Disseminations'!L116+'Evaluation and Assessment '!L116+'Sustainability Plan'!L116+'Management '!L116)</f>
        <v>0</v>
      </c>
      <c r="M116" s="56">
        <f t="shared" ref="M116:M123" si="57">SUM(K116:L116)</f>
        <v>14054.007568106925</v>
      </c>
      <c r="N116" s="15"/>
      <c r="O116" s="55">
        <f>SUM('Research Area'!O116+'Research Cyberinfrastructure'!O116+'EA &amp; Seed Funding'!O116+'Partnerships &amp; Collaborations'!O116+'Broadening Participation Divers'!O116+'Education Workforce Development'!O116+'Communications &amp; Disseminations'!O116+'Evaluation and Assessment '!O116+'Sustainability Plan'!O116+'Management '!O116)</f>
        <v>14398.827795150135</v>
      </c>
      <c r="P116" s="56">
        <f>SUM('Research Area'!P116+'Research Cyberinfrastructure'!P116+'EA &amp; Seed Funding'!P116+'Partnerships &amp; Collaborations'!P116+'Broadening Participation Divers'!P116+'Education Workforce Development'!P116+'Communications &amp; Disseminations'!P116+'Evaluation and Assessment '!P116+'Sustainability Plan'!P116+'Management '!P116)</f>
        <v>0</v>
      </c>
      <c r="Q116" s="56">
        <f t="shared" ref="Q116:Q123" si="58">SUM(O116:P116)</f>
        <v>14398.827795150135</v>
      </c>
      <c r="R116" s="15"/>
      <c r="S116" s="55">
        <f>SUM('Research Area'!S116+'Research Cyberinfrastructure'!S116+'EA &amp; Seed Funding'!S116+'Partnerships &amp; Collaborations'!S116+'Broadening Participation Divers'!S116+'Education Workforce Development'!S116+'Communications &amp; Disseminations'!S116+'Evaluation and Assessment '!S116+'Sustainability Plan'!S116+'Management '!S116)</f>
        <v>12753.992629004641</v>
      </c>
      <c r="T116" s="56">
        <f>SUM('Research Area'!T116+'Research Cyberinfrastructure'!T116+'EA &amp; Seed Funding'!T116+'Partnerships &amp; Collaborations'!T116+'Broadening Participation Divers'!T116+'Education Workforce Development'!T116+'Communications &amp; Disseminations'!T116+'Evaluation and Assessment '!T116+'Sustainability Plan'!T116+'Management '!T116)</f>
        <v>0</v>
      </c>
      <c r="U116" s="56">
        <f t="shared" ref="U116:U123" si="59">SUM(S116:T116)</f>
        <v>12753.992629004641</v>
      </c>
      <c r="V116" s="16"/>
      <c r="W116" s="55">
        <f>SUM('Research Area'!W116+'Research Cyberinfrastructure'!W116+'EA &amp; Seed Funding'!W116+'Partnerships &amp; Collaborations'!W116+'Broadening Participation Divers'!W116+'Education Workforce Development'!W116+'Communications &amp; Disseminations'!W116+'Evaluation and Assessment '!W116+'Sustainability Plan'!W116+'Management '!W116)</f>
        <v>67760.263154159198</v>
      </c>
      <c r="X116" s="56">
        <f>SUM('Research Area'!X116+'Research Cyberinfrastructure'!X116+'EA &amp; Seed Funding'!X116+'Partnerships &amp; Collaborations'!X116+'Broadening Participation Divers'!X116+'Education Workforce Development'!X116+'Communications &amp; Disseminations'!X116+'Evaluation and Assessment '!X116+'Sustainability Plan'!X116+'Management '!X116)</f>
        <v>0</v>
      </c>
      <c r="Y116" s="56">
        <f t="shared" ref="Y116:Y123" si="60">SUM(W116:X116)</f>
        <v>67760.263154159198</v>
      </c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</row>
    <row r="117" spans="1:77" s="61" customFormat="1" x14ac:dyDescent="0.25">
      <c r="A117" s="3">
        <v>0.09</v>
      </c>
      <c r="B117" s="52" t="s">
        <v>38</v>
      </c>
      <c r="C117" s="124">
        <f>SUM('Research Area'!C117+'Research Cyberinfrastructure'!C117+'EA &amp; Seed Funding'!C117+'Partnerships &amp; Collaborations'!C117+'Broadening Participation Divers'!C117+'Education Workforce Development'!C117+'Communications &amp; Disseminations'!C117+'Evaluation and Assessment '!C117+'Sustainability Plan'!C117+'Management '!C117)</f>
        <v>17467.958200000001</v>
      </c>
      <c r="D117" s="56">
        <f>SUM('Research Area'!D117+'Research Cyberinfrastructure'!D117+'EA &amp; Seed Funding'!D117+'Partnerships &amp; Collaborations'!D117+'Broadening Participation Divers'!D117+'Education Workforce Development'!D117+'Communications &amp; Disseminations'!D117+'Evaluation and Assessment '!D117+'Sustainability Plan'!D117+'Management '!D117)</f>
        <v>0</v>
      </c>
      <c r="E117" s="56">
        <f t="shared" si="55"/>
        <v>17467.958200000001</v>
      </c>
      <c r="F117" s="15"/>
      <c r="G117" s="55">
        <f>SUM('Research Area'!G117+'Research Cyberinfrastructure'!G117+'EA &amp; Seed Funding'!G117+'Partnerships &amp; Collaborations'!G117+'Broadening Participation Divers'!G117+'Education Workforce Development'!G117+'Communications &amp; Disseminations'!G117+'Evaluation and Assessment '!G117+'Sustainability Plan'!G117+'Management '!G117)</f>
        <v>19868.751946</v>
      </c>
      <c r="H117" s="56">
        <f>SUM('Research Area'!H117+'Research Cyberinfrastructure'!H117+'EA &amp; Seed Funding'!H117+'Partnerships &amp; Collaborations'!H117+'Broadening Participation Divers'!H117+'Education Workforce Development'!H117+'Communications &amp; Disseminations'!H117+'Evaluation and Assessment '!H117+'Sustainability Plan'!H117+'Management '!H117)</f>
        <v>0</v>
      </c>
      <c r="I117" s="56">
        <f t="shared" si="56"/>
        <v>19868.751946</v>
      </c>
      <c r="J117" s="15"/>
      <c r="K117" s="55">
        <f>SUM('Research Area'!K117+'Research Cyberinfrastructure'!K117+'EA &amp; Seed Funding'!K117+'Partnerships &amp; Collaborations'!K117+'Broadening Participation Divers'!K117+'Education Workforce Development'!K117+'Communications &amp; Disseminations'!K117+'Evaluation and Assessment '!K117+'Sustainability Plan'!K117+'Management '!K117)</f>
        <v>20414.767004379999</v>
      </c>
      <c r="L117" s="56">
        <f>SUM('Research Area'!L117+'Research Cyberinfrastructure'!L117+'EA &amp; Seed Funding'!L117+'Partnerships &amp; Collaborations'!L117+'Broadening Participation Divers'!L117+'Education Workforce Development'!L117+'Communications &amp; Disseminations'!L117+'Evaluation and Assessment '!L117+'Sustainability Plan'!L117+'Management '!L117)</f>
        <v>0</v>
      </c>
      <c r="M117" s="56">
        <f t="shared" si="57"/>
        <v>20414.767004379999</v>
      </c>
      <c r="N117" s="15"/>
      <c r="O117" s="55">
        <f>SUM('Research Area'!O117+'Research Cyberinfrastructure'!O117+'EA &amp; Seed Funding'!O117+'Partnerships &amp; Collaborations'!O117+'Broadening Participation Divers'!O117+'Education Workforce Development'!O117+'Communications &amp; Disseminations'!O117+'Evaluation and Assessment '!O117+'Sustainability Plan'!O117+'Management '!O117)</f>
        <v>20979.1286395114</v>
      </c>
      <c r="P117" s="56">
        <f>SUM('Research Area'!P117+'Research Cyberinfrastructure'!P117+'EA &amp; Seed Funding'!P117+'Partnerships &amp; Collaborations'!P117+'Broadening Participation Divers'!P117+'Education Workforce Development'!P117+'Communications &amp; Disseminations'!P117+'Evaluation and Assessment '!P117+'Sustainability Plan'!P117+'Management '!P117)</f>
        <v>0</v>
      </c>
      <c r="Q117" s="56">
        <f t="shared" si="58"/>
        <v>20979.1286395114</v>
      </c>
      <c r="R117" s="15"/>
      <c r="S117" s="55">
        <f>SUM('Research Area'!S117+'Research Cyberinfrastructure'!S117+'EA &amp; Seed Funding'!S117+'Partnerships &amp; Collaborations'!S117+'Broadening Participation Divers'!S117+'Education Workforce Development'!S117+'Communications &amp; Disseminations'!S117+'Evaluation and Assessment '!S117+'Sustainability Plan'!S117+'Management '!S117)</f>
        <v>21562.485554946747</v>
      </c>
      <c r="T117" s="56">
        <f>SUM('Research Area'!T117+'Research Cyberinfrastructure'!T117+'EA &amp; Seed Funding'!T117+'Partnerships &amp; Collaborations'!T117+'Broadening Participation Divers'!T117+'Education Workforce Development'!T117+'Communications &amp; Disseminations'!T117+'Evaluation and Assessment '!T117+'Sustainability Plan'!T117+'Management '!T117)</f>
        <v>0</v>
      </c>
      <c r="U117" s="56">
        <f t="shared" si="59"/>
        <v>21562.485554946747</v>
      </c>
      <c r="V117" s="16"/>
      <c r="W117" s="55">
        <f>SUM('Research Area'!W117+'Research Cyberinfrastructure'!W117+'EA &amp; Seed Funding'!W117+'Partnerships &amp; Collaborations'!W117+'Broadening Participation Divers'!W117+'Education Workforce Development'!W117+'Communications &amp; Disseminations'!W117+'Evaluation and Assessment '!W117+'Sustainability Plan'!W117+'Management '!W117)</f>
        <v>100293.09134483815</v>
      </c>
      <c r="X117" s="56">
        <f>SUM('Research Area'!X117+'Research Cyberinfrastructure'!X117+'EA &amp; Seed Funding'!X117+'Partnerships &amp; Collaborations'!X117+'Broadening Participation Divers'!X117+'Education Workforce Development'!X117+'Communications &amp; Disseminations'!X117+'Evaluation and Assessment '!X117+'Sustainability Plan'!X117+'Management '!X117)</f>
        <v>0</v>
      </c>
      <c r="Y117" s="56">
        <f t="shared" si="60"/>
        <v>100293.09134483815</v>
      </c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</row>
    <row r="118" spans="1:77" s="61" customFormat="1" x14ac:dyDescent="0.25">
      <c r="A118" s="3">
        <v>0.09</v>
      </c>
      <c r="B118" s="52" t="s">
        <v>39</v>
      </c>
      <c r="C118" s="124">
        <f>SUM('Research Area'!C118+'Research Cyberinfrastructure'!C118+'EA &amp; Seed Funding'!C118+'Partnerships &amp; Collaborations'!C118+'Broadening Participation Divers'!C118+'Education Workforce Development'!C118+'Communications &amp; Disseminations'!C118+'Evaluation and Assessment '!C118+'Sustainability Plan'!C118+'Management '!C118)</f>
        <v>29821.9696</v>
      </c>
      <c r="D118" s="56">
        <f>SUM('Research Area'!D118+'Research Cyberinfrastructure'!D118+'EA &amp; Seed Funding'!D118+'Partnerships &amp; Collaborations'!D118+'Broadening Participation Divers'!D118+'Education Workforce Development'!D118+'Communications &amp; Disseminations'!D118+'Evaluation and Assessment '!D118+'Sustainability Plan'!D118+'Management '!D118)</f>
        <v>11878.75</v>
      </c>
      <c r="E118" s="56">
        <f t="shared" si="55"/>
        <v>41700.719599999997</v>
      </c>
      <c r="F118" s="15"/>
      <c r="G118" s="55">
        <f>SUM('Research Area'!G118+'Research Cyberinfrastructure'!G118+'EA &amp; Seed Funding'!G118+'Partnerships &amp; Collaborations'!G118+'Broadening Participation Divers'!G118+'Education Workforce Development'!G118+'Communications &amp; Disseminations'!G118+'Evaluation and Assessment '!G118+'Sustainability Plan'!G118+'Management '!G118)</f>
        <v>30439.548687999999</v>
      </c>
      <c r="H118" s="56">
        <f>SUM('Research Area'!H118+'Research Cyberinfrastructure'!H118+'EA &amp; Seed Funding'!H118+'Partnerships &amp; Collaborations'!H118+'Broadening Participation Divers'!H118+'Education Workforce Development'!H118+'Communications &amp; Disseminations'!H118+'Evaluation and Assessment '!H118+'Sustainability Plan'!H118+'Management '!H118)</f>
        <v>12235.112499999999</v>
      </c>
      <c r="I118" s="56">
        <f t="shared" si="56"/>
        <v>42674.661187999998</v>
      </c>
      <c r="J118" s="15"/>
      <c r="K118" s="55">
        <f>SUM('Research Area'!K118+'Research Cyberinfrastructure'!K118+'EA &amp; Seed Funding'!K118+'Partnerships &amp; Collaborations'!K118+'Broadening Participation Divers'!K118+'Education Workforce Development'!K118+'Communications &amp; Disseminations'!K118+'Evaluation and Assessment '!K118+'Sustainability Plan'!K118+'Management '!K118)</f>
        <v>31075.655148639999</v>
      </c>
      <c r="L118" s="56">
        <f>SUM('Research Area'!L118+'Research Cyberinfrastructure'!L118+'EA &amp; Seed Funding'!L118+'Partnerships &amp; Collaborations'!L118+'Broadening Participation Divers'!L118+'Education Workforce Development'!L118+'Communications &amp; Disseminations'!L118+'Evaluation and Assessment '!L118+'Sustainability Plan'!L118+'Management '!L118)</f>
        <v>12602.165875000001</v>
      </c>
      <c r="M118" s="56">
        <f t="shared" si="57"/>
        <v>43677.821023639997</v>
      </c>
      <c r="N118" s="15"/>
      <c r="O118" s="55">
        <f>SUM('Research Area'!O118+'Research Cyberinfrastructure'!O118+'EA &amp; Seed Funding'!O118+'Partnerships &amp; Collaborations'!O118+'Broadening Participation Divers'!O118+'Education Workforce Development'!O118+'Communications &amp; Disseminations'!O118+'Evaluation and Assessment '!O118+'Sustainability Plan'!O118+'Management '!O118)</f>
        <v>31730.8448030992</v>
      </c>
      <c r="P118" s="56">
        <f>SUM('Research Area'!P118+'Research Cyberinfrastructure'!P118+'EA &amp; Seed Funding'!P118+'Partnerships &amp; Collaborations'!P118+'Broadening Participation Divers'!P118+'Education Workforce Development'!P118+'Communications &amp; Disseminations'!P118+'Evaluation and Assessment '!P118+'Sustainability Plan'!P118+'Management '!P118)</f>
        <v>12980.23085125</v>
      </c>
      <c r="Q118" s="56">
        <f t="shared" si="58"/>
        <v>44711.075654349203</v>
      </c>
      <c r="R118" s="15"/>
      <c r="S118" s="55">
        <f>SUM('Research Area'!S118+'Research Cyberinfrastructure'!S118+'EA &amp; Seed Funding'!S118+'Partnerships &amp; Collaborations'!S118+'Broadening Participation Divers'!S118+'Education Workforce Development'!S118+'Communications &amp; Disseminations'!S118+'Evaluation and Assessment '!S118+'Sustainability Plan'!S118+'Management '!S118)</f>
        <v>30005.690147192181</v>
      </c>
      <c r="T118" s="56">
        <f>SUM('Research Area'!T118+'Research Cyberinfrastructure'!T118+'EA &amp; Seed Funding'!T118+'Partnerships &amp; Collaborations'!T118+'Broadening Participation Divers'!T118+'Education Workforce Development'!T118+'Communications &amp; Disseminations'!T118+'Evaluation and Assessment '!T118+'Sustainability Plan'!T118+'Management '!T118)</f>
        <v>13369.6377767875</v>
      </c>
      <c r="U118" s="56">
        <f t="shared" si="59"/>
        <v>43375.327923979683</v>
      </c>
      <c r="V118" s="16"/>
      <c r="W118" s="55">
        <f>SUM('Research Area'!W118+'Research Cyberinfrastructure'!W118+'EA &amp; Seed Funding'!W118+'Partnerships &amp; Collaborations'!W118+'Broadening Participation Divers'!W118+'Education Workforce Development'!W118+'Communications &amp; Disseminations'!W118+'Evaluation and Assessment '!W118+'Sustainability Plan'!W118+'Management '!W118)</f>
        <v>153073.70838693139</v>
      </c>
      <c r="X118" s="56">
        <f>SUM('Research Area'!X118+'Research Cyberinfrastructure'!X118+'EA &amp; Seed Funding'!X118+'Partnerships &amp; Collaborations'!X118+'Broadening Participation Divers'!X118+'Education Workforce Development'!X118+'Communications &amp; Disseminations'!X118+'Evaluation and Assessment '!X118+'Sustainability Plan'!X118+'Management '!X118)</f>
        <v>63065.897003037506</v>
      </c>
      <c r="Y118" s="56">
        <f t="shared" si="60"/>
        <v>216139.6053899689</v>
      </c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</row>
    <row r="119" spans="1:77" s="61" customFormat="1" x14ac:dyDescent="0.25">
      <c r="A119" s="3">
        <v>0.19689999999999999</v>
      </c>
      <c r="B119" s="52" t="s">
        <v>55</v>
      </c>
      <c r="C119" s="124">
        <f>SUM('Research Area'!C119+'Research Cyberinfrastructure'!C119+'EA &amp; Seed Funding'!C119+'Partnerships &amp; Collaborations'!C119+'Broadening Participation Divers'!C119+'Education Workforce Development'!C119+'Communications &amp; Disseminations'!C119+'Evaluation and Assessment '!C119+'Sustainability Plan'!C119+'Management '!C119)</f>
        <v>0</v>
      </c>
      <c r="D119" s="56">
        <f>SUM('Research Area'!D119+'Research Cyberinfrastructure'!D119+'EA &amp; Seed Funding'!D119+'Partnerships &amp; Collaborations'!D119+'Broadening Participation Divers'!D119+'Education Workforce Development'!D119+'Communications &amp; Disseminations'!D119+'Evaluation and Assessment '!D119+'Sustainability Plan'!D119+'Management '!D119)</f>
        <v>2000</v>
      </c>
      <c r="E119" s="56">
        <f t="shared" si="55"/>
        <v>2000</v>
      </c>
      <c r="F119" s="15"/>
      <c r="G119" s="55">
        <f>SUM('Research Area'!G119+'Research Cyberinfrastructure'!G119+'EA &amp; Seed Funding'!G119+'Partnerships &amp; Collaborations'!G119+'Broadening Participation Divers'!G119+'Education Workforce Development'!G119+'Communications &amp; Disseminations'!G119+'Evaluation and Assessment '!G119+'Sustainability Plan'!G119+'Management '!G119)</f>
        <v>0</v>
      </c>
      <c r="H119" s="56">
        <f>SUM('Research Area'!H119+'Research Cyberinfrastructure'!H119+'EA &amp; Seed Funding'!H119+'Partnerships &amp; Collaborations'!H119+'Broadening Participation Divers'!H119+'Education Workforce Development'!H119+'Communications &amp; Disseminations'!H119+'Evaluation and Assessment '!H119+'Sustainability Plan'!H119+'Management '!H119)</f>
        <v>2060</v>
      </c>
      <c r="I119" s="56">
        <f t="shared" si="56"/>
        <v>2060</v>
      </c>
      <c r="J119" s="15"/>
      <c r="K119" s="55">
        <f>SUM('Research Area'!K119+'Research Cyberinfrastructure'!K119+'EA &amp; Seed Funding'!K119+'Partnerships &amp; Collaborations'!K119+'Broadening Participation Divers'!K119+'Education Workforce Development'!K119+'Communications &amp; Disseminations'!K119+'Evaluation and Assessment '!K119+'Sustainability Plan'!K119+'Management '!K119)</f>
        <v>87159</v>
      </c>
      <c r="L119" s="56">
        <f>SUM('Research Area'!L119+'Research Cyberinfrastructure'!L119+'EA &amp; Seed Funding'!L119+'Partnerships &amp; Collaborations'!L119+'Broadening Participation Divers'!L119+'Education Workforce Development'!L119+'Communications &amp; Disseminations'!L119+'Evaluation and Assessment '!L119+'Sustainability Plan'!L119+'Management '!L119)</f>
        <v>0</v>
      </c>
      <c r="M119" s="56">
        <f t="shared" si="57"/>
        <v>87159</v>
      </c>
      <c r="N119" s="15"/>
      <c r="O119" s="55">
        <f>SUM('Research Area'!O119+'Research Cyberinfrastructure'!O119+'EA &amp; Seed Funding'!O119+'Partnerships &amp; Collaborations'!O119+'Broadening Participation Divers'!O119+'Education Workforce Development'!O119+'Communications &amp; Disseminations'!O119+'Evaluation and Assessment '!O119+'Sustainability Plan'!O119+'Management '!O119)</f>
        <v>16235.584456401901</v>
      </c>
      <c r="P119" s="56">
        <f>SUM('Research Area'!P119+'Research Cyberinfrastructure'!P119+'EA &amp; Seed Funding'!P119+'Partnerships &amp; Collaborations'!P119+'Broadening Participation Divers'!P119+'Education Workforce Development'!P119+'Communications &amp; Disseminations'!P119+'Evaluation and Assessment '!P119+'Sustainability Plan'!P119+'Management '!P119)</f>
        <v>0</v>
      </c>
      <c r="Q119" s="56">
        <f t="shared" si="58"/>
        <v>16235.584456401901</v>
      </c>
      <c r="R119" s="15"/>
      <c r="S119" s="55">
        <f>SUM('Research Area'!S119+'Research Cyberinfrastructure'!S119+'EA &amp; Seed Funding'!S119+'Partnerships &amp; Collaborations'!S119+'Broadening Participation Divers'!S119+'Education Workforce Development'!S119+'Communications &amp; Disseminations'!S119+'Evaluation and Assessment '!S119+'Sustainability Plan'!S119+'Management '!S119)</f>
        <v>16722.651990093957</v>
      </c>
      <c r="T119" s="56">
        <f>SUM('Research Area'!T119+'Research Cyberinfrastructure'!T119+'EA &amp; Seed Funding'!T119+'Partnerships &amp; Collaborations'!T119+'Broadening Participation Divers'!T119+'Education Workforce Development'!T119+'Communications &amp; Disseminations'!T119+'Evaluation and Assessment '!T119+'Sustainability Plan'!T119+'Management '!T119)</f>
        <v>0</v>
      </c>
      <c r="U119" s="56">
        <f t="shared" si="59"/>
        <v>16722.651990093957</v>
      </c>
      <c r="V119" s="16"/>
      <c r="W119" s="55">
        <f>SUM('Research Area'!W119+'Research Cyberinfrastructure'!W119+'EA &amp; Seed Funding'!W119+'Partnerships &amp; Collaborations'!W119+'Broadening Participation Divers'!W119+'Education Workforce Development'!W119+'Communications &amp; Disseminations'!W119+'Evaluation and Assessment '!W119+'Sustainability Plan'!W119+'Management '!W119)</f>
        <v>120117.23644649587</v>
      </c>
      <c r="X119" s="56">
        <f>SUM('Research Area'!X119+'Research Cyberinfrastructure'!X119+'EA &amp; Seed Funding'!X119+'Partnerships &amp; Collaborations'!X119+'Broadening Participation Divers'!X119+'Education Workforce Development'!X119+'Communications &amp; Disseminations'!X119+'Evaluation and Assessment '!X119+'Sustainability Plan'!X119+'Management '!X119)</f>
        <v>4060</v>
      </c>
      <c r="Y119" s="56">
        <f t="shared" si="60"/>
        <v>124177.23644649587</v>
      </c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</row>
    <row r="120" spans="1:77" s="61" customFormat="1" x14ac:dyDescent="0.25">
      <c r="A120" s="3">
        <v>0.2079</v>
      </c>
      <c r="B120" s="52" t="s">
        <v>67</v>
      </c>
      <c r="C120" s="124">
        <f>SUM('Research Area'!C120+'Research Cyberinfrastructure'!C120+'EA &amp; Seed Funding'!C120+'Partnerships &amp; Collaborations'!C120+'Broadening Participation Divers'!C120+'Education Workforce Development'!C120+'Communications &amp; Disseminations'!C120+'Evaluation and Assessment '!C120+'Sustainability Plan'!C120+'Management '!C120)</f>
        <v>1417.3379999999997</v>
      </c>
      <c r="D120" s="56">
        <f>SUM('Research Area'!D120+'Research Cyberinfrastructure'!D120+'EA &amp; Seed Funding'!D120+'Partnerships &amp; Collaborations'!D120+'Broadening Participation Divers'!D120+'Education Workforce Development'!D120+'Communications &amp; Disseminations'!D120+'Evaluation and Assessment '!D120+'Sustainability Plan'!D120+'Management '!D120)</f>
        <v>0</v>
      </c>
      <c r="E120" s="56">
        <f t="shared" si="55"/>
        <v>1417.3379999999997</v>
      </c>
      <c r="F120" s="15"/>
      <c r="G120" s="55">
        <f>SUM('Research Area'!G120+'Research Cyberinfrastructure'!G120+'EA &amp; Seed Funding'!G120+'Partnerships &amp; Collaborations'!G120+'Broadening Participation Divers'!G120+'Education Workforce Development'!G120+'Communications &amp; Disseminations'!G120+'Evaluation and Assessment '!G120+'Sustainability Plan'!G120+'Management '!G120)</f>
        <v>51570.924899999998</v>
      </c>
      <c r="H120" s="56">
        <f>SUM('Research Area'!H120+'Research Cyberinfrastructure'!H120+'EA &amp; Seed Funding'!H120+'Partnerships &amp; Collaborations'!H120+'Broadening Participation Divers'!H120+'Education Workforce Development'!H120+'Communications &amp; Disseminations'!H120+'Evaluation and Assessment '!H120+'Sustainability Plan'!H120+'Management '!H120)</f>
        <v>0</v>
      </c>
      <c r="I120" s="56">
        <f t="shared" si="56"/>
        <v>51570.924899999998</v>
      </c>
      <c r="J120" s="15"/>
      <c r="K120" s="55">
        <f>SUM('Research Area'!K120+'Research Cyberinfrastructure'!K120+'EA &amp; Seed Funding'!K120+'Partnerships &amp; Collaborations'!K120+'Broadening Participation Divers'!K120+'Education Workforce Development'!K120+'Communications &amp; Disseminations'!K120+'Evaluation and Assessment '!K120+'Sustainability Plan'!K120+'Management '!K120)</f>
        <v>78866.007299999997</v>
      </c>
      <c r="L120" s="56">
        <f>SUM('Research Area'!L120+'Research Cyberinfrastructure'!L120+'EA &amp; Seed Funding'!L120+'Partnerships &amp; Collaborations'!L120+'Broadening Participation Divers'!L120+'Education Workforce Development'!L120+'Communications &amp; Disseminations'!L120+'Evaluation and Assessment '!L120+'Sustainability Plan'!L120+'Management '!L120)</f>
        <v>0</v>
      </c>
      <c r="M120" s="56">
        <f t="shared" si="57"/>
        <v>78866.007299999997</v>
      </c>
      <c r="N120" s="15"/>
      <c r="O120" s="55">
        <f>SUM('Research Area'!O120+'Research Cyberinfrastructure'!O120+'EA &amp; Seed Funding'!O120+'Partnerships &amp; Collaborations'!O120+'Broadening Participation Divers'!O120+'Education Workforce Development'!O120+'Communications &amp; Disseminations'!O120+'Evaluation and Assessment '!O120+'Sustainability Plan'!O120+'Management '!O120)</f>
        <v>81339.88237425001</v>
      </c>
      <c r="P120" s="56">
        <f>SUM('Research Area'!P120+'Research Cyberinfrastructure'!P120+'EA &amp; Seed Funding'!P120+'Partnerships &amp; Collaborations'!P120+'Broadening Participation Divers'!P120+'Education Workforce Development'!P120+'Communications &amp; Disseminations'!P120+'Evaluation and Assessment '!P120+'Sustainability Plan'!P120+'Management '!P120)</f>
        <v>0</v>
      </c>
      <c r="Q120" s="56">
        <f t="shared" si="58"/>
        <v>81339.88237425001</v>
      </c>
      <c r="R120" s="15"/>
      <c r="S120" s="55">
        <f>SUM('Research Area'!S120+'Research Cyberinfrastructure'!S120+'EA &amp; Seed Funding'!S120+'Partnerships &amp; Collaborations'!S120+'Broadening Participation Divers'!S120+'Education Workforce Development'!S120+'Communications &amp; Disseminations'!S120+'Evaluation and Assessment '!S120+'Sustainability Plan'!S120+'Management '!S120)</f>
        <v>56449.523574802508</v>
      </c>
      <c r="T120" s="56">
        <f>SUM('Research Area'!T120+'Research Cyberinfrastructure'!T120+'EA &amp; Seed Funding'!T120+'Partnerships &amp; Collaborations'!T120+'Broadening Participation Divers'!T120+'Education Workforce Development'!T120+'Communications &amp; Disseminations'!T120+'Evaluation and Assessment '!T120+'Sustainability Plan'!T120+'Management '!T120)</f>
        <v>0</v>
      </c>
      <c r="U120" s="56">
        <f t="shared" si="59"/>
        <v>56449.523574802508</v>
      </c>
      <c r="V120" s="16"/>
      <c r="W120" s="55">
        <f>SUM('Research Area'!W120+'Research Cyberinfrastructure'!W120+'EA &amp; Seed Funding'!W120+'Partnerships &amp; Collaborations'!W120+'Broadening Participation Divers'!W120+'Education Workforce Development'!W120+'Communications &amp; Disseminations'!W120+'Evaluation and Assessment '!W120+'Sustainability Plan'!W120+'Management '!W120)</f>
        <v>269643.67614905251</v>
      </c>
      <c r="X120" s="56">
        <f>SUM('Research Area'!X120+'Research Cyberinfrastructure'!X120+'EA &amp; Seed Funding'!X120+'Partnerships &amp; Collaborations'!X120+'Broadening Participation Divers'!X120+'Education Workforce Development'!X120+'Communications &amp; Disseminations'!X120+'Evaluation and Assessment '!X120+'Sustainability Plan'!X120+'Management '!X120)</f>
        <v>0</v>
      </c>
      <c r="Y120" s="56">
        <f t="shared" si="60"/>
        <v>269643.67614905251</v>
      </c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</row>
    <row r="121" spans="1:77" s="61" customFormat="1" x14ac:dyDescent="0.25">
      <c r="A121" s="51">
        <v>12500</v>
      </c>
      <c r="B121" s="52" t="s">
        <v>36</v>
      </c>
      <c r="C121" s="124">
        <f>SUM('Research Area'!C121+'Research Cyberinfrastructure'!C121+'EA &amp; Seed Funding'!C121+'Partnerships &amp; Collaborations'!C121+'Broadening Participation Divers'!C121+'Education Workforce Development'!C121+'Communications &amp; Disseminations'!C121+'Evaluation and Assessment '!C121+'Sustainability Plan'!C121+'Management '!C121)</f>
        <v>0</v>
      </c>
      <c r="D121" s="56">
        <f>SUM('Research Area'!D121+'Research Cyberinfrastructure'!D121+'EA &amp; Seed Funding'!D121+'Partnerships &amp; Collaborations'!D121+'Broadening Participation Divers'!D121+'Education Workforce Development'!D121+'Communications &amp; Disseminations'!D121+'Evaluation and Assessment '!D121+'Sustainability Plan'!D121+'Management '!D121)</f>
        <v>0</v>
      </c>
      <c r="E121" s="56">
        <f t="shared" si="55"/>
        <v>0</v>
      </c>
      <c r="F121" s="15"/>
      <c r="G121" s="55">
        <f>SUM('Research Area'!G121+'Research Cyberinfrastructure'!G121+'EA &amp; Seed Funding'!G121+'Partnerships &amp; Collaborations'!G121+'Broadening Participation Divers'!G121+'Education Workforce Development'!G121+'Communications &amp; Disseminations'!G121+'Evaluation and Assessment '!G121+'Sustainability Plan'!G121+'Management '!G121)</f>
        <v>2920</v>
      </c>
      <c r="H121" s="56">
        <f>SUM('Research Area'!H121+'Research Cyberinfrastructure'!H121+'EA &amp; Seed Funding'!H121+'Partnerships &amp; Collaborations'!H121+'Broadening Participation Divers'!H121+'Education Workforce Development'!H121+'Communications &amp; Disseminations'!H121+'Evaluation and Assessment '!H121+'Sustainability Plan'!H121+'Management '!H121)</f>
        <v>0</v>
      </c>
      <c r="I121" s="56">
        <f t="shared" si="56"/>
        <v>2920</v>
      </c>
      <c r="J121" s="15"/>
      <c r="K121" s="55">
        <f>SUM('Research Area'!K121+'Research Cyberinfrastructure'!K121+'EA &amp; Seed Funding'!K121+'Partnerships &amp; Collaborations'!K121+'Broadening Participation Divers'!K121+'Education Workforce Development'!K121+'Communications &amp; Disseminations'!K121+'Evaluation and Assessment '!K121+'Sustainability Plan'!K121+'Management '!K121)</f>
        <v>2920</v>
      </c>
      <c r="L121" s="56">
        <f>SUM('Research Area'!L121+'Research Cyberinfrastructure'!L121+'EA &amp; Seed Funding'!L121+'Partnerships &amp; Collaborations'!L121+'Broadening Participation Divers'!L121+'Education Workforce Development'!L121+'Communications &amp; Disseminations'!L121+'Evaluation and Assessment '!L121+'Sustainability Plan'!L121+'Management '!L121)</f>
        <v>0</v>
      </c>
      <c r="M121" s="56">
        <f t="shared" si="57"/>
        <v>2920</v>
      </c>
      <c r="N121" s="15"/>
      <c r="O121" s="55">
        <f>SUM('Research Area'!O121+'Research Cyberinfrastructure'!O121+'EA &amp; Seed Funding'!O121+'Partnerships &amp; Collaborations'!O121+'Broadening Participation Divers'!O121+'Education Workforce Development'!O121+'Communications &amp; Disseminations'!O121+'Evaluation and Assessment '!O121+'Sustainability Plan'!O121+'Management '!O121)</f>
        <v>1960.0000000000002</v>
      </c>
      <c r="P121" s="56">
        <f>SUM('Research Area'!P121+'Research Cyberinfrastructure'!P121+'EA &amp; Seed Funding'!P121+'Partnerships &amp; Collaborations'!P121+'Broadening Participation Divers'!P121+'Education Workforce Development'!P121+'Communications &amp; Disseminations'!P121+'Evaluation and Assessment '!P121+'Sustainability Plan'!P121+'Management '!P121)</f>
        <v>0</v>
      </c>
      <c r="Q121" s="56">
        <f t="shared" si="58"/>
        <v>1960.0000000000002</v>
      </c>
      <c r="R121" s="15"/>
      <c r="S121" s="55">
        <f>SUM('Research Area'!S121+'Research Cyberinfrastructure'!S121+'EA &amp; Seed Funding'!S121+'Partnerships &amp; Collaborations'!S121+'Broadening Participation Divers'!S121+'Education Workforce Development'!S121+'Communications &amp; Disseminations'!S121+'Evaluation and Assessment '!S121+'Sustainability Plan'!S121+'Management '!S121)</f>
        <v>1960.0000000000002</v>
      </c>
      <c r="T121" s="56">
        <f>SUM('Research Area'!T121+'Research Cyberinfrastructure'!T121+'EA &amp; Seed Funding'!T121+'Partnerships &amp; Collaborations'!T121+'Broadening Participation Divers'!T121+'Education Workforce Development'!T121+'Communications &amp; Disseminations'!T121+'Evaluation and Assessment '!T121+'Sustainability Plan'!T121+'Management '!T121)</f>
        <v>0</v>
      </c>
      <c r="U121" s="56">
        <f t="shared" si="59"/>
        <v>1960.0000000000002</v>
      </c>
      <c r="V121" s="16"/>
      <c r="W121" s="55">
        <f>SUM('Research Area'!W121+'Research Cyberinfrastructure'!W121+'EA &amp; Seed Funding'!W121+'Partnerships &amp; Collaborations'!W121+'Broadening Participation Divers'!W121+'Education Workforce Development'!W121+'Communications &amp; Disseminations'!W121+'Evaluation and Assessment '!W121+'Sustainability Plan'!W121+'Management '!W121)</f>
        <v>9760</v>
      </c>
      <c r="X121" s="56">
        <f>SUM('Research Area'!X121+'Research Cyberinfrastructure'!X121+'EA &amp; Seed Funding'!X121+'Partnerships &amp; Collaborations'!X121+'Broadening Participation Divers'!X121+'Education Workforce Development'!X121+'Communications &amp; Disseminations'!X121+'Evaluation and Assessment '!X121+'Sustainability Plan'!X121+'Management '!X121)</f>
        <v>0</v>
      </c>
      <c r="Y121" s="56">
        <f t="shared" si="60"/>
        <v>9760</v>
      </c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</row>
    <row r="122" spans="1:77" s="61" customFormat="1" x14ac:dyDescent="0.25">
      <c r="A122" s="51"/>
      <c r="B122" s="52"/>
      <c r="C122" s="124">
        <f>SUM('Research Area'!C122+'Research Cyberinfrastructure'!C122+'EA &amp; Seed Funding'!C122+'Partnerships &amp; Collaborations'!C122+'Broadening Participation Divers'!C122+'Education Workforce Development'!C122+'Communications &amp; Disseminations'!C122+'Evaluation and Assessment '!C122+'Sustainability Plan'!C122+'Management '!C122)</f>
        <v>0</v>
      </c>
      <c r="D122" s="56">
        <f>SUM('Research Area'!D122+'Research Cyberinfrastructure'!D122+'EA &amp; Seed Funding'!D122+'Partnerships &amp; Collaborations'!D122+'Broadening Participation Divers'!D122+'Education Workforce Development'!D122+'Communications &amp; Disseminations'!D122+'Evaluation and Assessment '!D122+'Sustainability Plan'!D122+'Management '!D122)</f>
        <v>0</v>
      </c>
      <c r="E122" s="56">
        <f t="shared" si="55"/>
        <v>0</v>
      </c>
      <c r="F122" s="15"/>
      <c r="G122" s="55">
        <f>SUM('Research Area'!G122+'Research Cyberinfrastructure'!G122+'EA &amp; Seed Funding'!G122+'Partnerships &amp; Collaborations'!G122+'Broadening Participation Divers'!G122+'Education Workforce Development'!G122+'Communications &amp; Disseminations'!G122+'Evaluation and Assessment '!G122+'Sustainability Plan'!G122+'Management '!G122)</f>
        <v>8258</v>
      </c>
      <c r="H122" s="56">
        <f>SUM('Research Area'!H122+'Research Cyberinfrastructure'!H122+'EA &amp; Seed Funding'!H122+'Partnerships &amp; Collaborations'!H122+'Broadening Participation Divers'!H122+'Education Workforce Development'!H122+'Communications &amp; Disseminations'!H122+'Evaluation and Assessment '!H122+'Sustainability Plan'!H122+'Management '!H122)</f>
        <v>0</v>
      </c>
      <c r="I122" s="56">
        <f t="shared" si="56"/>
        <v>8258</v>
      </c>
      <c r="J122" s="15"/>
      <c r="K122" s="55">
        <f>SUM('Research Area'!K122+'Research Cyberinfrastructure'!K122+'EA &amp; Seed Funding'!K122+'Partnerships &amp; Collaborations'!K122+'Broadening Participation Divers'!K122+'Education Workforce Development'!K122+'Communications &amp; Disseminations'!K122+'Evaluation and Assessment '!K122+'Sustainability Plan'!K122+'Management '!K122)</f>
        <v>8670.9</v>
      </c>
      <c r="L122" s="56">
        <f>SUM('Research Area'!L122+'Research Cyberinfrastructure'!L122+'EA &amp; Seed Funding'!L122+'Partnerships &amp; Collaborations'!L122+'Broadening Participation Divers'!L122+'Education Workforce Development'!L122+'Communications &amp; Disseminations'!L122+'Evaluation and Assessment '!L122+'Sustainability Plan'!L122+'Management '!L122)</f>
        <v>0</v>
      </c>
      <c r="M122" s="56">
        <f t="shared" si="57"/>
        <v>8670.9</v>
      </c>
      <c r="N122" s="15"/>
      <c r="O122" s="55">
        <f>SUM('Research Area'!O122+'Research Cyberinfrastructure'!O122+'EA &amp; Seed Funding'!O122+'Partnerships &amp; Collaborations'!O122+'Broadening Participation Divers'!O122+'Education Workforce Development'!O122+'Communications &amp; Disseminations'!O122+'Evaluation and Assessment '!O122+'Sustainability Plan'!O122+'Management '!O122)</f>
        <v>4552.2224999999999</v>
      </c>
      <c r="P122" s="56">
        <f>SUM('Research Area'!P122+'Research Cyberinfrastructure'!P122+'EA &amp; Seed Funding'!P122+'Partnerships &amp; Collaborations'!P122+'Broadening Participation Divers'!P122+'Education Workforce Development'!P122+'Communications &amp; Disseminations'!P122+'Evaluation and Assessment '!P122+'Sustainability Plan'!P122+'Management '!P122)</f>
        <v>0</v>
      </c>
      <c r="Q122" s="56">
        <f t="shared" si="58"/>
        <v>4552.2224999999999</v>
      </c>
      <c r="R122" s="15"/>
      <c r="S122" s="55">
        <f>SUM('Research Area'!S122+'Research Cyberinfrastructure'!S122+'EA &amp; Seed Funding'!S122+'Partnerships &amp; Collaborations'!S122+'Broadening Participation Divers'!S122+'Education Workforce Development'!S122+'Communications &amp; Disseminations'!S122+'Evaluation and Assessment '!S122+'Sustainability Plan'!S122+'Management '!S122)</f>
        <v>4779.8336250000002</v>
      </c>
      <c r="T122" s="56">
        <f>SUM('Research Area'!T122+'Research Cyberinfrastructure'!T122+'EA &amp; Seed Funding'!T122+'Partnerships &amp; Collaborations'!T122+'Broadening Participation Divers'!T122+'Education Workforce Development'!T122+'Communications &amp; Disseminations'!T122+'Evaluation and Assessment '!T122+'Sustainability Plan'!T122+'Management '!T122)</f>
        <v>0</v>
      </c>
      <c r="U122" s="56">
        <f t="shared" si="59"/>
        <v>4779.8336250000002</v>
      </c>
      <c r="V122" s="16"/>
      <c r="W122" s="55">
        <f>SUM('Research Area'!W122+'Research Cyberinfrastructure'!W122+'EA &amp; Seed Funding'!W122+'Partnerships &amp; Collaborations'!W122+'Broadening Participation Divers'!W122+'Education Workforce Development'!W122+'Communications &amp; Disseminations'!W122+'Evaluation and Assessment '!W122+'Sustainability Plan'!W122+'Management '!W122)</f>
        <v>26260.956125000001</v>
      </c>
      <c r="X122" s="56">
        <f>SUM('Research Area'!X122+'Research Cyberinfrastructure'!X122+'EA &amp; Seed Funding'!X122+'Partnerships &amp; Collaborations'!X122+'Broadening Participation Divers'!X122+'Education Workforce Development'!X122+'Communications &amp; Disseminations'!X122+'Evaluation and Assessment '!X122+'Sustainability Plan'!X122+'Management '!X122)</f>
        <v>0</v>
      </c>
      <c r="Y122" s="56">
        <f t="shared" si="60"/>
        <v>26260.956125000001</v>
      </c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</row>
    <row r="123" spans="1:77" s="61" customFormat="1" x14ac:dyDescent="0.25">
      <c r="A123" s="51"/>
      <c r="B123" s="52"/>
      <c r="C123" s="124">
        <f>SUM('Research Area'!C123+'Research Cyberinfrastructure'!C123+'EA &amp; Seed Funding'!C123+'Partnerships &amp; Collaborations'!C123+'Broadening Participation Divers'!C123+'Education Workforce Development'!C123+'Communications &amp; Disseminations'!C123+'Evaluation and Assessment '!C123+'Sustainability Plan'!C123+'Management '!C123)</f>
        <v>0</v>
      </c>
      <c r="D123" s="56">
        <f>SUM('Research Area'!D123+'Research Cyberinfrastructure'!D123+'EA &amp; Seed Funding'!D123+'Partnerships &amp; Collaborations'!D123+'Broadening Participation Divers'!D123+'Education Workforce Development'!D123+'Communications &amp; Disseminations'!D123+'Evaluation and Assessment '!D123+'Sustainability Plan'!D123+'Management '!D123)</f>
        <v>0</v>
      </c>
      <c r="E123" s="56">
        <f t="shared" si="55"/>
        <v>0</v>
      </c>
      <c r="F123" s="15"/>
      <c r="G123" s="55">
        <f>SUM('Research Area'!G123+'Research Cyberinfrastructure'!G123+'EA &amp; Seed Funding'!G123+'Partnerships &amp; Collaborations'!G123+'Broadening Participation Divers'!G123+'Education Workforce Development'!G123+'Communications &amp; Disseminations'!G123+'Evaluation and Assessment '!G123+'Sustainability Plan'!G123+'Management '!G123)</f>
        <v>0</v>
      </c>
      <c r="H123" s="56">
        <f>SUM('Research Area'!H123+'Research Cyberinfrastructure'!H123+'EA &amp; Seed Funding'!H123+'Partnerships &amp; Collaborations'!H123+'Broadening Participation Divers'!H123+'Education Workforce Development'!H123+'Communications &amp; Disseminations'!H123+'Evaluation and Assessment '!H123+'Sustainability Plan'!H123+'Management '!H123)</f>
        <v>0</v>
      </c>
      <c r="I123" s="56">
        <f t="shared" si="56"/>
        <v>0</v>
      </c>
      <c r="J123" s="15"/>
      <c r="K123" s="55">
        <f>SUM('Research Area'!K123+'Research Cyberinfrastructure'!K123+'EA &amp; Seed Funding'!K123+'Partnerships &amp; Collaborations'!K123+'Broadening Participation Divers'!K123+'Education Workforce Development'!K123+'Communications &amp; Disseminations'!K123+'Evaluation and Assessment '!K123+'Sustainability Plan'!K123+'Management '!K123)</f>
        <v>0</v>
      </c>
      <c r="L123" s="56">
        <f>SUM('Research Area'!L123+'Research Cyberinfrastructure'!L123+'EA &amp; Seed Funding'!L123+'Partnerships &amp; Collaborations'!L123+'Broadening Participation Divers'!L123+'Education Workforce Development'!L123+'Communications &amp; Disseminations'!L123+'Evaluation and Assessment '!L123+'Sustainability Plan'!L123+'Management '!L123)</f>
        <v>0</v>
      </c>
      <c r="M123" s="56">
        <f t="shared" si="57"/>
        <v>0</v>
      </c>
      <c r="N123" s="15"/>
      <c r="O123" s="55">
        <f>SUM('Research Area'!O123+'Research Cyberinfrastructure'!O123+'EA &amp; Seed Funding'!O123+'Partnerships &amp; Collaborations'!O123+'Broadening Participation Divers'!O123+'Education Workforce Development'!O123+'Communications &amp; Disseminations'!O123+'Evaluation and Assessment '!O123+'Sustainability Plan'!O123+'Management '!O123)</f>
        <v>0</v>
      </c>
      <c r="P123" s="56">
        <f>SUM('Research Area'!P123+'Research Cyberinfrastructure'!P123+'EA &amp; Seed Funding'!P123+'Partnerships &amp; Collaborations'!P123+'Broadening Participation Divers'!P123+'Education Workforce Development'!P123+'Communications &amp; Disseminations'!P123+'Evaluation and Assessment '!P123+'Sustainability Plan'!P123+'Management '!P123)</f>
        <v>0</v>
      </c>
      <c r="Q123" s="56">
        <f t="shared" si="58"/>
        <v>0</v>
      </c>
      <c r="R123" s="15"/>
      <c r="S123" s="55">
        <f>SUM('Research Area'!S123+'Research Cyberinfrastructure'!S123+'EA &amp; Seed Funding'!S123+'Partnerships &amp; Collaborations'!S123+'Broadening Participation Divers'!S123+'Education Workforce Development'!S123+'Communications &amp; Disseminations'!S123+'Evaluation and Assessment '!S123+'Sustainability Plan'!S123+'Management '!S123)</f>
        <v>0</v>
      </c>
      <c r="T123" s="56">
        <f>SUM('Research Area'!T123+'Research Cyberinfrastructure'!T123+'EA &amp; Seed Funding'!T123+'Partnerships &amp; Collaborations'!T123+'Broadening Participation Divers'!T123+'Education Workforce Development'!T123+'Communications &amp; Disseminations'!T123+'Evaluation and Assessment '!T123+'Sustainability Plan'!T123+'Management '!T123)</f>
        <v>0</v>
      </c>
      <c r="U123" s="56">
        <f t="shared" si="59"/>
        <v>0</v>
      </c>
      <c r="V123" s="16"/>
      <c r="W123" s="55">
        <f>SUM('Research Area'!W123+'Research Cyberinfrastructure'!W123+'EA &amp; Seed Funding'!W123+'Partnerships &amp; Collaborations'!W123+'Broadening Participation Divers'!W123+'Education Workforce Development'!W123+'Communications &amp; Disseminations'!W123+'Evaluation and Assessment '!W123+'Sustainability Plan'!W123+'Management '!W123)</f>
        <v>0</v>
      </c>
      <c r="X123" s="56">
        <f>SUM('Research Area'!X123+'Research Cyberinfrastructure'!X123+'EA &amp; Seed Funding'!X123+'Partnerships &amp; Collaborations'!X123+'Broadening Participation Divers'!X123+'Education Workforce Development'!X123+'Communications &amp; Disseminations'!X123+'Evaluation and Assessment '!X123+'Sustainability Plan'!X123+'Management '!X123)</f>
        <v>0</v>
      </c>
      <c r="Y123" s="56">
        <f t="shared" si="60"/>
        <v>0</v>
      </c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</row>
    <row r="124" spans="1:77" s="83" customFormat="1" x14ac:dyDescent="0.25">
      <c r="A124" s="78"/>
      <c r="B124" s="78" t="s">
        <v>9</v>
      </c>
      <c r="C124" s="232">
        <f>SUM(C115:C123)</f>
        <v>61541.47031325</v>
      </c>
      <c r="D124" s="130">
        <f>SUM(D115:D123)</f>
        <v>13878.75</v>
      </c>
      <c r="E124" s="130">
        <f>SUM(E115:E123)</f>
        <v>75420.22031325</v>
      </c>
      <c r="F124" s="81"/>
      <c r="G124" s="126">
        <f>SUM(G115:G123)</f>
        <v>126776.4561826475</v>
      </c>
      <c r="H124" s="130">
        <f>SUM(H115:H123)</f>
        <v>14295.112499999999</v>
      </c>
      <c r="I124" s="130">
        <f>SUM(I115:I123)</f>
        <v>141071.56868264748</v>
      </c>
      <c r="J124" s="81"/>
      <c r="K124" s="126">
        <f>SUM(K115:K123)</f>
        <v>243160.33702112691</v>
      </c>
      <c r="L124" s="130">
        <f>SUM(L115:L123)</f>
        <v>12602.165875000001</v>
      </c>
      <c r="M124" s="130">
        <f>SUM(M115:M123)</f>
        <v>255762.50289612691</v>
      </c>
      <c r="N124" s="81"/>
      <c r="O124" s="126">
        <f>SUM(O115:O123)</f>
        <v>171196.49056841267</v>
      </c>
      <c r="P124" s="130">
        <f>SUM(P115:P123)</f>
        <v>12980.23085125</v>
      </c>
      <c r="Q124" s="130">
        <f>SUM(Q115:Q123)</f>
        <v>184176.72141966267</v>
      </c>
      <c r="R124" s="81"/>
      <c r="S124" s="126">
        <f>SUM(S115:S123)</f>
        <v>144234.17752104002</v>
      </c>
      <c r="T124" s="130">
        <f>SUM(T115:T123)</f>
        <v>13369.6377767875</v>
      </c>
      <c r="U124" s="130">
        <f>SUM(U115:U123)</f>
        <v>157603.81529782753</v>
      </c>
      <c r="V124" s="82"/>
      <c r="W124" s="126">
        <f>SUM(W115:W123)</f>
        <v>746908.93160647713</v>
      </c>
      <c r="X124" s="130">
        <f>SUM(X115:X123)</f>
        <v>67125.897003037506</v>
      </c>
      <c r="Y124" s="130">
        <f>SUM(Y115:Y123)</f>
        <v>814034.82860951463</v>
      </c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</row>
    <row r="125" spans="1:77" s="34" customFormat="1" x14ac:dyDescent="0.25">
      <c r="A125" s="100" t="s">
        <v>17</v>
      </c>
      <c r="B125" s="32"/>
      <c r="C125" s="135">
        <f>C113+C124</f>
        <v>257226.92447991666</v>
      </c>
      <c r="D125" s="135">
        <f>D113+D124</f>
        <v>51378.75</v>
      </c>
      <c r="E125" s="135">
        <f>E113+E124</f>
        <v>308605.67447991669</v>
      </c>
      <c r="F125" s="135" t="e">
        <f>SUM(#REF!+#REF!+'Research Cyberinfrastructure'!F125+'EA &amp; Seed Funding'!F125+'Partnerships &amp; Collaborations'!F125+'Broadening Participation Divers'!F125+'Education Workforce Development'!F125+'Communications &amp; Disseminations'!F125+'Evaluation and Assessment '!F125+'Sustainability Plan'!F125+'Management '!F125)</f>
        <v>#REF!</v>
      </c>
      <c r="G125" s="135">
        <f>G113+G124</f>
        <v>517917.43797431421</v>
      </c>
      <c r="H125" s="135">
        <f>H113+H124</f>
        <v>52920.112500000003</v>
      </c>
      <c r="I125" s="135">
        <f>I113+I124</f>
        <v>570837.55047431425</v>
      </c>
      <c r="J125" s="135" t="e">
        <f>SUM(#REF!+#REF!+'Research Cyberinfrastructure'!J125+'EA &amp; Seed Funding'!J125+'Partnerships &amp; Collaborations'!J125+'Broadening Participation Divers'!J125+'Education Workforce Development'!J125+'Communications &amp; Disseminations'!J125+'Evaluation and Assessment '!J125+'Sustainability Plan'!J125+'Management '!J125)</f>
        <v>#REF!</v>
      </c>
      <c r="K125" s="135">
        <f>K113+K124</f>
        <v>962710.26046654349</v>
      </c>
      <c r="L125" s="135">
        <f>L113+L124</f>
        <v>47081.415874999999</v>
      </c>
      <c r="M125" s="135">
        <f>M113+M124</f>
        <v>1009791.6763415436</v>
      </c>
      <c r="N125" s="135" t="e">
        <f>SUM(#REF!+#REF!+'Research Cyberinfrastructure'!N125+'EA &amp; Seed Funding'!N125+'Partnerships &amp; Collaborations'!N125+'Broadening Participation Divers'!N125+'Education Workforce Development'!N125+'Communications &amp; Disseminations'!N125+'Evaluation and Assessment '!N125+'Sustainability Plan'!N125+'Management '!N125)</f>
        <v>#REF!</v>
      </c>
      <c r="O125" s="135">
        <f>O113+O124</f>
        <v>623720.15952719189</v>
      </c>
      <c r="P125" s="135">
        <f>P113+P124</f>
        <v>48493.858351250004</v>
      </c>
      <c r="Q125" s="135">
        <f>Q113+Q124</f>
        <v>672214.01787844195</v>
      </c>
      <c r="R125" s="135" t="e">
        <f>SUM(#REF!+#REF!+'Research Cyberinfrastructure'!R125+'EA &amp; Seed Funding'!R125+'Partnerships &amp; Collaborations'!R125+'Broadening Participation Divers'!R125+'Education Workforce Development'!R125+'Communications &amp; Disseminations'!R125+'Evaluation and Assessment '!R125+'Sustainability Plan'!R125+'Management '!R125)</f>
        <v>#REF!</v>
      </c>
      <c r="S125" s="135">
        <f>S113+S124</f>
        <v>530577.63814908266</v>
      </c>
      <c r="T125" s="135">
        <f>T113+T124</f>
        <v>49948.674101787503</v>
      </c>
      <c r="U125" s="135">
        <f>U113+U124</f>
        <v>580526.31225087005</v>
      </c>
      <c r="V125" s="135" t="e">
        <f>SUM(#REF!+#REF!+'Research Cyberinfrastructure'!V125+'EA &amp; Seed Funding'!V125+'Partnerships &amp; Collaborations'!V125+'Broadening Participation Divers'!V125+'Education Workforce Development'!V125+'Communications &amp; Disseminations'!V125+'Evaluation and Assessment '!V125+'Sustainability Plan'!V125+'Management '!V125)</f>
        <v>#REF!</v>
      </c>
      <c r="W125" s="135">
        <f>W113+W124</f>
        <v>2892152.4205970489</v>
      </c>
      <c r="X125" s="135">
        <f>X113+X124</f>
        <v>249822.8108280375</v>
      </c>
      <c r="Y125" s="135">
        <f>Y113+Y124</f>
        <v>3141975.2314250865</v>
      </c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</row>
    <row r="126" spans="1:77" s="77" customFormat="1" x14ac:dyDescent="0.25">
      <c r="A126" s="74" t="s">
        <v>18</v>
      </c>
      <c r="B126" s="127"/>
      <c r="C126" s="213"/>
      <c r="D126" s="213"/>
      <c r="E126" s="212"/>
      <c r="F126" s="128"/>
      <c r="G126" s="128"/>
      <c r="H126" s="128"/>
      <c r="I126" s="58"/>
      <c r="J126" s="128"/>
      <c r="K126" s="128"/>
      <c r="L126" s="128"/>
      <c r="M126" s="58"/>
      <c r="N126" s="128"/>
      <c r="O126" s="128"/>
      <c r="P126" s="128"/>
      <c r="Q126" s="58"/>
      <c r="R126" s="128"/>
      <c r="S126" s="128"/>
      <c r="T126" s="128"/>
      <c r="U126" s="58"/>
      <c r="V126" s="59"/>
      <c r="W126" s="128"/>
      <c r="X126" s="128"/>
      <c r="Y126" s="58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</row>
    <row r="127" spans="1:77" x14ac:dyDescent="0.25">
      <c r="A127" s="53"/>
      <c r="B127" s="52"/>
      <c r="C127" s="124">
        <f>SUM('Research Area'!C127+'Research Cyberinfrastructure'!C127+'EA &amp; Seed Funding'!C127+'Partnerships &amp; Collaborations'!C127+'Broadening Participation Divers'!C127+'Education Workforce Development'!C127+'Communications &amp; Disseminations'!C127+'Evaluation and Assessment '!C127+'Sustainability Plan'!C127+'Management '!C127)</f>
        <v>0</v>
      </c>
      <c r="D127" s="56">
        <f>SUM('Research Area'!D127+'Research Cyberinfrastructure'!D127+'EA &amp; Seed Funding'!D127+'Partnerships &amp; Collaborations'!D127+'Broadening Participation Divers'!D127+'Education Workforce Development'!D127+'Communications &amp; Disseminations'!D127+'Evaluation and Assessment '!D127+'Sustainability Plan'!D127+'Management '!D127)</f>
        <v>0</v>
      </c>
      <c r="E127" s="56">
        <f>SUM(C127:D127)</f>
        <v>0</v>
      </c>
      <c r="F127" s="15"/>
      <c r="G127" s="55">
        <f>SUM('Research Area'!G127+'Research Cyberinfrastructure'!G127+'EA &amp; Seed Funding'!G127+'Partnerships &amp; Collaborations'!G127+'Broadening Participation Divers'!G127+'Education Workforce Development'!G127+'Communications &amp; Disseminations'!G127+'Evaluation and Assessment '!G127+'Sustainability Plan'!G127+'Management '!G127)</f>
        <v>0</v>
      </c>
      <c r="H127" s="56">
        <f>SUM('Research Area'!H127+'Research Cyberinfrastructure'!H127+'EA &amp; Seed Funding'!H127+'Partnerships &amp; Collaborations'!H127+'Broadening Participation Divers'!H127+'Education Workforce Development'!H127+'Communications &amp; Disseminations'!H127+'Evaluation and Assessment '!H127+'Sustainability Plan'!H127+'Management '!H127)</f>
        <v>0</v>
      </c>
      <c r="I127" s="56">
        <f>SUM(G127:H127)</f>
        <v>0</v>
      </c>
      <c r="J127" s="15"/>
      <c r="K127" s="55">
        <f>SUM('Research Area'!K127+'Research Cyberinfrastructure'!K127+'EA &amp; Seed Funding'!K127+'Partnerships &amp; Collaborations'!K127+'Broadening Participation Divers'!K127+'Education Workforce Development'!K127+'Communications &amp; Disseminations'!K127+'Evaluation and Assessment '!K127+'Sustainability Plan'!K127+'Management '!K127)</f>
        <v>0</v>
      </c>
      <c r="L127" s="56">
        <f>SUM('Research Area'!L127+'Research Cyberinfrastructure'!L127+'EA &amp; Seed Funding'!L127+'Partnerships &amp; Collaborations'!L127+'Broadening Participation Divers'!L127+'Education Workforce Development'!L127+'Communications &amp; Disseminations'!L127+'Evaluation and Assessment '!L127+'Sustainability Plan'!L127+'Management '!L127)</f>
        <v>0</v>
      </c>
      <c r="M127" s="56">
        <f>SUM(K127:L127)</f>
        <v>0</v>
      </c>
      <c r="N127" s="15"/>
      <c r="O127" s="55">
        <f>SUM('Research Area'!O127+'Research Cyberinfrastructure'!O127+'EA &amp; Seed Funding'!O127+'Partnerships &amp; Collaborations'!O127+'Broadening Participation Divers'!O127+'Education Workforce Development'!O127+'Communications &amp; Disseminations'!O127+'Evaluation and Assessment '!O127+'Sustainability Plan'!O127+'Management '!O127)</f>
        <v>0</v>
      </c>
      <c r="P127" s="56">
        <f>SUM('Research Area'!P127+'Research Cyberinfrastructure'!P127+'EA &amp; Seed Funding'!P127+'Partnerships &amp; Collaborations'!P127+'Broadening Participation Divers'!P127+'Education Workforce Development'!P127+'Communications &amp; Disseminations'!P127+'Evaluation and Assessment '!P127+'Sustainability Plan'!P127+'Management '!P127)</f>
        <v>0</v>
      </c>
      <c r="Q127" s="56">
        <f>SUM(O127:P127)</f>
        <v>0</v>
      </c>
      <c r="R127" s="15"/>
      <c r="S127" s="55">
        <f>SUM('Research Area'!S127+'Research Cyberinfrastructure'!S127+'EA &amp; Seed Funding'!S127+'Partnerships &amp; Collaborations'!S127+'Broadening Participation Divers'!S127+'Education Workforce Development'!S127+'Communications &amp; Disseminations'!S127+'Evaluation and Assessment '!S127+'Sustainability Plan'!S127+'Management '!S127)</f>
        <v>0</v>
      </c>
      <c r="T127" s="56">
        <f>SUM('Research Area'!T127+'Research Cyberinfrastructure'!T127+'EA &amp; Seed Funding'!T127+'Partnerships &amp; Collaborations'!T127+'Broadening Participation Divers'!T127+'Education Workforce Development'!T127+'Communications &amp; Disseminations'!T127+'Evaluation and Assessment '!T127+'Sustainability Plan'!T127+'Management '!T127)</f>
        <v>0</v>
      </c>
      <c r="U127" s="56">
        <f>SUM(S127:T127)</f>
        <v>0</v>
      </c>
      <c r="V127" s="16"/>
      <c r="W127" s="55">
        <f>SUM('Research Area'!W127+'Research Cyberinfrastructure'!W127+'EA &amp; Seed Funding'!W127+'Partnerships &amp; Collaborations'!W127+'Broadening Participation Divers'!W127+'Education Workforce Development'!W127+'Communications &amp; Disseminations'!W127+'Evaluation and Assessment '!W127+'Sustainability Plan'!W127+'Management '!W127)</f>
        <v>0</v>
      </c>
      <c r="X127" s="56">
        <f>SUM('Research Area'!X127+'Research Cyberinfrastructure'!X127+'EA &amp; Seed Funding'!X127+'Partnerships &amp; Collaborations'!X127+'Broadening Participation Divers'!X127+'Education Workforce Development'!X127+'Communications &amp; Disseminations'!X127+'Evaluation and Assessment '!X127+'Sustainability Plan'!X127+'Management '!X127)</f>
        <v>0</v>
      </c>
      <c r="Y127" s="56">
        <f>SUM(W127:X127)</f>
        <v>0</v>
      </c>
    </row>
    <row r="128" spans="1:77" x14ac:dyDescent="0.25">
      <c r="A128" s="17"/>
      <c r="B128" s="17"/>
      <c r="C128" s="124">
        <f>SUM('Research Area'!C128+'Research Cyberinfrastructure'!C128+'EA &amp; Seed Funding'!C128+'Partnerships &amp; Collaborations'!C128+'Broadening Participation Divers'!C128+'Education Workforce Development'!C128+'Communications &amp; Disseminations'!C128+'Evaluation and Assessment '!C128+'Sustainability Plan'!C128+'Management '!C128)</f>
        <v>0</v>
      </c>
      <c r="D128" s="56">
        <f>SUM('Research Area'!D128+'Research Cyberinfrastructure'!D128+'EA &amp; Seed Funding'!D128+'Partnerships &amp; Collaborations'!D128+'Broadening Participation Divers'!D128+'Education Workforce Development'!D128+'Communications &amp; Disseminations'!D128+'Evaluation and Assessment '!D128+'Sustainability Plan'!D128+'Management '!D128)</f>
        <v>0</v>
      </c>
      <c r="E128" s="56">
        <f t="shared" ref="E128:E140" si="61">SUM(C128:D128)</f>
        <v>0</v>
      </c>
      <c r="F128" s="15"/>
      <c r="G128" s="55">
        <f>SUM('Research Area'!G128+'Research Cyberinfrastructure'!G128+'EA &amp; Seed Funding'!G128+'Partnerships &amp; Collaborations'!G128+'Broadening Participation Divers'!G128+'Education Workforce Development'!G128+'Communications &amp; Disseminations'!G128+'Evaluation and Assessment '!G128+'Sustainability Plan'!G128+'Management '!G128)</f>
        <v>0</v>
      </c>
      <c r="H128" s="56">
        <f>SUM('Research Area'!H128+'Research Cyberinfrastructure'!H128+'EA &amp; Seed Funding'!H128+'Partnerships &amp; Collaborations'!H128+'Broadening Participation Divers'!H128+'Education Workforce Development'!H128+'Communications &amp; Disseminations'!H128+'Evaluation and Assessment '!H128+'Sustainability Plan'!H128+'Management '!H128)</f>
        <v>0</v>
      </c>
      <c r="I128" s="56">
        <f t="shared" ref="I128:I140" si="62">SUM(G128:H128)</f>
        <v>0</v>
      </c>
      <c r="J128" s="15"/>
      <c r="K128" s="55">
        <f>SUM('Research Area'!K128+'Research Cyberinfrastructure'!K128+'EA &amp; Seed Funding'!K128+'Partnerships &amp; Collaborations'!K128+'Broadening Participation Divers'!K128+'Education Workforce Development'!K128+'Communications &amp; Disseminations'!K128+'Evaluation and Assessment '!K128+'Sustainability Plan'!K128+'Management '!K128)</f>
        <v>0</v>
      </c>
      <c r="L128" s="56">
        <f>SUM('Research Area'!L128+'Research Cyberinfrastructure'!L128+'EA &amp; Seed Funding'!L128+'Partnerships &amp; Collaborations'!L128+'Broadening Participation Divers'!L128+'Education Workforce Development'!L128+'Communications &amp; Disseminations'!L128+'Evaluation and Assessment '!L128+'Sustainability Plan'!L128+'Management '!L128)</f>
        <v>0</v>
      </c>
      <c r="M128" s="56">
        <f t="shared" ref="M128:M140" si="63">SUM(K128:L128)</f>
        <v>0</v>
      </c>
      <c r="N128" s="15"/>
      <c r="O128" s="55">
        <f>SUM('Research Area'!O128+'Research Cyberinfrastructure'!O128+'EA &amp; Seed Funding'!O128+'Partnerships &amp; Collaborations'!O128+'Broadening Participation Divers'!O128+'Education Workforce Development'!O128+'Communications &amp; Disseminations'!O128+'Evaluation and Assessment '!O128+'Sustainability Plan'!O128+'Management '!O128)</f>
        <v>0</v>
      </c>
      <c r="P128" s="56">
        <f>SUM('Research Area'!P128+'Research Cyberinfrastructure'!P128+'EA &amp; Seed Funding'!P128+'Partnerships &amp; Collaborations'!P128+'Broadening Participation Divers'!P128+'Education Workforce Development'!P128+'Communications &amp; Disseminations'!P128+'Evaluation and Assessment '!P128+'Sustainability Plan'!P128+'Management '!P128)</f>
        <v>0</v>
      </c>
      <c r="Q128" s="56">
        <f t="shared" ref="Q128:Q140" si="64">SUM(O128:P128)</f>
        <v>0</v>
      </c>
      <c r="R128" s="15"/>
      <c r="S128" s="55">
        <f>SUM('Research Area'!S128+'Research Cyberinfrastructure'!S128+'EA &amp; Seed Funding'!S128+'Partnerships &amp; Collaborations'!S128+'Broadening Participation Divers'!S128+'Education Workforce Development'!S128+'Communications &amp; Disseminations'!S128+'Evaluation and Assessment '!S128+'Sustainability Plan'!S128+'Management '!S128)</f>
        <v>0</v>
      </c>
      <c r="T128" s="56">
        <f>SUM('Research Area'!T128+'Research Cyberinfrastructure'!T128+'EA &amp; Seed Funding'!T128+'Partnerships &amp; Collaborations'!T128+'Broadening Participation Divers'!T128+'Education Workforce Development'!T128+'Communications &amp; Disseminations'!T128+'Evaluation and Assessment '!T128+'Sustainability Plan'!T128+'Management '!T128)</f>
        <v>0</v>
      </c>
      <c r="U128" s="56">
        <f t="shared" ref="U128:U140" si="65">SUM(S128:T128)</f>
        <v>0</v>
      </c>
      <c r="V128" s="16"/>
      <c r="W128" s="55">
        <f>SUM('Research Area'!W128+'Research Cyberinfrastructure'!W128+'EA &amp; Seed Funding'!W128+'Partnerships &amp; Collaborations'!W128+'Broadening Participation Divers'!W128+'Education Workforce Development'!W128+'Communications &amp; Disseminations'!W128+'Evaluation and Assessment '!W128+'Sustainability Plan'!W128+'Management '!W128)</f>
        <v>0</v>
      </c>
      <c r="X128" s="56">
        <f>SUM('Research Area'!X128+'Research Cyberinfrastructure'!X128+'EA &amp; Seed Funding'!X128+'Partnerships &amp; Collaborations'!X128+'Broadening Participation Divers'!X128+'Education Workforce Development'!X128+'Communications &amp; Disseminations'!X128+'Evaluation and Assessment '!X128+'Sustainability Plan'!X128+'Management '!X128)</f>
        <v>0</v>
      </c>
      <c r="Y128" s="56">
        <f t="shared" ref="Y128:Y140" si="66">SUM(W128:X128)</f>
        <v>0</v>
      </c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</row>
    <row r="129" spans="1:77" x14ac:dyDescent="0.25">
      <c r="A129" s="17"/>
      <c r="B129" s="17"/>
      <c r="C129" s="124">
        <f>SUM('Research Area'!C129+'Research Cyberinfrastructure'!C129+'EA &amp; Seed Funding'!C129+'Partnerships &amp; Collaborations'!C129+'Broadening Participation Divers'!C129+'Education Workforce Development'!C129+'Communications &amp; Disseminations'!C129+'Evaluation and Assessment '!C129+'Sustainability Plan'!C129+'Management '!C129)</f>
        <v>0</v>
      </c>
      <c r="D129" s="56">
        <f>SUM('Research Area'!D129+'Research Cyberinfrastructure'!D129+'EA &amp; Seed Funding'!D129+'Partnerships &amp; Collaborations'!D129+'Broadening Participation Divers'!D129+'Education Workforce Development'!D129+'Communications &amp; Disseminations'!D129+'Evaluation and Assessment '!D129+'Sustainability Plan'!D129+'Management '!D129)</f>
        <v>0</v>
      </c>
      <c r="E129" s="56">
        <f t="shared" si="61"/>
        <v>0</v>
      </c>
      <c r="F129" s="15"/>
      <c r="G129" s="55">
        <f>SUM('Research Area'!G129+'Research Cyberinfrastructure'!G129+'EA &amp; Seed Funding'!G129+'Partnerships &amp; Collaborations'!G129+'Broadening Participation Divers'!G129+'Education Workforce Development'!G129+'Communications &amp; Disseminations'!G129+'Evaluation and Assessment '!G129+'Sustainability Plan'!G129+'Management '!G129)</f>
        <v>0</v>
      </c>
      <c r="H129" s="56">
        <f>SUM('Research Area'!H129+'Research Cyberinfrastructure'!H129+'EA &amp; Seed Funding'!H129+'Partnerships &amp; Collaborations'!H129+'Broadening Participation Divers'!H129+'Education Workforce Development'!H129+'Communications &amp; Disseminations'!H129+'Evaluation and Assessment '!H129+'Sustainability Plan'!H129+'Management '!H129)</f>
        <v>0</v>
      </c>
      <c r="I129" s="56">
        <f t="shared" si="62"/>
        <v>0</v>
      </c>
      <c r="J129" s="15"/>
      <c r="K129" s="55">
        <f>SUM('Research Area'!K129+'Research Cyberinfrastructure'!K129+'EA &amp; Seed Funding'!K129+'Partnerships &amp; Collaborations'!K129+'Broadening Participation Divers'!K129+'Education Workforce Development'!K129+'Communications &amp; Disseminations'!K129+'Evaluation and Assessment '!K129+'Sustainability Plan'!K129+'Management '!K129)</f>
        <v>0</v>
      </c>
      <c r="L129" s="56">
        <f>SUM('Research Area'!L129+'Research Cyberinfrastructure'!L129+'EA &amp; Seed Funding'!L129+'Partnerships &amp; Collaborations'!L129+'Broadening Participation Divers'!L129+'Education Workforce Development'!L129+'Communications &amp; Disseminations'!L129+'Evaluation and Assessment '!L129+'Sustainability Plan'!L129+'Management '!L129)</f>
        <v>0</v>
      </c>
      <c r="M129" s="56">
        <f t="shared" si="63"/>
        <v>0</v>
      </c>
      <c r="N129" s="15"/>
      <c r="O129" s="55">
        <f>SUM('Research Area'!O129+'Research Cyberinfrastructure'!O129+'EA &amp; Seed Funding'!O129+'Partnerships &amp; Collaborations'!O129+'Broadening Participation Divers'!O129+'Education Workforce Development'!O129+'Communications &amp; Disseminations'!O129+'Evaluation and Assessment '!O129+'Sustainability Plan'!O129+'Management '!O129)</f>
        <v>0</v>
      </c>
      <c r="P129" s="56">
        <f>SUM('Research Area'!P129+'Research Cyberinfrastructure'!P129+'EA &amp; Seed Funding'!P129+'Partnerships &amp; Collaborations'!P129+'Broadening Participation Divers'!P129+'Education Workforce Development'!P129+'Communications &amp; Disseminations'!P129+'Evaluation and Assessment '!P129+'Sustainability Plan'!P129+'Management '!P129)</f>
        <v>0</v>
      </c>
      <c r="Q129" s="56">
        <f t="shared" si="64"/>
        <v>0</v>
      </c>
      <c r="R129" s="15"/>
      <c r="S129" s="55">
        <f>SUM('Research Area'!S129+'Research Cyberinfrastructure'!S129+'EA &amp; Seed Funding'!S129+'Partnerships &amp; Collaborations'!S129+'Broadening Participation Divers'!S129+'Education Workforce Development'!S129+'Communications &amp; Disseminations'!S129+'Evaluation and Assessment '!S129+'Sustainability Plan'!S129+'Management '!S129)</f>
        <v>0</v>
      </c>
      <c r="T129" s="56">
        <f>SUM('Research Area'!T129+'Research Cyberinfrastructure'!T129+'EA &amp; Seed Funding'!T129+'Partnerships &amp; Collaborations'!T129+'Broadening Participation Divers'!T129+'Education Workforce Development'!T129+'Communications &amp; Disseminations'!T129+'Evaluation and Assessment '!T129+'Sustainability Plan'!T129+'Management '!T129)</f>
        <v>0</v>
      </c>
      <c r="U129" s="56">
        <f t="shared" si="65"/>
        <v>0</v>
      </c>
      <c r="V129" s="16"/>
      <c r="W129" s="55">
        <f>SUM('Research Area'!W129+'Research Cyberinfrastructure'!W129+'EA &amp; Seed Funding'!W129+'Partnerships &amp; Collaborations'!W129+'Broadening Participation Divers'!W129+'Education Workforce Development'!W129+'Communications &amp; Disseminations'!W129+'Evaluation and Assessment '!W129+'Sustainability Plan'!W129+'Management '!W129)</f>
        <v>0</v>
      </c>
      <c r="X129" s="56">
        <f>SUM('Research Area'!X129+'Research Cyberinfrastructure'!X129+'EA &amp; Seed Funding'!X129+'Partnerships &amp; Collaborations'!X129+'Broadening Participation Divers'!X129+'Education Workforce Development'!X129+'Communications &amp; Disseminations'!X129+'Evaluation and Assessment '!X129+'Sustainability Plan'!X129+'Management '!X129)</f>
        <v>0</v>
      </c>
      <c r="Y129" s="56">
        <f t="shared" si="66"/>
        <v>0</v>
      </c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</row>
    <row r="130" spans="1:77" x14ac:dyDescent="0.25">
      <c r="A130" s="17"/>
      <c r="B130" s="17"/>
      <c r="C130" s="124">
        <f>SUM('Research Area'!C130+'Research Cyberinfrastructure'!C130+'EA &amp; Seed Funding'!C130+'Partnerships &amp; Collaborations'!C130+'Broadening Participation Divers'!C130+'Education Workforce Development'!C130+'Communications &amp; Disseminations'!C130+'Evaluation and Assessment '!C130+'Sustainability Plan'!C130+'Management '!C130)</f>
        <v>0</v>
      </c>
      <c r="D130" s="56">
        <f>SUM('Research Area'!D130+'Research Cyberinfrastructure'!D130+'EA &amp; Seed Funding'!D130+'Partnerships &amp; Collaborations'!D130+'Broadening Participation Divers'!D130+'Education Workforce Development'!D130+'Communications &amp; Disseminations'!D130+'Evaluation and Assessment '!D130+'Sustainability Plan'!D130+'Management '!D130)</f>
        <v>0</v>
      </c>
      <c r="E130" s="56">
        <f t="shared" si="61"/>
        <v>0</v>
      </c>
      <c r="F130" s="15"/>
      <c r="G130" s="55">
        <f>SUM('Research Area'!G130+'Research Cyberinfrastructure'!G130+'EA &amp; Seed Funding'!G130+'Partnerships &amp; Collaborations'!G130+'Broadening Participation Divers'!G130+'Education Workforce Development'!G130+'Communications &amp; Disseminations'!G130+'Evaluation and Assessment '!G130+'Sustainability Plan'!G130+'Management '!G130)</f>
        <v>0</v>
      </c>
      <c r="H130" s="56">
        <f>SUM('Research Area'!H130+'Research Cyberinfrastructure'!H130+'EA &amp; Seed Funding'!H130+'Partnerships &amp; Collaborations'!H130+'Broadening Participation Divers'!H130+'Education Workforce Development'!H130+'Communications &amp; Disseminations'!H130+'Evaluation and Assessment '!H130+'Sustainability Plan'!H130+'Management '!H130)</f>
        <v>0</v>
      </c>
      <c r="I130" s="56">
        <f t="shared" si="62"/>
        <v>0</v>
      </c>
      <c r="J130" s="15"/>
      <c r="K130" s="55">
        <f>SUM('Research Area'!K130+'Research Cyberinfrastructure'!K130+'EA &amp; Seed Funding'!K130+'Partnerships &amp; Collaborations'!K130+'Broadening Participation Divers'!K130+'Education Workforce Development'!K130+'Communications &amp; Disseminations'!K130+'Evaluation and Assessment '!K130+'Sustainability Plan'!K130+'Management '!K130)</f>
        <v>0</v>
      </c>
      <c r="L130" s="56">
        <f>SUM('Research Area'!L130+'Research Cyberinfrastructure'!L130+'EA &amp; Seed Funding'!L130+'Partnerships &amp; Collaborations'!L130+'Broadening Participation Divers'!L130+'Education Workforce Development'!L130+'Communications &amp; Disseminations'!L130+'Evaluation and Assessment '!L130+'Sustainability Plan'!L130+'Management '!L130)</f>
        <v>0</v>
      </c>
      <c r="M130" s="56">
        <f t="shared" si="63"/>
        <v>0</v>
      </c>
      <c r="N130" s="15"/>
      <c r="O130" s="55">
        <f>SUM('Research Area'!O130+'Research Cyberinfrastructure'!O130+'EA &amp; Seed Funding'!O130+'Partnerships &amp; Collaborations'!O130+'Broadening Participation Divers'!O130+'Education Workforce Development'!O130+'Communications &amp; Disseminations'!O130+'Evaluation and Assessment '!O130+'Sustainability Plan'!O130+'Management '!O130)</f>
        <v>0</v>
      </c>
      <c r="P130" s="56">
        <f>SUM('Research Area'!P130+'Research Cyberinfrastructure'!P130+'EA &amp; Seed Funding'!P130+'Partnerships &amp; Collaborations'!P130+'Broadening Participation Divers'!P130+'Education Workforce Development'!P130+'Communications &amp; Disseminations'!P130+'Evaluation and Assessment '!P130+'Sustainability Plan'!P130+'Management '!P130)</f>
        <v>0</v>
      </c>
      <c r="Q130" s="56">
        <f t="shared" si="64"/>
        <v>0</v>
      </c>
      <c r="R130" s="15"/>
      <c r="S130" s="55">
        <f>SUM('Research Area'!S130+'Research Cyberinfrastructure'!S130+'EA &amp; Seed Funding'!S130+'Partnerships &amp; Collaborations'!S130+'Broadening Participation Divers'!S130+'Education Workforce Development'!S130+'Communications &amp; Disseminations'!S130+'Evaluation and Assessment '!S130+'Sustainability Plan'!S130+'Management '!S130)</f>
        <v>0</v>
      </c>
      <c r="T130" s="56">
        <f>SUM('Research Area'!T130+'Research Cyberinfrastructure'!T130+'EA &amp; Seed Funding'!T130+'Partnerships &amp; Collaborations'!T130+'Broadening Participation Divers'!T130+'Education Workforce Development'!T130+'Communications &amp; Disseminations'!T130+'Evaluation and Assessment '!T130+'Sustainability Plan'!T130+'Management '!T130)</f>
        <v>0</v>
      </c>
      <c r="U130" s="56">
        <f t="shared" si="65"/>
        <v>0</v>
      </c>
      <c r="V130" s="16"/>
      <c r="W130" s="55">
        <f>SUM('Research Area'!W130+'Research Cyberinfrastructure'!W130+'EA &amp; Seed Funding'!W130+'Partnerships &amp; Collaborations'!W130+'Broadening Participation Divers'!W130+'Education Workforce Development'!W130+'Communications &amp; Disseminations'!W130+'Evaluation and Assessment '!W130+'Sustainability Plan'!W130+'Management '!W130)</f>
        <v>0</v>
      </c>
      <c r="X130" s="56">
        <f>SUM('Research Area'!X130+'Research Cyberinfrastructure'!X130+'EA &amp; Seed Funding'!X130+'Partnerships &amp; Collaborations'!X130+'Broadening Participation Divers'!X130+'Education Workforce Development'!X130+'Communications &amp; Disseminations'!X130+'Evaluation and Assessment '!X130+'Sustainability Plan'!X130+'Management '!X130)</f>
        <v>0</v>
      </c>
      <c r="Y130" s="56">
        <f t="shared" si="66"/>
        <v>0</v>
      </c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</row>
    <row r="131" spans="1:77" x14ac:dyDescent="0.25">
      <c r="A131" s="17"/>
      <c r="B131" s="17"/>
      <c r="C131" s="124">
        <f>SUM('Research Area'!C131+'Research Cyberinfrastructure'!C131+'EA &amp; Seed Funding'!C131+'Partnerships &amp; Collaborations'!C131+'Broadening Participation Divers'!C131+'Education Workforce Development'!C131+'Communications &amp; Disseminations'!C131+'Evaluation and Assessment '!C131+'Sustainability Plan'!C131+'Management '!C131)</f>
        <v>0</v>
      </c>
      <c r="D131" s="56">
        <f>SUM('Research Area'!D131+'Research Cyberinfrastructure'!D131+'EA &amp; Seed Funding'!D131+'Partnerships &amp; Collaborations'!D131+'Broadening Participation Divers'!D131+'Education Workforce Development'!D131+'Communications &amp; Disseminations'!D131+'Evaluation and Assessment '!D131+'Sustainability Plan'!D131+'Management '!D131)</f>
        <v>0</v>
      </c>
      <c r="E131" s="56">
        <f t="shared" si="61"/>
        <v>0</v>
      </c>
      <c r="F131" s="15"/>
      <c r="G131" s="55">
        <f>SUM('Research Area'!G131+'Research Cyberinfrastructure'!G131+'EA &amp; Seed Funding'!G131+'Partnerships &amp; Collaborations'!G131+'Broadening Participation Divers'!G131+'Education Workforce Development'!G131+'Communications &amp; Disseminations'!G131+'Evaluation and Assessment '!G131+'Sustainability Plan'!G131+'Management '!G131)</f>
        <v>0</v>
      </c>
      <c r="H131" s="56">
        <f>SUM('Research Area'!H131+'Research Cyberinfrastructure'!H131+'EA &amp; Seed Funding'!H131+'Partnerships &amp; Collaborations'!H131+'Broadening Participation Divers'!H131+'Education Workforce Development'!H131+'Communications &amp; Disseminations'!H131+'Evaluation and Assessment '!H131+'Sustainability Plan'!H131+'Management '!H131)</f>
        <v>0</v>
      </c>
      <c r="I131" s="56">
        <f t="shared" si="62"/>
        <v>0</v>
      </c>
      <c r="J131" s="15"/>
      <c r="K131" s="55">
        <f>SUM('Research Area'!K131+'Research Cyberinfrastructure'!K131+'EA &amp; Seed Funding'!K131+'Partnerships &amp; Collaborations'!K131+'Broadening Participation Divers'!K131+'Education Workforce Development'!K131+'Communications &amp; Disseminations'!K131+'Evaluation and Assessment '!K131+'Sustainability Plan'!K131+'Management '!K131)</f>
        <v>0</v>
      </c>
      <c r="L131" s="56">
        <f>SUM('Research Area'!L131+'Research Cyberinfrastructure'!L131+'EA &amp; Seed Funding'!L131+'Partnerships &amp; Collaborations'!L131+'Broadening Participation Divers'!L131+'Education Workforce Development'!L131+'Communications &amp; Disseminations'!L131+'Evaluation and Assessment '!L131+'Sustainability Plan'!L131+'Management '!L131)</f>
        <v>0</v>
      </c>
      <c r="M131" s="56">
        <f t="shared" si="63"/>
        <v>0</v>
      </c>
      <c r="N131" s="15"/>
      <c r="O131" s="55">
        <f>SUM('Research Area'!O131+'Research Cyberinfrastructure'!O131+'EA &amp; Seed Funding'!O131+'Partnerships &amp; Collaborations'!O131+'Broadening Participation Divers'!O131+'Education Workforce Development'!O131+'Communications &amp; Disseminations'!O131+'Evaluation and Assessment '!O131+'Sustainability Plan'!O131+'Management '!O131)</f>
        <v>0</v>
      </c>
      <c r="P131" s="56">
        <f>SUM('Research Area'!P131+'Research Cyberinfrastructure'!P131+'EA &amp; Seed Funding'!P131+'Partnerships &amp; Collaborations'!P131+'Broadening Participation Divers'!P131+'Education Workforce Development'!P131+'Communications &amp; Disseminations'!P131+'Evaluation and Assessment '!P131+'Sustainability Plan'!P131+'Management '!P131)</f>
        <v>0</v>
      </c>
      <c r="Q131" s="56">
        <f t="shared" si="64"/>
        <v>0</v>
      </c>
      <c r="R131" s="15"/>
      <c r="S131" s="55">
        <f>SUM('Research Area'!S131+'Research Cyberinfrastructure'!S131+'EA &amp; Seed Funding'!S131+'Partnerships &amp; Collaborations'!S131+'Broadening Participation Divers'!S131+'Education Workforce Development'!S131+'Communications &amp; Disseminations'!S131+'Evaluation and Assessment '!S131+'Sustainability Plan'!S131+'Management '!S131)</f>
        <v>0</v>
      </c>
      <c r="T131" s="56">
        <f>SUM('Research Area'!T131+'Research Cyberinfrastructure'!T131+'EA &amp; Seed Funding'!T131+'Partnerships &amp; Collaborations'!T131+'Broadening Participation Divers'!T131+'Education Workforce Development'!T131+'Communications &amp; Disseminations'!T131+'Evaluation and Assessment '!T131+'Sustainability Plan'!T131+'Management '!T131)</f>
        <v>0</v>
      </c>
      <c r="U131" s="56">
        <f t="shared" si="65"/>
        <v>0</v>
      </c>
      <c r="V131" s="16"/>
      <c r="W131" s="55">
        <f>SUM('Research Area'!W131+'Research Cyberinfrastructure'!W131+'EA &amp; Seed Funding'!W131+'Partnerships &amp; Collaborations'!W131+'Broadening Participation Divers'!W131+'Education Workforce Development'!W131+'Communications &amp; Disseminations'!W131+'Evaluation and Assessment '!W131+'Sustainability Plan'!W131+'Management '!W131)</f>
        <v>0</v>
      </c>
      <c r="X131" s="56">
        <f>SUM('Research Area'!X131+'Research Cyberinfrastructure'!X131+'EA &amp; Seed Funding'!X131+'Partnerships &amp; Collaborations'!X131+'Broadening Participation Divers'!X131+'Education Workforce Development'!X131+'Communications &amp; Disseminations'!X131+'Evaluation and Assessment '!X131+'Sustainability Plan'!X131+'Management '!X131)</f>
        <v>0</v>
      </c>
      <c r="Y131" s="56">
        <f t="shared" si="66"/>
        <v>0</v>
      </c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</row>
    <row r="132" spans="1:77" x14ac:dyDescent="0.25">
      <c r="A132" s="17"/>
      <c r="B132" s="17"/>
      <c r="C132" s="124">
        <f>SUM('Research Area'!C132+'Research Cyberinfrastructure'!C132+'EA &amp; Seed Funding'!C132+'Partnerships &amp; Collaborations'!C132+'Broadening Participation Divers'!C132+'Education Workforce Development'!C132+'Communications &amp; Disseminations'!C132+'Evaluation and Assessment '!C132+'Sustainability Plan'!C132+'Management '!C132)</f>
        <v>0</v>
      </c>
      <c r="D132" s="56">
        <f>SUM('Research Area'!D132+'Research Cyberinfrastructure'!D132+'EA &amp; Seed Funding'!D132+'Partnerships &amp; Collaborations'!D132+'Broadening Participation Divers'!D132+'Education Workforce Development'!D132+'Communications &amp; Disseminations'!D132+'Evaluation and Assessment '!D132+'Sustainability Plan'!D132+'Management '!D132)</f>
        <v>0</v>
      </c>
      <c r="E132" s="56">
        <f t="shared" si="61"/>
        <v>0</v>
      </c>
      <c r="F132" s="15"/>
      <c r="G132" s="55">
        <f>SUM('Research Area'!G132+'Research Cyberinfrastructure'!G132+'EA &amp; Seed Funding'!G132+'Partnerships &amp; Collaborations'!G132+'Broadening Participation Divers'!G132+'Education Workforce Development'!G132+'Communications &amp; Disseminations'!G132+'Evaluation and Assessment '!G132+'Sustainability Plan'!G132+'Management '!G132)</f>
        <v>0</v>
      </c>
      <c r="H132" s="56">
        <f>SUM('Research Area'!H132+'Research Cyberinfrastructure'!H132+'EA &amp; Seed Funding'!H132+'Partnerships &amp; Collaborations'!H132+'Broadening Participation Divers'!H132+'Education Workforce Development'!H132+'Communications &amp; Disseminations'!H132+'Evaluation and Assessment '!H132+'Sustainability Plan'!H132+'Management '!H132)</f>
        <v>0</v>
      </c>
      <c r="I132" s="56">
        <f t="shared" si="62"/>
        <v>0</v>
      </c>
      <c r="J132" s="15"/>
      <c r="K132" s="55">
        <f>SUM('Research Area'!K132+'Research Cyberinfrastructure'!K132+'EA &amp; Seed Funding'!K132+'Partnerships &amp; Collaborations'!K132+'Broadening Participation Divers'!K132+'Education Workforce Development'!K132+'Communications &amp; Disseminations'!K132+'Evaluation and Assessment '!K132+'Sustainability Plan'!K132+'Management '!K132)</f>
        <v>0</v>
      </c>
      <c r="L132" s="56">
        <f>SUM('Research Area'!L132+'Research Cyberinfrastructure'!L132+'EA &amp; Seed Funding'!L132+'Partnerships &amp; Collaborations'!L132+'Broadening Participation Divers'!L132+'Education Workforce Development'!L132+'Communications &amp; Disseminations'!L132+'Evaluation and Assessment '!L132+'Sustainability Plan'!L132+'Management '!L132)</f>
        <v>0</v>
      </c>
      <c r="M132" s="56">
        <f t="shared" si="63"/>
        <v>0</v>
      </c>
      <c r="N132" s="15"/>
      <c r="O132" s="55">
        <f>SUM('Research Area'!O132+'Research Cyberinfrastructure'!O132+'EA &amp; Seed Funding'!O132+'Partnerships &amp; Collaborations'!O132+'Broadening Participation Divers'!O132+'Education Workforce Development'!O132+'Communications &amp; Disseminations'!O132+'Evaluation and Assessment '!O132+'Sustainability Plan'!O132+'Management '!O132)</f>
        <v>0</v>
      </c>
      <c r="P132" s="56">
        <f>SUM('Research Area'!P132+'Research Cyberinfrastructure'!P132+'EA &amp; Seed Funding'!P132+'Partnerships &amp; Collaborations'!P132+'Broadening Participation Divers'!P132+'Education Workforce Development'!P132+'Communications &amp; Disseminations'!P132+'Evaluation and Assessment '!P132+'Sustainability Plan'!P132+'Management '!P132)</f>
        <v>0</v>
      </c>
      <c r="Q132" s="56">
        <f t="shared" si="64"/>
        <v>0</v>
      </c>
      <c r="R132" s="15"/>
      <c r="S132" s="55">
        <f>SUM('Research Area'!S132+'Research Cyberinfrastructure'!S132+'EA &amp; Seed Funding'!S132+'Partnerships &amp; Collaborations'!S132+'Broadening Participation Divers'!S132+'Education Workforce Development'!S132+'Communications &amp; Disseminations'!S132+'Evaluation and Assessment '!S132+'Sustainability Plan'!S132+'Management '!S132)</f>
        <v>0</v>
      </c>
      <c r="T132" s="56">
        <f>SUM('Research Area'!T132+'Research Cyberinfrastructure'!T132+'EA &amp; Seed Funding'!T132+'Partnerships &amp; Collaborations'!T132+'Broadening Participation Divers'!T132+'Education Workforce Development'!T132+'Communications &amp; Disseminations'!T132+'Evaluation and Assessment '!T132+'Sustainability Plan'!T132+'Management '!T132)</f>
        <v>0</v>
      </c>
      <c r="U132" s="56">
        <f t="shared" si="65"/>
        <v>0</v>
      </c>
      <c r="V132" s="16"/>
      <c r="W132" s="55">
        <f>SUM('Research Area'!W132+'Research Cyberinfrastructure'!W132+'EA &amp; Seed Funding'!W132+'Partnerships &amp; Collaborations'!W132+'Broadening Participation Divers'!W132+'Education Workforce Development'!W132+'Communications &amp; Disseminations'!W132+'Evaluation and Assessment '!W132+'Sustainability Plan'!W132+'Management '!W132)</f>
        <v>0</v>
      </c>
      <c r="X132" s="56">
        <f>SUM('Research Area'!X132+'Research Cyberinfrastructure'!X132+'EA &amp; Seed Funding'!X132+'Partnerships &amp; Collaborations'!X132+'Broadening Participation Divers'!X132+'Education Workforce Development'!X132+'Communications &amp; Disseminations'!X132+'Evaluation and Assessment '!X132+'Sustainability Plan'!X132+'Management '!X132)</f>
        <v>0</v>
      </c>
      <c r="Y132" s="56">
        <f t="shared" si="66"/>
        <v>0</v>
      </c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</row>
    <row r="133" spans="1:77" x14ac:dyDescent="0.25">
      <c r="A133" s="17"/>
      <c r="B133" s="17"/>
      <c r="C133" s="124">
        <f>SUM('Research Area'!C133+'Research Cyberinfrastructure'!C133+'EA &amp; Seed Funding'!C133+'Partnerships &amp; Collaborations'!C133+'Broadening Participation Divers'!C133+'Education Workforce Development'!C133+'Communications &amp; Disseminations'!C133+'Evaluation and Assessment '!C133+'Sustainability Plan'!C133+'Management '!C133)</f>
        <v>0</v>
      </c>
      <c r="D133" s="56">
        <f>SUM('Research Area'!D133+'Research Cyberinfrastructure'!D133+'EA &amp; Seed Funding'!D133+'Partnerships &amp; Collaborations'!D133+'Broadening Participation Divers'!D133+'Education Workforce Development'!D133+'Communications &amp; Disseminations'!D133+'Evaluation and Assessment '!D133+'Sustainability Plan'!D133+'Management '!D133)</f>
        <v>0</v>
      </c>
      <c r="E133" s="56">
        <f t="shared" si="61"/>
        <v>0</v>
      </c>
      <c r="F133" s="15"/>
      <c r="G133" s="55">
        <f>SUM('Research Area'!G133+'Research Cyberinfrastructure'!G133+'EA &amp; Seed Funding'!G133+'Partnerships &amp; Collaborations'!G133+'Broadening Participation Divers'!G133+'Education Workforce Development'!G133+'Communications &amp; Disseminations'!G133+'Evaluation and Assessment '!G133+'Sustainability Plan'!G133+'Management '!G133)</f>
        <v>0</v>
      </c>
      <c r="H133" s="56">
        <f>SUM('Research Area'!H133+'Research Cyberinfrastructure'!H133+'EA &amp; Seed Funding'!H133+'Partnerships &amp; Collaborations'!H133+'Broadening Participation Divers'!H133+'Education Workforce Development'!H133+'Communications &amp; Disseminations'!H133+'Evaluation and Assessment '!H133+'Sustainability Plan'!H133+'Management '!H133)</f>
        <v>0</v>
      </c>
      <c r="I133" s="56">
        <f t="shared" si="62"/>
        <v>0</v>
      </c>
      <c r="J133" s="15"/>
      <c r="K133" s="55">
        <f>SUM('Research Area'!K133+'Research Cyberinfrastructure'!K133+'EA &amp; Seed Funding'!K133+'Partnerships &amp; Collaborations'!K133+'Broadening Participation Divers'!K133+'Education Workforce Development'!K133+'Communications &amp; Disseminations'!K133+'Evaluation and Assessment '!K133+'Sustainability Plan'!K133+'Management '!K133)</f>
        <v>0</v>
      </c>
      <c r="L133" s="56">
        <f>SUM('Research Area'!L133+'Research Cyberinfrastructure'!L133+'EA &amp; Seed Funding'!L133+'Partnerships &amp; Collaborations'!L133+'Broadening Participation Divers'!L133+'Education Workforce Development'!L133+'Communications &amp; Disseminations'!L133+'Evaluation and Assessment '!L133+'Sustainability Plan'!L133+'Management '!L133)</f>
        <v>0</v>
      </c>
      <c r="M133" s="56">
        <f t="shared" si="63"/>
        <v>0</v>
      </c>
      <c r="N133" s="15"/>
      <c r="O133" s="55">
        <f>SUM('Research Area'!O133+'Research Cyberinfrastructure'!O133+'EA &amp; Seed Funding'!O133+'Partnerships &amp; Collaborations'!O133+'Broadening Participation Divers'!O133+'Education Workforce Development'!O133+'Communications &amp; Disseminations'!O133+'Evaluation and Assessment '!O133+'Sustainability Plan'!O133+'Management '!O133)</f>
        <v>0</v>
      </c>
      <c r="P133" s="56">
        <f>SUM('Research Area'!P133+'Research Cyberinfrastructure'!P133+'EA &amp; Seed Funding'!P133+'Partnerships &amp; Collaborations'!P133+'Broadening Participation Divers'!P133+'Education Workforce Development'!P133+'Communications &amp; Disseminations'!P133+'Evaluation and Assessment '!P133+'Sustainability Plan'!P133+'Management '!P133)</f>
        <v>0</v>
      </c>
      <c r="Q133" s="56">
        <f t="shared" si="64"/>
        <v>0</v>
      </c>
      <c r="R133" s="15"/>
      <c r="S133" s="55">
        <f>SUM('Research Area'!S133+'Research Cyberinfrastructure'!S133+'EA &amp; Seed Funding'!S133+'Partnerships &amp; Collaborations'!S133+'Broadening Participation Divers'!S133+'Education Workforce Development'!S133+'Communications &amp; Disseminations'!S133+'Evaluation and Assessment '!S133+'Sustainability Plan'!S133+'Management '!S133)</f>
        <v>0</v>
      </c>
      <c r="T133" s="56">
        <f>SUM('Research Area'!T133+'Research Cyberinfrastructure'!T133+'EA &amp; Seed Funding'!T133+'Partnerships &amp; Collaborations'!T133+'Broadening Participation Divers'!T133+'Education Workforce Development'!T133+'Communications &amp; Disseminations'!T133+'Evaluation and Assessment '!T133+'Sustainability Plan'!T133+'Management '!T133)</f>
        <v>0</v>
      </c>
      <c r="U133" s="56">
        <f t="shared" si="65"/>
        <v>0</v>
      </c>
      <c r="V133" s="16"/>
      <c r="W133" s="55">
        <f>SUM('Research Area'!W133+'Research Cyberinfrastructure'!W133+'EA &amp; Seed Funding'!W133+'Partnerships &amp; Collaborations'!W133+'Broadening Participation Divers'!W133+'Education Workforce Development'!W133+'Communications &amp; Disseminations'!W133+'Evaluation and Assessment '!W133+'Sustainability Plan'!W133+'Management '!W133)</f>
        <v>0</v>
      </c>
      <c r="X133" s="56">
        <f>SUM('Research Area'!X133+'Research Cyberinfrastructure'!X133+'EA &amp; Seed Funding'!X133+'Partnerships &amp; Collaborations'!X133+'Broadening Participation Divers'!X133+'Education Workforce Development'!X133+'Communications &amp; Disseminations'!X133+'Evaluation and Assessment '!X133+'Sustainability Plan'!X133+'Management '!X133)</f>
        <v>0</v>
      </c>
      <c r="Y133" s="56">
        <f t="shared" si="66"/>
        <v>0</v>
      </c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</row>
    <row r="134" spans="1:77" x14ac:dyDescent="0.25">
      <c r="A134" s="17"/>
      <c r="B134" s="17"/>
      <c r="C134" s="124">
        <f>SUM('Research Area'!C134+'Research Cyberinfrastructure'!C134+'EA &amp; Seed Funding'!C134+'Partnerships &amp; Collaborations'!C134+'Broadening Participation Divers'!C134+'Education Workforce Development'!C134+'Communications &amp; Disseminations'!C134+'Evaluation and Assessment '!C134+'Sustainability Plan'!C134+'Management '!C134)</f>
        <v>0</v>
      </c>
      <c r="D134" s="56">
        <f>SUM('Research Area'!D134+'Research Cyberinfrastructure'!D134+'EA &amp; Seed Funding'!D134+'Partnerships &amp; Collaborations'!D134+'Broadening Participation Divers'!D134+'Education Workforce Development'!D134+'Communications &amp; Disseminations'!D134+'Evaluation and Assessment '!D134+'Sustainability Plan'!D134+'Management '!D134)</f>
        <v>0</v>
      </c>
      <c r="E134" s="56">
        <f t="shared" si="61"/>
        <v>0</v>
      </c>
      <c r="F134" s="15"/>
      <c r="G134" s="55">
        <f>SUM('Research Area'!G134+'Research Cyberinfrastructure'!G134+'EA &amp; Seed Funding'!G134+'Partnerships &amp; Collaborations'!G134+'Broadening Participation Divers'!G134+'Education Workforce Development'!G134+'Communications &amp; Disseminations'!G134+'Evaluation and Assessment '!G134+'Sustainability Plan'!G134+'Management '!G134)</f>
        <v>0</v>
      </c>
      <c r="H134" s="56">
        <f>SUM('Research Area'!H134+'Research Cyberinfrastructure'!H134+'EA &amp; Seed Funding'!H134+'Partnerships &amp; Collaborations'!H134+'Broadening Participation Divers'!H134+'Education Workforce Development'!H134+'Communications &amp; Disseminations'!H134+'Evaluation and Assessment '!H134+'Sustainability Plan'!H134+'Management '!H134)</f>
        <v>0</v>
      </c>
      <c r="I134" s="56">
        <f t="shared" si="62"/>
        <v>0</v>
      </c>
      <c r="J134" s="15"/>
      <c r="K134" s="55">
        <f>SUM('Research Area'!K134+'Research Cyberinfrastructure'!K134+'EA &amp; Seed Funding'!K134+'Partnerships &amp; Collaborations'!K134+'Broadening Participation Divers'!K134+'Education Workforce Development'!K134+'Communications &amp; Disseminations'!K134+'Evaluation and Assessment '!K134+'Sustainability Plan'!K134+'Management '!K134)</f>
        <v>0</v>
      </c>
      <c r="L134" s="56">
        <f>SUM('Research Area'!L134+'Research Cyberinfrastructure'!L134+'EA &amp; Seed Funding'!L134+'Partnerships &amp; Collaborations'!L134+'Broadening Participation Divers'!L134+'Education Workforce Development'!L134+'Communications &amp; Disseminations'!L134+'Evaluation and Assessment '!L134+'Sustainability Plan'!L134+'Management '!L134)</f>
        <v>0</v>
      </c>
      <c r="M134" s="56">
        <f t="shared" si="63"/>
        <v>0</v>
      </c>
      <c r="N134" s="15"/>
      <c r="O134" s="55">
        <f>SUM('Research Area'!O134+'Research Cyberinfrastructure'!O134+'EA &amp; Seed Funding'!O134+'Partnerships &amp; Collaborations'!O134+'Broadening Participation Divers'!O134+'Education Workforce Development'!O134+'Communications &amp; Disseminations'!O134+'Evaluation and Assessment '!O134+'Sustainability Plan'!O134+'Management '!O134)</f>
        <v>0</v>
      </c>
      <c r="P134" s="56">
        <f>SUM('Research Area'!P134+'Research Cyberinfrastructure'!P134+'EA &amp; Seed Funding'!P134+'Partnerships &amp; Collaborations'!P134+'Broadening Participation Divers'!P134+'Education Workforce Development'!P134+'Communications &amp; Disseminations'!P134+'Evaluation and Assessment '!P134+'Sustainability Plan'!P134+'Management '!P134)</f>
        <v>0</v>
      </c>
      <c r="Q134" s="56">
        <f t="shared" si="64"/>
        <v>0</v>
      </c>
      <c r="R134" s="15"/>
      <c r="S134" s="55">
        <f>SUM('Research Area'!S134+'Research Cyberinfrastructure'!S134+'EA &amp; Seed Funding'!S134+'Partnerships &amp; Collaborations'!S134+'Broadening Participation Divers'!S134+'Education Workforce Development'!S134+'Communications &amp; Disseminations'!S134+'Evaluation and Assessment '!S134+'Sustainability Plan'!S134+'Management '!S134)</f>
        <v>0</v>
      </c>
      <c r="T134" s="56">
        <f>SUM('Research Area'!T134+'Research Cyberinfrastructure'!T134+'EA &amp; Seed Funding'!T134+'Partnerships &amp; Collaborations'!T134+'Broadening Participation Divers'!T134+'Education Workforce Development'!T134+'Communications &amp; Disseminations'!T134+'Evaluation and Assessment '!T134+'Sustainability Plan'!T134+'Management '!T134)</f>
        <v>0</v>
      </c>
      <c r="U134" s="56">
        <f t="shared" si="65"/>
        <v>0</v>
      </c>
      <c r="V134" s="16"/>
      <c r="W134" s="55">
        <f>SUM('Research Area'!W134+'Research Cyberinfrastructure'!W134+'EA &amp; Seed Funding'!W134+'Partnerships &amp; Collaborations'!W134+'Broadening Participation Divers'!W134+'Education Workforce Development'!W134+'Communications &amp; Disseminations'!W134+'Evaluation and Assessment '!W134+'Sustainability Plan'!W134+'Management '!W134)</f>
        <v>0</v>
      </c>
      <c r="X134" s="56">
        <f>SUM('Research Area'!X134+'Research Cyberinfrastructure'!X134+'EA &amp; Seed Funding'!X134+'Partnerships &amp; Collaborations'!X134+'Broadening Participation Divers'!X134+'Education Workforce Development'!X134+'Communications &amp; Disseminations'!X134+'Evaluation and Assessment '!X134+'Sustainability Plan'!X134+'Management '!X134)</f>
        <v>0</v>
      </c>
      <c r="Y134" s="56">
        <f t="shared" si="66"/>
        <v>0</v>
      </c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</row>
    <row r="135" spans="1:77" x14ac:dyDescent="0.25">
      <c r="A135" s="17"/>
      <c r="B135" s="17"/>
      <c r="C135" s="124">
        <f>SUM('Research Area'!C135+'Research Cyberinfrastructure'!C135+'EA &amp; Seed Funding'!C135+'Partnerships &amp; Collaborations'!C135+'Broadening Participation Divers'!C135+'Education Workforce Development'!C135+'Communications &amp; Disseminations'!C135+'Evaluation and Assessment '!C135+'Sustainability Plan'!C135+'Management '!C135)</f>
        <v>0</v>
      </c>
      <c r="D135" s="56">
        <f>SUM('Research Area'!D135+'Research Cyberinfrastructure'!D135+'EA &amp; Seed Funding'!D135+'Partnerships &amp; Collaborations'!D135+'Broadening Participation Divers'!D135+'Education Workforce Development'!D135+'Communications &amp; Disseminations'!D135+'Evaluation and Assessment '!D135+'Sustainability Plan'!D135+'Management '!D135)</f>
        <v>0</v>
      </c>
      <c r="E135" s="56">
        <f t="shared" si="61"/>
        <v>0</v>
      </c>
      <c r="F135" s="15"/>
      <c r="G135" s="55">
        <f>SUM('Research Area'!G135+'Research Cyberinfrastructure'!G135+'EA &amp; Seed Funding'!G135+'Partnerships &amp; Collaborations'!G135+'Broadening Participation Divers'!G135+'Education Workforce Development'!G135+'Communications &amp; Disseminations'!G135+'Evaluation and Assessment '!G135+'Sustainability Plan'!G135+'Management '!G135)</f>
        <v>0</v>
      </c>
      <c r="H135" s="56">
        <f>SUM('Research Area'!H135+'Research Cyberinfrastructure'!H135+'EA &amp; Seed Funding'!H135+'Partnerships &amp; Collaborations'!H135+'Broadening Participation Divers'!H135+'Education Workforce Development'!H135+'Communications &amp; Disseminations'!H135+'Evaluation and Assessment '!H135+'Sustainability Plan'!H135+'Management '!H135)</f>
        <v>0</v>
      </c>
      <c r="I135" s="56">
        <f t="shared" si="62"/>
        <v>0</v>
      </c>
      <c r="J135" s="15"/>
      <c r="K135" s="55">
        <f>SUM('Research Area'!K135+'Research Cyberinfrastructure'!K135+'EA &amp; Seed Funding'!K135+'Partnerships &amp; Collaborations'!K135+'Broadening Participation Divers'!K135+'Education Workforce Development'!K135+'Communications &amp; Disseminations'!K135+'Evaluation and Assessment '!K135+'Sustainability Plan'!K135+'Management '!K135)</f>
        <v>0</v>
      </c>
      <c r="L135" s="56">
        <f>SUM('Research Area'!L135+'Research Cyberinfrastructure'!L135+'EA &amp; Seed Funding'!L135+'Partnerships &amp; Collaborations'!L135+'Broadening Participation Divers'!L135+'Education Workforce Development'!L135+'Communications &amp; Disseminations'!L135+'Evaluation and Assessment '!L135+'Sustainability Plan'!L135+'Management '!L135)</f>
        <v>0</v>
      </c>
      <c r="M135" s="56">
        <f t="shared" si="63"/>
        <v>0</v>
      </c>
      <c r="N135" s="15"/>
      <c r="O135" s="55">
        <f>SUM('Research Area'!O135+'Research Cyberinfrastructure'!O135+'EA &amp; Seed Funding'!O135+'Partnerships &amp; Collaborations'!O135+'Broadening Participation Divers'!O135+'Education Workforce Development'!O135+'Communications &amp; Disseminations'!O135+'Evaluation and Assessment '!O135+'Sustainability Plan'!O135+'Management '!O135)</f>
        <v>0</v>
      </c>
      <c r="P135" s="56">
        <f>SUM('Research Area'!P135+'Research Cyberinfrastructure'!P135+'EA &amp; Seed Funding'!P135+'Partnerships &amp; Collaborations'!P135+'Broadening Participation Divers'!P135+'Education Workforce Development'!P135+'Communications &amp; Disseminations'!P135+'Evaluation and Assessment '!P135+'Sustainability Plan'!P135+'Management '!P135)</f>
        <v>0</v>
      </c>
      <c r="Q135" s="56">
        <f t="shared" si="64"/>
        <v>0</v>
      </c>
      <c r="R135" s="15"/>
      <c r="S135" s="55">
        <f>SUM('Research Area'!S135+'Research Cyberinfrastructure'!S135+'EA &amp; Seed Funding'!S135+'Partnerships &amp; Collaborations'!S135+'Broadening Participation Divers'!S135+'Education Workforce Development'!S135+'Communications &amp; Disseminations'!S135+'Evaluation and Assessment '!S135+'Sustainability Plan'!S135+'Management '!S135)</f>
        <v>0</v>
      </c>
      <c r="T135" s="56">
        <f>SUM('Research Area'!T135+'Research Cyberinfrastructure'!T135+'EA &amp; Seed Funding'!T135+'Partnerships &amp; Collaborations'!T135+'Broadening Participation Divers'!T135+'Education Workforce Development'!T135+'Communications &amp; Disseminations'!T135+'Evaluation and Assessment '!T135+'Sustainability Plan'!T135+'Management '!T135)</f>
        <v>0</v>
      </c>
      <c r="U135" s="56">
        <f t="shared" si="65"/>
        <v>0</v>
      </c>
      <c r="V135" s="16"/>
      <c r="W135" s="55">
        <f>SUM('Research Area'!W135+'Research Cyberinfrastructure'!W135+'EA &amp; Seed Funding'!W135+'Partnerships &amp; Collaborations'!W135+'Broadening Participation Divers'!W135+'Education Workforce Development'!W135+'Communications &amp; Disseminations'!W135+'Evaluation and Assessment '!W135+'Sustainability Plan'!W135+'Management '!W135)</f>
        <v>0</v>
      </c>
      <c r="X135" s="56">
        <f>SUM('Research Area'!X135+'Research Cyberinfrastructure'!X135+'EA &amp; Seed Funding'!X135+'Partnerships &amp; Collaborations'!X135+'Broadening Participation Divers'!X135+'Education Workforce Development'!X135+'Communications &amp; Disseminations'!X135+'Evaluation and Assessment '!X135+'Sustainability Plan'!X135+'Management '!X135)</f>
        <v>0</v>
      </c>
      <c r="Y135" s="56">
        <f t="shared" si="66"/>
        <v>0</v>
      </c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</row>
    <row r="136" spans="1:77" x14ac:dyDescent="0.25">
      <c r="A136" s="17"/>
      <c r="B136" s="17"/>
      <c r="C136" s="124">
        <f>SUM('Research Area'!C136+'Research Cyberinfrastructure'!C136+'EA &amp; Seed Funding'!C136+'Partnerships &amp; Collaborations'!C136+'Broadening Participation Divers'!C136+'Education Workforce Development'!C136+'Communications &amp; Disseminations'!C136+'Evaluation and Assessment '!C136+'Sustainability Plan'!C136+'Management '!C136)</f>
        <v>0</v>
      </c>
      <c r="D136" s="56">
        <f>SUM('Research Area'!D136+'Research Cyberinfrastructure'!D136+'EA &amp; Seed Funding'!D136+'Partnerships &amp; Collaborations'!D136+'Broadening Participation Divers'!D136+'Education Workforce Development'!D136+'Communications &amp; Disseminations'!D136+'Evaluation and Assessment '!D136+'Sustainability Plan'!D136+'Management '!D136)</f>
        <v>0</v>
      </c>
      <c r="E136" s="56">
        <f t="shared" si="61"/>
        <v>0</v>
      </c>
      <c r="F136" s="15"/>
      <c r="G136" s="55">
        <f>SUM('Research Area'!G136+'Research Cyberinfrastructure'!G136+'EA &amp; Seed Funding'!G136+'Partnerships &amp; Collaborations'!G136+'Broadening Participation Divers'!G136+'Education Workforce Development'!G136+'Communications &amp; Disseminations'!G136+'Evaluation and Assessment '!G136+'Sustainability Plan'!G136+'Management '!G136)</f>
        <v>0</v>
      </c>
      <c r="H136" s="56">
        <f>SUM('Research Area'!H136+'Research Cyberinfrastructure'!H136+'EA &amp; Seed Funding'!H136+'Partnerships &amp; Collaborations'!H136+'Broadening Participation Divers'!H136+'Education Workforce Development'!H136+'Communications &amp; Disseminations'!H136+'Evaluation and Assessment '!H136+'Sustainability Plan'!H136+'Management '!H136)</f>
        <v>0</v>
      </c>
      <c r="I136" s="56">
        <f t="shared" si="62"/>
        <v>0</v>
      </c>
      <c r="J136" s="15"/>
      <c r="K136" s="55">
        <f>SUM('Research Area'!K136+'Research Cyberinfrastructure'!K136+'EA &amp; Seed Funding'!K136+'Partnerships &amp; Collaborations'!K136+'Broadening Participation Divers'!K136+'Education Workforce Development'!K136+'Communications &amp; Disseminations'!K136+'Evaluation and Assessment '!K136+'Sustainability Plan'!K136+'Management '!K136)</f>
        <v>0</v>
      </c>
      <c r="L136" s="56">
        <f>SUM('Research Area'!L136+'Research Cyberinfrastructure'!L136+'EA &amp; Seed Funding'!L136+'Partnerships &amp; Collaborations'!L136+'Broadening Participation Divers'!L136+'Education Workforce Development'!L136+'Communications &amp; Disseminations'!L136+'Evaluation and Assessment '!L136+'Sustainability Plan'!L136+'Management '!L136)</f>
        <v>0</v>
      </c>
      <c r="M136" s="56">
        <f t="shared" si="63"/>
        <v>0</v>
      </c>
      <c r="N136" s="15"/>
      <c r="O136" s="55">
        <f>SUM('Research Area'!O136+'Research Cyberinfrastructure'!O136+'EA &amp; Seed Funding'!O136+'Partnerships &amp; Collaborations'!O136+'Broadening Participation Divers'!O136+'Education Workforce Development'!O136+'Communications &amp; Disseminations'!O136+'Evaluation and Assessment '!O136+'Sustainability Plan'!O136+'Management '!O136)</f>
        <v>0</v>
      </c>
      <c r="P136" s="56">
        <f>SUM('Research Area'!P136+'Research Cyberinfrastructure'!P136+'EA &amp; Seed Funding'!P136+'Partnerships &amp; Collaborations'!P136+'Broadening Participation Divers'!P136+'Education Workforce Development'!P136+'Communications &amp; Disseminations'!P136+'Evaluation and Assessment '!P136+'Sustainability Plan'!P136+'Management '!P136)</f>
        <v>0</v>
      </c>
      <c r="Q136" s="56">
        <f t="shared" si="64"/>
        <v>0</v>
      </c>
      <c r="R136" s="15"/>
      <c r="S136" s="55">
        <f>SUM('Research Area'!S136+'Research Cyberinfrastructure'!S136+'EA &amp; Seed Funding'!S136+'Partnerships &amp; Collaborations'!S136+'Broadening Participation Divers'!S136+'Education Workforce Development'!S136+'Communications &amp; Disseminations'!S136+'Evaluation and Assessment '!S136+'Sustainability Plan'!S136+'Management '!S136)</f>
        <v>0</v>
      </c>
      <c r="T136" s="56">
        <f>SUM('Research Area'!T136+'Research Cyberinfrastructure'!T136+'EA &amp; Seed Funding'!T136+'Partnerships &amp; Collaborations'!T136+'Broadening Participation Divers'!T136+'Education Workforce Development'!T136+'Communications &amp; Disseminations'!T136+'Evaluation and Assessment '!T136+'Sustainability Plan'!T136+'Management '!T136)</f>
        <v>0</v>
      </c>
      <c r="U136" s="56">
        <f t="shared" si="65"/>
        <v>0</v>
      </c>
      <c r="V136" s="16"/>
      <c r="W136" s="55">
        <f>SUM('Research Area'!W136+'Research Cyberinfrastructure'!W136+'EA &amp; Seed Funding'!W136+'Partnerships &amp; Collaborations'!W136+'Broadening Participation Divers'!W136+'Education Workforce Development'!W136+'Communications &amp; Disseminations'!W136+'Evaluation and Assessment '!W136+'Sustainability Plan'!W136+'Management '!W136)</f>
        <v>0</v>
      </c>
      <c r="X136" s="56">
        <f>SUM('Research Area'!X136+'Research Cyberinfrastructure'!X136+'EA &amp; Seed Funding'!X136+'Partnerships &amp; Collaborations'!X136+'Broadening Participation Divers'!X136+'Education Workforce Development'!X136+'Communications &amp; Disseminations'!X136+'Evaluation and Assessment '!X136+'Sustainability Plan'!X136+'Management '!X136)</f>
        <v>0</v>
      </c>
      <c r="Y136" s="56">
        <f t="shared" si="66"/>
        <v>0</v>
      </c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</row>
    <row r="137" spans="1:77" x14ac:dyDescent="0.25">
      <c r="A137" s="17"/>
      <c r="B137" s="17"/>
      <c r="C137" s="124">
        <f>SUM('Research Area'!C137+'Research Cyberinfrastructure'!C137+'EA &amp; Seed Funding'!C137+'Partnerships &amp; Collaborations'!C137+'Broadening Participation Divers'!C137+'Education Workforce Development'!C137+'Communications &amp; Disseminations'!C137+'Evaluation and Assessment '!C137+'Sustainability Plan'!C137+'Management '!C137)</f>
        <v>0</v>
      </c>
      <c r="D137" s="56">
        <f>SUM('Research Area'!D137+'Research Cyberinfrastructure'!D137+'EA &amp; Seed Funding'!D137+'Partnerships &amp; Collaborations'!D137+'Broadening Participation Divers'!D137+'Education Workforce Development'!D137+'Communications &amp; Disseminations'!D137+'Evaluation and Assessment '!D137+'Sustainability Plan'!D137+'Management '!D137)</f>
        <v>0</v>
      </c>
      <c r="E137" s="56">
        <f t="shared" si="61"/>
        <v>0</v>
      </c>
      <c r="F137" s="15"/>
      <c r="G137" s="55">
        <f>SUM('Research Area'!G137+'Research Cyberinfrastructure'!G137+'EA &amp; Seed Funding'!G137+'Partnerships &amp; Collaborations'!G137+'Broadening Participation Divers'!G137+'Education Workforce Development'!G137+'Communications &amp; Disseminations'!G137+'Evaluation and Assessment '!G137+'Sustainability Plan'!G137+'Management '!G137)</f>
        <v>0</v>
      </c>
      <c r="H137" s="56">
        <f>SUM('Research Area'!H137+'Research Cyberinfrastructure'!H137+'EA &amp; Seed Funding'!H137+'Partnerships &amp; Collaborations'!H137+'Broadening Participation Divers'!H137+'Education Workforce Development'!H137+'Communications &amp; Disseminations'!H137+'Evaluation and Assessment '!H137+'Sustainability Plan'!H137+'Management '!H137)</f>
        <v>0</v>
      </c>
      <c r="I137" s="56">
        <f t="shared" si="62"/>
        <v>0</v>
      </c>
      <c r="J137" s="15"/>
      <c r="K137" s="55">
        <f>SUM('Research Area'!K137+'Research Cyberinfrastructure'!K137+'EA &amp; Seed Funding'!K137+'Partnerships &amp; Collaborations'!K137+'Broadening Participation Divers'!K137+'Education Workforce Development'!K137+'Communications &amp; Disseminations'!K137+'Evaluation and Assessment '!K137+'Sustainability Plan'!K137+'Management '!K137)</f>
        <v>0</v>
      </c>
      <c r="L137" s="56">
        <f>SUM('Research Area'!L137+'Research Cyberinfrastructure'!L137+'EA &amp; Seed Funding'!L137+'Partnerships &amp; Collaborations'!L137+'Broadening Participation Divers'!L137+'Education Workforce Development'!L137+'Communications &amp; Disseminations'!L137+'Evaluation and Assessment '!L137+'Sustainability Plan'!L137+'Management '!L137)</f>
        <v>0</v>
      </c>
      <c r="M137" s="56">
        <f t="shared" si="63"/>
        <v>0</v>
      </c>
      <c r="N137" s="15"/>
      <c r="O137" s="55">
        <f>SUM('Research Area'!O137+'Research Cyberinfrastructure'!O137+'EA &amp; Seed Funding'!O137+'Partnerships &amp; Collaborations'!O137+'Broadening Participation Divers'!O137+'Education Workforce Development'!O137+'Communications &amp; Disseminations'!O137+'Evaluation and Assessment '!O137+'Sustainability Plan'!O137+'Management '!O137)</f>
        <v>0</v>
      </c>
      <c r="P137" s="56">
        <f>SUM('Research Area'!P137+'Research Cyberinfrastructure'!P137+'EA &amp; Seed Funding'!P137+'Partnerships &amp; Collaborations'!P137+'Broadening Participation Divers'!P137+'Education Workforce Development'!P137+'Communications &amp; Disseminations'!P137+'Evaluation and Assessment '!P137+'Sustainability Plan'!P137+'Management '!P137)</f>
        <v>0</v>
      </c>
      <c r="Q137" s="56">
        <f t="shared" si="64"/>
        <v>0</v>
      </c>
      <c r="R137" s="15"/>
      <c r="S137" s="55">
        <f>SUM('Research Area'!S137+'Research Cyberinfrastructure'!S137+'EA &amp; Seed Funding'!S137+'Partnerships &amp; Collaborations'!S137+'Broadening Participation Divers'!S137+'Education Workforce Development'!S137+'Communications &amp; Disseminations'!S137+'Evaluation and Assessment '!S137+'Sustainability Plan'!S137+'Management '!S137)</f>
        <v>0</v>
      </c>
      <c r="T137" s="56">
        <f>SUM('Research Area'!T137+'Research Cyberinfrastructure'!T137+'EA &amp; Seed Funding'!T137+'Partnerships &amp; Collaborations'!T137+'Broadening Participation Divers'!T137+'Education Workforce Development'!T137+'Communications &amp; Disseminations'!T137+'Evaluation and Assessment '!T137+'Sustainability Plan'!T137+'Management '!T137)</f>
        <v>0</v>
      </c>
      <c r="U137" s="56">
        <f t="shared" si="65"/>
        <v>0</v>
      </c>
      <c r="V137" s="16"/>
      <c r="W137" s="55">
        <f>SUM('Research Area'!W137+'Research Cyberinfrastructure'!W137+'EA &amp; Seed Funding'!W137+'Partnerships &amp; Collaborations'!W137+'Broadening Participation Divers'!W137+'Education Workforce Development'!W137+'Communications &amp; Disseminations'!W137+'Evaluation and Assessment '!W137+'Sustainability Plan'!W137+'Management '!W137)</f>
        <v>0</v>
      </c>
      <c r="X137" s="56">
        <f>SUM('Research Area'!X137+'Research Cyberinfrastructure'!X137+'EA &amp; Seed Funding'!X137+'Partnerships &amp; Collaborations'!X137+'Broadening Participation Divers'!X137+'Education Workforce Development'!X137+'Communications &amp; Disseminations'!X137+'Evaluation and Assessment '!X137+'Sustainability Plan'!X137+'Management '!X137)</f>
        <v>0</v>
      </c>
      <c r="Y137" s="56">
        <f t="shared" si="66"/>
        <v>0</v>
      </c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</row>
    <row r="138" spans="1:77" x14ac:dyDescent="0.25">
      <c r="A138" s="17"/>
      <c r="B138" s="17"/>
      <c r="C138" s="124">
        <f>SUM('Research Area'!C138+'Research Cyberinfrastructure'!C138+'EA &amp; Seed Funding'!C138+'Partnerships &amp; Collaborations'!C138+'Broadening Participation Divers'!C138+'Education Workforce Development'!C138+'Communications &amp; Disseminations'!C138+'Evaluation and Assessment '!C138+'Sustainability Plan'!C138+'Management '!C138)</f>
        <v>0</v>
      </c>
      <c r="D138" s="56">
        <f>SUM('Research Area'!D138+'Research Cyberinfrastructure'!D138+'EA &amp; Seed Funding'!D138+'Partnerships &amp; Collaborations'!D138+'Broadening Participation Divers'!D138+'Education Workforce Development'!D138+'Communications &amp; Disseminations'!D138+'Evaluation and Assessment '!D138+'Sustainability Plan'!D138+'Management '!D138)</f>
        <v>0</v>
      </c>
      <c r="E138" s="56">
        <f t="shared" si="61"/>
        <v>0</v>
      </c>
      <c r="F138" s="15"/>
      <c r="G138" s="55">
        <f>SUM('Research Area'!G138+'Research Cyberinfrastructure'!G138+'EA &amp; Seed Funding'!G138+'Partnerships &amp; Collaborations'!G138+'Broadening Participation Divers'!G138+'Education Workforce Development'!G138+'Communications &amp; Disseminations'!G138+'Evaluation and Assessment '!G138+'Sustainability Plan'!G138+'Management '!G138)</f>
        <v>0</v>
      </c>
      <c r="H138" s="56">
        <f>SUM('Research Area'!H138+'Research Cyberinfrastructure'!H138+'EA &amp; Seed Funding'!H138+'Partnerships &amp; Collaborations'!H138+'Broadening Participation Divers'!H138+'Education Workforce Development'!H138+'Communications &amp; Disseminations'!H138+'Evaluation and Assessment '!H138+'Sustainability Plan'!H138+'Management '!H138)</f>
        <v>0</v>
      </c>
      <c r="I138" s="56">
        <f t="shared" si="62"/>
        <v>0</v>
      </c>
      <c r="J138" s="15"/>
      <c r="K138" s="55">
        <f>SUM('Research Area'!K138+'Research Cyberinfrastructure'!K138+'EA &amp; Seed Funding'!K138+'Partnerships &amp; Collaborations'!K138+'Broadening Participation Divers'!K138+'Education Workforce Development'!K138+'Communications &amp; Disseminations'!K138+'Evaluation and Assessment '!K138+'Sustainability Plan'!K138+'Management '!K138)</f>
        <v>0</v>
      </c>
      <c r="L138" s="56">
        <f>SUM('Research Area'!L138+'Research Cyberinfrastructure'!L138+'EA &amp; Seed Funding'!L138+'Partnerships &amp; Collaborations'!L138+'Broadening Participation Divers'!L138+'Education Workforce Development'!L138+'Communications &amp; Disseminations'!L138+'Evaluation and Assessment '!L138+'Sustainability Plan'!L138+'Management '!L138)</f>
        <v>0</v>
      </c>
      <c r="M138" s="56">
        <f t="shared" si="63"/>
        <v>0</v>
      </c>
      <c r="N138" s="15"/>
      <c r="O138" s="55">
        <f>SUM('Research Area'!O138+'Research Cyberinfrastructure'!O138+'EA &amp; Seed Funding'!O138+'Partnerships &amp; Collaborations'!O138+'Broadening Participation Divers'!O138+'Education Workforce Development'!O138+'Communications &amp; Disseminations'!O138+'Evaluation and Assessment '!O138+'Sustainability Plan'!O138+'Management '!O138)</f>
        <v>0</v>
      </c>
      <c r="P138" s="56">
        <f>SUM('Research Area'!P138+'Research Cyberinfrastructure'!P138+'EA &amp; Seed Funding'!P138+'Partnerships &amp; Collaborations'!P138+'Broadening Participation Divers'!P138+'Education Workforce Development'!P138+'Communications &amp; Disseminations'!P138+'Evaluation and Assessment '!P138+'Sustainability Plan'!P138+'Management '!P138)</f>
        <v>0</v>
      </c>
      <c r="Q138" s="56">
        <f t="shared" si="64"/>
        <v>0</v>
      </c>
      <c r="R138" s="15"/>
      <c r="S138" s="55">
        <f>SUM('Research Area'!S138+'Research Cyberinfrastructure'!S138+'EA &amp; Seed Funding'!S138+'Partnerships &amp; Collaborations'!S138+'Broadening Participation Divers'!S138+'Education Workforce Development'!S138+'Communications &amp; Disseminations'!S138+'Evaluation and Assessment '!S138+'Sustainability Plan'!S138+'Management '!S138)</f>
        <v>0</v>
      </c>
      <c r="T138" s="56">
        <f>SUM('Research Area'!T138+'Research Cyberinfrastructure'!T138+'EA &amp; Seed Funding'!T138+'Partnerships &amp; Collaborations'!T138+'Broadening Participation Divers'!T138+'Education Workforce Development'!T138+'Communications &amp; Disseminations'!T138+'Evaluation and Assessment '!T138+'Sustainability Plan'!T138+'Management '!T138)</f>
        <v>0</v>
      </c>
      <c r="U138" s="56">
        <f t="shared" si="65"/>
        <v>0</v>
      </c>
      <c r="V138" s="16"/>
      <c r="W138" s="55">
        <f>SUM('Research Area'!W138+'Research Cyberinfrastructure'!W138+'EA &amp; Seed Funding'!W138+'Partnerships &amp; Collaborations'!W138+'Broadening Participation Divers'!W138+'Education Workforce Development'!W138+'Communications &amp; Disseminations'!W138+'Evaluation and Assessment '!W138+'Sustainability Plan'!W138+'Management '!W138)</f>
        <v>0</v>
      </c>
      <c r="X138" s="56">
        <f>SUM('Research Area'!X138+'Research Cyberinfrastructure'!X138+'EA &amp; Seed Funding'!X138+'Partnerships &amp; Collaborations'!X138+'Broadening Participation Divers'!X138+'Education Workforce Development'!X138+'Communications &amp; Disseminations'!X138+'Evaluation and Assessment '!X138+'Sustainability Plan'!X138+'Management '!X138)</f>
        <v>0</v>
      </c>
      <c r="Y138" s="56">
        <f t="shared" si="66"/>
        <v>0</v>
      </c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</row>
    <row r="139" spans="1:77" x14ac:dyDescent="0.25">
      <c r="A139" s="17"/>
      <c r="B139" s="17"/>
      <c r="C139" s="124">
        <f>SUM('Research Area'!C139+'Research Cyberinfrastructure'!C139+'EA &amp; Seed Funding'!C139+'Partnerships &amp; Collaborations'!C139+'Broadening Participation Divers'!C139+'Education Workforce Development'!C139+'Communications &amp; Disseminations'!C139+'Evaluation and Assessment '!C139+'Sustainability Plan'!C139+'Management '!C139)</f>
        <v>0</v>
      </c>
      <c r="D139" s="56">
        <f>SUM('Research Area'!D139+'Research Cyberinfrastructure'!D139+'EA &amp; Seed Funding'!D139+'Partnerships &amp; Collaborations'!D139+'Broadening Participation Divers'!D139+'Education Workforce Development'!D139+'Communications &amp; Disseminations'!D139+'Evaluation and Assessment '!D139+'Sustainability Plan'!D139+'Management '!D139)</f>
        <v>0</v>
      </c>
      <c r="E139" s="56">
        <f t="shared" si="61"/>
        <v>0</v>
      </c>
      <c r="F139" s="15"/>
      <c r="G139" s="55">
        <f>SUM('Research Area'!G139+'Research Cyberinfrastructure'!G139+'EA &amp; Seed Funding'!G139+'Partnerships &amp; Collaborations'!G139+'Broadening Participation Divers'!G139+'Education Workforce Development'!G139+'Communications &amp; Disseminations'!G139+'Evaluation and Assessment '!G139+'Sustainability Plan'!G139+'Management '!G139)</f>
        <v>0</v>
      </c>
      <c r="H139" s="56">
        <f>SUM('Research Area'!H139+'Research Cyberinfrastructure'!H139+'EA &amp; Seed Funding'!H139+'Partnerships &amp; Collaborations'!H139+'Broadening Participation Divers'!H139+'Education Workforce Development'!H139+'Communications &amp; Disseminations'!H139+'Evaluation and Assessment '!H139+'Sustainability Plan'!H139+'Management '!H139)</f>
        <v>0</v>
      </c>
      <c r="I139" s="56">
        <f t="shared" si="62"/>
        <v>0</v>
      </c>
      <c r="J139" s="15"/>
      <c r="K139" s="55">
        <f>SUM('Research Area'!K139+'Research Cyberinfrastructure'!K139+'EA &amp; Seed Funding'!K139+'Partnerships &amp; Collaborations'!K139+'Broadening Participation Divers'!K139+'Education Workforce Development'!K139+'Communications &amp; Disseminations'!K139+'Evaluation and Assessment '!K139+'Sustainability Plan'!K139+'Management '!K139)</f>
        <v>0</v>
      </c>
      <c r="L139" s="56">
        <f>SUM('Research Area'!L139+'Research Cyberinfrastructure'!L139+'EA &amp; Seed Funding'!L139+'Partnerships &amp; Collaborations'!L139+'Broadening Participation Divers'!L139+'Education Workforce Development'!L139+'Communications &amp; Disseminations'!L139+'Evaluation and Assessment '!L139+'Sustainability Plan'!L139+'Management '!L139)</f>
        <v>0</v>
      </c>
      <c r="M139" s="56">
        <f t="shared" si="63"/>
        <v>0</v>
      </c>
      <c r="N139" s="15"/>
      <c r="O139" s="55">
        <f>SUM('Research Area'!O139+'Research Cyberinfrastructure'!O139+'EA &amp; Seed Funding'!O139+'Partnerships &amp; Collaborations'!O139+'Broadening Participation Divers'!O139+'Education Workforce Development'!O139+'Communications &amp; Disseminations'!O139+'Evaluation and Assessment '!O139+'Sustainability Plan'!O139+'Management '!O139)</f>
        <v>0</v>
      </c>
      <c r="P139" s="56">
        <f>SUM('Research Area'!P139+'Research Cyberinfrastructure'!P139+'EA &amp; Seed Funding'!P139+'Partnerships &amp; Collaborations'!P139+'Broadening Participation Divers'!P139+'Education Workforce Development'!P139+'Communications &amp; Disseminations'!P139+'Evaluation and Assessment '!P139+'Sustainability Plan'!P139+'Management '!P139)</f>
        <v>0</v>
      </c>
      <c r="Q139" s="56">
        <f t="shared" si="64"/>
        <v>0</v>
      </c>
      <c r="R139" s="15"/>
      <c r="S139" s="55">
        <f>SUM('Research Area'!S139+'Research Cyberinfrastructure'!S139+'EA &amp; Seed Funding'!S139+'Partnerships &amp; Collaborations'!S139+'Broadening Participation Divers'!S139+'Education Workforce Development'!S139+'Communications &amp; Disseminations'!S139+'Evaluation and Assessment '!S139+'Sustainability Plan'!S139+'Management '!S139)</f>
        <v>0</v>
      </c>
      <c r="T139" s="56">
        <f>SUM('Research Area'!T139+'Research Cyberinfrastructure'!T139+'EA &amp; Seed Funding'!T139+'Partnerships &amp; Collaborations'!T139+'Broadening Participation Divers'!T139+'Education Workforce Development'!T139+'Communications &amp; Disseminations'!T139+'Evaluation and Assessment '!T139+'Sustainability Plan'!T139+'Management '!T139)</f>
        <v>0</v>
      </c>
      <c r="U139" s="56">
        <f t="shared" si="65"/>
        <v>0</v>
      </c>
      <c r="V139" s="16"/>
      <c r="W139" s="55">
        <f>SUM('Research Area'!W139+'Research Cyberinfrastructure'!W139+'EA &amp; Seed Funding'!W139+'Partnerships &amp; Collaborations'!W139+'Broadening Participation Divers'!W139+'Education Workforce Development'!W139+'Communications &amp; Disseminations'!W139+'Evaluation and Assessment '!W139+'Sustainability Plan'!W139+'Management '!W139)</f>
        <v>0</v>
      </c>
      <c r="X139" s="56">
        <f>SUM('Research Area'!X139+'Research Cyberinfrastructure'!X139+'EA &amp; Seed Funding'!X139+'Partnerships &amp; Collaborations'!X139+'Broadening Participation Divers'!X139+'Education Workforce Development'!X139+'Communications &amp; Disseminations'!X139+'Evaluation and Assessment '!X139+'Sustainability Plan'!X139+'Management '!X139)</f>
        <v>0</v>
      </c>
      <c r="Y139" s="56">
        <f t="shared" si="66"/>
        <v>0</v>
      </c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</row>
    <row r="140" spans="1:77" x14ac:dyDescent="0.25">
      <c r="A140" s="17"/>
      <c r="B140" s="17"/>
      <c r="C140" s="124">
        <f>SUM('Research Area'!C140+'Research Cyberinfrastructure'!C140+'EA &amp; Seed Funding'!C140+'Partnerships &amp; Collaborations'!C140+'Broadening Participation Divers'!C140+'Education Workforce Development'!C140+'Communications &amp; Disseminations'!C140+'Evaluation and Assessment '!C140+'Sustainability Plan'!C140+'Management '!C140)</f>
        <v>0</v>
      </c>
      <c r="D140" s="56">
        <f>SUM('Research Area'!D140+'Research Cyberinfrastructure'!D140+'EA &amp; Seed Funding'!D140+'Partnerships &amp; Collaborations'!D140+'Broadening Participation Divers'!D140+'Education Workforce Development'!D140+'Communications &amp; Disseminations'!D140+'Evaluation and Assessment '!D140+'Sustainability Plan'!D140+'Management '!D140)</f>
        <v>0</v>
      </c>
      <c r="E140" s="56">
        <f t="shared" si="61"/>
        <v>0</v>
      </c>
      <c r="F140" s="15"/>
      <c r="G140" s="55">
        <f>SUM('Research Area'!G140+'Research Cyberinfrastructure'!G140+'EA &amp; Seed Funding'!G140+'Partnerships &amp; Collaborations'!G140+'Broadening Participation Divers'!G140+'Education Workforce Development'!G140+'Communications &amp; Disseminations'!G140+'Evaluation and Assessment '!G140+'Sustainability Plan'!G140+'Management '!G140)</f>
        <v>0</v>
      </c>
      <c r="H140" s="56">
        <f>SUM('Research Area'!H140+'Research Cyberinfrastructure'!H140+'EA &amp; Seed Funding'!H140+'Partnerships &amp; Collaborations'!H140+'Broadening Participation Divers'!H140+'Education Workforce Development'!H140+'Communications &amp; Disseminations'!H140+'Evaluation and Assessment '!H140+'Sustainability Plan'!H140+'Management '!H140)</f>
        <v>0</v>
      </c>
      <c r="I140" s="56">
        <f t="shared" si="62"/>
        <v>0</v>
      </c>
      <c r="J140" s="15"/>
      <c r="K140" s="55">
        <f>SUM('Research Area'!K140+'Research Cyberinfrastructure'!K140+'EA &amp; Seed Funding'!K140+'Partnerships &amp; Collaborations'!K140+'Broadening Participation Divers'!K140+'Education Workforce Development'!K140+'Communications &amp; Disseminations'!K140+'Evaluation and Assessment '!K140+'Sustainability Plan'!K140+'Management '!K140)</f>
        <v>0</v>
      </c>
      <c r="L140" s="56">
        <f>SUM('Research Area'!L140+'Research Cyberinfrastructure'!L140+'EA &amp; Seed Funding'!L140+'Partnerships &amp; Collaborations'!L140+'Broadening Participation Divers'!L140+'Education Workforce Development'!L140+'Communications &amp; Disseminations'!L140+'Evaluation and Assessment '!L140+'Sustainability Plan'!L140+'Management '!L140)</f>
        <v>0</v>
      </c>
      <c r="M140" s="56">
        <f t="shared" si="63"/>
        <v>0</v>
      </c>
      <c r="N140" s="15"/>
      <c r="O140" s="55">
        <f>SUM('Research Area'!O140+'Research Cyberinfrastructure'!O140+'EA &amp; Seed Funding'!O140+'Partnerships &amp; Collaborations'!O140+'Broadening Participation Divers'!O140+'Education Workforce Development'!O140+'Communications &amp; Disseminations'!O140+'Evaluation and Assessment '!O140+'Sustainability Plan'!O140+'Management '!O140)</f>
        <v>0</v>
      </c>
      <c r="P140" s="56">
        <f>SUM('Research Area'!P140+'Research Cyberinfrastructure'!P140+'EA &amp; Seed Funding'!P140+'Partnerships &amp; Collaborations'!P140+'Broadening Participation Divers'!P140+'Education Workforce Development'!P140+'Communications &amp; Disseminations'!P140+'Evaluation and Assessment '!P140+'Sustainability Plan'!P140+'Management '!P140)</f>
        <v>0</v>
      </c>
      <c r="Q140" s="56">
        <f t="shared" si="64"/>
        <v>0</v>
      </c>
      <c r="R140" s="15"/>
      <c r="S140" s="55">
        <f>SUM('Research Area'!S140+'Research Cyberinfrastructure'!S140+'EA &amp; Seed Funding'!S140+'Partnerships &amp; Collaborations'!S140+'Broadening Participation Divers'!S140+'Education Workforce Development'!S140+'Communications &amp; Disseminations'!S140+'Evaluation and Assessment '!S140+'Sustainability Plan'!S140+'Management '!S140)</f>
        <v>0</v>
      </c>
      <c r="T140" s="56">
        <f>SUM('Research Area'!T140+'Research Cyberinfrastructure'!T140+'EA &amp; Seed Funding'!T140+'Partnerships &amp; Collaborations'!T140+'Broadening Participation Divers'!T140+'Education Workforce Development'!T140+'Communications &amp; Disseminations'!T140+'Evaluation and Assessment '!T140+'Sustainability Plan'!T140+'Management '!T140)</f>
        <v>0</v>
      </c>
      <c r="U140" s="56">
        <f t="shared" si="65"/>
        <v>0</v>
      </c>
      <c r="V140" s="16"/>
      <c r="W140" s="55">
        <f>SUM('Research Area'!W140+'Research Cyberinfrastructure'!W140+'EA &amp; Seed Funding'!W140+'Partnerships &amp; Collaborations'!W140+'Broadening Participation Divers'!W140+'Education Workforce Development'!W140+'Communications &amp; Disseminations'!W140+'Evaluation and Assessment '!W140+'Sustainability Plan'!W140+'Management '!W140)</f>
        <v>0</v>
      </c>
      <c r="X140" s="56">
        <f>SUM('Research Area'!X140+'Research Cyberinfrastructure'!X140+'EA &amp; Seed Funding'!X140+'Partnerships &amp; Collaborations'!X140+'Broadening Participation Divers'!X140+'Education Workforce Development'!X140+'Communications &amp; Disseminations'!X140+'Evaluation and Assessment '!X140+'Sustainability Plan'!X140+'Management '!X140)</f>
        <v>0</v>
      </c>
      <c r="Y140" s="56">
        <f t="shared" si="66"/>
        <v>0</v>
      </c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</row>
    <row r="141" spans="1:77" s="83" customFormat="1" x14ac:dyDescent="0.25">
      <c r="A141" s="78"/>
      <c r="B141" s="78" t="s">
        <v>9</v>
      </c>
      <c r="C141" s="232">
        <f>SUM(C127:C140)</f>
        <v>0</v>
      </c>
      <c r="D141" s="130">
        <f>SUM(D127:D140)</f>
        <v>0</v>
      </c>
      <c r="E141" s="130">
        <f>SUM(E127:E140)</f>
        <v>0</v>
      </c>
      <c r="F141" s="81"/>
      <c r="G141" s="126">
        <f>SUM(G127:G140)</f>
        <v>0</v>
      </c>
      <c r="H141" s="130">
        <f>SUM(H127:H140)</f>
        <v>0</v>
      </c>
      <c r="I141" s="130">
        <f>SUM(I127:I140)</f>
        <v>0</v>
      </c>
      <c r="J141" s="81"/>
      <c r="K141" s="126">
        <f>SUM(K127:K140)</f>
        <v>0</v>
      </c>
      <c r="L141" s="130">
        <f>SUM(L127:L140)</f>
        <v>0</v>
      </c>
      <c r="M141" s="130">
        <f>SUM(M127:M140)</f>
        <v>0</v>
      </c>
      <c r="N141" s="81"/>
      <c r="O141" s="126">
        <f>SUM(O127:O140)</f>
        <v>0</v>
      </c>
      <c r="P141" s="130">
        <f>SUM(P127:P140)</f>
        <v>0</v>
      </c>
      <c r="Q141" s="130">
        <f>SUM(Q127:Q140)</f>
        <v>0</v>
      </c>
      <c r="R141" s="81"/>
      <c r="S141" s="126">
        <f>SUM(S127:S140)</f>
        <v>0</v>
      </c>
      <c r="T141" s="130">
        <f>SUM(T127:T140)</f>
        <v>0</v>
      </c>
      <c r="U141" s="130">
        <f>SUM(U127:U140)</f>
        <v>0</v>
      </c>
      <c r="V141" s="82"/>
      <c r="W141" s="126">
        <f>SUM(W127:W140)</f>
        <v>0</v>
      </c>
      <c r="X141" s="130">
        <f>SUM(X127:X140)</f>
        <v>0</v>
      </c>
      <c r="Y141" s="130">
        <f>SUM(Y127:Y140)</f>
        <v>0</v>
      </c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</row>
    <row r="142" spans="1:77" s="77" customFormat="1" x14ac:dyDescent="0.25">
      <c r="A142" s="74" t="s">
        <v>7</v>
      </c>
      <c r="B142" s="74"/>
      <c r="C142" s="212"/>
      <c r="D142" s="212"/>
      <c r="E142" s="212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9"/>
      <c r="W142" s="58"/>
      <c r="X142" s="58"/>
      <c r="Y142" s="129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</row>
    <row r="143" spans="1:77" x14ac:dyDescent="0.25">
      <c r="A143" s="53"/>
      <c r="B143" s="52"/>
      <c r="C143" s="124">
        <f>SUM('Research Area'!C143+'Research Cyberinfrastructure'!C143+'EA &amp; Seed Funding'!C143+'Partnerships &amp; Collaborations'!C143+'Broadening Participation Divers'!C143+'Education Workforce Development'!C143+'Communications &amp; Disseminations'!C143+'Evaluation and Assessment '!C143+'Sustainability Plan'!C143+'Management '!C143)</f>
        <v>9922</v>
      </c>
      <c r="D143" s="56">
        <f>SUM('Research Area'!D143+'Research Cyberinfrastructure'!D143+'EA &amp; Seed Funding'!D143+'Partnerships &amp; Collaborations'!D143+'Broadening Participation Divers'!D143+'Education Workforce Development'!D143+'Communications &amp; Disseminations'!D143+'Evaluation and Assessment '!D143+'Sustainability Plan'!D143+'Management '!D143)</f>
        <v>2878</v>
      </c>
      <c r="E143" s="56">
        <f>SUM(C143:D143)</f>
        <v>12800</v>
      </c>
      <c r="F143" s="15"/>
      <c r="G143" s="55">
        <f>SUM('Research Area'!G143+'Research Cyberinfrastructure'!G143+'EA &amp; Seed Funding'!G143+'Partnerships &amp; Collaborations'!G143+'Broadening Participation Divers'!G143+'Education Workforce Development'!G143+'Communications &amp; Disseminations'!G143+'Evaluation and Assessment '!G143+'Sustainability Plan'!G143+'Management '!G143)</f>
        <v>10200</v>
      </c>
      <c r="H143" s="56">
        <f>SUM('Research Area'!H143+'Research Cyberinfrastructure'!H143+'EA &amp; Seed Funding'!H143+'Partnerships &amp; Collaborations'!H143+'Broadening Participation Divers'!H143+'Education Workforce Development'!H143+'Communications &amp; Disseminations'!H143+'Evaluation and Assessment '!H143+'Sustainability Plan'!H143+'Management '!H143)</f>
        <v>3600</v>
      </c>
      <c r="I143" s="56">
        <f>SUM(G143:H143)</f>
        <v>13800</v>
      </c>
      <c r="J143" s="15"/>
      <c r="K143" s="55">
        <f>SUM('Research Area'!K143+'Research Cyberinfrastructure'!K143+'EA &amp; Seed Funding'!K143+'Partnerships &amp; Collaborations'!K143+'Broadening Participation Divers'!K143+'Education Workforce Development'!K143+'Communications &amp; Disseminations'!K143+'Evaluation and Assessment '!K143+'Sustainability Plan'!K143+'Management '!K143)</f>
        <v>4200</v>
      </c>
      <c r="L143" s="56">
        <f>SUM('Research Area'!L143+'Research Cyberinfrastructure'!L143+'EA &amp; Seed Funding'!L143+'Partnerships &amp; Collaborations'!L143+'Broadening Participation Divers'!L143+'Education Workforce Development'!L143+'Communications &amp; Disseminations'!L143+'Evaluation and Assessment '!L143+'Sustainability Plan'!L143+'Management '!L143)</f>
        <v>9600</v>
      </c>
      <c r="M143" s="56">
        <f>SUM(K143:L143)</f>
        <v>13800</v>
      </c>
      <c r="N143" s="15"/>
      <c r="O143" s="55">
        <f>SUM('Research Area'!O143+'Research Cyberinfrastructure'!O143+'EA &amp; Seed Funding'!O143+'Partnerships &amp; Collaborations'!O143+'Broadening Participation Divers'!O143+'Education Workforce Development'!O143+'Communications &amp; Disseminations'!O143+'Evaluation and Assessment '!O143+'Sustainability Plan'!O143+'Management '!O143)</f>
        <v>3200</v>
      </c>
      <c r="P143" s="56">
        <f>SUM('Research Area'!P143+'Research Cyberinfrastructure'!P143+'EA &amp; Seed Funding'!P143+'Partnerships &amp; Collaborations'!P143+'Broadening Participation Divers'!P143+'Education Workforce Development'!P143+'Communications &amp; Disseminations'!P143+'Evaluation and Assessment '!P143+'Sustainability Plan'!P143+'Management '!P143)</f>
        <v>9600</v>
      </c>
      <c r="Q143" s="56">
        <f>SUM(O143:P143)</f>
        <v>12800</v>
      </c>
      <c r="R143" s="15"/>
      <c r="S143" s="55">
        <f>SUM('Research Area'!S143+'Research Cyberinfrastructure'!S143+'EA &amp; Seed Funding'!S143+'Partnerships &amp; Collaborations'!S143+'Broadening Participation Divers'!S143+'Education Workforce Development'!S143+'Communications &amp; Disseminations'!S143+'Evaluation and Assessment '!S143+'Sustainability Plan'!S143+'Management '!S143)</f>
        <v>3200</v>
      </c>
      <c r="T143" s="56">
        <f>SUM('Research Area'!T143+'Research Cyberinfrastructure'!T143+'EA &amp; Seed Funding'!T143+'Partnerships &amp; Collaborations'!T143+'Broadening Participation Divers'!T143+'Education Workforce Development'!T143+'Communications &amp; Disseminations'!T143+'Evaluation and Assessment '!T143+'Sustainability Plan'!T143+'Management '!T143)</f>
        <v>9600</v>
      </c>
      <c r="U143" s="56">
        <f>SUM(S143:T143)</f>
        <v>12800</v>
      </c>
      <c r="V143" s="16"/>
      <c r="W143" s="55">
        <f>SUM('Research Area'!W143+'Research Cyberinfrastructure'!W143+'EA &amp; Seed Funding'!W143+'Partnerships &amp; Collaborations'!W143+'Broadening Participation Divers'!W143+'Education Workforce Development'!W143+'Communications &amp; Disseminations'!W143+'Evaluation and Assessment '!W143+'Sustainability Plan'!W143+'Management '!W143)</f>
        <v>30722</v>
      </c>
      <c r="X143" s="56">
        <f>SUM('Research Area'!X143+'Research Cyberinfrastructure'!X143+'EA &amp; Seed Funding'!X143+'Partnerships &amp; Collaborations'!X143+'Broadening Participation Divers'!X143+'Education Workforce Development'!X143+'Communications &amp; Disseminations'!X143+'Evaluation and Assessment '!X143+'Sustainability Plan'!X143+'Management '!X143)</f>
        <v>35278</v>
      </c>
      <c r="Y143" s="56">
        <f>SUM(W143:X143)</f>
        <v>66000</v>
      </c>
    </row>
    <row r="144" spans="1:77" x14ac:dyDescent="0.25">
      <c r="A144" s="17"/>
      <c r="B144" s="17"/>
      <c r="C144" s="124">
        <f>SUM('Research Area'!C144+'Research Cyberinfrastructure'!C144+'EA &amp; Seed Funding'!C144+'Partnerships &amp; Collaborations'!C144+'Broadening Participation Divers'!C144+'Education Workforce Development'!C144+'Communications &amp; Disseminations'!C144+'Evaluation and Assessment '!C144+'Sustainability Plan'!C144+'Management '!C144)</f>
        <v>22000</v>
      </c>
      <c r="D144" s="56">
        <f>SUM('Research Area'!D144+'Research Cyberinfrastructure'!D144+'EA &amp; Seed Funding'!D144+'Partnerships &amp; Collaborations'!D144+'Broadening Participation Divers'!D144+'Education Workforce Development'!D144+'Communications &amp; Disseminations'!D144+'Evaluation and Assessment '!D144+'Sustainability Plan'!D144+'Management '!D144)</f>
        <v>0</v>
      </c>
      <c r="E144" s="56">
        <f t="shared" ref="E144:E148" si="67">SUM(C144:D144)</f>
        <v>22000</v>
      </c>
      <c r="F144" s="15"/>
      <c r="G144" s="55">
        <f>SUM('Research Area'!G144+'Research Cyberinfrastructure'!G144+'EA &amp; Seed Funding'!G144+'Partnerships &amp; Collaborations'!G144+'Broadening Participation Divers'!G144+'Education Workforce Development'!G144+'Communications &amp; Disseminations'!G144+'Evaluation and Assessment '!G144+'Sustainability Plan'!G144+'Management '!G144)</f>
        <v>24000</v>
      </c>
      <c r="H144" s="56">
        <f>SUM('Research Area'!H144+'Research Cyberinfrastructure'!H144+'EA &amp; Seed Funding'!H144+'Partnerships &amp; Collaborations'!H144+'Broadening Participation Divers'!H144+'Education Workforce Development'!H144+'Communications &amp; Disseminations'!H144+'Evaluation and Assessment '!H144+'Sustainability Plan'!H144+'Management '!H144)</f>
        <v>0</v>
      </c>
      <c r="I144" s="56">
        <f t="shared" ref="I144:I148" si="68">SUM(G144:H144)</f>
        <v>24000</v>
      </c>
      <c r="J144" s="15"/>
      <c r="K144" s="55">
        <f>SUM('Research Area'!K144+'Research Cyberinfrastructure'!K144+'EA &amp; Seed Funding'!K144+'Partnerships &amp; Collaborations'!K144+'Broadening Participation Divers'!K144+'Education Workforce Development'!K144+'Communications &amp; Disseminations'!K144+'Evaluation and Assessment '!K144+'Sustainability Plan'!K144+'Management '!K144)</f>
        <v>14500</v>
      </c>
      <c r="L144" s="56">
        <f>SUM('Research Area'!L144+'Research Cyberinfrastructure'!L144+'EA &amp; Seed Funding'!L144+'Partnerships &amp; Collaborations'!L144+'Broadening Participation Divers'!L144+'Education Workforce Development'!L144+'Communications &amp; Disseminations'!L144+'Evaluation and Assessment '!L144+'Sustainability Plan'!L144+'Management '!L144)</f>
        <v>0</v>
      </c>
      <c r="M144" s="56">
        <f t="shared" ref="M144:M148" si="69">SUM(K144:L144)</f>
        <v>14500</v>
      </c>
      <c r="N144" s="15"/>
      <c r="O144" s="55">
        <f>SUM('Research Area'!O144+'Research Cyberinfrastructure'!O144+'EA &amp; Seed Funding'!O144+'Partnerships &amp; Collaborations'!O144+'Broadening Participation Divers'!O144+'Education Workforce Development'!O144+'Communications &amp; Disseminations'!O144+'Evaluation and Assessment '!O144+'Sustainability Plan'!O144+'Management '!O144)</f>
        <v>22500</v>
      </c>
      <c r="P144" s="56">
        <f>SUM('Research Area'!P144+'Research Cyberinfrastructure'!P144+'EA &amp; Seed Funding'!P144+'Partnerships &amp; Collaborations'!P144+'Broadening Participation Divers'!P144+'Education Workforce Development'!P144+'Communications &amp; Disseminations'!P144+'Evaluation and Assessment '!P144+'Sustainability Plan'!P144+'Management '!P144)</f>
        <v>0</v>
      </c>
      <c r="Q144" s="56">
        <f t="shared" ref="Q144:Q148" si="70">SUM(O144:P144)</f>
        <v>22500</v>
      </c>
      <c r="R144" s="15"/>
      <c r="S144" s="55">
        <f>SUM('Research Area'!S144+'Research Cyberinfrastructure'!S144+'EA &amp; Seed Funding'!S144+'Partnerships &amp; Collaborations'!S144+'Broadening Participation Divers'!S144+'Education Workforce Development'!S144+'Communications &amp; Disseminations'!S144+'Evaluation and Assessment '!S144+'Sustainability Plan'!S144+'Management '!S144)</f>
        <v>14500</v>
      </c>
      <c r="T144" s="56">
        <f>SUM('Research Area'!T144+'Research Cyberinfrastructure'!T144+'EA &amp; Seed Funding'!T144+'Partnerships &amp; Collaborations'!T144+'Broadening Participation Divers'!T144+'Education Workforce Development'!T144+'Communications &amp; Disseminations'!T144+'Evaluation and Assessment '!T144+'Sustainability Plan'!T144+'Management '!T144)</f>
        <v>0</v>
      </c>
      <c r="U144" s="56">
        <f t="shared" ref="U144:U148" si="71">SUM(S144:T144)</f>
        <v>14500</v>
      </c>
      <c r="V144" s="16"/>
      <c r="W144" s="55">
        <f>SUM('Research Area'!W144+'Research Cyberinfrastructure'!W144+'EA &amp; Seed Funding'!W144+'Partnerships &amp; Collaborations'!W144+'Broadening Participation Divers'!W144+'Education Workforce Development'!W144+'Communications &amp; Disseminations'!W144+'Evaluation and Assessment '!W144+'Sustainability Plan'!W144+'Management '!W144)</f>
        <v>97500</v>
      </c>
      <c r="X144" s="56">
        <f>SUM('Research Area'!X144+'Research Cyberinfrastructure'!X144+'EA &amp; Seed Funding'!X144+'Partnerships &amp; Collaborations'!X144+'Broadening Participation Divers'!X144+'Education Workforce Development'!X144+'Communications &amp; Disseminations'!X144+'Evaluation and Assessment '!X144+'Sustainability Plan'!X144+'Management '!X144)</f>
        <v>0</v>
      </c>
      <c r="Y144" s="56">
        <f t="shared" ref="Y144:Y148" si="72">SUM(W144:X144)</f>
        <v>97500</v>
      </c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</row>
    <row r="145" spans="1:77" x14ac:dyDescent="0.25">
      <c r="A145" s="17"/>
      <c r="B145" s="17"/>
      <c r="C145" s="124">
        <f>SUM('Research Area'!C145+'Research Cyberinfrastructure'!C145+'EA &amp; Seed Funding'!C145+'Partnerships &amp; Collaborations'!C145+'Broadening Participation Divers'!C145+'Education Workforce Development'!C145+'Communications &amp; Disseminations'!C145+'Evaluation and Assessment '!C145+'Sustainability Plan'!C145+'Management '!C145)</f>
        <v>4000</v>
      </c>
      <c r="D145" s="56">
        <f>SUM('Research Area'!D145+'Research Cyberinfrastructure'!D145+'EA &amp; Seed Funding'!D145+'Partnerships &amp; Collaborations'!D145+'Broadening Participation Divers'!D145+'Education Workforce Development'!D145+'Communications &amp; Disseminations'!D145+'Evaluation and Assessment '!D145+'Sustainability Plan'!D145+'Management '!D145)</f>
        <v>0</v>
      </c>
      <c r="E145" s="56">
        <f t="shared" si="67"/>
        <v>4000</v>
      </c>
      <c r="F145" s="15"/>
      <c r="G145" s="55">
        <f>SUM('Research Area'!G145+'Research Cyberinfrastructure'!G145+'EA &amp; Seed Funding'!G145+'Partnerships &amp; Collaborations'!G145+'Broadening Participation Divers'!G145+'Education Workforce Development'!G145+'Communications &amp; Disseminations'!G145+'Evaluation and Assessment '!G145+'Sustainability Plan'!G145+'Management '!G145)</f>
        <v>0</v>
      </c>
      <c r="H145" s="56">
        <f>SUM('Research Area'!H145+'Research Cyberinfrastructure'!H145+'EA &amp; Seed Funding'!H145+'Partnerships &amp; Collaborations'!H145+'Broadening Participation Divers'!H145+'Education Workforce Development'!H145+'Communications &amp; Disseminations'!H145+'Evaluation and Assessment '!H145+'Sustainability Plan'!H145+'Management '!H145)</f>
        <v>0</v>
      </c>
      <c r="I145" s="56">
        <f t="shared" si="68"/>
        <v>0</v>
      </c>
      <c r="J145" s="15"/>
      <c r="K145" s="55">
        <f>SUM('Research Area'!K145+'Research Cyberinfrastructure'!K145+'EA &amp; Seed Funding'!K145+'Partnerships &amp; Collaborations'!K145+'Broadening Participation Divers'!K145+'Education Workforce Development'!K145+'Communications &amp; Disseminations'!K145+'Evaluation and Assessment '!K145+'Sustainability Plan'!K145+'Management '!K145)</f>
        <v>4000</v>
      </c>
      <c r="L145" s="56">
        <f>SUM('Research Area'!L145+'Research Cyberinfrastructure'!L145+'EA &amp; Seed Funding'!L145+'Partnerships &amp; Collaborations'!L145+'Broadening Participation Divers'!L145+'Education Workforce Development'!L145+'Communications &amp; Disseminations'!L145+'Evaluation and Assessment '!L145+'Sustainability Plan'!L145+'Management '!L145)</f>
        <v>0</v>
      </c>
      <c r="M145" s="56">
        <f t="shared" si="69"/>
        <v>4000</v>
      </c>
      <c r="N145" s="15"/>
      <c r="O145" s="55">
        <f>SUM('Research Area'!O145+'Research Cyberinfrastructure'!O145+'EA &amp; Seed Funding'!O145+'Partnerships &amp; Collaborations'!O145+'Broadening Participation Divers'!O145+'Education Workforce Development'!O145+'Communications &amp; Disseminations'!O145+'Evaluation and Assessment '!O145+'Sustainability Plan'!O145+'Management '!O145)</f>
        <v>0</v>
      </c>
      <c r="P145" s="56">
        <f>SUM('Research Area'!P145+'Research Cyberinfrastructure'!P145+'EA &amp; Seed Funding'!P145+'Partnerships &amp; Collaborations'!P145+'Broadening Participation Divers'!P145+'Education Workforce Development'!P145+'Communications &amp; Disseminations'!P145+'Evaluation and Assessment '!P145+'Sustainability Plan'!P145+'Management '!P145)</f>
        <v>0</v>
      </c>
      <c r="Q145" s="56">
        <f t="shared" si="70"/>
        <v>0</v>
      </c>
      <c r="R145" s="15"/>
      <c r="S145" s="55">
        <f>SUM('Research Area'!S145+'Research Cyberinfrastructure'!S145+'EA &amp; Seed Funding'!S145+'Partnerships &amp; Collaborations'!S145+'Broadening Participation Divers'!S145+'Education Workforce Development'!S145+'Communications &amp; Disseminations'!S145+'Evaluation and Assessment '!S145+'Sustainability Plan'!S145+'Management '!S145)</f>
        <v>0</v>
      </c>
      <c r="T145" s="56">
        <f>SUM('Research Area'!T145+'Research Cyberinfrastructure'!T145+'EA &amp; Seed Funding'!T145+'Partnerships &amp; Collaborations'!T145+'Broadening Participation Divers'!T145+'Education Workforce Development'!T145+'Communications &amp; Disseminations'!T145+'Evaluation and Assessment '!T145+'Sustainability Plan'!T145+'Management '!T145)</f>
        <v>0</v>
      </c>
      <c r="U145" s="56">
        <f t="shared" si="71"/>
        <v>0</v>
      </c>
      <c r="V145" s="16"/>
      <c r="W145" s="55">
        <f>SUM('Research Area'!W145+'Research Cyberinfrastructure'!W145+'EA &amp; Seed Funding'!W145+'Partnerships &amp; Collaborations'!W145+'Broadening Participation Divers'!W145+'Education Workforce Development'!W145+'Communications &amp; Disseminations'!W145+'Evaluation and Assessment '!W145+'Sustainability Plan'!W145+'Management '!W145)</f>
        <v>8000</v>
      </c>
      <c r="X145" s="56">
        <f>SUM('Research Area'!X145+'Research Cyberinfrastructure'!X145+'EA &amp; Seed Funding'!X145+'Partnerships &amp; Collaborations'!X145+'Broadening Participation Divers'!X145+'Education Workforce Development'!X145+'Communications &amp; Disseminations'!X145+'Evaluation and Assessment '!X145+'Sustainability Plan'!X145+'Management '!X145)</f>
        <v>0</v>
      </c>
      <c r="Y145" s="56">
        <f t="shared" si="72"/>
        <v>8000</v>
      </c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</row>
    <row r="146" spans="1:77" x14ac:dyDescent="0.25">
      <c r="A146" s="23"/>
      <c r="B146" s="17"/>
      <c r="C146" s="124">
        <f>SUM('Research Area'!C146+'Research Cyberinfrastructure'!C146+'EA &amp; Seed Funding'!C146+'Partnerships &amp; Collaborations'!C146+'Broadening Participation Divers'!C146+'Education Workforce Development'!C146+'Communications &amp; Disseminations'!C146+'Evaluation and Assessment '!C146+'Sustainability Plan'!C146+'Management '!C146)</f>
        <v>0</v>
      </c>
      <c r="D146" s="56">
        <f>SUM('Research Area'!D146+'Research Cyberinfrastructure'!D146+'EA &amp; Seed Funding'!D146+'Partnerships &amp; Collaborations'!D146+'Broadening Participation Divers'!D146+'Education Workforce Development'!D146+'Communications &amp; Disseminations'!D146+'Evaluation and Assessment '!D146+'Sustainability Plan'!D146+'Management '!D146)</f>
        <v>0</v>
      </c>
      <c r="E146" s="56">
        <f t="shared" si="67"/>
        <v>0</v>
      </c>
      <c r="F146" s="15"/>
      <c r="G146" s="55">
        <f>SUM('Research Area'!G146+'Research Cyberinfrastructure'!G146+'EA &amp; Seed Funding'!G146+'Partnerships &amp; Collaborations'!G146+'Broadening Participation Divers'!G146+'Education Workforce Development'!G146+'Communications &amp; Disseminations'!G146+'Evaluation and Assessment '!G146+'Sustainability Plan'!G146+'Management '!G146)</f>
        <v>0</v>
      </c>
      <c r="H146" s="56">
        <f>SUM('Research Area'!H146+'Research Cyberinfrastructure'!H146+'EA &amp; Seed Funding'!H146+'Partnerships &amp; Collaborations'!H146+'Broadening Participation Divers'!H146+'Education Workforce Development'!H146+'Communications &amp; Disseminations'!H146+'Evaluation and Assessment '!H146+'Sustainability Plan'!H146+'Management '!H146)</f>
        <v>0</v>
      </c>
      <c r="I146" s="56">
        <f t="shared" si="68"/>
        <v>0</v>
      </c>
      <c r="J146" s="15"/>
      <c r="K146" s="55">
        <f>SUM('Research Area'!K146+'Research Cyberinfrastructure'!K146+'EA &amp; Seed Funding'!K146+'Partnerships &amp; Collaborations'!K146+'Broadening Participation Divers'!K146+'Education Workforce Development'!K146+'Communications &amp; Disseminations'!K146+'Evaluation and Assessment '!K146+'Sustainability Plan'!K146+'Management '!K146)</f>
        <v>0</v>
      </c>
      <c r="L146" s="56">
        <f>SUM('Research Area'!L146+'Research Cyberinfrastructure'!L146+'EA &amp; Seed Funding'!L146+'Partnerships &amp; Collaborations'!L146+'Broadening Participation Divers'!L146+'Education Workforce Development'!L146+'Communications &amp; Disseminations'!L146+'Evaluation and Assessment '!L146+'Sustainability Plan'!L146+'Management '!L146)</f>
        <v>0</v>
      </c>
      <c r="M146" s="56">
        <f t="shared" si="69"/>
        <v>0</v>
      </c>
      <c r="N146" s="15"/>
      <c r="O146" s="55">
        <f>SUM('Research Area'!O146+'Research Cyberinfrastructure'!O146+'EA &amp; Seed Funding'!O146+'Partnerships &amp; Collaborations'!O146+'Broadening Participation Divers'!O146+'Education Workforce Development'!O146+'Communications &amp; Disseminations'!O146+'Evaluation and Assessment '!O146+'Sustainability Plan'!O146+'Management '!O146)</f>
        <v>0</v>
      </c>
      <c r="P146" s="56">
        <f>SUM('Research Area'!P146+'Research Cyberinfrastructure'!P146+'EA &amp; Seed Funding'!P146+'Partnerships &amp; Collaborations'!P146+'Broadening Participation Divers'!P146+'Education Workforce Development'!P146+'Communications &amp; Disseminations'!P146+'Evaluation and Assessment '!P146+'Sustainability Plan'!P146+'Management '!P146)</f>
        <v>0</v>
      </c>
      <c r="Q146" s="56">
        <f t="shared" si="70"/>
        <v>0</v>
      </c>
      <c r="R146" s="15"/>
      <c r="S146" s="55">
        <f>SUM('Research Area'!S146+'Research Cyberinfrastructure'!S146+'EA &amp; Seed Funding'!S146+'Partnerships &amp; Collaborations'!S146+'Broadening Participation Divers'!S146+'Education Workforce Development'!S146+'Communications &amp; Disseminations'!S146+'Evaluation and Assessment '!S146+'Sustainability Plan'!S146+'Management '!S146)</f>
        <v>0</v>
      </c>
      <c r="T146" s="56">
        <f>SUM('Research Area'!T146+'Research Cyberinfrastructure'!T146+'EA &amp; Seed Funding'!T146+'Partnerships &amp; Collaborations'!T146+'Broadening Participation Divers'!T146+'Education Workforce Development'!T146+'Communications &amp; Disseminations'!T146+'Evaluation and Assessment '!T146+'Sustainability Plan'!T146+'Management '!T146)</f>
        <v>0</v>
      </c>
      <c r="U146" s="56">
        <f t="shared" si="71"/>
        <v>0</v>
      </c>
      <c r="V146" s="16"/>
      <c r="W146" s="55">
        <f>SUM('Research Area'!W146+'Research Cyberinfrastructure'!W146+'EA &amp; Seed Funding'!W146+'Partnerships &amp; Collaborations'!W146+'Broadening Participation Divers'!W146+'Education Workforce Development'!W146+'Communications &amp; Disseminations'!W146+'Evaluation and Assessment '!W146+'Sustainability Plan'!W146+'Management '!W146)</f>
        <v>0</v>
      </c>
      <c r="X146" s="56">
        <f>SUM('Research Area'!X146+'Research Cyberinfrastructure'!X146+'EA &amp; Seed Funding'!X146+'Partnerships &amp; Collaborations'!X146+'Broadening Participation Divers'!X146+'Education Workforce Development'!X146+'Communications &amp; Disseminations'!X146+'Evaluation and Assessment '!X146+'Sustainability Plan'!X146+'Management '!X146)</f>
        <v>0</v>
      </c>
      <c r="Y146" s="56">
        <f t="shared" si="72"/>
        <v>0</v>
      </c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</row>
    <row r="147" spans="1:77" x14ac:dyDescent="0.25">
      <c r="A147" s="23"/>
      <c r="B147" s="17"/>
      <c r="C147" s="124">
        <f>SUM('Research Area'!C147+'Research Cyberinfrastructure'!C147+'EA &amp; Seed Funding'!C147+'Partnerships &amp; Collaborations'!C147+'Broadening Participation Divers'!C147+'Education Workforce Development'!C147+'Communications &amp; Disseminations'!C147+'Evaluation and Assessment '!C147+'Sustainability Plan'!C147+'Management '!C147)</f>
        <v>0</v>
      </c>
      <c r="D147" s="56">
        <f>SUM('Research Area'!D147+'Research Cyberinfrastructure'!D147+'EA &amp; Seed Funding'!D147+'Partnerships &amp; Collaborations'!D147+'Broadening Participation Divers'!D147+'Education Workforce Development'!D147+'Communications &amp; Disseminations'!D147+'Evaluation and Assessment '!D147+'Sustainability Plan'!D147+'Management '!D147)</f>
        <v>0</v>
      </c>
      <c r="E147" s="56">
        <f t="shared" si="67"/>
        <v>0</v>
      </c>
      <c r="F147" s="15"/>
      <c r="G147" s="55">
        <f>SUM('Research Area'!G147+'Research Cyberinfrastructure'!G147+'EA &amp; Seed Funding'!G147+'Partnerships &amp; Collaborations'!G147+'Broadening Participation Divers'!G147+'Education Workforce Development'!G147+'Communications &amp; Disseminations'!G147+'Evaluation and Assessment '!G147+'Sustainability Plan'!G147+'Management '!G147)</f>
        <v>0</v>
      </c>
      <c r="H147" s="56">
        <f>SUM('Research Area'!H147+'Research Cyberinfrastructure'!H147+'EA &amp; Seed Funding'!H147+'Partnerships &amp; Collaborations'!H147+'Broadening Participation Divers'!H147+'Education Workforce Development'!H147+'Communications &amp; Disseminations'!H147+'Evaluation and Assessment '!H147+'Sustainability Plan'!H147+'Management '!H147)</f>
        <v>0</v>
      </c>
      <c r="I147" s="56">
        <f t="shared" si="68"/>
        <v>0</v>
      </c>
      <c r="J147" s="15"/>
      <c r="K147" s="55">
        <f>SUM('Research Area'!K147+'Research Cyberinfrastructure'!K147+'EA &amp; Seed Funding'!K147+'Partnerships &amp; Collaborations'!K147+'Broadening Participation Divers'!K147+'Education Workforce Development'!K147+'Communications &amp; Disseminations'!K147+'Evaluation and Assessment '!K147+'Sustainability Plan'!K147+'Management '!K147)</f>
        <v>0</v>
      </c>
      <c r="L147" s="56">
        <f>SUM('Research Area'!L147+'Research Cyberinfrastructure'!L147+'EA &amp; Seed Funding'!L147+'Partnerships &amp; Collaborations'!L147+'Broadening Participation Divers'!L147+'Education Workforce Development'!L147+'Communications &amp; Disseminations'!L147+'Evaluation and Assessment '!L147+'Sustainability Plan'!L147+'Management '!L147)</f>
        <v>0</v>
      </c>
      <c r="M147" s="56">
        <f t="shared" si="69"/>
        <v>0</v>
      </c>
      <c r="N147" s="15"/>
      <c r="O147" s="55">
        <f>SUM('Research Area'!O147+'Research Cyberinfrastructure'!O147+'EA &amp; Seed Funding'!O147+'Partnerships &amp; Collaborations'!O147+'Broadening Participation Divers'!O147+'Education Workforce Development'!O147+'Communications &amp; Disseminations'!O147+'Evaluation and Assessment '!O147+'Sustainability Plan'!O147+'Management '!O147)</f>
        <v>0</v>
      </c>
      <c r="P147" s="56">
        <f>SUM('Research Area'!P147+'Research Cyberinfrastructure'!P147+'EA &amp; Seed Funding'!P147+'Partnerships &amp; Collaborations'!P147+'Broadening Participation Divers'!P147+'Education Workforce Development'!P147+'Communications &amp; Disseminations'!P147+'Evaluation and Assessment '!P147+'Sustainability Plan'!P147+'Management '!P147)</f>
        <v>0</v>
      </c>
      <c r="Q147" s="56">
        <f t="shared" si="70"/>
        <v>0</v>
      </c>
      <c r="R147" s="15"/>
      <c r="S147" s="55">
        <f>SUM('Research Area'!S147+'Research Cyberinfrastructure'!S147+'EA &amp; Seed Funding'!S147+'Partnerships &amp; Collaborations'!S147+'Broadening Participation Divers'!S147+'Education Workforce Development'!S147+'Communications &amp; Disseminations'!S147+'Evaluation and Assessment '!S147+'Sustainability Plan'!S147+'Management '!S147)</f>
        <v>0</v>
      </c>
      <c r="T147" s="56">
        <f>SUM('Research Area'!T147+'Research Cyberinfrastructure'!T147+'EA &amp; Seed Funding'!T147+'Partnerships &amp; Collaborations'!T147+'Broadening Participation Divers'!T147+'Education Workforce Development'!T147+'Communications &amp; Disseminations'!T147+'Evaluation and Assessment '!T147+'Sustainability Plan'!T147+'Management '!T147)</f>
        <v>0</v>
      </c>
      <c r="U147" s="56">
        <f t="shared" si="71"/>
        <v>0</v>
      </c>
      <c r="V147" s="16"/>
      <c r="W147" s="55">
        <f>SUM('Research Area'!W147+'Research Cyberinfrastructure'!W147+'EA &amp; Seed Funding'!W147+'Partnerships &amp; Collaborations'!W147+'Broadening Participation Divers'!W147+'Education Workforce Development'!W147+'Communications &amp; Disseminations'!W147+'Evaluation and Assessment '!W147+'Sustainability Plan'!W147+'Management '!W147)</f>
        <v>0</v>
      </c>
      <c r="X147" s="56">
        <f>SUM('Research Area'!X147+'Research Cyberinfrastructure'!X147+'EA &amp; Seed Funding'!X147+'Partnerships &amp; Collaborations'!X147+'Broadening Participation Divers'!X147+'Education Workforce Development'!X147+'Communications &amp; Disseminations'!X147+'Evaluation and Assessment '!X147+'Sustainability Plan'!X147+'Management '!X147)</f>
        <v>0</v>
      </c>
      <c r="Y147" s="56">
        <f t="shared" si="72"/>
        <v>0</v>
      </c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</row>
    <row r="148" spans="1:77" x14ac:dyDescent="0.25">
      <c r="A148" s="17"/>
      <c r="B148" s="17"/>
      <c r="C148" s="124">
        <f>SUM('Research Area'!C148+'Research Cyberinfrastructure'!C148+'EA &amp; Seed Funding'!C148+'Partnerships &amp; Collaborations'!C148+'Broadening Participation Divers'!C148+'Education Workforce Development'!C148+'Communications &amp; Disseminations'!C148+'Evaluation and Assessment '!C148+'Sustainability Plan'!C148+'Management '!C148)</f>
        <v>0</v>
      </c>
      <c r="D148" s="56">
        <f>SUM('Research Area'!D148+'Research Cyberinfrastructure'!D148+'EA &amp; Seed Funding'!D148+'Partnerships &amp; Collaborations'!D148+'Broadening Participation Divers'!D148+'Education Workforce Development'!D148+'Communications &amp; Disseminations'!D148+'Evaluation and Assessment '!D148+'Sustainability Plan'!D148+'Management '!D148)</f>
        <v>0</v>
      </c>
      <c r="E148" s="56">
        <f t="shared" si="67"/>
        <v>0</v>
      </c>
      <c r="F148" s="15"/>
      <c r="G148" s="55">
        <f>SUM('Research Area'!G148+'Research Cyberinfrastructure'!G148+'EA &amp; Seed Funding'!G148+'Partnerships &amp; Collaborations'!G148+'Broadening Participation Divers'!G148+'Education Workforce Development'!G148+'Communications &amp; Disseminations'!G148+'Evaluation and Assessment '!G148+'Sustainability Plan'!G148+'Management '!G148)</f>
        <v>0</v>
      </c>
      <c r="H148" s="56">
        <f>SUM('Research Area'!H148+'Research Cyberinfrastructure'!H148+'EA &amp; Seed Funding'!H148+'Partnerships &amp; Collaborations'!H148+'Broadening Participation Divers'!H148+'Education Workforce Development'!H148+'Communications &amp; Disseminations'!H148+'Evaluation and Assessment '!H148+'Sustainability Plan'!H148+'Management '!H148)</f>
        <v>0</v>
      </c>
      <c r="I148" s="56">
        <f t="shared" si="68"/>
        <v>0</v>
      </c>
      <c r="J148" s="15"/>
      <c r="K148" s="55">
        <f>SUM('Research Area'!K148+'Research Cyberinfrastructure'!K148+'EA &amp; Seed Funding'!K148+'Partnerships &amp; Collaborations'!K148+'Broadening Participation Divers'!K148+'Education Workforce Development'!K148+'Communications &amp; Disseminations'!K148+'Evaluation and Assessment '!K148+'Sustainability Plan'!K148+'Management '!K148)</f>
        <v>0</v>
      </c>
      <c r="L148" s="56">
        <f>SUM('Research Area'!L148+'Research Cyberinfrastructure'!L148+'EA &amp; Seed Funding'!L148+'Partnerships &amp; Collaborations'!L148+'Broadening Participation Divers'!L148+'Education Workforce Development'!L148+'Communications &amp; Disseminations'!L148+'Evaluation and Assessment '!L148+'Sustainability Plan'!L148+'Management '!L148)</f>
        <v>0</v>
      </c>
      <c r="M148" s="56">
        <f t="shared" si="69"/>
        <v>0</v>
      </c>
      <c r="N148" s="15"/>
      <c r="O148" s="55">
        <f>SUM('Research Area'!O148+'Research Cyberinfrastructure'!O148+'EA &amp; Seed Funding'!O148+'Partnerships &amp; Collaborations'!O148+'Broadening Participation Divers'!O148+'Education Workforce Development'!O148+'Communications &amp; Disseminations'!O148+'Evaluation and Assessment '!O148+'Sustainability Plan'!O148+'Management '!O148)</f>
        <v>0</v>
      </c>
      <c r="P148" s="56">
        <f>SUM('Research Area'!P148+'Research Cyberinfrastructure'!P148+'EA &amp; Seed Funding'!P148+'Partnerships &amp; Collaborations'!P148+'Broadening Participation Divers'!P148+'Education Workforce Development'!P148+'Communications &amp; Disseminations'!P148+'Evaluation and Assessment '!P148+'Sustainability Plan'!P148+'Management '!P148)</f>
        <v>0</v>
      </c>
      <c r="Q148" s="56">
        <f t="shared" si="70"/>
        <v>0</v>
      </c>
      <c r="R148" s="15"/>
      <c r="S148" s="55">
        <f>SUM('Research Area'!S148+'Research Cyberinfrastructure'!S148+'EA &amp; Seed Funding'!S148+'Partnerships &amp; Collaborations'!S148+'Broadening Participation Divers'!S148+'Education Workforce Development'!S148+'Communications &amp; Disseminations'!S148+'Evaluation and Assessment '!S148+'Sustainability Plan'!S148+'Management '!S148)</f>
        <v>0</v>
      </c>
      <c r="T148" s="56">
        <f>SUM('Research Area'!T148+'Research Cyberinfrastructure'!T148+'EA &amp; Seed Funding'!T148+'Partnerships &amp; Collaborations'!T148+'Broadening Participation Divers'!T148+'Education Workforce Development'!T148+'Communications &amp; Disseminations'!T148+'Evaluation and Assessment '!T148+'Sustainability Plan'!T148+'Management '!T148)</f>
        <v>0</v>
      </c>
      <c r="U148" s="56">
        <f t="shared" si="71"/>
        <v>0</v>
      </c>
      <c r="V148" s="16"/>
      <c r="W148" s="55">
        <f>SUM('Research Area'!W148+'Research Cyberinfrastructure'!W148+'EA &amp; Seed Funding'!W148+'Partnerships &amp; Collaborations'!W148+'Broadening Participation Divers'!W148+'Education Workforce Development'!W148+'Communications &amp; Disseminations'!W148+'Evaluation and Assessment '!W148+'Sustainability Plan'!W148+'Management '!W148)</f>
        <v>0</v>
      </c>
      <c r="X148" s="56">
        <f>SUM('Research Area'!X148+'Research Cyberinfrastructure'!X148+'EA &amp; Seed Funding'!X148+'Partnerships &amp; Collaborations'!X148+'Broadening Participation Divers'!X148+'Education Workforce Development'!X148+'Communications &amp; Disseminations'!X148+'Evaluation and Assessment '!X148+'Sustainability Plan'!X148+'Management '!X148)</f>
        <v>0</v>
      </c>
      <c r="Y148" s="56">
        <f t="shared" si="72"/>
        <v>0</v>
      </c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</row>
    <row r="149" spans="1:77" s="83" customFormat="1" x14ac:dyDescent="0.25">
      <c r="A149" s="78"/>
      <c r="B149" s="78" t="s">
        <v>9</v>
      </c>
      <c r="C149" s="232">
        <f>SUM(C143:C148)</f>
        <v>35922</v>
      </c>
      <c r="D149" s="130">
        <f>SUM(D143:D148)</f>
        <v>2878</v>
      </c>
      <c r="E149" s="130">
        <f>SUM(E143:E148)</f>
        <v>38800</v>
      </c>
      <c r="F149" s="81"/>
      <c r="G149" s="126">
        <f>SUM(G143:G148)</f>
        <v>34200</v>
      </c>
      <c r="H149" s="130">
        <f>SUM(H143:H148)</f>
        <v>3600</v>
      </c>
      <c r="I149" s="130">
        <f>SUM(I143:I148)</f>
        <v>37800</v>
      </c>
      <c r="J149" s="81"/>
      <c r="K149" s="126">
        <f>SUM(K143:K148)</f>
        <v>22700</v>
      </c>
      <c r="L149" s="130">
        <f>SUM(L143:L148)</f>
        <v>9600</v>
      </c>
      <c r="M149" s="130">
        <f>SUM(M143:M148)</f>
        <v>32300</v>
      </c>
      <c r="N149" s="81"/>
      <c r="O149" s="126">
        <f>SUM(O143:O148)</f>
        <v>25700</v>
      </c>
      <c r="P149" s="130">
        <f>SUM(P143:P148)</f>
        <v>9600</v>
      </c>
      <c r="Q149" s="130">
        <f>SUM(Q143:Q148)</f>
        <v>35300</v>
      </c>
      <c r="R149" s="81"/>
      <c r="S149" s="126">
        <f>SUM(S143:S148)</f>
        <v>17700</v>
      </c>
      <c r="T149" s="130">
        <f>SUM(T143:T148)</f>
        <v>9600</v>
      </c>
      <c r="U149" s="130">
        <f>SUM(U143:U148)</f>
        <v>27300</v>
      </c>
      <c r="V149" s="82"/>
      <c r="W149" s="126">
        <f>SUM(W143:W148)</f>
        <v>136222</v>
      </c>
      <c r="X149" s="130">
        <f>SUM(X143:X148)</f>
        <v>35278</v>
      </c>
      <c r="Y149" s="130">
        <f>SUM(Y143:Y148)</f>
        <v>171500</v>
      </c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</row>
    <row r="150" spans="1:77" s="77" customFormat="1" x14ac:dyDescent="0.25">
      <c r="A150" s="74" t="s">
        <v>14</v>
      </c>
      <c r="B150" s="74"/>
      <c r="C150" s="212"/>
      <c r="D150" s="212"/>
      <c r="E150" s="212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9"/>
      <c r="W150" s="58"/>
      <c r="X150" s="58"/>
      <c r="Y150" s="58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</row>
    <row r="151" spans="1:77" x14ac:dyDescent="0.25">
      <c r="A151" s="53"/>
      <c r="B151" s="52"/>
      <c r="C151" s="124">
        <f>SUM('Research Area'!C151+'Research Cyberinfrastructure'!C151+'EA &amp; Seed Funding'!C151+'Partnerships &amp; Collaborations'!C151+'Broadening Participation Divers'!C151+'Education Workforce Development'!C151+'Communications &amp; Disseminations'!C151+'Evaluation and Assessment '!C151+'Sustainability Plan'!C151+'Management '!C151)</f>
        <v>0</v>
      </c>
      <c r="D151" s="56">
        <f>SUM('Research Area'!D151+'Research Cyberinfrastructure'!D151+'EA &amp; Seed Funding'!D151+'Partnerships &amp; Collaborations'!D151+'Broadening Participation Divers'!D151+'Education Workforce Development'!D151+'Communications &amp; Disseminations'!D151+'Evaluation and Assessment '!D151+'Sustainability Plan'!D151+'Management '!D151)</f>
        <v>0</v>
      </c>
      <c r="E151" s="56">
        <f>SUM(C151:D151)</f>
        <v>0</v>
      </c>
      <c r="F151" s="15"/>
      <c r="G151" s="55">
        <f>SUM('Research Area'!G151+'Research Cyberinfrastructure'!G151+'EA &amp; Seed Funding'!G151+'Partnerships &amp; Collaborations'!G151+'Broadening Participation Divers'!G151+'Education Workforce Development'!G151+'Communications &amp; Disseminations'!G151+'Evaluation and Assessment '!G151+'Sustainability Plan'!G151+'Management '!G151)</f>
        <v>0</v>
      </c>
      <c r="H151" s="56">
        <f>SUM('Research Area'!H151+'Research Cyberinfrastructure'!H151+'EA &amp; Seed Funding'!H151+'Partnerships &amp; Collaborations'!H151+'Broadening Participation Divers'!H151+'Education Workforce Development'!H151+'Communications &amp; Disseminations'!H151+'Evaluation and Assessment '!H151+'Sustainability Plan'!H151+'Management '!H151)</f>
        <v>0</v>
      </c>
      <c r="I151" s="56">
        <f>SUM(G151:H151)</f>
        <v>0</v>
      </c>
      <c r="J151" s="15"/>
      <c r="K151" s="55">
        <f>SUM('Research Area'!K151+'Research Cyberinfrastructure'!K151+'EA &amp; Seed Funding'!K151+'Partnerships &amp; Collaborations'!K151+'Broadening Participation Divers'!K151+'Education Workforce Development'!K151+'Communications &amp; Disseminations'!K151+'Evaluation and Assessment '!K151+'Sustainability Plan'!K151+'Management '!K151)</f>
        <v>0</v>
      </c>
      <c r="L151" s="56">
        <f>SUM('Research Area'!L151+'Research Cyberinfrastructure'!L151+'EA &amp; Seed Funding'!L151+'Partnerships &amp; Collaborations'!L151+'Broadening Participation Divers'!L151+'Education Workforce Development'!L151+'Communications &amp; Disseminations'!L151+'Evaluation and Assessment '!L151+'Sustainability Plan'!L151+'Management '!L151)</f>
        <v>0</v>
      </c>
      <c r="M151" s="56">
        <f>SUM(K151:L151)</f>
        <v>0</v>
      </c>
      <c r="N151" s="15"/>
      <c r="O151" s="55">
        <f>SUM('Research Area'!O151+'Research Cyberinfrastructure'!O151+'EA &amp; Seed Funding'!O151+'Partnerships &amp; Collaborations'!O151+'Broadening Participation Divers'!O151+'Education Workforce Development'!O151+'Communications &amp; Disseminations'!O151+'Evaluation and Assessment '!O151+'Sustainability Plan'!O151+'Management '!O151)</f>
        <v>0</v>
      </c>
      <c r="P151" s="56">
        <f>SUM('Research Area'!P151+'Research Cyberinfrastructure'!P151+'EA &amp; Seed Funding'!P151+'Partnerships &amp; Collaborations'!P151+'Broadening Participation Divers'!P151+'Education Workforce Development'!P151+'Communications &amp; Disseminations'!P151+'Evaluation and Assessment '!P151+'Sustainability Plan'!P151+'Management '!P151)</f>
        <v>0</v>
      </c>
      <c r="Q151" s="56">
        <f>SUM(O151:P151)</f>
        <v>0</v>
      </c>
      <c r="R151" s="15"/>
      <c r="S151" s="55">
        <f>SUM('Research Area'!S151+'Research Cyberinfrastructure'!S151+'EA &amp; Seed Funding'!S151+'Partnerships &amp; Collaborations'!S151+'Broadening Participation Divers'!S151+'Education Workforce Development'!S151+'Communications &amp; Disseminations'!S151+'Evaluation and Assessment '!S151+'Sustainability Plan'!S151+'Management '!S151)</f>
        <v>0</v>
      </c>
      <c r="T151" s="56">
        <f>SUM('Research Area'!T151+'Research Cyberinfrastructure'!T151+'EA &amp; Seed Funding'!T151+'Partnerships &amp; Collaborations'!T151+'Broadening Participation Divers'!T151+'Education Workforce Development'!T151+'Communications &amp; Disseminations'!T151+'Evaluation and Assessment '!T151+'Sustainability Plan'!T151+'Management '!T151)</f>
        <v>0</v>
      </c>
      <c r="U151" s="56">
        <f>SUM(S151:T151)</f>
        <v>0</v>
      </c>
      <c r="V151" s="16"/>
      <c r="W151" s="55">
        <f>SUM('Research Area'!W151+'Research Cyberinfrastructure'!W151+'EA &amp; Seed Funding'!W151+'Partnerships &amp; Collaborations'!W151+'Broadening Participation Divers'!W151+'Education Workforce Development'!W151+'Communications &amp; Disseminations'!W151+'Evaluation and Assessment '!W151+'Sustainability Plan'!W151+'Management '!W151)</f>
        <v>0</v>
      </c>
      <c r="X151" s="56">
        <f>SUM('Research Area'!X151+'Research Cyberinfrastructure'!X151+'EA &amp; Seed Funding'!X151+'Partnerships &amp; Collaborations'!X151+'Broadening Participation Divers'!X151+'Education Workforce Development'!X151+'Communications &amp; Disseminations'!X151+'Evaluation and Assessment '!X151+'Sustainability Plan'!X151+'Management '!X151)</f>
        <v>0</v>
      </c>
      <c r="Y151" s="56">
        <f>SUM(W151:X151)</f>
        <v>0</v>
      </c>
    </row>
    <row r="152" spans="1:77" s="11" customFormat="1" x14ac:dyDescent="0.25">
      <c r="A152" s="13"/>
      <c r="B152" s="13"/>
      <c r="C152" s="124">
        <f>SUM('Research Area'!C152+'Research Cyberinfrastructure'!C152+'EA &amp; Seed Funding'!C152+'Partnerships &amp; Collaborations'!C152+'Broadening Participation Divers'!C152+'Education Workforce Development'!C152+'Communications &amp; Disseminations'!C152+'Evaluation and Assessment '!C152+'Sustainability Plan'!C152+'Management '!C152)</f>
        <v>0</v>
      </c>
      <c r="D152" s="56">
        <f>SUM('Research Area'!D152+'Research Cyberinfrastructure'!D152+'EA &amp; Seed Funding'!D152+'Partnerships &amp; Collaborations'!D152+'Broadening Participation Divers'!D152+'Education Workforce Development'!D152+'Communications &amp; Disseminations'!D152+'Evaluation and Assessment '!D152+'Sustainability Plan'!D152+'Management '!D152)</f>
        <v>0</v>
      </c>
      <c r="E152" s="56">
        <f t="shared" ref="E152:E154" si="73">SUM(C152:D152)</f>
        <v>0</v>
      </c>
      <c r="F152" s="15"/>
      <c r="G152" s="55">
        <f>SUM('Research Area'!G152+'Research Cyberinfrastructure'!G152+'EA &amp; Seed Funding'!G152+'Partnerships &amp; Collaborations'!G152+'Broadening Participation Divers'!G152+'Education Workforce Development'!G152+'Communications &amp; Disseminations'!G152+'Evaluation and Assessment '!G152+'Sustainability Plan'!G152+'Management '!G152)</f>
        <v>16603</v>
      </c>
      <c r="H152" s="56">
        <f>SUM('Research Area'!H152+'Research Cyberinfrastructure'!H152+'EA &amp; Seed Funding'!H152+'Partnerships &amp; Collaborations'!H152+'Broadening Participation Divers'!H152+'Education Workforce Development'!H152+'Communications &amp; Disseminations'!H152+'Evaluation and Assessment '!H152+'Sustainability Plan'!H152+'Management '!H152)</f>
        <v>0</v>
      </c>
      <c r="I152" s="56">
        <f t="shared" ref="I152:I154" si="74">SUM(G152:H152)</f>
        <v>16603</v>
      </c>
      <c r="J152" s="15"/>
      <c r="K152" s="55">
        <f>SUM('Research Area'!K152+'Research Cyberinfrastructure'!K152+'EA &amp; Seed Funding'!K152+'Partnerships &amp; Collaborations'!K152+'Broadening Participation Divers'!K152+'Education Workforce Development'!K152+'Communications &amp; Disseminations'!K152+'Evaluation and Assessment '!K152+'Sustainability Plan'!K152+'Management '!K152)</f>
        <v>18263.300000000003</v>
      </c>
      <c r="L152" s="56">
        <f>SUM('Research Area'!L152+'Research Cyberinfrastructure'!L152+'EA &amp; Seed Funding'!L152+'Partnerships &amp; Collaborations'!L152+'Broadening Participation Divers'!L152+'Education Workforce Development'!L152+'Communications &amp; Disseminations'!L152+'Evaluation and Assessment '!L152+'Sustainability Plan'!L152+'Management '!L152)</f>
        <v>0</v>
      </c>
      <c r="M152" s="56">
        <f t="shared" ref="M152:M154" si="75">SUM(K152:L152)</f>
        <v>18263.300000000003</v>
      </c>
      <c r="N152" s="15"/>
      <c r="O152" s="55">
        <f>SUM('Research Area'!O152+'Research Cyberinfrastructure'!O152+'EA &amp; Seed Funding'!O152+'Partnerships &amp; Collaborations'!O152+'Broadening Participation Divers'!O152+'Education Workforce Development'!O152+'Communications &amp; Disseminations'!O152+'Evaluation and Assessment '!O152+'Sustainability Plan'!O152+'Management '!O152)</f>
        <v>6688.880000000001</v>
      </c>
      <c r="P152" s="56">
        <f>SUM('Research Area'!P152+'Research Cyberinfrastructure'!P152+'EA &amp; Seed Funding'!P152+'Partnerships &amp; Collaborations'!P152+'Broadening Participation Divers'!P152+'Education Workforce Development'!P152+'Communications &amp; Disseminations'!P152+'Evaluation and Assessment '!P152+'Sustainability Plan'!P152+'Management '!P152)</f>
        <v>0</v>
      </c>
      <c r="Q152" s="56">
        <f t="shared" ref="Q152:Q154" si="76">SUM(O152:P152)</f>
        <v>6688.880000000001</v>
      </c>
      <c r="R152" s="15"/>
      <c r="S152" s="55">
        <f>SUM('Research Area'!S152+'Research Cyberinfrastructure'!S152+'EA &amp; Seed Funding'!S152+'Partnerships &amp; Collaborations'!S152+'Broadening Participation Divers'!S152+'Education Workforce Development'!S152+'Communications &amp; Disseminations'!S152+'Evaluation and Assessment '!S152+'Sustainability Plan'!S152+'Management '!S152)</f>
        <v>7357.7680000000018</v>
      </c>
      <c r="T152" s="56">
        <f>SUM('Research Area'!T152+'Research Cyberinfrastructure'!T152+'EA &amp; Seed Funding'!T152+'Partnerships &amp; Collaborations'!T152+'Broadening Participation Divers'!T152+'Education Workforce Development'!T152+'Communications &amp; Disseminations'!T152+'Evaluation and Assessment '!T152+'Sustainability Plan'!T152+'Management '!T152)</f>
        <v>0</v>
      </c>
      <c r="U152" s="56">
        <f t="shared" ref="U152:U154" si="77">SUM(S152:T152)</f>
        <v>7357.7680000000018</v>
      </c>
      <c r="V152" s="16"/>
      <c r="W152" s="55">
        <f>SUM('Research Area'!W152+'Research Cyberinfrastructure'!W152+'EA &amp; Seed Funding'!W152+'Partnerships &amp; Collaborations'!W152+'Broadening Participation Divers'!W152+'Education Workforce Development'!W152+'Communications &amp; Disseminations'!W152+'Evaluation and Assessment '!W152+'Sustainability Plan'!W152+'Management '!W152)</f>
        <v>48912.948000000004</v>
      </c>
      <c r="X152" s="56">
        <f>SUM('Research Area'!X152+'Research Cyberinfrastructure'!X152+'EA &amp; Seed Funding'!X152+'Partnerships &amp; Collaborations'!X152+'Broadening Participation Divers'!X152+'Education Workforce Development'!X152+'Communications &amp; Disseminations'!X152+'Evaluation and Assessment '!X152+'Sustainability Plan'!X152+'Management '!X152)</f>
        <v>0</v>
      </c>
      <c r="Y152" s="56">
        <f>SUM(W152:X152)</f>
        <v>48912.948000000004</v>
      </c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</row>
    <row r="153" spans="1:77" s="11" customFormat="1" x14ac:dyDescent="0.25">
      <c r="A153" s="13"/>
      <c r="B153" s="13"/>
      <c r="C153" s="124">
        <f>SUM('Research Area'!C153+'Research Cyberinfrastructure'!C153+'EA &amp; Seed Funding'!C153+'Partnerships &amp; Collaborations'!C153+'Broadening Participation Divers'!C153+'Education Workforce Development'!C153+'Communications &amp; Disseminations'!C153+'Evaluation and Assessment '!C153+'Sustainability Plan'!C153+'Management '!C153)</f>
        <v>0</v>
      </c>
      <c r="D153" s="56">
        <f>SUM('Research Area'!D153+'Research Cyberinfrastructure'!D153+'EA &amp; Seed Funding'!D153+'Partnerships &amp; Collaborations'!D153+'Broadening Participation Divers'!D153+'Education Workforce Development'!D153+'Communications &amp; Disseminations'!D153+'Evaluation and Assessment '!D153+'Sustainability Plan'!D153+'Management '!D153)</f>
        <v>0</v>
      </c>
      <c r="E153" s="56">
        <f t="shared" si="73"/>
        <v>0</v>
      </c>
      <c r="F153" s="15"/>
      <c r="G153" s="55">
        <f>SUM('Research Area'!G153+'Research Cyberinfrastructure'!G153+'EA &amp; Seed Funding'!G153+'Partnerships &amp; Collaborations'!G153+'Broadening Participation Divers'!G153+'Education Workforce Development'!G153+'Communications &amp; Disseminations'!G153+'Evaluation and Assessment '!G153+'Sustainability Plan'!G153+'Management '!G153)</f>
        <v>25000</v>
      </c>
      <c r="H153" s="56">
        <f>SUM('Research Area'!H153+'Research Cyberinfrastructure'!H153+'EA &amp; Seed Funding'!H153+'Partnerships &amp; Collaborations'!H153+'Broadening Participation Divers'!H153+'Education Workforce Development'!H153+'Communications &amp; Disseminations'!H153+'Evaluation and Assessment '!H153+'Sustainability Plan'!H153+'Management '!H153)</f>
        <v>0</v>
      </c>
      <c r="I153" s="56">
        <f t="shared" si="74"/>
        <v>25000</v>
      </c>
      <c r="J153" s="15"/>
      <c r="K153" s="55">
        <f>SUM('Research Area'!K153+'Research Cyberinfrastructure'!K153+'EA &amp; Seed Funding'!K153+'Partnerships &amp; Collaborations'!K153+'Broadening Participation Divers'!K153+'Education Workforce Development'!K153+'Communications &amp; Disseminations'!K153+'Evaluation and Assessment '!K153+'Sustainability Plan'!K153+'Management '!K153)</f>
        <v>25000</v>
      </c>
      <c r="L153" s="56">
        <f>SUM('Research Area'!L153+'Research Cyberinfrastructure'!L153+'EA &amp; Seed Funding'!L153+'Partnerships &amp; Collaborations'!L153+'Broadening Participation Divers'!L153+'Education Workforce Development'!L153+'Communications &amp; Disseminations'!L153+'Evaluation and Assessment '!L153+'Sustainability Plan'!L153+'Management '!L153)</f>
        <v>0</v>
      </c>
      <c r="M153" s="56">
        <f t="shared" si="75"/>
        <v>25000</v>
      </c>
      <c r="N153" s="15"/>
      <c r="O153" s="55">
        <f>SUM('Research Area'!O153+'Research Cyberinfrastructure'!O153+'EA &amp; Seed Funding'!O153+'Partnerships &amp; Collaborations'!O153+'Broadening Participation Divers'!O153+'Education Workforce Development'!O153+'Communications &amp; Disseminations'!O153+'Evaluation and Assessment '!O153+'Sustainability Plan'!O153+'Management '!O153)</f>
        <v>25000</v>
      </c>
      <c r="P153" s="56">
        <f>SUM('Research Area'!P153+'Research Cyberinfrastructure'!P153+'EA &amp; Seed Funding'!P153+'Partnerships &amp; Collaborations'!P153+'Broadening Participation Divers'!P153+'Education Workforce Development'!P153+'Communications &amp; Disseminations'!P153+'Evaluation and Assessment '!P153+'Sustainability Plan'!P153+'Management '!P153)</f>
        <v>0</v>
      </c>
      <c r="Q153" s="56">
        <f t="shared" si="76"/>
        <v>25000</v>
      </c>
      <c r="R153" s="15"/>
      <c r="S153" s="55">
        <f>SUM('Research Area'!S153+'Research Cyberinfrastructure'!S153+'EA &amp; Seed Funding'!S153+'Partnerships &amp; Collaborations'!S153+'Broadening Participation Divers'!S153+'Education Workforce Development'!S153+'Communications &amp; Disseminations'!S153+'Evaluation and Assessment '!S153+'Sustainability Plan'!S153+'Management '!S153)</f>
        <v>25000</v>
      </c>
      <c r="T153" s="56">
        <f>SUM('Research Area'!T153+'Research Cyberinfrastructure'!T153+'EA &amp; Seed Funding'!T153+'Partnerships &amp; Collaborations'!T153+'Broadening Participation Divers'!T153+'Education Workforce Development'!T153+'Communications &amp; Disseminations'!T153+'Evaluation and Assessment '!T153+'Sustainability Plan'!T153+'Management '!T153)</f>
        <v>0</v>
      </c>
      <c r="U153" s="56">
        <f t="shared" si="77"/>
        <v>25000</v>
      </c>
      <c r="V153" s="16"/>
      <c r="W153" s="55">
        <f>SUM('Research Area'!W153+'Research Cyberinfrastructure'!W153+'EA &amp; Seed Funding'!W153+'Partnerships &amp; Collaborations'!W153+'Broadening Participation Divers'!W153+'Education Workforce Development'!W153+'Communications &amp; Disseminations'!W153+'Evaluation and Assessment '!W153+'Sustainability Plan'!W153+'Management '!W153)</f>
        <v>100000</v>
      </c>
      <c r="X153" s="56">
        <f>SUM('Research Area'!X153+'Research Cyberinfrastructure'!X153+'EA &amp; Seed Funding'!X153+'Partnerships &amp; Collaborations'!X153+'Broadening Participation Divers'!X153+'Education Workforce Development'!X153+'Communications &amp; Disseminations'!X153+'Evaluation and Assessment '!X153+'Sustainability Plan'!X153+'Management '!X153)</f>
        <v>0</v>
      </c>
      <c r="Y153" s="56">
        <f>SUM(W153:X153)</f>
        <v>100000</v>
      </c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</row>
    <row r="154" spans="1:77" x14ac:dyDescent="0.25">
      <c r="A154" s="13"/>
      <c r="B154" s="13"/>
      <c r="C154" s="124">
        <f>SUM('Research Area'!C154+'Research Cyberinfrastructure'!C154+'EA &amp; Seed Funding'!C154+'Partnerships &amp; Collaborations'!C154+'Broadening Participation Divers'!C154+'Education Workforce Development'!C154+'Communications &amp; Disseminations'!C154+'Evaluation and Assessment '!C154+'Sustainability Plan'!C154+'Management '!C154)</f>
        <v>0</v>
      </c>
      <c r="D154" s="56">
        <f>SUM('Research Area'!D154+'Research Cyberinfrastructure'!D154+'EA &amp; Seed Funding'!D154+'Partnerships &amp; Collaborations'!D154+'Broadening Participation Divers'!D154+'Education Workforce Development'!D154+'Communications &amp; Disseminations'!D154+'Evaluation and Assessment '!D154+'Sustainability Plan'!D154+'Management '!D154)</f>
        <v>0</v>
      </c>
      <c r="E154" s="56">
        <f t="shared" si="73"/>
        <v>0</v>
      </c>
      <c r="F154" s="15"/>
      <c r="G154" s="55">
        <f>SUM('Research Area'!G154+'Research Cyberinfrastructure'!G154+'EA &amp; Seed Funding'!G154+'Partnerships &amp; Collaborations'!G154+'Broadening Participation Divers'!G154+'Education Workforce Development'!G154+'Communications &amp; Disseminations'!G154+'Evaluation and Assessment '!G154+'Sustainability Plan'!G154+'Management '!G154)</f>
        <v>11075</v>
      </c>
      <c r="H154" s="56">
        <f>SUM('Research Area'!H154+'Research Cyberinfrastructure'!H154+'EA &amp; Seed Funding'!H154+'Partnerships &amp; Collaborations'!H154+'Broadening Participation Divers'!H154+'Education Workforce Development'!H154+'Communications &amp; Disseminations'!H154+'Evaluation and Assessment '!H154+'Sustainability Plan'!H154+'Management '!H154)</f>
        <v>0</v>
      </c>
      <c r="I154" s="56">
        <f t="shared" si="74"/>
        <v>11075</v>
      </c>
      <c r="J154" s="15"/>
      <c r="K154" s="55">
        <f>SUM('Research Area'!K154+'Research Cyberinfrastructure'!K154+'EA &amp; Seed Funding'!K154+'Partnerships &amp; Collaborations'!K154+'Broadening Participation Divers'!K154+'Education Workforce Development'!K154+'Communications &amp; Disseminations'!K154+'Evaluation and Assessment '!K154+'Sustainability Plan'!K154+'Management '!K154)</f>
        <v>12182.500000000002</v>
      </c>
      <c r="L154" s="56">
        <f>SUM('Research Area'!L154+'Research Cyberinfrastructure'!L154+'EA &amp; Seed Funding'!L154+'Partnerships &amp; Collaborations'!L154+'Broadening Participation Divers'!L154+'Education Workforce Development'!L154+'Communications &amp; Disseminations'!L154+'Evaluation and Assessment '!L154+'Sustainability Plan'!L154+'Management '!L154)</f>
        <v>0</v>
      </c>
      <c r="M154" s="56">
        <f t="shared" si="75"/>
        <v>12182.500000000002</v>
      </c>
      <c r="N154" s="15"/>
      <c r="O154" s="55">
        <f>SUM('Research Area'!O154+'Research Cyberinfrastructure'!O154+'EA &amp; Seed Funding'!O154+'Partnerships &amp; Collaborations'!O154+'Broadening Participation Divers'!O154+'Education Workforce Development'!O154+'Communications &amp; Disseminations'!O154+'Evaluation and Assessment '!O154+'Sustainability Plan'!O154+'Management '!O154)</f>
        <v>13400.750000000004</v>
      </c>
      <c r="P154" s="56">
        <f>SUM('Research Area'!P154+'Research Cyberinfrastructure'!P154+'EA &amp; Seed Funding'!P154+'Partnerships &amp; Collaborations'!P154+'Broadening Participation Divers'!P154+'Education Workforce Development'!P154+'Communications &amp; Disseminations'!P154+'Evaluation and Assessment '!P154+'Sustainability Plan'!P154+'Management '!P154)</f>
        <v>0</v>
      </c>
      <c r="Q154" s="56">
        <f t="shared" si="76"/>
        <v>13400.750000000004</v>
      </c>
      <c r="R154" s="15"/>
      <c r="S154" s="55">
        <f>SUM('Research Area'!S154+'Research Cyberinfrastructure'!S154+'EA &amp; Seed Funding'!S154+'Partnerships &amp; Collaborations'!S154+'Broadening Participation Divers'!S154+'Education Workforce Development'!S154+'Communications &amp; Disseminations'!S154+'Evaluation and Assessment '!S154+'Sustainability Plan'!S154+'Management '!S154)</f>
        <v>14740.825000000004</v>
      </c>
      <c r="T154" s="56">
        <f>SUM('Research Area'!T154+'Research Cyberinfrastructure'!T154+'EA &amp; Seed Funding'!T154+'Partnerships &amp; Collaborations'!T154+'Broadening Participation Divers'!T154+'Education Workforce Development'!T154+'Communications &amp; Disseminations'!T154+'Evaluation and Assessment '!T154+'Sustainability Plan'!T154+'Management '!T154)</f>
        <v>0</v>
      </c>
      <c r="U154" s="56">
        <f t="shared" si="77"/>
        <v>14740.825000000004</v>
      </c>
      <c r="V154" s="16"/>
      <c r="W154" s="55">
        <f>SUM('Research Area'!W154+'Research Cyberinfrastructure'!W154+'EA &amp; Seed Funding'!W154+'Partnerships &amp; Collaborations'!W154+'Broadening Participation Divers'!W154+'Education Workforce Development'!W154+'Communications &amp; Disseminations'!W154+'Evaluation and Assessment '!W154+'Sustainability Plan'!W154+'Management '!W154)</f>
        <v>51399.075000000004</v>
      </c>
      <c r="X154" s="56">
        <f>SUM('Research Area'!X154+'Research Cyberinfrastructure'!X154+'EA &amp; Seed Funding'!X154+'Partnerships &amp; Collaborations'!X154+'Broadening Participation Divers'!X154+'Education Workforce Development'!X154+'Communications &amp; Disseminations'!X154+'Evaluation and Assessment '!X154+'Sustainability Plan'!X154+'Management '!X154)</f>
        <v>0</v>
      </c>
      <c r="Y154" s="56">
        <f>SUM(W154:X154)</f>
        <v>51399.075000000004</v>
      </c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</row>
    <row r="155" spans="1:77" s="83" customFormat="1" x14ac:dyDescent="0.25">
      <c r="A155" s="78"/>
      <c r="B155" s="78" t="s">
        <v>9</v>
      </c>
      <c r="C155" s="232">
        <f>SUM(C151:C154)</f>
        <v>0</v>
      </c>
      <c r="D155" s="130">
        <f>SUM(D151:D154)</f>
        <v>0</v>
      </c>
      <c r="E155" s="130">
        <f>SUM(E151:E154)</f>
        <v>0</v>
      </c>
      <c r="F155" s="81"/>
      <c r="G155" s="126">
        <f>SUM(G151:G154)</f>
        <v>52678</v>
      </c>
      <c r="H155" s="130">
        <f>SUM(H151:H154)</f>
        <v>0</v>
      </c>
      <c r="I155" s="130">
        <f>SUM(I151:I154)</f>
        <v>52678</v>
      </c>
      <c r="J155" s="81"/>
      <c r="K155" s="126">
        <f>SUM(K151:K154)</f>
        <v>55445.8</v>
      </c>
      <c r="L155" s="130">
        <f>SUM(L151:L154)</f>
        <v>0</v>
      </c>
      <c r="M155" s="130">
        <f>SUM(M151:M154)</f>
        <v>55445.8</v>
      </c>
      <c r="N155" s="81"/>
      <c r="O155" s="126">
        <f>SUM(O151:O154)</f>
        <v>45089.630000000005</v>
      </c>
      <c r="P155" s="130">
        <f>SUM(P151:P154)</f>
        <v>0</v>
      </c>
      <c r="Q155" s="130">
        <f>SUM(Q151:Q154)</f>
        <v>45089.630000000005</v>
      </c>
      <c r="R155" s="81"/>
      <c r="S155" s="126">
        <f>SUM(S151:S154)</f>
        <v>47098.593000000008</v>
      </c>
      <c r="T155" s="130">
        <f>SUM(T151:T154)</f>
        <v>0</v>
      </c>
      <c r="U155" s="130">
        <f>SUM(U151:U154)</f>
        <v>47098.593000000008</v>
      </c>
      <c r="V155" s="82"/>
      <c r="W155" s="126">
        <f>SUM(W151:W154)</f>
        <v>200312.02300000002</v>
      </c>
      <c r="X155" s="130">
        <f>SUM(X151:X154)</f>
        <v>0</v>
      </c>
      <c r="Y155" s="130">
        <f>SUM(Y151:Y154)</f>
        <v>200312.02300000002</v>
      </c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</row>
    <row r="156" spans="1:77" s="77" customFormat="1" x14ac:dyDescent="0.25">
      <c r="A156" s="74" t="s">
        <v>8</v>
      </c>
      <c r="B156" s="74"/>
      <c r="C156" s="212"/>
      <c r="D156" s="212"/>
      <c r="E156" s="212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9"/>
      <c r="W156" s="58"/>
      <c r="X156" s="58"/>
      <c r="Y156" s="58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</row>
    <row r="157" spans="1:77" x14ac:dyDescent="0.25">
      <c r="A157" s="53"/>
      <c r="B157" s="52"/>
      <c r="C157" s="124">
        <f>SUM('Research Area'!C157+'Research Cyberinfrastructure'!C157+'EA &amp; Seed Funding'!C157+'Partnerships &amp; Collaborations'!C157+'Broadening Participation Divers'!C157+'Education Workforce Development'!C157+'Communications &amp; Disseminations'!C157+'Evaluation and Assessment '!C157+'Sustainability Plan'!C157+'Management '!C157)</f>
        <v>0</v>
      </c>
      <c r="D157" s="56">
        <f>SUM('Research Area'!D157+'Research Cyberinfrastructure'!D157+'EA &amp; Seed Funding'!D157+'Partnerships &amp; Collaborations'!D157+'Broadening Participation Divers'!D157+'Education Workforce Development'!D157+'Communications &amp; Disseminations'!D157+'Evaluation and Assessment '!D157+'Sustainability Plan'!D157+'Management '!D157)</f>
        <v>0</v>
      </c>
      <c r="E157" s="56">
        <f>SUM(C157:D157)</f>
        <v>0</v>
      </c>
      <c r="F157" s="15"/>
      <c r="G157" s="55">
        <f>SUM('Research Area'!G157+'Research Cyberinfrastructure'!G157+'EA &amp; Seed Funding'!G157+'Partnerships &amp; Collaborations'!G157+'Broadening Participation Divers'!G157+'Education Workforce Development'!G157+'Communications &amp; Disseminations'!G157+'Evaluation and Assessment '!G157+'Sustainability Plan'!G157+'Management '!G157)</f>
        <v>0</v>
      </c>
      <c r="H157" s="56">
        <f>SUM('Research Area'!H157+'Research Cyberinfrastructure'!H157+'EA &amp; Seed Funding'!H157+'Partnerships &amp; Collaborations'!H157+'Broadening Participation Divers'!H157+'Education Workforce Development'!H157+'Communications &amp; Disseminations'!H157+'Evaluation and Assessment '!H157+'Sustainability Plan'!H157+'Management '!H157)</f>
        <v>0</v>
      </c>
      <c r="I157" s="56">
        <f>SUM(G157:H157)</f>
        <v>0</v>
      </c>
      <c r="J157" s="15"/>
      <c r="K157" s="55">
        <f>SUM('Research Area'!K157+'Research Cyberinfrastructure'!K157+'EA &amp; Seed Funding'!K157+'Partnerships &amp; Collaborations'!K157+'Broadening Participation Divers'!K157+'Education Workforce Development'!K157+'Communications &amp; Disseminations'!K157+'Evaluation and Assessment '!K157+'Sustainability Plan'!K157+'Management '!K157)</f>
        <v>33000</v>
      </c>
      <c r="L157" s="56">
        <f>SUM('Research Area'!L157+'Research Cyberinfrastructure'!L157+'EA &amp; Seed Funding'!L157+'Partnerships &amp; Collaborations'!L157+'Broadening Participation Divers'!L157+'Education Workforce Development'!L157+'Communications &amp; Disseminations'!L157+'Evaluation and Assessment '!L157+'Sustainability Plan'!L157+'Management '!L157)</f>
        <v>0</v>
      </c>
      <c r="M157" s="56">
        <f>SUM(K157:L157)</f>
        <v>33000</v>
      </c>
      <c r="N157" s="15"/>
      <c r="O157" s="55">
        <f>SUM('Research Area'!O157+'Research Cyberinfrastructure'!O157+'EA &amp; Seed Funding'!O157+'Partnerships &amp; Collaborations'!O157+'Broadening Participation Divers'!O157+'Education Workforce Development'!O157+'Communications &amp; Disseminations'!O157+'Evaluation and Assessment '!O157+'Sustainability Plan'!O157+'Management '!O157)</f>
        <v>0</v>
      </c>
      <c r="P157" s="56">
        <f>SUM('Research Area'!P157+'Research Cyberinfrastructure'!P157+'EA &amp; Seed Funding'!P157+'Partnerships &amp; Collaborations'!P157+'Broadening Participation Divers'!P157+'Education Workforce Development'!P157+'Communications &amp; Disseminations'!P157+'Evaluation and Assessment '!P157+'Sustainability Plan'!P157+'Management '!P157)</f>
        <v>0</v>
      </c>
      <c r="Q157" s="56">
        <f>SUM(O157:P157)</f>
        <v>0</v>
      </c>
      <c r="R157" s="15"/>
      <c r="S157" s="55">
        <f>SUM('Research Area'!S157+'Research Cyberinfrastructure'!S157+'EA &amp; Seed Funding'!S157+'Partnerships &amp; Collaborations'!S157+'Broadening Participation Divers'!S157+'Education Workforce Development'!S157+'Communications &amp; Disseminations'!S157+'Evaluation and Assessment '!S157+'Sustainability Plan'!S157+'Management '!S157)</f>
        <v>0</v>
      </c>
      <c r="T157" s="56">
        <f>SUM('Research Area'!T157+'Research Cyberinfrastructure'!T157+'EA &amp; Seed Funding'!T157+'Partnerships &amp; Collaborations'!T157+'Broadening Participation Divers'!T157+'Education Workforce Development'!T157+'Communications &amp; Disseminations'!T157+'Evaluation and Assessment '!T157+'Sustainability Plan'!T157+'Management '!T157)</f>
        <v>0</v>
      </c>
      <c r="U157" s="56">
        <f>SUM(S157:T157)</f>
        <v>0</v>
      </c>
      <c r="V157" s="16"/>
      <c r="W157" s="55">
        <f>SUM('Research Area'!W157+'Research Cyberinfrastructure'!W157+'EA &amp; Seed Funding'!W157+'Partnerships &amp; Collaborations'!W157+'Broadening Participation Divers'!W157+'Education Workforce Development'!W157+'Communications &amp; Disseminations'!W157+'Evaluation and Assessment '!W157+'Sustainability Plan'!W157+'Management '!W157)</f>
        <v>33000</v>
      </c>
      <c r="X157" s="56">
        <f>SUM('Research Area'!X157+'Research Cyberinfrastructure'!X157+'EA &amp; Seed Funding'!X157+'Partnerships &amp; Collaborations'!X157+'Broadening Participation Divers'!X157+'Education Workforce Development'!X157+'Communications &amp; Disseminations'!X157+'Evaluation and Assessment '!X157+'Sustainability Plan'!X157+'Management '!X157)</f>
        <v>0</v>
      </c>
      <c r="Y157" s="56">
        <f>SUM(W157:X157)</f>
        <v>33000</v>
      </c>
    </row>
    <row r="158" spans="1:77" x14ac:dyDescent="0.25">
      <c r="A158" s="23"/>
      <c r="B158" s="17"/>
      <c r="C158" s="124">
        <f>SUM('Research Area'!C158+'Research Cyberinfrastructure'!C158+'EA &amp; Seed Funding'!C158+'Partnerships &amp; Collaborations'!C158+'Broadening Participation Divers'!C158+'Education Workforce Development'!C158+'Communications &amp; Disseminations'!C158+'Evaluation and Assessment '!C158+'Sustainability Plan'!C158+'Management '!C158)</f>
        <v>13047</v>
      </c>
      <c r="D158" s="56">
        <f>SUM('Research Area'!D158+'Research Cyberinfrastructure'!D158+'EA &amp; Seed Funding'!D158+'Partnerships &amp; Collaborations'!D158+'Broadening Participation Divers'!D158+'Education Workforce Development'!D158+'Communications &amp; Disseminations'!D158+'Evaluation and Assessment '!D158+'Sustainability Plan'!D158+'Management '!D158)</f>
        <v>0</v>
      </c>
      <c r="E158" s="56">
        <f t="shared" ref="E158:E172" si="78">SUM(C158:D158)</f>
        <v>13047</v>
      </c>
      <c r="F158" s="15"/>
      <c r="G158" s="55">
        <f>SUM('Research Area'!G158+'Research Cyberinfrastructure'!G158+'EA &amp; Seed Funding'!G158+'Partnerships &amp; Collaborations'!G158+'Broadening Participation Divers'!G158+'Education Workforce Development'!G158+'Communications &amp; Disseminations'!G158+'Evaluation and Assessment '!G158+'Sustainability Plan'!G158+'Management '!G158)</f>
        <v>33547</v>
      </c>
      <c r="H158" s="56">
        <f>SUM('Research Area'!H158+'Research Cyberinfrastructure'!H158+'EA &amp; Seed Funding'!H158+'Partnerships &amp; Collaborations'!H158+'Broadening Participation Divers'!H158+'Education Workforce Development'!H158+'Communications &amp; Disseminations'!H158+'Evaluation and Assessment '!H158+'Sustainability Plan'!H158+'Management '!H158)</f>
        <v>0</v>
      </c>
      <c r="I158" s="56">
        <f t="shared" ref="I158:I172" si="79">SUM(G158:H158)</f>
        <v>33547</v>
      </c>
      <c r="J158" s="15"/>
      <c r="K158" s="55">
        <f>SUM('Research Area'!K158+'Research Cyberinfrastructure'!K158+'EA &amp; Seed Funding'!K158+'Partnerships &amp; Collaborations'!K158+'Broadening Participation Divers'!K158+'Education Workforce Development'!K158+'Communications &amp; Disseminations'!K158+'Evaluation and Assessment '!K158+'Sustainability Plan'!K158+'Management '!K158)</f>
        <v>48547</v>
      </c>
      <c r="L158" s="56">
        <f>SUM('Research Area'!L158+'Research Cyberinfrastructure'!L158+'EA &amp; Seed Funding'!L158+'Partnerships &amp; Collaborations'!L158+'Broadening Participation Divers'!L158+'Education Workforce Development'!L158+'Communications &amp; Disseminations'!L158+'Evaluation and Assessment '!L158+'Sustainability Plan'!L158+'Management '!L158)</f>
        <v>0</v>
      </c>
      <c r="M158" s="56">
        <f t="shared" ref="M158:M172" si="80">SUM(K158:L158)</f>
        <v>48547</v>
      </c>
      <c r="N158" s="15"/>
      <c r="O158" s="55">
        <f>SUM('Research Area'!O158+'Research Cyberinfrastructure'!O158+'EA &amp; Seed Funding'!O158+'Partnerships &amp; Collaborations'!O158+'Broadening Participation Divers'!O158+'Education Workforce Development'!O158+'Communications &amp; Disseminations'!O158+'Evaluation and Assessment '!O158+'Sustainability Plan'!O158+'Management '!O158)</f>
        <v>15547</v>
      </c>
      <c r="P158" s="56">
        <f>SUM('Research Area'!P158+'Research Cyberinfrastructure'!P158+'EA &amp; Seed Funding'!P158+'Partnerships &amp; Collaborations'!P158+'Broadening Participation Divers'!P158+'Education Workforce Development'!P158+'Communications &amp; Disseminations'!P158+'Evaluation and Assessment '!P158+'Sustainability Plan'!P158+'Management '!P158)</f>
        <v>0</v>
      </c>
      <c r="Q158" s="56">
        <f t="shared" ref="Q158:Q172" si="81">SUM(O158:P158)</f>
        <v>15547</v>
      </c>
      <c r="R158" s="15"/>
      <c r="S158" s="55">
        <f>SUM('Research Area'!S158+'Research Cyberinfrastructure'!S158+'EA &amp; Seed Funding'!S158+'Partnerships &amp; Collaborations'!S158+'Broadening Participation Divers'!S158+'Education Workforce Development'!S158+'Communications &amp; Disseminations'!S158+'Evaluation and Assessment '!S158+'Sustainability Plan'!S158+'Management '!S158)</f>
        <v>15547</v>
      </c>
      <c r="T158" s="56">
        <f>SUM('Research Area'!T158+'Research Cyberinfrastructure'!T158+'EA &amp; Seed Funding'!T158+'Partnerships &amp; Collaborations'!T158+'Broadening Participation Divers'!T158+'Education Workforce Development'!T158+'Communications &amp; Disseminations'!T158+'Evaluation and Assessment '!T158+'Sustainability Plan'!T158+'Management '!T158)</f>
        <v>0</v>
      </c>
      <c r="U158" s="56">
        <f t="shared" ref="U158:U172" si="82">SUM(S158:T158)</f>
        <v>15547</v>
      </c>
      <c r="V158" s="16"/>
      <c r="W158" s="55">
        <f>SUM('Research Area'!W158+'Research Cyberinfrastructure'!W158+'EA &amp; Seed Funding'!W158+'Partnerships &amp; Collaborations'!W158+'Broadening Participation Divers'!W158+'Education Workforce Development'!W158+'Communications &amp; Disseminations'!W158+'Evaluation and Assessment '!W158+'Sustainability Plan'!W158+'Management '!W158)</f>
        <v>126235</v>
      </c>
      <c r="X158" s="56">
        <f>SUM('Research Area'!X158+'Research Cyberinfrastructure'!X158+'EA &amp; Seed Funding'!X158+'Partnerships &amp; Collaborations'!X158+'Broadening Participation Divers'!X158+'Education Workforce Development'!X158+'Communications &amp; Disseminations'!X158+'Evaluation and Assessment '!X158+'Sustainability Plan'!X158+'Management '!X158)</f>
        <v>0</v>
      </c>
      <c r="Y158" s="56">
        <f t="shared" ref="Y158:Y172" si="83">SUM(W158:X158)</f>
        <v>126235</v>
      </c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</row>
    <row r="159" spans="1:77" x14ac:dyDescent="0.25">
      <c r="A159" s="17"/>
      <c r="B159" s="17"/>
      <c r="C159" s="124">
        <f>SUM('Research Area'!C159+'Research Cyberinfrastructure'!C159+'EA &amp; Seed Funding'!C159+'Partnerships &amp; Collaborations'!C159+'Broadening Participation Divers'!C159+'Education Workforce Development'!C159+'Communications &amp; Disseminations'!C159+'Evaluation and Assessment '!C159+'Sustainability Plan'!C159+'Management '!C159)</f>
        <v>0</v>
      </c>
      <c r="D159" s="56">
        <f>SUM('Research Area'!D159+'Research Cyberinfrastructure'!D159+'EA &amp; Seed Funding'!D159+'Partnerships &amp; Collaborations'!D159+'Broadening Participation Divers'!D159+'Education Workforce Development'!D159+'Communications &amp; Disseminations'!D159+'Evaluation and Assessment '!D159+'Sustainability Plan'!D159+'Management '!D159)</f>
        <v>0</v>
      </c>
      <c r="E159" s="56">
        <f t="shared" si="78"/>
        <v>0</v>
      </c>
      <c r="F159" s="15"/>
      <c r="G159" s="55">
        <f>SUM('Research Area'!G159+'Research Cyberinfrastructure'!G159+'EA &amp; Seed Funding'!G159+'Partnerships &amp; Collaborations'!G159+'Broadening Participation Divers'!G159+'Education Workforce Development'!G159+'Communications &amp; Disseminations'!G159+'Evaluation and Assessment '!G159+'Sustainability Plan'!G159+'Management '!G159)</f>
        <v>45000</v>
      </c>
      <c r="H159" s="56">
        <f>SUM('Research Area'!H159+'Research Cyberinfrastructure'!H159+'EA &amp; Seed Funding'!H159+'Partnerships &amp; Collaborations'!H159+'Broadening Participation Divers'!H159+'Education Workforce Development'!H159+'Communications &amp; Disseminations'!H159+'Evaluation and Assessment '!H159+'Sustainability Plan'!H159+'Management '!H159)</f>
        <v>0</v>
      </c>
      <c r="I159" s="56">
        <f t="shared" si="79"/>
        <v>45000</v>
      </c>
      <c r="J159" s="15"/>
      <c r="K159" s="55">
        <f>SUM('Research Area'!K159+'Research Cyberinfrastructure'!K159+'EA &amp; Seed Funding'!K159+'Partnerships &amp; Collaborations'!K159+'Broadening Participation Divers'!K159+'Education Workforce Development'!K159+'Communications &amp; Disseminations'!K159+'Evaluation and Assessment '!K159+'Sustainability Plan'!K159+'Management '!K159)</f>
        <v>33000</v>
      </c>
      <c r="L159" s="56">
        <f>SUM('Research Area'!L159+'Research Cyberinfrastructure'!L159+'EA &amp; Seed Funding'!L159+'Partnerships &amp; Collaborations'!L159+'Broadening Participation Divers'!L159+'Education Workforce Development'!L159+'Communications &amp; Disseminations'!L159+'Evaluation and Assessment '!L159+'Sustainability Plan'!L159+'Management '!L159)</f>
        <v>0</v>
      </c>
      <c r="M159" s="56">
        <f t="shared" si="80"/>
        <v>33000</v>
      </c>
      <c r="N159" s="15"/>
      <c r="O159" s="55">
        <f>SUM('Research Area'!O159+'Research Cyberinfrastructure'!O159+'EA &amp; Seed Funding'!O159+'Partnerships &amp; Collaborations'!O159+'Broadening Participation Divers'!O159+'Education Workforce Development'!O159+'Communications &amp; Disseminations'!O159+'Evaluation and Assessment '!O159+'Sustainability Plan'!O159+'Management '!O159)</f>
        <v>5000</v>
      </c>
      <c r="P159" s="56">
        <f>SUM('Research Area'!P159+'Research Cyberinfrastructure'!P159+'EA &amp; Seed Funding'!P159+'Partnerships &amp; Collaborations'!P159+'Broadening Participation Divers'!P159+'Education Workforce Development'!P159+'Communications &amp; Disseminations'!P159+'Evaluation and Assessment '!P159+'Sustainability Plan'!P159+'Management '!P159)</f>
        <v>0</v>
      </c>
      <c r="Q159" s="56">
        <f t="shared" si="81"/>
        <v>5000</v>
      </c>
      <c r="R159" s="15"/>
      <c r="S159" s="55">
        <f>SUM('Research Area'!S159+'Research Cyberinfrastructure'!S159+'EA &amp; Seed Funding'!S159+'Partnerships &amp; Collaborations'!S159+'Broadening Participation Divers'!S159+'Education Workforce Development'!S159+'Communications &amp; Disseminations'!S159+'Evaluation and Assessment '!S159+'Sustainability Plan'!S159+'Management '!S159)</f>
        <v>40000</v>
      </c>
      <c r="T159" s="56">
        <f>SUM('Research Area'!T159+'Research Cyberinfrastructure'!T159+'EA &amp; Seed Funding'!T159+'Partnerships &amp; Collaborations'!T159+'Broadening Participation Divers'!T159+'Education Workforce Development'!T159+'Communications &amp; Disseminations'!T159+'Evaluation and Assessment '!T159+'Sustainability Plan'!T159+'Management '!T159)</f>
        <v>0</v>
      </c>
      <c r="U159" s="56">
        <f t="shared" si="82"/>
        <v>40000</v>
      </c>
      <c r="V159" s="16"/>
      <c r="W159" s="55">
        <f>SUM('Research Area'!W159+'Research Cyberinfrastructure'!W159+'EA &amp; Seed Funding'!W159+'Partnerships &amp; Collaborations'!W159+'Broadening Participation Divers'!W159+'Education Workforce Development'!W159+'Communications &amp; Disseminations'!W159+'Evaluation and Assessment '!W159+'Sustainability Plan'!W159+'Management '!W159)</f>
        <v>123000</v>
      </c>
      <c r="X159" s="56">
        <f>SUM('Research Area'!X159+'Research Cyberinfrastructure'!X159+'EA &amp; Seed Funding'!X159+'Partnerships &amp; Collaborations'!X159+'Broadening Participation Divers'!X159+'Education Workforce Development'!X159+'Communications &amp; Disseminations'!X159+'Evaluation and Assessment '!X159+'Sustainability Plan'!X159+'Management '!X159)</f>
        <v>0</v>
      </c>
      <c r="Y159" s="56">
        <f t="shared" si="83"/>
        <v>123000</v>
      </c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</row>
    <row r="160" spans="1:77" x14ac:dyDescent="0.25">
      <c r="A160" s="23"/>
      <c r="B160" s="17"/>
      <c r="C160" s="124">
        <f>SUM('Research Area'!C160+'Research Cyberinfrastructure'!C160+'EA &amp; Seed Funding'!C160+'Partnerships &amp; Collaborations'!C160+'Broadening Participation Divers'!C160+'Education Workforce Development'!C160+'Communications &amp; Disseminations'!C160+'Evaluation and Assessment '!C160+'Sustainability Plan'!C160+'Management '!C160)</f>
        <v>1000</v>
      </c>
      <c r="D160" s="56">
        <f>SUM('Research Area'!D160+'Research Cyberinfrastructure'!D160+'EA &amp; Seed Funding'!D160+'Partnerships &amp; Collaborations'!D160+'Broadening Participation Divers'!D160+'Education Workforce Development'!D160+'Communications &amp; Disseminations'!D160+'Evaluation and Assessment '!D160+'Sustainability Plan'!D160+'Management '!D160)</f>
        <v>0</v>
      </c>
      <c r="E160" s="56">
        <f t="shared" si="78"/>
        <v>1000</v>
      </c>
      <c r="F160" s="15"/>
      <c r="G160" s="55">
        <f>SUM('Research Area'!G160+'Research Cyberinfrastructure'!G160+'EA &amp; Seed Funding'!G160+'Partnerships &amp; Collaborations'!G160+'Broadening Participation Divers'!G160+'Education Workforce Development'!G160+'Communications &amp; Disseminations'!G160+'Evaluation and Assessment '!G160+'Sustainability Plan'!G160+'Management '!G160)</f>
        <v>16000</v>
      </c>
      <c r="H160" s="56">
        <f>SUM('Research Area'!H160+'Research Cyberinfrastructure'!H160+'EA &amp; Seed Funding'!H160+'Partnerships &amp; Collaborations'!H160+'Broadening Participation Divers'!H160+'Education Workforce Development'!H160+'Communications &amp; Disseminations'!H160+'Evaluation and Assessment '!H160+'Sustainability Plan'!H160+'Management '!H160)</f>
        <v>0</v>
      </c>
      <c r="I160" s="56">
        <f t="shared" si="79"/>
        <v>16000</v>
      </c>
      <c r="J160" s="15"/>
      <c r="K160" s="55">
        <f>SUM('Research Area'!K160+'Research Cyberinfrastructure'!K160+'EA &amp; Seed Funding'!K160+'Partnerships &amp; Collaborations'!K160+'Broadening Participation Divers'!K160+'Education Workforce Development'!K160+'Communications &amp; Disseminations'!K160+'Evaluation and Assessment '!K160+'Sustainability Plan'!K160+'Management '!K160)</f>
        <v>1000</v>
      </c>
      <c r="L160" s="56">
        <f>SUM('Research Area'!L160+'Research Cyberinfrastructure'!L160+'EA &amp; Seed Funding'!L160+'Partnerships &amp; Collaborations'!L160+'Broadening Participation Divers'!L160+'Education Workforce Development'!L160+'Communications &amp; Disseminations'!L160+'Evaluation and Assessment '!L160+'Sustainability Plan'!L160+'Management '!L160)</f>
        <v>0</v>
      </c>
      <c r="M160" s="56">
        <f t="shared" si="80"/>
        <v>1000</v>
      </c>
      <c r="N160" s="15"/>
      <c r="O160" s="55">
        <f>SUM('Research Area'!O160+'Research Cyberinfrastructure'!O160+'EA &amp; Seed Funding'!O160+'Partnerships &amp; Collaborations'!O160+'Broadening Participation Divers'!O160+'Education Workforce Development'!O160+'Communications &amp; Disseminations'!O160+'Evaluation and Assessment '!O160+'Sustainability Plan'!O160+'Management '!O160)</f>
        <v>1000</v>
      </c>
      <c r="P160" s="56">
        <f>SUM('Research Area'!P160+'Research Cyberinfrastructure'!P160+'EA &amp; Seed Funding'!P160+'Partnerships &amp; Collaborations'!P160+'Broadening Participation Divers'!P160+'Education Workforce Development'!P160+'Communications &amp; Disseminations'!P160+'Evaluation and Assessment '!P160+'Sustainability Plan'!P160+'Management '!P160)</f>
        <v>0</v>
      </c>
      <c r="Q160" s="56">
        <f t="shared" si="81"/>
        <v>1000</v>
      </c>
      <c r="R160" s="15"/>
      <c r="S160" s="55">
        <f>SUM('Research Area'!S160+'Research Cyberinfrastructure'!S160+'EA &amp; Seed Funding'!S160+'Partnerships &amp; Collaborations'!S160+'Broadening Participation Divers'!S160+'Education Workforce Development'!S160+'Communications &amp; Disseminations'!S160+'Evaluation and Assessment '!S160+'Sustainability Plan'!S160+'Management '!S160)</f>
        <v>1000</v>
      </c>
      <c r="T160" s="56">
        <f>SUM('Research Area'!T160+'Research Cyberinfrastructure'!T160+'EA &amp; Seed Funding'!T160+'Partnerships &amp; Collaborations'!T160+'Broadening Participation Divers'!T160+'Education Workforce Development'!T160+'Communications &amp; Disseminations'!T160+'Evaluation and Assessment '!T160+'Sustainability Plan'!T160+'Management '!T160)</f>
        <v>0</v>
      </c>
      <c r="U160" s="56">
        <f t="shared" si="82"/>
        <v>1000</v>
      </c>
      <c r="V160" s="16"/>
      <c r="W160" s="55">
        <f>SUM('Research Area'!W160+'Research Cyberinfrastructure'!W160+'EA &amp; Seed Funding'!W160+'Partnerships &amp; Collaborations'!W160+'Broadening Participation Divers'!W160+'Education Workforce Development'!W160+'Communications &amp; Disseminations'!W160+'Evaluation and Assessment '!W160+'Sustainability Plan'!W160+'Management '!W160)</f>
        <v>20000</v>
      </c>
      <c r="X160" s="56">
        <f>SUM('Research Area'!X160+'Research Cyberinfrastructure'!X160+'EA &amp; Seed Funding'!X160+'Partnerships &amp; Collaborations'!X160+'Broadening Participation Divers'!X160+'Education Workforce Development'!X160+'Communications &amp; Disseminations'!X160+'Evaluation and Assessment '!X160+'Sustainability Plan'!X160+'Management '!X160)</f>
        <v>0</v>
      </c>
      <c r="Y160" s="56">
        <f t="shared" si="83"/>
        <v>20000</v>
      </c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</row>
    <row r="161" spans="1:77" x14ac:dyDescent="0.25">
      <c r="A161" s="17"/>
      <c r="B161" s="17"/>
      <c r="C161" s="124">
        <f>SUM('Research Area'!C161+'Research Cyberinfrastructure'!C161+'EA &amp; Seed Funding'!C161+'Partnerships &amp; Collaborations'!C161+'Broadening Participation Divers'!C161+'Education Workforce Development'!C161+'Communications &amp; Disseminations'!C161+'Evaluation and Assessment '!C161+'Sustainability Plan'!C161+'Management '!C161)</f>
        <v>7427</v>
      </c>
      <c r="D161" s="56">
        <f>SUM('Research Area'!D161+'Research Cyberinfrastructure'!D161+'EA &amp; Seed Funding'!D161+'Partnerships &amp; Collaborations'!D161+'Broadening Participation Divers'!D161+'Education Workforce Development'!D161+'Communications &amp; Disseminations'!D161+'Evaluation and Assessment '!D161+'Sustainability Plan'!D161+'Management '!D161)</f>
        <v>0</v>
      </c>
      <c r="E161" s="56">
        <f t="shared" si="78"/>
        <v>7427</v>
      </c>
      <c r="F161" s="15"/>
      <c r="G161" s="55">
        <f>SUM('Research Area'!G161+'Research Cyberinfrastructure'!G161+'EA &amp; Seed Funding'!G161+'Partnerships &amp; Collaborations'!G161+'Broadening Participation Divers'!G161+'Education Workforce Development'!G161+'Communications &amp; Disseminations'!G161+'Evaluation and Assessment '!G161+'Sustainability Plan'!G161+'Management '!G161)</f>
        <v>5884</v>
      </c>
      <c r="H161" s="56">
        <f>SUM('Research Area'!H161+'Research Cyberinfrastructure'!H161+'EA &amp; Seed Funding'!H161+'Partnerships &amp; Collaborations'!H161+'Broadening Participation Divers'!H161+'Education Workforce Development'!H161+'Communications &amp; Disseminations'!H161+'Evaluation and Assessment '!H161+'Sustainability Plan'!H161+'Management '!H161)</f>
        <v>0</v>
      </c>
      <c r="I161" s="56">
        <f t="shared" si="79"/>
        <v>5884</v>
      </c>
      <c r="J161" s="15"/>
      <c r="K161" s="55">
        <f>SUM('Research Area'!K161+'Research Cyberinfrastructure'!K161+'EA &amp; Seed Funding'!K161+'Partnerships &amp; Collaborations'!K161+'Broadening Participation Divers'!K161+'Education Workforce Development'!K161+'Communications &amp; Disseminations'!K161+'Evaluation and Assessment '!K161+'Sustainability Plan'!K161+'Management '!K161)</f>
        <v>5884</v>
      </c>
      <c r="L161" s="56">
        <f>SUM('Research Area'!L161+'Research Cyberinfrastructure'!L161+'EA &amp; Seed Funding'!L161+'Partnerships &amp; Collaborations'!L161+'Broadening Participation Divers'!L161+'Education Workforce Development'!L161+'Communications &amp; Disseminations'!L161+'Evaluation and Assessment '!L161+'Sustainability Plan'!L161+'Management '!L161)</f>
        <v>0</v>
      </c>
      <c r="M161" s="56">
        <f t="shared" si="80"/>
        <v>5884</v>
      </c>
      <c r="N161" s="15"/>
      <c r="O161" s="55">
        <f>SUM('Research Area'!O161+'Research Cyberinfrastructure'!O161+'EA &amp; Seed Funding'!O161+'Partnerships &amp; Collaborations'!O161+'Broadening Participation Divers'!O161+'Education Workforce Development'!O161+'Communications &amp; Disseminations'!O161+'Evaluation and Assessment '!O161+'Sustainability Plan'!O161+'Management '!O161)</f>
        <v>5884</v>
      </c>
      <c r="P161" s="56">
        <f>SUM('Research Area'!P161+'Research Cyberinfrastructure'!P161+'EA &amp; Seed Funding'!P161+'Partnerships &amp; Collaborations'!P161+'Broadening Participation Divers'!P161+'Education Workforce Development'!P161+'Communications &amp; Disseminations'!P161+'Evaluation and Assessment '!P161+'Sustainability Plan'!P161+'Management '!P161)</f>
        <v>0</v>
      </c>
      <c r="Q161" s="56">
        <f t="shared" si="81"/>
        <v>5884</v>
      </c>
      <c r="R161" s="15"/>
      <c r="S161" s="55">
        <f>SUM('Research Area'!S161+'Research Cyberinfrastructure'!S161+'EA &amp; Seed Funding'!S161+'Partnerships &amp; Collaborations'!S161+'Broadening Participation Divers'!S161+'Education Workforce Development'!S161+'Communications &amp; Disseminations'!S161+'Evaluation and Assessment '!S161+'Sustainability Plan'!S161+'Management '!S161)</f>
        <v>5884</v>
      </c>
      <c r="T161" s="56">
        <f>SUM('Research Area'!T161+'Research Cyberinfrastructure'!T161+'EA &amp; Seed Funding'!T161+'Partnerships &amp; Collaborations'!T161+'Broadening Participation Divers'!T161+'Education Workforce Development'!T161+'Communications &amp; Disseminations'!T161+'Evaluation and Assessment '!T161+'Sustainability Plan'!T161+'Management '!T161)</f>
        <v>0</v>
      </c>
      <c r="U161" s="56">
        <f t="shared" si="82"/>
        <v>5884</v>
      </c>
      <c r="V161" s="16"/>
      <c r="W161" s="55">
        <f>SUM('Research Area'!W161+'Research Cyberinfrastructure'!W161+'EA &amp; Seed Funding'!W161+'Partnerships &amp; Collaborations'!W161+'Broadening Participation Divers'!W161+'Education Workforce Development'!W161+'Communications &amp; Disseminations'!W161+'Evaluation and Assessment '!W161+'Sustainability Plan'!W161+'Management '!W161)</f>
        <v>30963</v>
      </c>
      <c r="X161" s="56">
        <f>SUM('Research Area'!X161+'Research Cyberinfrastructure'!X161+'EA &amp; Seed Funding'!X161+'Partnerships &amp; Collaborations'!X161+'Broadening Participation Divers'!X161+'Education Workforce Development'!X161+'Communications &amp; Disseminations'!X161+'Evaluation and Assessment '!X161+'Sustainability Plan'!X161+'Management '!X161)</f>
        <v>0</v>
      </c>
      <c r="Y161" s="56">
        <f t="shared" si="83"/>
        <v>30963</v>
      </c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</row>
    <row r="162" spans="1:77" x14ac:dyDescent="0.25">
      <c r="A162" s="17"/>
      <c r="B162" s="17"/>
      <c r="C162" s="124">
        <f>SUM('Research Area'!C162+'Research Cyberinfrastructure'!C162+'EA &amp; Seed Funding'!C162+'Partnerships &amp; Collaborations'!C162+'Broadening Participation Divers'!C162+'Education Workforce Development'!C162+'Communications &amp; Disseminations'!C162+'Evaluation and Assessment '!C162+'Sustainability Plan'!C162+'Management '!C162)</f>
        <v>0</v>
      </c>
      <c r="D162" s="56">
        <f>SUM('Research Area'!D162+'Research Cyberinfrastructure'!D162+'EA &amp; Seed Funding'!D162+'Partnerships &amp; Collaborations'!D162+'Broadening Participation Divers'!D162+'Education Workforce Development'!D162+'Communications &amp; Disseminations'!D162+'Evaluation and Assessment '!D162+'Sustainability Plan'!D162+'Management '!D162)</f>
        <v>0</v>
      </c>
      <c r="E162" s="56">
        <f t="shared" si="78"/>
        <v>0</v>
      </c>
      <c r="F162" s="15"/>
      <c r="G162" s="55">
        <f>SUM('Research Area'!G162+'Research Cyberinfrastructure'!G162+'EA &amp; Seed Funding'!G162+'Partnerships &amp; Collaborations'!G162+'Broadening Participation Divers'!G162+'Education Workforce Development'!G162+'Communications &amp; Disseminations'!G162+'Evaluation and Assessment '!G162+'Sustainability Plan'!G162+'Management '!G162)</f>
        <v>10000</v>
      </c>
      <c r="H162" s="56">
        <f>SUM('Research Area'!H162+'Research Cyberinfrastructure'!H162+'EA &amp; Seed Funding'!H162+'Partnerships &amp; Collaborations'!H162+'Broadening Participation Divers'!H162+'Education Workforce Development'!H162+'Communications &amp; Disseminations'!H162+'Evaluation and Assessment '!H162+'Sustainability Plan'!H162+'Management '!H162)</f>
        <v>0</v>
      </c>
      <c r="I162" s="56">
        <f t="shared" si="79"/>
        <v>10000</v>
      </c>
      <c r="J162" s="15"/>
      <c r="K162" s="55">
        <f>SUM('Research Area'!K162+'Research Cyberinfrastructure'!K162+'EA &amp; Seed Funding'!K162+'Partnerships &amp; Collaborations'!K162+'Broadening Participation Divers'!K162+'Education Workforce Development'!K162+'Communications &amp; Disseminations'!K162+'Evaluation and Assessment '!K162+'Sustainability Plan'!K162+'Management '!K162)</f>
        <v>10000</v>
      </c>
      <c r="L162" s="56">
        <f>SUM('Research Area'!L162+'Research Cyberinfrastructure'!L162+'EA &amp; Seed Funding'!L162+'Partnerships &amp; Collaborations'!L162+'Broadening Participation Divers'!L162+'Education Workforce Development'!L162+'Communications &amp; Disseminations'!L162+'Evaluation and Assessment '!L162+'Sustainability Plan'!L162+'Management '!L162)</f>
        <v>0</v>
      </c>
      <c r="M162" s="56">
        <f t="shared" si="80"/>
        <v>10000</v>
      </c>
      <c r="N162" s="15"/>
      <c r="O162" s="55">
        <f>SUM('Research Area'!O162+'Research Cyberinfrastructure'!O162+'EA &amp; Seed Funding'!O162+'Partnerships &amp; Collaborations'!O162+'Broadening Participation Divers'!O162+'Education Workforce Development'!O162+'Communications &amp; Disseminations'!O162+'Evaluation and Assessment '!O162+'Sustainability Plan'!O162+'Management '!O162)</f>
        <v>10000</v>
      </c>
      <c r="P162" s="56">
        <f>SUM('Research Area'!P162+'Research Cyberinfrastructure'!P162+'EA &amp; Seed Funding'!P162+'Partnerships &amp; Collaborations'!P162+'Broadening Participation Divers'!P162+'Education Workforce Development'!P162+'Communications &amp; Disseminations'!P162+'Evaluation and Assessment '!P162+'Sustainability Plan'!P162+'Management '!P162)</f>
        <v>0</v>
      </c>
      <c r="Q162" s="56">
        <f t="shared" si="81"/>
        <v>10000</v>
      </c>
      <c r="R162" s="15"/>
      <c r="S162" s="55">
        <f>SUM('Research Area'!S162+'Research Cyberinfrastructure'!S162+'EA &amp; Seed Funding'!S162+'Partnerships &amp; Collaborations'!S162+'Broadening Participation Divers'!S162+'Education Workforce Development'!S162+'Communications &amp; Disseminations'!S162+'Evaluation and Assessment '!S162+'Sustainability Plan'!S162+'Management '!S162)</f>
        <v>0</v>
      </c>
      <c r="T162" s="56">
        <f>SUM('Research Area'!T162+'Research Cyberinfrastructure'!T162+'EA &amp; Seed Funding'!T162+'Partnerships &amp; Collaborations'!T162+'Broadening Participation Divers'!T162+'Education Workforce Development'!T162+'Communications &amp; Disseminations'!T162+'Evaluation and Assessment '!T162+'Sustainability Plan'!T162+'Management '!T162)</f>
        <v>0</v>
      </c>
      <c r="U162" s="56">
        <f t="shared" si="82"/>
        <v>0</v>
      </c>
      <c r="V162" s="16"/>
      <c r="W162" s="55">
        <f>SUM('Research Area'!W162+'Research Cyberinfrastructure'!W162+'EA &amp; Seed Funding'!W162+'Partnerships &amp; Collaborations'!W162+'Broadening Participation Divers'!W162+'Education Workforce Development'!W162+'Communications &amp; Disseminations'!W162+'Evaluation and Assessment '!W162+'Sustainability Plan'!W162+'Management '!W162)</f>
        <v>30000</v>
      </c>
      <c r="X162" s="56">
        <f>SUM('Research Area'!X162+'Research Cyberinfrastructure'!X162+'EA &amp; Seed Funding'!X162+'Partnerships &amp; Collaborations'!X162+'Broadening Participation Divers'!X162+'Education Workforce Development'!X162+'Communications &amp; Disseminations'!X162+'Evaluation and Assessment '!X162+'Sustainability Plan'!X162+'Management '!X162)</f>
        <v>0</v>
      </c>
      <c r="Y162" s="56">
        <f t="shared" si="83"/>
        <v>30000</v>
      </c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</row>
    <row r="163" spans="1:77" x14ac:dyDescent="0.25">
      <c r="A163" s="23"/>
      <c r="B163" s="17"/>
      <c r="C163" s="124">
        <f>SUM('Research Area'!C163+'Research Cyberinfrastructure'!C163+'EA &amp; Seed Funding'!C163+'Partnerships &amp; Collaborations'!C163+'Broadening Participation Divers'!C163+'Education Workforce Development'!C163+'Communications &amp; Disseminations'!C163+'Evaluation and Assessment '!C163+'Sustainability Plan'!C163+'Management '!C163)</f>
        <v>0</v>
      </c>
      <c r="D163" s="56">
        <f>SUM('Research Area'!D163+'Research Cyberinfrastructure'!D163+'EA &amp; Seed Funding'!D163+'Partnerships &amp; Collaborations'!D163+'Broadening Participation Divers'!D163+'Education Workforce Development'!D163+'Communications &amp; Disseminations'!D163+'Evaluation and Assessment '!D163+'Sustainability Plan'!D163+'Management '!D163)</f>
        <v>0</v>
      </c>
      <c r="E163" s="56">
        <f t="shared" si="78"/>
        <v>0</v>
      </c>
      <c r="F163" s="15"/>
      <c r="G163" s="55">
        <f>SUM('Research Area'!G163+'Research Cyberinfrastructure'!G163+'EA &amp; Seed Funding'!G163+'Partnerships &amp; Collaborations'!G163+'Broadening Participation Divers'!G163+'Education Workforce Development'!G163+'Communications &amp; Disseminations'!G163+'Evaluation and Assessment '!G163+'Sustainability Plan'!G163+'Management '!G163)</f>
        <v>0</v>
      </c>
      <c r="H163" s="56">
        <f>SUM('Research Area'!H163+'Research Cyberinfrastructure'!H163+'EA &amp; Seed Funding'!H163+'Partnerships &amp; Collaborations'!H163+'Broadening Participation Divers'!H163+'Education Workforce Development'!H163+'Communications &amp; Disseminations'!H163+'Evaluation and Assessment '!H163+'Sustainability Plan'!H163+'Management '!H163)</f>
        <v>0</v>
      </c>
      <c r="I163" s="56">
        <f t="shared" si="79"/>
        <v>0</v>
      </c>
      <c r="J163" s="15"/>
      <c r="K163" s="55">
        <f>SUM('Research Area'!K163+'Research Cyberinfrastructure'!K163+'EA &amp; Seed Funding'!K163+'Partnerships &amp; Collaborations'!K163+'Broadening Participation Divers'!K163+'Education Workforce Development'!K163+'Communications &amp; Disseminations'!K163+'Evaluation and Assessment '!K163+'Sustainability Plan'!K163+'Management '!K163)</f>
        <v>3000</v>
      </c>
      <c r="L163" s="56">
        <f>SUM('Research Area'!L163+'Research Cyberinfrastructure'!L163+'EA &amp; Seed Funding'!L163+'Partnerships &amp; Collaborations'!L163+'Broadening Participation Divers'!L163+'Education Workforce Development'!L163+'Communications &amp; Disseminations'!L163+'Evaluation and Assessment '!L163+'Sustainability Plan'!L163+'Management '!L163)</f>
        <v>0</v>
      </c>
      <c r="M163" s="56">
        <f t="shared" si="80"/>
        <v>3000</v>
      </c>
      <c r="N163" s="15"/>
      <c r="O163" s="55">
        <f>SUM('Research Area'!O163+'Research Cyberinfrastructure'!O163+'EA &amp; Seed Funding'!O163+'Partnerships &amp; Collaborations'!O163+'Broadening Participation Divers'!O163+'Education Workforce Development'!O163+'Communications &amp; Disseminations'!O163+'Evaluation and Assessment '!O163+'Sustainability Plan'!O163+'Management '!O163)</f>
        <v>4000</v>
      </c>
      <c r="P163" s="56">
        <f>SUM('Research Area'!P163+'Research Cyberinfrastructure'!P163+'EA &amp; Seed Funding'!P163+'Partnerships &amp; Collaborations'!P163+'Broadening Participation Divers'!P163+'Education Workforce Development'!P163+'Communications &amp; Disseminations'!P163+'Evaluation and Assessment '!P163+'Sustainability Plan'!P163+'Management '!P163)</f>
        <v>0</v>
      </c>
      <c r="Q163" s="56">
        <f t="shared" si="81"/>
        <v>4000</v>
      </c>
      <c r="R163" s="15"/>
      <c r="S163" s="55">
        <f>SUM('Research Area'!S163+'Research Cyberinfrastructure'!S163+'EA &amp; Seed Funding'!S163+'Partnerships &amp; Collaborations'!S163+'Broadening Participation Divers'!S163+'Education Workforce Development'!S163+'Communications &amp; Disseminations'!S163+'Evaluation and Assessment '!S163+'Sustainability Plan'!S163+'Management '!S163)</f>
        <v>5500</v>
      </c>
      <c r="T163" s="56">
        <f>SUM('Research Area'!T163+'Research Cyberinfrastructure'!T163+'EA &amp; Seed Funding'!T163+'Partnerships &amp; Collaborations'!T163+'Broadening Participation Divers'!T163+'Education Workforce Development'!T163+'Communications &amp; Disseminations'!T163+'Evaluation and Assessment '!T163+'Sustainability Plan'!T163+'Management '!T163)</f>
        <v>0</v>
      </c>
      <c r="U163" s="56">
        <f t="shared" si="82"/>
        <v>5500</v>
      </c>
      <c r="V163" s="16"/>
      <c r="W163" s="55">
        <f>SUM('Research Area'!W163+'Research Cyberinfrastructure'!W163+'EA &amp; Seed Funding'!W163+'Partnerships &amp; Collaborations'!W163+'Broadening Participation Divers'!W163+'Education Workforce Development'!W163+'Communications &amp; Disseminations'!W163+'Evaluation and Assessment '!W163+'Sustainability Plan'!W163+'Management '!W163)</f>
        <v>12500</v>
      </c>
      <c r="X163" s="56">
        <f>SUM('Research Area'!X163+'Research Cyberinfrastructure'!X163+'EA &amp; Seed Funding'!X163+'Partnerships &amp; Collaborations'!X163+'Broadening Participation Divers'!X163+'Education Workforce Development'!X163+'Communications &amp; Disseminations'!X163+'Evaluation and Assessment '!X163+'Sustainability Plan'!X163+'Management '!X163)</f>
        <v>0</v>
      </c>
      <c r="Y163" s="56">
        <f t="shared" si="83"/>
        <v>12500</v>
      </c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</row>
    <row r="164" spans="1:77" x14ac:dyDescent="0.25">
      <c r="A164" s="17"/>
      <c r="B164" s="17"/>
      <c r="C164" s="124">
        <f>SUM('Research Area'!C164+'Research Cyberinfrastructure'!C164+'EA &amp; Seed Funding'!C164+'Partnerships &amp; Collaborations'!C164+'Broadening Participation Divers'!C164+'Education Workforce Development'!C164+'Communications &amp; Disseminations'!C164+'Evaluation and Assessment '!C164+'Sustainability Plan'!C164+'Management '!C164)</f>
        <v>0</v>
      </c>
      <c r="D164" s="56">
        <f>SUM('Research Area'!D164+'Research Cyberinfrastructure'!D164+'EA &amp; Seed Funding'!D164+'Partnerships &amp; Collaborations'!D164+'Broadening Participation Divers'!D164+'Education Workforce Development'!D164+'Communications &amp; Disseminations'!D164+'Evaluation and Assessment '!D164+'Sustainability Plan'!D164+'Management '!D164)</f>
        <v>0</v>
      </c>
      <c r="E164" s="56">
        <f t="shared" si="78"/>
        <v>0</v>
      </c>
      <c r="F164" s="15"/>
      <c r="G164" s="55">
        <f>SUM('Research Area'!G164+'Research Cyberinfrastructure'!G164+'EA &amp; Seed Funding'!G164+'Partnerships &amp; Collaborations'!G164+'Broadening Participation Divers'!G164+'Education Workforce Development'!G164+'Communications &amp; Disseminations'!G164+'Evaluation and Assessment '!G164+'Sustainability Plan'!G164+'Management '!G164)</f>
        <v>10000</v>
      </c>
      <c r="H164" s="56">
        <f>SUM('Research Area'!H164+'Research Cyberinfrastructure'!H164+'EA &amp; Seed Funding'!H164+'Partnerships &amp; Collaborations'!H164+'Broadening Participation Divers'!H164+'Education Workforce Development'!H164+'Communications &amp; Disseminations'!H164+'Evaluation and Assessment '!H164+'Sustainability Plan'!H164+'Management '!H164)</f>
        <v>0</v>
      </c>
      <c r="I164" s="56">
        <f t="shared" si="79"/>
        <v>10000</v>
      </c>
      <c r="J164" s="15"/>
      <c r="K164" s="55">
        <f>SUM('Research Area'!K164+'Research Cyberinfrastructure'!K164+'EA &amp; Seed Funding'!K164+'Partnerships &amp; Collaborations'!K164+'Broadening Participation Divers'!K164+'Education Workforce Development'!K164+'Communications &amp; Disseminations'!K164+'Evaluation and Assessment '!K164+'Sustainability Plan'!K164+'Management '!K164)</f>
        <v>10000</v>
      </c>
      <c r="L164" s="56">
        <f>SUM('Research Area'!L164+'Research Cyberinfrastructure'!L164+'EA &amp; Seed Funding'!L164+'Partnerships &amp; Collaborations'!L164+'Broadening Participation Divers'!L164+'Education Workforce Development'!L164+'Communications &amp; Disseminations'!L164+'Evaluation and Assessment '!L164+'Sustainability Plan'!L164+'Management '!L164)</f>
        <v>0</v>
      </c>
      <c r="M164" s="56">
        <f t="shared" si="80"/>
        <v>10000</v>
      </c>
      <c r="N164" s="15"/>
      <c r="O164" s="55">
        <f>SUM('Research Area'!O164+'Research Cyberinfrastructure'!O164+'EA &amp; Seed Funding'!O164+'Partnerships &amp; Collaborations'!O164+'Broadening Participation Divers'!O164+'Education Workforce Development'!O164+'Communications &amp; Disseminations'!O164+'Evaluation and Assessment '!O164+'Sustainability Plan'!O164+'Management '!O164)</f>
        <v>10000</v>
      </c>
      <c r="P164" s="56">
        <f>SUM('Research Area'!P164+'Research Cyberinfrastructure'!P164+'EA &amp; Seed Funding'!P164+'Partnerships &amp; Collaborations'!P164+'Broadening Participation Divers'!P164+'Education Workforce Development'!P164+'Communications &amp; Disseminations'!P164+'Evaluation and Assessment '!P164+'Sustainability Plan'!P164+'Management '!P164)</f>
        <v>0</v>
      </c>
      <c r="Q164" s="56">
        <f t="shared" si="81"/>
        <v>10000</v>
      </c>
      <c r="R164" s="15"/>
      <c r="S164" s="55">
        <f>SUM('Research Area'!S164+'Research Cyberinfrastructure'!S164+'EA &amp; Seed Funding'!S164+'Partnerships &amp; Collaborations'!S164+'Broadening Participation Divers'!S164+'Education Workforce Development'!S164+'Communications &amp; Disseminations'!S164+'Evaluation and Assessment '!S164+'Sustainability Plan'!S164+'Management '!S164)</f>
        <v>10000</v>
      </c>
      <c r="T164" s="56">
        <f>SUM('Research Area'!T164+'Research Cyberinfrastructure'!T164+'EA &amp; Seed Funding'!T164+'Partnerships &amp; Collaborations'!T164+'Broadening Participation Divers'!T164+'Education Workforce Development'!T164+'Communications &amp; Disseminations'!T164+'Evaluation and Assessment '!T164+'Sustainability Plan'!T164+'Management '!T164)</f>
        <v>0</v>
      </c>
      <c r="U164" s="56">
        <f t="shared" si="82"/>
        <v>10000</v>
      </c>
      <c r="V164" s="16"/>
      <c r="W164" s="55">
        <f>SUM('Research Area'!W164+'Research Cyberinfrastructure'!W164+'EA &amp; Seed Funding'!W164+'Partnerships &amp; Collaborations'!W164+'Broadening Participation Divers'!W164+'Education Workforce Development'!W164+'Communications &amp; Disseminations'!W164+'Evaluation and Assessment '!W164+'Sustainability Plan'!W164+'Management '!W164)</f>
        <v>40000</v>
      </c>
      <c r="X164" s="56">
        <f>SUM('Research Area'!X164+'Research Cyberinfrastructure'!X164+'EA &amp; Seed Funding'!X164+'Partnerships &amp; Collaborations'!X164+'Broadening Participation Divers'!X164+'Education Workforce Development'!X164+'Communications &amp; Disseminations'!X164+'Evaluation and Assessment '!X164+'Sustainability Plan'!X164+'Management '!X164)</f>
        <v>0</v>
      </c>
      <c r="Y164" s="56">
        <f t="shared" si="83"/>
        <v>40000</v>
      </c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</row>
    <row r="165" spans="1:77" x14ac:dyDescent="0.25">
      <c r="A165" s="17"/>
      <c r="B165" s="17"/>
      <c r="C165" s="124">
        <f>SUM('Research Area'!C165+'Research Cyberinfrastructure'!C165+'EA &amp; Seed Funding'!C165+'Partnerships &amp; Collaborations'!C165+'Broadening Participation Divers'!C165+'Education Workforce Development'!C165+'Communications &amp; Disseminations'!C165+'Evaluation and Assessment '!C165+'Sustainability Plan'!C165+'Management '!C165)</f>
        <v>0</v>
      </c>
      <c r="D165" s="56">
        <f>SUM('Research Area'!D165+'Research Cyberinfrastructure'!D165+'EA &amp; Seed Funding'!D165+'Partnerships &amp; Collaborations'!D165+'Broadening Participation Divers'!D165+'Education Workforce Development'!D165+'Communications &amp; Disseminations'!D165+'Evaluation and Assessment '!D165+'Sustainability Plan'!D165+'Management '!D165)</f>
        <v>0</v>
      </c>
      <c r="E165" s="56">
        <f t="shared" si="78"/>
        <v>0</v>
      </c>
      <c r="F165" s="15"/>
      <c r="G165" s="55">
        <f>SUM('Research Area'!G165+'Research Cyberinfrastructure'!G165+'EA &amp; Seed Funding'!G165+'Partnerships &amp; Collaborations'!G165+'Broadening Participation Divers'!G165+'Education Workforce Development'!G165+'Communications &amp; Disseminations'!G165+'Evaluation and Assessment '!G165+'Sustainability Plan'!G165+'Management '!G165)</f>
        <v>0</v>
      </c>
      <c r="H165" s="56">
        <f>SUM('Research Area'!H165+'Research Cyberinfrastructure'!H165+'EA &amp; Seed Funding'!H165+'Partnerships &amp; Collaborations'!H165+'Broadening Participation Divers'!H165+'Education Workforce Development'!H165+'Communications &amp; Disseminations'!H165+'Evaluation and Assessment '!H165+'Sustainability Plan'!H165+'Management '!H165)</f>
        <v>0</v>
      </c>
      <c r="I165" s="56">
        <f t="shared" si="79"/>
        <v>0</v>
      </c>
      <c r="J165" s="15"/>
      <c r="K165" s="55">
        <f>SUM('Research Area'!K165+'Research Cyberinfrastructure'!K165+'EA &amp; Seed Funding'!K165+'Partnerships &amp; Collaborations'!K165+'Broadening Participation Divers'!K165+'Education Workforce Development'!K165+'Communications &amp; Disseminations'!K165+'Evaluation and Assessment '!K165+'Sustainability Plan'!K165+'Management '!K165)</f>
        <v>0</v>
      </c>
      <c r="L165" s="56">
        <f>SUM('Research Area'!L165+'Research Cyberinfrastructure'!L165+'EA &amp; Seed Funding'!L165+'Partnerships &amp; Collaborations'!L165+'Broadening Participation Divers'!L165+'Education Workforce Development'!L165+'Communications &amp; Disseminations'!L165+'Evaluation and Assessment '!L165+'Sustainability Plan'!L165+'Management '!L165)</f>
        <v>0</v>
      </c>
      <c r="M165" s="56">
        <f t="shared" si="80"/>
        <v>0</v>
      </c>
      <c r="N165" s="15"/>
      <c r="O165" s="55">
        <f>SUM('Research Area'!O165+'Research Cyberinfrastructure'!O165+'EA &amp; Seed Funding'!O165+'Partnerships &amp; Collaborations'!O165+'Broadening Participation Divers'!O165+'Education Workforce Development'!O165+'Communications &amp; Disseminations'!O165+'Evaluation and Assessment '!O165+'Sustainability Plan'!O165+'Management '!O165)</f>
        <v>0</v>
      </c>
      <c r="P165" s="56">
        <f>SUM('Research Area'!P165+'Research Cyberinfrastructure'!P165+'EA &amp; Seed Funding'!P165+'Partnerships &amp; Collaborations'!P165+'Broadening Participation Divers'!P165+'Education Workforce Development'!P165+'Communications &amp; Disseminations'!P165+'Evaluation and Assessment '!P165+'Sustainability Plan'!P165+'Management '!P165)</f>
        <v>0</v>
      </c>
      <c r="Q165" s="56">
        <f t="shared" si="81"/>
        <v>0</v>
      </c>
      <c r="R165" s="15"/>
      <c r="S165" s="55">
        <f>SUM('Research Area'!S165+'Research Cyberinfrastructure'!S165+'EA &amp; Seed Funding'!S165+'Partnerships &amp; Collaborations'!S165+'Broadening Participation Divers'!S165+'Education Workforce Development'!S165+'Communications &amp; Disseminations'!S165+'Evaluation and Assessment '!S165+'Sustainability Plan'!S165+'Management '!S165)</f>
        <v>0</v>
      </c>
      <c r="T165" s="56">
        <f>SUM('Research Area'!T165+'Research Cyberinfrastructure'!T165+'EA &amp; Seed Funding'!T165+'Partnerships &amp; Collaborations'!T165+'Broadening Participation Divers'!T165+'Education Workforce Development'!T165+'Communications &amp; Disseminations'!T165+'Evaluation and Assessment '!T165+'Sustainability Plan'!T165+'Management '!T165)</f>
        <v>0</v>
      </c>
      <c r="U165" s="56">
        <f t="shared" si="82"/>
        <v>0</v>
      </c>
      <c r="V165" s="16"/>
      <c r="W165" s="55">
        <f>SUM('Research Area'!W165+'Research Cyberinfrastructure'!W165+'EA &amp; Seed Funding'!W165+'Partnerships &amp; Collaborations'!W165+'Broadening Participation Divers'!W165+'Education Workforce Development'!W165+'Communications &amp; Disseminations'!W165+'Evaluation and Assessment '!W165+'Sustainability Plan'!W165+'Management '!W165)</f>
        <v>0</v>
      </c>
      <c r="X165" s="56">
        <f>SUM('Research Area'!X165+'Research Cyberinfrastructure'!X165+'EA &amp; Seed Funding'!X165+'Partnerships &amp; Collaborations'!X165+'Broadening Participation Divers'!X165+'Education Workforce Development'!X165+'Communications &amp; Disseminations'!X165+'Evaluation and Assessment '!X165+'Sustainability Plan'!X165+'Management '!X165)</f>
        <v>0</v>
      </c>
      <c r="Y165" s="56">
        <f t="shared" si="83"/>
        <v>0</v>
      </c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</row>
    <row r="166" spans="1:77" x14ac:dyDescent="0.25">
      <c r="A166" s="23"/>
      <c r="B166" s="17"/>
      <c r="C166" s="124">
        <f>SUM('Research Area'!C166+'Research Cyberinfrastructure'!C166+'EA &amp; Seed Funding'!C166+'Partnerships &amp; Collaborations'!C166+'Broadening Participation Divers'!C166+'Education Workforce Development'!C166+'Communications &amp; Disseminations'!C166+'Evaluation and Assessment '!C166+'Sustainability Plan'!C166+'Management '!C166)</f>
        <v>0</v>
      </c>
      <c r="D166" s="56">
        <f>SUM('Research Area'!D166+'Research Cyberinfrastructure'!D166+'EA &amp; Seed Funding'!D166+'Partnerships &amp; Collaborations'!D166+'Broadening Participation Divers'!D166+'Education Workforce Development'!D166+'Communications &amp; Disseminations'!D166+'Evaluation and Assessment '!D166+'Sustainability Plan'!D166+'Management '!D166)</f>
        <v>0</v>
      </c>
      <c r="E166" s="56">
        <f t="shared" si="78"/>
        <v>0</v>
      </c>
      <c r="F166" s="15"/>
      <c r="G166" s="55">
        <f>SUM('Research Area'!G166+'Research Cyberinfrastructure'!G166+'EA &amp; Seed Funding'!G166+'Partnerships &amp; Collaborations'!G166+'Broadening Participation Divers'!G166+'Education Workforce Development'!G166+'Communications &amp; Disseminations'!G166+'Evaluation and Assessment '!G166+'Sustainability Plan'!G166+'Management '!G166)</f>
        <v>0</v>
      </c>
      <c r="H166" s="56">
        <f>SUM('Research Area'!H166+'Research Cyberinfrastructure'!H166+'EA &amp; Seed Funding'!H166+'Partnerships &amp; Collaborations'!H166+'Broadening Participation Divers'!H166+'Education Workforce Development'!H166+'Communications &amp; Disseminations'!H166+'Evaluation and Assessment '!H166+'Sustainability Plan'!H166+'Management '!H166)</f>
        <v>0</v>
      </c>
      <c r="I166" s="56">
        <f t="shared" si="79"/>
        <v>0</v>
      </c>
      <c r="J166" s="15"/>
      <c r="K166" s="55">
        <f>SUM('Research Area'!K166+'Research Cyberinfrastructure'!K166+'EA &amp; Seed Funding'!K166+'Partnerships &amp; Collaborations'!K166+'Broadening Participation Divers'!K166+'Education Workforce Development'!K166+'Communications &amp; Disseminations'!K166+'Evaluation and Assessment '!K166+'Sustainability Plan'!K166+'Management '!K166)</f>
        <v>0</v>
      </c>
      <c r="L166" s="56">
        <f>SUM('Research Area'!L166+'Research Cyberinfrastructure'!L166+'EA &amp; Seed Funding'!L166+'Partnerships &amp; Collaborations'!L166+'Broadening Participation Divers'!L166+'Education Workforce Development'!L166+'Communications &amp; Disseminations'!L166+'Evaluation and Assessment '!L166+'Sustainability Plan'!L166+'Management '!L166)</f>
        <v>0</v>
      </c>
      <c r="M166" s="56">
        <f t="shared" si="80"/>
        <v>0</v>
      </c>
      <c r="N166" s="15"/>
      <c r="O166" s="55">
        <f>SUM('Research Area'!O166+'Research Cyberinfrastructure'!O166+'EA &amp; Seed Funding'!O166+'Partnerships &amp; Collaborations'!O166+'Broadening Participation Divers'!O166+'Education Workforce Development'!O166+'Communications &amp; Disseminations'!O166+'Evaluation and Assessment '!O166+'Sustainability Plan'!O166+'Management '!O166)</f>
        <v>0</v>
      </c>
      <c r="P166" s="56">
        <f>SUM('Research Area'!P166+'Research Cyberinfrastructure'!P166+'EA &amp; Seed Funding'!P166+'Partnerships &amp; Collaborations'!P166+'Broadening Participation Divers'!P166+'Education Workforce Development'!P166+'Communications &amp; Disseminations'!P166+'Evaluation and Assessment '!P166+'Sustainability Plan'!P166+'Management '!P166)</f>
        <v>0</v>
      </c>
      <c r="Q166" s="56">
        <f t="shared" si="81"/>
        <v>0</v>
      </c>
      <c r="R166" s="15"/>
      <c r="S166" s="55">
        <f>SUM('Research Area'!S166+'Research Cyberinfrastructure'!S166+'EA &amp; Seed Funding'!S166+'Partnerships &amp; Collaborations'!S166+'Broadening Participation Divers'!S166+'Education Workforce Development'!S166+'Communications &amp; Disseminations'!S166+'Evaluation and Assessment '!S166+'Sustainability Plan'!S166+'Management '!S166)</f>
        <v>0</v>
      </c>
      <c r="T166" s="56">
        <f>SUM('Research Area'!T166+'Research Cyberinfrastructure'!T166+'EA &amp; Seed Funding'!T166+'Partnerships &amp; Collaborations'!T166+'Broadening Participation Divers'!T166+'Education Workforce Development'!T166+'Communications &amp; Disseminations'!T166+'Evaluation and Assessment '!T166+'Sustainability Plan'!T166+'Management '!T166)</f>
        <v>0</v>
      </c>
      <c r="U166" s="56">
        <f t="shared" si="82"/>
        <v>0</v>
      </c>
      <c r="V166" s="16"/>
      <c r="W166" s="55">
        <f>SUM('Research Area'!W166+'Research Cyberinfrastructure'!W166+'EA &amp; Seed Funding'!W166+'Partnerships &amp; Collaborations'!W166+'Broadening Participation Divers'!W166+'Education Workforce Development'!W166+'Communications &amp; Disseminations'!W166+'Evaluation and Assessment '!W166+'Sustainability Plan'!W166+'Management '!W166)</f>
        <v>0</v>
      </c>
      <c r="X166" s="56">
        <f>SUM('Research Area'!X166+'Research Cyberinfrastructure'!X166+'EA &amp; Seed Funding'!X166+'Partnerships &amp; Collaborations'!X166+'Broadening Participation Divers'!X166+'Education Workforce Development'!X166+'Communications &amp; Disseminations'!X166+'Evaluation and Assessment '!X166+'Sustainability Plan'!X166+'Management '!X166)</f>
        <v>0</v>
      </c>
      <c r="Y166" s="56">
        <f t="shared" si="83"/>
        <v>0</v>
      </c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</row>
    <row r="167" spans="1:77" x14ac:dyDescent="0.25">
      <c r="A167" s="23"/>
      <c r="B167" s="17"/>
      <c r="C167" s="124">
        <f>SUM('Research Area'!C167+'Research Cyberinfrastructure'!C167+'EA &amp; Seed Funding'!C167+'Partnerships &amp; Collaborations'!C167+'Broadening Participation Divers'!C167+'Education Workforce Development'!C167+'Communications &amp; Disseminations'!C167+'Evaluation and Assessment '!C167+'Sustainability Plan'!C167+'Management '!C167)</f>
        <v>0</v>
      </c>
      <c r="D167" s="56">
        <f>SUM('Research Area'!D167+'Research Cyberinfrastructure'!D167+'EA &amp; Seed Funding'!D167+'Partnerships &amp; Collaborations'!D167+'Broadening Participation Divers'!D167+'Education Workforce Development'!D167+'Communications &amp; Disseminations'!D167+'Evaluation and Assessment '!D167+'Sustainability Plan'!D167+'Management '!D167)</f>
        <v>0</v>
      </c>
      <c r="E167" s="56">
        <f t="shared" si="78"/>
        <v>0</v>
      </c>
      <c r="F167" s="15"/>
      <c r="G167" s="55">
        <f>SUM('Research Area'!G167+'Research Cyberinfrastructure'!G167+'EA &amp; Seed Funding'!G167+'Partnerships &amp; Collaborations'!G167+'Broadening Participation Divers'!G167+'Education Workforce Development'!G167+'Communications &amp; Disseminations'!G167+'Evaluation and Assessment '!G167+'Sustainability Plan'!G167+'Management '!G167)</f>
        <v>0</v>
      </c>
      <c r="H167" s="56">
        <f>SUM('Research Area'!H167+'Research Cyberinfrastructure'!H167+'EA &amp; Seed Funding'!H167+'Partnerships &amp; Collaborations'!H167+'Broadening Participation Divers'!H167+'Education Workforce Development'!H167+'Communications &amp; Disseminations'!H167+'Evaluation and Assessment '!H167+'Sustainability Plan'!H167+'Management '!H167)</f>
        <v>0</v>
      </c>
      <c r="I167" s="56">
        <f t="shared" si="79"/>
        <v>0</v>
      </c>
      <c r="J167" s="15"/>
      <c r="K167" s="55">
        <f>SUM('Research Area'!K167+'Research Cyberinfrastructure'!K167+'EA &amp; Seed Funding'!K167+'Partnerships &amp; Collaborations'!K167+'Broadening Participation Divers'!K167+'Education Workforce Development'!K167+'Communications &amp; Disseminations'!K167+'Evaluation and Assessment '!K167+'Sustainability Plan'!K167+'Management '!K167)</f>
        <v>0</v>
      </c>
      <c r="L167" s="56">
        <f>SUM('Research Area'!L167+'Research Cyberinfrastructure'!L167+'EA &amp; Seed Funding'!L167+'Partnerships &amp; Collaborations'!L167+'Broadening Participation Divers'!L167+'Education Workforce Development'!L167+'Communications &amp; Disseminations'!L167+'Evaluation and Assessment '!L167+'Sustainability Plan'!L167+'Management '!L167)</f>
        <v>0</v>
      </c>
      <c r="M167" s="56">
        <f t="shared" si="80"/>
        <v>0</v>
      </c>
      <c r="N167" s="15"/>
      <c r="O167" s="55">
        <f>SUM('Research Area'!O167+'Research Cyberinfrastructure'!O167+'EA &amp; Seed Funding'!O167+'Partnerships &amp; Collaborations'!O167+'Broadening Participation Divers'!O167+'Education Workforce Development'!O167+'Communications &amp; Disseminations'!O167+'Evaluation and Assessment '!O167+'Sustainability Plan'!O167+'Management '!O167)</f>
        <v>0</v>
      </c>
      <c r="P167" s="56">
        <f>SUM('Research Area'!P167+'Research Cyberinfrastructure'!P167+'EA &amp; Seed Funding'!P167+'Partnerships &amp; Collaborations'!P167+'Broadening Participation Divers'!P167+'Education Workforce Development'!P167+'Communications &amp; Disseminations'!P167+'Evaluation and Assessment '!P167+'Sustainability Plan'!P167+'Management '!P167)</f>
        <v>0</v>
      </c>
      <c r="Q167" s="56">
        <f t="shared" si="81"/>
        <v>0</v>
      </c>
      <c r="R167" s="15"/>
      <c r="S167" s="55">
        <f>SUM('Research Area'!S167+'Research Cyberinfrastructure'!S167+'EA &amp; Seed Funding'!S167+'Partnerships &amp; Collaborations'!S167+'Broadening Participation Divers'!S167+'Education Workforce Development'!S167+'Communications &amp; Disseminations'!S167+'Evaluation and Assessment '!S167+'Sustainability Plan'!S167+'Management '!S167)</f>
        <v>0</v>
      </c>
      <c r="T167" s="56">
        <f>SUM('Research Area'!T167+'Research Cyberinfrastructure'!T167+'EA &amp; Seed Funding'!T167+'Partnerships &amp; Collaborations'!T167+'Broadening Participation Divers'!T167+'Education Workforce Development'!T167+'Communications &amp; Disseminations'!T167+'Evaluation and Assessment '!T167+'Sustainability Plan'!T167+'Management '!T167)</f>
        <v>0</v>
      </c>
      <c r="U167" s="56">
        <f t="shared" si="82"/>
        <v>0</v>
      </c>
      <c r="V167" s="16"/>
      <c r="W167" s="55">
        <f>SUM('Research Area'!W167+'Research Cyberinfrastructure'!W167+'EA &amp; Seed Funding'!W167+'Partnerships &amp; Collaborations'!W167+'Broadening Participation Divers'!W167+'Education Workforce Development'!W167+'Communications &amp; Disseminations'!W167+'Evaluation and Assessment '!W167+'Sustainability Plan'!W167+'Management '!W167)</f>
        <v>0</v>
      </c>
      <c r="X167" s="56">
        <f>SUM('Research Area'!X167+'Research Cyberinfrastructure'!X167+'EA &amp; Seed Funding'!X167+'Partnerships &amp; Collaborations'!X167+'Broadening Participation Divers'!X167+'Education Workforce Development'!X167+'Communications &amp; Disseminations'!X167+'Evaluation and Assessment '!X167+'Sustainability Plan'!X167+'Management '!X167)</f>
        <v>0</v>
      </c>
      <c r="Y167" s="56">
        <f t="shared" si="83"/>
        <v>0</v>
      </c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</row>
    <row r="168" spans="1:77" x14ac:dyDescent="0.25">
      <c r="A168" s="17"/>
      <c r="B168" s="17"/>
      <c r="C168" s="124">
        <f>SUM('Research Area'!C168+'Research Cyberinfrastructure'!C168+'EA &amp; Seed Funding'!C168+'Partnerships &amp; Collaborations'!C168+'Broadening Participation Divers'!C168+'Education Workforce Development'!C168+'Communications &amp; Disseminations'!C168+'Evaluation and Assessment '!C168+'Sustainability Plan'!C168+'Management '!C168)</f>
        <v>0</v>
      </c>
      <c r="D168" s="56">
        <f>SUM('Research Area'!D168+'Research Cyberinfrastructure'!D168+'EA &amp; Seed Funding'!D168+'Partnerships &amp; Collaborations'!D168+'Broadening Participation Divers'!D168+'Education Workforce Development'!D168+'Communications &amp; Disseminations'!D168+'Evaluation and Assessment '!D168+'Sustainability Plan'!D168+'Management '!D168)</f>
        <v>0</v>
      </c>
      <c r="E168" s="56">
        <f t="shared" si="78"/>
        <v>0</v>
      </c>
      <c r="F168" s="15"/>
      <c r="G168" s="55">
        <f>SUM('Research Area'!G168+'Research Cyberinfrastructure'!G168+'EA &amp; Seed Funding'!G168+'Partnerships &amp; Collaborations'!G168+'Broadening Participation Divers'!G168+'Education Workforce Development'!G168+'Communications &amp; Disseminations'!G168+'Evaluation and Assessment '!G168+'Sustainability Plan'!G168+'Management '!G168)</f>
        <v>0</v>
      </c>
      <c r="H168" s="56">
        <f>SUM('Research Area'!H168+'Research Cyberinfrastructure'!H168+'EA &amp; Seed Funding'!H168+'Partnerships &amp; Collaborations'!H168+'Broadening Participation Divers'!H168+'Education Workforce Development'!H168+'Communications &amp; Disseminations'!H168+'Evaluation and Assessment '!H168+'Sustainability Plan'!H168+'Management '!H168)</f>
        <v>0</v>
      </c>
      <c r="I168" s="56">
        <f t="shared" si="79"/>
        <v>0</v>
      </c>
      <c r="J168" s="15"/>
      <c r="K168" s="55">
        <f>SUM('Research Area'!K168+'Research Cyberinfrastructure'!K168+'EA &amp; Seed Funding'!K168+'Partnerships &amp; Collaborations'!K168+'Broadening Participation Divers'!K168+'Education Workforce Development'!K168+'Communications &amp; Disseminations'!K168+'Evaluation and Assessment '!K168+'Sustainability Plan'!K168+'Management '!K168)</f>
        <v>0</v>
      </c>
      <c r="L168" s="56">
        <f>SUM('Research Area'!L168+'Research Cyberinfrastructure'!L168+'EA &amp; Seed Funding'!L168+'Partnerships &amp; Collaborations'!L168+'Broadening Participation Divers'!L168+'Education Workforce Development'!L168+'Communications &amp; Disseminations'!L168+'Evaluation and Assessment '!L168+'Sustainability Plan'!L168+'Management '!L168)</f>
        <v>0</v>
      </c>
      <c r="M168" s="56">
        <f t="shared" si="80"/>
        <v>0</v>
      </c>
      <c r="N168" s="15"/>
      <c r="O168" s="55">
        <f>SUM('Research Area'!O168+'Research Cyberinfrastructure'!O168+'EA &amp; Seed Funding'!O168+'Partnerships &amp; Collaborations'!O168+'Broadening Participation Divers'!O168+'Education Workforce Development'!O168+'Communications &amp; Disseminations'!O168+'Evaluation and Assessment '!O168+'Sustainability Plan'!O168+'Management '!O168)</f>
        <v>0</v>
      </c>
      <c r="P168" s="56">
        <f>SUM('Research Area'!P168+'Research Cyberinfrastructure'!P168+'EA &amp; Seed Funding'!P168+'Partnerships &amp; Collaborations'!P168+'Broadening Participation Divers'!P168+'Education Workforce Development'!P168+'Communications &amp; Disseminations'!P168+'Evaluation and Assessment '!P168+'Sustainability Plan'!P168+'Management '!P168)</f>
        <v>0</v>
      </c>
      <c r="Q168" s="56">
        <f t="shared" si="81"/>
        <v>0</v>
      </c>
      <c r="R168" s="15"/>
      <c r="S168" s="55">
        <f>SUM('Research Area'!S168+'Research Cyberinfrastructure'!S168+'EA &amp; Seed Funding'!S168+'Partnerships &amp; Collaborations'!S168+'Broadening Participation Divers'!S168+'Education Workforce Development'!S168+'Communications &amp; Disseminations'!S168+'Evaluation and Assessment '!S168+'Sustainability Plan'!S168+'Management '!S168)</f>
        <v>0</v>
      </c>
      <c r="T168" s="56">
        <f>SUM('Research Area'!T168+'Research Cyberinfrastructure'!T168+'EA &amp; Seed Funding'!T168+'Partnerships &amp; Collaborations'!T168+'Broadening Participation Divers'!T168+'Education Workforce Development'!T168+'Communications &amp; Disseminations'!T168+'Evaluation and Assessment '!T168+'Sustainability Plan'!T168+'Management '!T168)</f>
        <v>0</v>
      </c>
      <c r="U168" s="56">
        <f t="shared" si="82"/>
        <v>0</v>
      </c>
      <c r="V168" s="16"/>
      <c r="W168" s="55">
        <f>SUM('Research Area'!W168+'Research Cyberinfrastructure'!W168+'EA &amp; Seed Funding'!W168+'Partnerships &amp; Collaborations'!W168+'Broadening Participation Divers'!W168+'Education Workforce Development'!W168+'Communications &amp; Disseminations'!W168+'Evaluation and Assessment '!W168+'Sustainability Plan'!W168+'Management '!W168)</f>
        <v>0</v>
      </c>
      <c r="X168" s="56">
        <f>SUM('Research Area'!X168+'Research Cyberinfrastructure'!X168+'EA &amp; Seed Funding'!X168+'Partnerships &amp; Collaborations'!X168+'Broadening Participation Divers'!X168+'Education Workforce Development'!X168+'Communications &amp; Disseminations'!X168+'Evaluation and Assessment '!X168+'Sustainability Plan'!X168+'Management '!X168)</f>
        <v>0</v>
      </c>
      <c r="Y168" s="56">
        <f t="shared" si="83"/>
        <v>0</v>
      </c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</row>
    <row r="169" spans="1:77" x14ac:dyDescent="0.25">
      <c r="A169" s="17"/>
      <c r="B169" s="17"/>
      <c r="C169" s="124">
        <f>SUM('Research Area'!C169+'Research Cyberinfrastructure'!C169+'EA &amp; Seed Funding'!C169+'Partnerships &amp; Collaborations'!C169+'Broadening Participation Divers'!C169+'Education Workforce Development'!C169+'Communications &amp; Disseminations'!C169+'Evaluation and Assessment '!C169+'Sustainability Plan'!C169+'Management '!C169)</f>
        <v>0</v>
      </c>
      <c r="D169" s="56">
        <f>SUM('Research Area'!D169+'Research Cyberinfrastructure'!D169+'EA &amp; Seed Funding'!D169+'Partnerships &amp; Collaborations'!D169+'Broadening Participation Divers'!D169+'Education Workforce Development'!D169+'Communications &amp; Disseminations'!D169+'Evaluation and Assessment '!D169+'Sustainability Plan'!D169+'Management '!D169)</f>
        <v>0</v>
      </c>
      <c r="E169" s="56">
        <f t="shared" si="78"/>
        <v>0</v>
      </c>
      <c r="F169" s="15"/>
      <c r="G169" s="55">
        <f>SUM('Research Area'!G169+'Research Cyberinfrastructure'!G169+'EA &amp; Seed Funding'!G169+'Partnerships &amp; Collaborations'!G169+'Broadening Participation Divers'!G169+'Education Workforce Development'!G169+'Communications &amp; Disseminations'!G169+'Evaluation and Assessment '!G169+'Sustainability Plan'!G169+'Management '!G169)</f>
        <v>0</v>
      </c>
      <c r="H169" s="56">
        <f>SUM('Research Area'!H169+'Research Cyberinfrastructure'!H169+'EA &amp; Seed Funding'!H169+'Partnerships &amp; Collaborations'!H169+'Broadening Participation Divers'!H169+'Education Workforce Development'!H169+'Communications &amp; Disseminations'!H169+'Evaluation and Assessment '!H169+'Sustainability Plan'!H169+'Management '!H169)</f>
        <v>0</v>
      </c>
      <c r="I169" s="56">
        <f t="shared" si="79"/>
        <v>0</v>
      </c>
      <c r="J169" s="15"/>
      <c r="K169" s="55">
        <f>SUM('Research Area'!K169+'Research Cyberinfrastructure'!K169+'EA &amp; Seed Funding'!K169+'Partnerships &amp; Collaborations'!K169+'Broadening Participation Divers'!K169+'Education Workforce Development'!K169+'Communications &amp; Disseminations'!K169+'Evaluation and Assessment '!K169+'Sustainability Plan'!K169+'Management '!K169)</f>
        <v>0</v>
      </c>
      <c r="L169" s="56">
        <f>SUM('Research Area'!L169+'Research Cyberinfrastructure'!L169+'EA &amp; Seed Funding'!L169+'Partnerships &amp; Collaborations'!L169+'Broadening Participation Divers'!L169+'Education Workforce Development'!L169+'Communications &amp; Disseminations'!L169+'Evaluation and Assessment '!L169+'Sustainability Plan'!L169+'Management '!L169)</f>
        <v>0</v>
      </c>
      <c r="M169" s="56">
        <f t="shared" si="80"/>
        <v>0</v>
      </c>
      <c r="N169" s="15"/>
      <c r="O169" s="55">
        <f>SUM('Research Area'!O169+'Research Cyberinfrastructure'!O169+'EA &amp; Seed Funding'!O169+'Partnerships &amp; Collaborations'!O169+'Broadening Participation Divers'!O169+'Education Workforce Development'!O169+'Communications &amp; Disseminations'!O169+'Evaluation and Assessment '!O169+'Sustainability Plan'!O169+'Management '!O169)</f>
        <v>0</v>
      </c>
      <c r="P169" s="56">
        <f>SUM('Research Area'!P169+'Research Cyberinfrastructure'!P169+'EA &amp; Seed Funding'!P169+'Partnerships &amp; Collaborations'!P169+'Broadening Participation Divers'!P169+'Education Workforce Development'!P169+'Communications &amp; Disseminations'!P169+'Evaluation and Assessment '!P169+'Sustainability Plan'!P169+'Management '!P169)</f>
        <v>0</v>
      </c>
      <c r="Q169" s="56">
        <f t="shared" si="81"/>
        <v>0</v>
      </c>
      <c r="R169" s="15"/>
      <c r="S169" s="55">
        <f>SUM('Research Area'!S169+'Research Cyberinfrastructure'!S169+'EA &amp; Seed Funding'!S169+'Partnerships &amp; Collaborations'!S169+'Broadening Participation Divers'!S169+'Education Workforce Development'!S169+'Communications &amp; Disseminations'!S169+'Evaluation and Assessment '!S169+'Sustainability Plan'!S169+'Management '!S169)</f>
        <v>0</v>
      </c>
      <c r="T169" s="56">
        <f>SUM('Research Area'!T169+'Research Cyberinfrastructure'!T169+'EA &amp; Seed Funding'!T169+'Partnerships &amp; Collaborations'!T169+'Broadening Participation Divers'!T169+'Education Workforce Development'!T169+'Communications &amp; Disseminations'!T169+'Evaluation and Assessment '!T169+'Sustainability Plan'!T169+'Management '!T169)</f>
        <v>0</v>
      </c>
      <c r="U169" s="56">
        <f t="shared" si="82"/>
        <v>0</v>
      </c>
      <c r="V169" s="16"/>
      <c r="W169" s="55">
        <f>SUM('Research Area'!W169+'Research Cyberinfrastructure'!W169+'EA &amp; Seed Funding'!W169+'Partnerships &amp; Collaborations'!W169+'Broadening Participation Divers'!W169+'Education Workforce Development'!W169+'Communications &amp; Disseminations'!W169+'Evaluation and Assessment '!W169+'Sustainability Plan'!W169+'Management '!W169)</f>
        <v>0</v>
      </c>
      <c r="X169" s="56">
        <f>SUM('Research Area'!X169+'Research Cyberinfrastructure'!X169+'EA &amp; Seed Funding'!X169+'Partnerships &amp; Collaborations'!X169+'Broadening Participation Divers'!X169+'Education Workforce Development'!X169+'Communications &amp; Disseminations'!X169+'Evaluation and Assessment '!X169+'Sustainability Plan'!X169+'Management '!X169)</f>
        <v>0</v>
      </c>
      <c r="Y169" s="56">
        <f t="shared" si="83"/>
        <v>0</v>
      </c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</row>
    <row r="170" spans="1:77" x14ac:dyDescent="0.25">
      <c r="A170" s="17"/>
      <c r="B170" s="17"/>
      <c r="C170" s="124">
        <f>SUM('Research Area'!C170+'Research Cyberinfrastructure'!C170+'EA &amp; Seed Funding'!C170+'Partnerships &amp; Collaborations'!C170+'Broadening Participation Divers'!C170+'Education Workforce Development'!C170+'Communications &amp; Disseminations'!C170+'Evaluation and Assessment '!C170+'Sustainability Plan'!C170+'Management '!C170)</f>
        <v>0</v>
      </c>
      <c r="D170" s="56">
        <f>SUM('Research Area'!D170+'Research Cyberinfrastructure'!D170+'EA &amp; Seed Funding'!D170+'Partnerships &amp; Collaborations'!D170+'Broadening Participation Divers'!D170+'Education Workforce Development'!D170+'Communications &amp; Disseminations'!D170+'Evaluation and Assessment '!D170+'Sustainability Plan'!D170+'Management '!D170)</f>
        <v>0</v>
      </c>
      <c r="E170" s="56">
        <f t="shared" si="78"/>
        <v>0</v>
      </c>
      <c r="F170" s="15"/>
      <c r="G170" s="55">
        <f>SUM('Research Area'!G170+'Research Cyberinfrastructure'!G170+'EA &amp; Seed Funding'!G170+'Partnerships &amp; Collaborations'!G170+'Broadening Participation Divers'!G170+'Education Workforce Development'!G170+'Communications &amp; Disseminations'!G170+'Evaluation and Assessment '!G170+'Sustainability Plan'!G170+'Management '!G170)</f>
        <v>0</v>
      </c>
      <c r="H170" s="56">
        <f>SUM('Research Area'!H170+'Research Cyberinfrastructure'!H170+'EA &amp; Seed Funding'!H170+'Partnerships &amp; Collaborations'!H170+'Broadening Participation Divers'!H170+'Education Workforce Development'!H170+'Communications &amp; Disseminations'!H170+'Evaluation and Assessment '!H170+'Sustainability Plan'!H170+'Management '!H170)</f>
        <v>0</v>
      </c>
      <c r="I170" s="56">
        <f t="shared" si="79"/>
        <v>0</v>
      </c>
      <c r="J170" s="15"/>
      <c r="K170" s="55">
        <f>SUM('Research Area'!K170+'Research Cyberinfrastructure'!K170+'EA &amp; Seed Funding'!K170+'Partnerships &amp; Collaborations'!K170+'Broadening Participation Divers'!K170+'Education Workforce Development'!K170+'Communications &amp; Disseminations'!K170+'Evaluation and Assessment '!K170+'Sustainability Plan'!K170+'Management '!K170)</f>
        <v>0</v>
      </c>
      <c r="L170" s="56">
        <f>SUM('Research Area'!L170+'Research Cyberinfrastructure'!L170+'EA &amp; Seed Funding'!L170+'Partnerships &amp; Collaborations'!L170+'Broadening Participation Divers'!L170+'Education Workforce Development'!L170+'Communications &amp; Disseminations'!L170+'Evaluation and Assessment '!L170+'Sustainability Plan'!L170+'Management '!L170)</f>
        <v>0</v>
      </c>
      <c r="M170" s="56">
        <f t="shared" si="80"/>
        <v>0</v>
      </c>
      <c r="N170" s="15"/>
      <c r="O170" s="55">
        <f>SUM('Research Area'!O170+'Research Cyberinfrastructure'!O170+'EA &amp; Seed Funding'!O170+'Partnerships &amp; Collaborations'!O170+'Broadening Participation Divers'!O170+'Education Workforce Development'!O170+'Communications &amp; Disseminations'!O170+'Evaluation and Assessment '!O170+'Sustainability Plan'!O170+'Management '!O170)</f>
        <v>0</v>
      </c>
      <c r="P170" s="56">
        <f>SUM('Research Area'!P170+'Research Cyberinfrastructure'!P170+'EA &amp; Seed Funding'!P170+'Partnerships &amp; Collaborations'!P170+'Broadening Participation Divers'!P170+'Education Workforce Development'!P170+'Communications &amp; Disseminations'!P170+'Evaluation and Assessment '!P170+'Sustainability Plan'!P170+'Management '!P170)</f>
        <v>0</v>
      </c>
      <c r="Q170" s="56">
        <f t="shared" si="81"/>
        <v>0</v>
      </c>
      <c r="R170" s="15"/>
      <c r="S170" s="55">
        <f>SUM('Research Area'!S170+'Research Cyberinfrastructure'!S170+'EA &amp; Seed Funding'!S170+'Partnerships &amp; Collaborations'!S170+'Broadening Participation Divers'!S170+'Education Workforce Development'!S170+'Communications &amp; Disseminations'!S170+'Evaluation and Assessment '!S170+'Sustainability Plan'!S170+'Management '!S170)</f>
        <v>0</v>
      </c>
      <c r="T170" s="56">
        <f>SUM('Research Area'!T170+'Research Cyberinfrastructure'!T170+'EA &amp; Seed Funding'!T170+'Partnerships &amp; Collaborations'!T170+'Broadening Participation Divers'!T170+'Education Workforce Development'!T170+'Communications &amp; Disseminations'!T170+'Evaluation and Assessment '!T170+'Sustainability Plan'!T170+'Management '!T170)</f>
        <v>0</v>
      </c>
      <c r="U170" s="56">
        <f t="shared" si="82"/>
        <v>0</v>
      </c>
      <c r="V170" s="16"/>
      <c r="W170" s="55">
        <f>SUM('Research Area'!W170+'Research Cyberinfrastructure'!W170+'EA &amp; Seed Funding'!W170+'Partnerships &amp; Collaborations'!W170+'Broadening Participation Divers'!W170+'Education Workforce Development'!W170+'Communications &amp; Disseminations'!W170+'Evaluation and Assessment '!W170+'Sustainability Plan'!W170+'Management '!W170)</f>
        <v>0</v>
      </c>
      <c r="X170" s="56">
        <f>SUM('Research Area'!X170+'Research Cyberinfrastructure'!X170+'EA &amp; Seed Funding'!X170+'Partnerships &amp; Collaborations'!X170+'Broadening Participation Divers'!X170+'Education Workforce Development'!X170+'Communications &amp; Disseminations'!X170+'Evaluation and Assessment '!X170+'Sustainability Plan'!X170+'Management '!X170)</f>
        <v>0</v>
      </c>
      <c r="Y170" s="56">
        <f t="shared" si="83"/>
        <v>0</v>
      </c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</row>
    <row r="171" spans="1:77" x14ac:dyDescent="0.25">
      <c r="A171" s="17"/>
      <c r="B171" s="17"/>
      <c r="C171" s="124">
        <f>SUM('Research Area'!C171+'Research Cyberinfrastructure'!C171+'EA &amp; Seed Funding'!C171+'Partnerships &amp; Collaborations'!C171+'Broadening Participation Divers'!C171+'Education Workforce Development'!C171+'Communications &amp; Disseminations'!C171+'Evaluation and Assessment '!C171+'Sustainability Plan'!C171+'Management '!C171)</f>
        <v>0</v>
      </c>
      <c r="D171" s="56">
        <f>SUM('Research Area'!D171+'Research Cyberinfrastructure'!D171+'EA &amp; Seed Funding'!D171+'Partnerships &amp; Collaborations'!D171+'Broadening Participation Divers'!D171+'Education Workforce Development'!D171+'Communications &amp; Disseminations'!D171+'Evaluation and Assessment '!D171+'Sustainability Plan'!D171+'Management '!D171)</f>
        <v>0</v>
      </c>
      <c r="E171" s="56">
        <f t="shared" si="78"/>
        <v>0</v>
      </c>
      <c r="F171" s="15"/>
      <c r="G171" s="55">
        <f>SUM('Research Area'!G171+'Research Cyberinfrastructure'!G171+'EA &amp; Seed Funding'!G171+'Partnerships &amp; Collaborations'!G171+'Broadening Participation Divers'!G171+'Education Workforce Development'!G171+'Communications &amp; Disseminations'!G171+'Evaluation and Assessment '!G171+'Sustainability Plan'!G171+'Management '!G171)</f>
        <v>0</v>
      </c>
      <c r="H171" s="56">
        <f>SUM('Research Area'!H171+'Research Cyberinfrastructure'!H171+'EA &amp; Seed Funding'!H171+'Partnerships &amp; Collaborations'!H171+'Broadening Participation Divers'!H171+'Education Workforce Development'!H171+'Communications &amp; Disseminations'!H171+'Evaluation and Assessment '!H171+'Sustainability Plan'!H171+'Management '!H171)</f>
        <v>0</v>
      </c>
      <c r="I171" s="56">
        <f t="shared" si="79"/>
        <v>0</v>
      </c>
      <c r="J171" s="15"/>
      <c r="K171" s="55">
        <f>SUM('Research Area'!K171+'Research Cyberinfrastructure'!K171+'EA &amp; Seed Funding'!K171+'Partnerships &amp; Collaborations'!K171+'Broadening Participation Divers'!K171+'Education Workforce Development'!K171+'Communications &amp; Disseminations'!K171+'Evaluation and Assessment '!K171+'Sustainability Plan'!K171+'Management '!K171)</f>
        <v>0</v>
      </c>
      <c r="L171" s="56">
        <f>SUM('Research Area'!L171+'Research Cyberinfrastructure'!L171+'EA &amp; Seed Funding'!L171+'Partnerships &amp; Collaborations'!L171+'Broadening Participation Divers'!L171+'Education Workforce Development'!L171+'Communications &amp; Disseminations'!L171+'Evaluation and Assessment '!L171+'Sustainability Plan'!L171+'Management '!L171)</f>
        <v>0</v>
      </c>
      <c r="M171" s="56">
        <f t="shared" si="80"/>
        <v>0</v>
      </c>
      <c r="N171" s="15"/>
      <c r="O171" s="55">
        <f>SUM('Research Area'!O171+'Research Cyberinfrastructure'!O171+'EA &amp; Seed Funding'!O171+'Partnerships &amp; Collaborations'!O171+'Broadening Participation Divers'!O171+'Education Workforce Development'!O171+'Communications &amp; Disseminations'!O171+'Evaluation and Assessment '!O171+'Sustainability Plan'!O171+'Management '!O171)</f>
        <v>0</v>
      </c>
      <c r="P171" s="56">
        <f>SUM('Research Area'!P171+'Research Cyberinfrastructure'!P171+'EA &amp; Seed Funding'!P171+'Partnerships &amp; Collaborations'!P171+'Broadening Participation Divers'!P171+'Education Workforce Development'!P171+'Communications &amp; Disseminations'!P171+'Evaluation and Assessment '!P171+'Sustainability Plan'!P171+'Management '!P171)</f>
        <v>0</v>
      </c>
      <c r="Q171" s="56">
        <f t="shared" si="81"/>
        <v>0</v>
      </c>
      <c r="R171" s="15"/>
      <c r="S171" s="55">
        <f>SUM('Research Area'!S171+'Research Cyberinfrastructure'!S171+'EA &amp; Seed Funding'!S171+'Partnerships &amp; Collaborations'!S171+'Broadening Participation Divers'!S171+'Education Workforce Development'!S171+'Communications &amp; Disseminations'!S171+'Evaluation and Assessment '!S171+'Sustainability Plan'!S171+'Management '!S171)</f>
        <v>0</v>
      </c>
      <c r="T171" s="56">
        <f>SUM('Research Area'!T171+'Research Cyberinfrastructure'!T171+'EA &amp; Seed Funding'!T171+'Partnerships &amp; Collaborations'!T171+'Broadening Participation Divers'!T171+'Education Workforce Development'!T171+'Communications &amp; Disseminations'!T171+'Evaluation and Assessment '!T171+'Sustainability Plan'!T171+'Management '!T171)</f>
        <v>0</v>
      </c>
      <c r="U171" s="56">
        <f t="shared" si="82"/>
        <v>0</v>
      </c>
      <c r="V171" s="16"/>
      <c r="W171" s="55">
        <f>SUM('Research Area'!W171+'Research Cyberinfrastructure'!W171+'EA &amp; Seed Funding'!W171+'Partnerships &amp; Collaborations'!W171+'Broadening Participation Divers'!W171+'Education Workforce Development'!W171+'Communications &amp; Disseminations'!W171+'Evaluation and Assessment '!W171+'Sustainability Plan'!W171+'Management '!W171)</f>
        <v>0</v>
      </c>
      <c r="X171" s="56">
        <f>SUM('Research Area'!X171+'Research Cyberinfrastructure'!X171+'EA &amp; Seed Funding'!X171+'Partnerships &amp; Collaborations'!X171+'Broadening Participation Divers'!X171+'Education Workforce Development'!X171+'Communications &amp; Disseminations'!X171+'Evaluation and Assessment '!X171+'Sustainability Plan'!X171+'Management '!X171)</f>
        <v>0</v>
      </c>
      <c r="Y171" s="56">
        <f t="shared" si="83"/>
        <v>0</v>
      </c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</row>
    <row r="172" spans="1:77" x14ac:dyDescent="0.25">
      <c r="A172" s="17"/>
      <c r="B172" s="17"/>
      <c r="C172" s="124">
        <f>SUM('Research Area'!C172+'Research Cyberinfrastructure'!C172+'EA &amp; Seed Funding'!C172+'Partnerships &amp; Collaborations'!C172+'Broadening Participation Divers'!C172+'Education Workforce Development'!C172+'Communications &amp; Disseminations'!C172+'Evaluation and Assessment '!C172+'Sustainability Plan'!C172+'Management '!C172)</f>
        <v>0</v>
      </c>
      <c r="D172" s="56">
        <f>SUM('Research Area'!D172+'Research Cyberinfrastructure'!D172+'EA &amp; Seed Funding'!D172+'Partnerships &amp; Collaborations'!D172+'Broadening Participation Divers'!D172+'Education Workforce Development'!D172+'Communications &amp; Disseminations'!D172+'Evaluation and Assessment '!D172+'Sustainability Plan'!D172+'Management '!D172)</f>
        <v>0</v>
      </c>
      <c r="E172" s="56">
        <f t="shared" si="78"/>
        <v>0</v>
      </c>
      <c r="F172" s="15"/>
      <c r="G172" s="55">
        <f>SUM('Research Area'!G172+'Research Cyberinfrastructure'!G172+'EA &amp; Seed Funding'!G172+'Partnerships &amp; Collaborations'!G172+'Broadening Participation Divers'!G172+'Education Workforce Development'!G172+'Communications &amp; Disseminations'!G172+'Evaluation and Assessment '!G172+'Sustainability Plan'!G172+'Management '!G172)</f>
        <v>0</v>
      </c>
      <c r="H172" s="56">
        <f>SUM('Research Area'!H172+'Research Cyberinfrastructure'!H172+'EA &amp; Seed Funding'!H172+'Partnerships &amp; Collaborations'!H172+'Broadening Participation Divers'!H172+'Education Workforce Development'!H172+'Communications &amp; Disseminations'!H172+'Evaluation and Assessment '!H172+'Sustainability Plan'!H172+'Management '!H172)</f>
        <v>0</v>
      </c>
      <c r="I172" s="56">
        <f t="shared" si="79"/>
        <v>0</v>
      </c>
      <c r="J172" s="15"/>
      <c r="K172" s="55">
        <f>SUM('Research Area'!K172+'Research Cyberinfrastructure'!K172+'EA &amp; Seed Funding'!K172+'Partnerships &amp; Collaborations'!K172+'Broadening Participation Divers'!K172+'Education Workforce Development'!K172+'Communications &amp; Disseminations'!K172+'Evaluation and Assessment '!K172+'Sustainability Plan'!K172+'Management '!K172)</f>
        <v>0</v>
      </c>
      <c r="L172" s="56">
        <f>SUM('Research Area'!L172+'Research Cyberinfrastructure'!L172+'EA &amp; Seed Funding'!L172+'Partnerships &amp; Collaborations'!L172+'Broadening Participation Divers'!L172+'Education Workforce Development'!L172+'Communications &amp; Disseminations'!L172+'Evaluation and Assessment '!L172+'Sustainability Plan'!L172+'Management '!L172)</f>
        <v>0</v>
      </c>
      <c r="M172" s="56">
        <f t="shared" si="80"/>
        <v>0</v>
      </c>
      <c r="N172" s="15"/>
      <c r="O172" s="55">
        <f>SUM('Research Area'!O172+'Research Cyberinfrastructure'!O172+'EA &amp; Seed Funding'!O172+'Partnerships &amp; Collaborations'!O172+'Broadening Participation Divers'!O172+'Education Workforce Development'!O172+'Communications &amp; Disseminations'!O172+'Evaluation and Assessment '!O172+'Sustainability Plan'!O172+'Management '!O172)</f>
        <v>0</v>
      </c>
      <c r="P172" s="56">
        <f>SUM('Research Area'!P172+'Research Cyberinfrastructure'!P172+'EA &amp; Seed Funding'!P172+'Partnerships &amp; Collaborations'!P172+'Broadening Participation Divers'!P172+'Education Workforce Development'!P172+'Communications &amp; Disseminations'!P172+'Evaluation and Assessment '!P172+'Sustainability Plan'!P172+'Management '!P172)</f>
        <v>0</v>
      </c>
      <c r="Q172" s="56">
        <f t="shared" si="81"/>
        <v>0</v>
      </c>
      <c r="R172" s="15"/>
      <c r="S172" s="55">
        <f>SUM('Research Area'!S172+'Research Cyberinfrastructure'!S172+'EA &amp; Seed Funding'!S172+'Partnerships &amp; Collaborations'!S172+'Broadening Participation Divers'!S172+'Education Workforce Development'!S172+'Communications &amp; Disseminations'!S172+'Evaluation and Assessment '!S172+'Sustainability Plan'!S172+'Management '!S172)</f>
        <v>0</v>
      </c>
      <c r="T172" s="56">
        <f>SUM('Research Area'!T172+'Research Cyberinfrastructure'!T172+'EA &amp; Seed Funding'!T172+'Partnerships &amp; Collaborations'!T172+'Broadening Participation Divers'!T172+'Education Workforce Development'!T172+'Communications &amp; Disseminations'!T172+'Evaluation and Assessment '!T172+'Sustainability Plan'!T172+'Management '!T172)</f>
        <v>0</v>
      </c>
      <c r="U172" s="56">
        <f t="shared" si="82"/>
        <v>0</v>
      </c>
      <c r="V172" s="16"/>
      <c r="W172" s="55">
        <f>SUM('Research Area'!W172+'Research Cyberinfrastructure'!W172+'EA &amp; Seed Funding'!W172+'Partnerships &amp; Collaborations'!W172+'Broadening Participation Divers'!W172+'Education Workforce Development'!W172+'Communications &amp; Disseminations'!W172+'Evaluation and Assessment '!W172+'Sustainability Plan'!W172+'Management '!W172)</f>
        <v>0</v>
      </c>
      <c r="X172" s="56">
        <f>SUM('Research Area'!X172+'Research Cyberinfrastructure'!X172+'EA &amp; Seed Funding'!X172+'Partnerships &amp; Collaborations'!X172+'Broadening Participation Divers'!X172+'Education Workforce Development'!X172+'Communications &amp; Disseminations'!X172+'Evaluation and Assessment '!X172+'Sustainability Plan'!X172+'Management '!X172)</f>
        <v>0</v>
      </c>
      <c r="Y172" s="56">
        <f t="shared" si="83"/>
        <v>0</v>
      </c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</row>
    <row r="173" spans="1:77" s="83" customFormat="1" x14ac:dyDescent="0.25">
      <c r="A173" s="78"/>
      <c r="B173" s="78" t="s">
        <v>9</v>
      </c>
      <c r="C173" s="232">
        <f>SUM(C157:C172)</f>
        <v>21474</v>
      </c>
      <c r="D173" s="130">
        <f>SUM(D157:D172)</f>
        <v>0</v>
      </c>
      <c r="E173" s="130">
        <f>SUM(E157:E172)</f>
        <v>21474</v>
      </c>
      <c r="F173" s="81"/>
      <c r="G173" s="126">
        <f>SUM(G157:G172)</f>
        <v>120431</v>
      </c>
      <c r="H173" s="130">
        <f>SUM(H157:H172)</f>
        <v>0</v>
      </c>
      <c r="I173" s="130">
        <f>SUM(I157:I172)</f>
        <v>120431</v>
      </c>
      <c r="J173" s="81"/>
      <c r="K173" s="126">
        <f>SUM(K157:K172)</f>
        <v>144431</v>
      </c>
      <c r="L173" s="130">
        <f>SUM(L157:L172)</f>
        <v>0</v>
      </c>
      <c r="M173" s="130">
        <f>SUM(M157:M172)</f>
        <v>144431</v>
      </c>
      <c r="N173" s="81"/>
      <c r="O173" s="126">
        <f>SUM(O157:O172)</f>
        <v>51431</v>
      </c>
      <c r="P173" s="130">
        <f>SUM(P157:P172)</f>
        <v>0</v>
      </c>
      <c r="Q173" s="130">
        <f>SUM(Q157:Q172)</f>
        <v>51431</v>
      </c>
      <c r="R173" s="80" t="e">
        <f>SUM(#REF!+'Broadening Participation Divers'!R173+'Education Workforce Development'!R173+'Research Cyberinfrastructure'!R173+'Partnerships &amp; Collaborations'!R173+'Evaluation and Assessment '!R173+'Sustainability Plan'!R173+'Management '!R173)</f>
        <v>#REF!</v>
      </c>
      <c r="S173" s="126">
        <f>SUM(S157:S172)</f>
        <v>77931</v>
      </c>
      <c r="T173" s="130">
        <f>SUM(T157:T172)</f>
        <v>0</v>
      </c>
      <c r="U173" s="130">
        <f>SUM(U157:U172)</f>
        <v>77931</v>
      </c>
      <c r="V173" s="82"/>
      <c r="W173" s="126">
        <f>SUM(W157:W172)</f>
        <v>415698</v>
      </c>
      <c r="X173" s="130">
        <f>SUM(X157:X172)</f>
        <v>0</v>
      </c>
      <c r="Y173" s="130">
        <f>SUM(Y157:Y172)</f>
        <v>415698</v>
      </c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</row>
    <row r="174" spans="1:77" s="33" customFormat="1" x14ac:dyDescent="0.25">
      <c r="A174" s="100" t="s">
        <v>30</v>
      </c>
      <c r="B174" s="100"/>
      <c r="C174" s="208">
        <f>(C173+ C155+C149+C141+C125)+1</f>
        <v>314623.92447991669</v>
      </c>
      <c r="D174" s="208">
        <f t="shared" ref="D174:Y174" si="84">(D173+ D155+D149+D141+D125)</f>
        <v>54256.75</v>
      </c>
      <c r="E174" s="208">
        <f t="shared" si="84"/>
        <v>368879.67447991669</v>
      </c>
      <c r="F174" s="104" t="e">
        <f t="shared" si="84"/>
        <v>#REF!</v>
      </c>
      <c r="G174" s="104">
        <f>(G173+ G155+G149+G141+G125)</f>
        <v>725226.43797431421</v>
      </c>
      <c r="H174" s="104">
        <f t="shared" si="84"/>
        <v>56520.112500000003</v>
      </c>
      <c r="I174" s="104">
        <f t="shared" si="84"/>
        <v>781746.55047431425</v>
      </c>
      <c r="J174" s="104" t="e">
        <f t="shared" si="84"/>
        <v>#REF!</v>
      </c>
      <c r="K174" s="104">
        <f t="shared" si="84"/>
        <v>1185287.0604665435</v>
      </c>
      <c r="L174" s="104">
        <f t="shared" si="84"/>
        <v>56681.415874999999</v>
      </c>
      <c r="M174" s="104">
        <f t="shared" si="84"/>
        <v>1241968.4763415435</v>
      </c>
      <c r="N174" s="104" t="e">
        <f t="shared" si="84"/>
        <v>#REF!</v>
      </c>
      <c r="O174" s="104">
        <f t="shared" si="84"/>
        <v>745940.7895271919</v>
      </c>
      <c r="P174" s="104">
        <f t="shared" si="84"/>
        <v>58093.858351250004</v>
      </c>
      <c r="Q174" s="104">
        <f t="shared" si="84"/>
        <v>804034.64787844196</v>
      </c>
      <c r="R174" s="104" t="e">
        <f t="shared" si="84"/>
        <v>#REF!</v>
      </c>
      <c r="S174" s="104">
        <f t="shared" si="84"/>
        <v>673307.23114908265</v>
      </c>
      <c r="T174" s="104">
        <f t="shared" si="84"/>
        <v>59548.674101787503</v>
      </c>
      <c r="U174" s="104">
        <f t="shared" si="84"/>
        <v>732855.90525087004</v>
      </c>
      <c r="V174" s="104" t="e">
        <f t="shared" si="84"/>
        <v>#REF!</v>
      </c>
      <c r="W174" s="104">
        <f t="shared" si="84"/>
        <v>3644384.443597049</v>
      </c>
      <c r="X174" s="104">
        <f t="shared" si="84"/>
        <v>285100.8108280375</v>
      </c>
      <c r="Y174" s="104">
        <f t="shared" si="84"/>
        <v>3929485.2544250865</v>
      </c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</row>
    <row r="175" spans="1:77" s="33" customFormat="1" x14ac:dyDescent="0.25">
      <c r="A175" s="100" t="s">
        <v>31</v>
      </c>
      <c r="B175" s="207"/>
      <c r="C175" s="208">
        <f>((C125+C149+C173)*0.405)+1</f>
        <v>127423.28441436627</v>
      </c>
      <c r="D175" s="208">
        <v>0</v>
      </c>
      <c r="E175" s="208">
        <f>C175</f>
        <v>127423.28441436627</v>
      </c>
      <c r="F175" s="104" t="e">
        <f>(F125+F149+F173)*0.39</f>
        <v>#REF!</v>
      </c>
      <c r="G175" s="104">
        <f>(G125+G149+G173)*0.405</f>
        <v>272382.11737959727</v>
      </c>
      <c r="H175" s="104">
        <v>0</v>
      </c>
      <c r="I175" s="104">
        <f>G175</f>
        <v>272382.11737959727</v>
      </c>
      <c r="J175" s="104" t="e">
        <f>(J125+J149+J173)*0.39</f>
        <v>#REF!</v>
      </c>
      <c r="K175" s="104">
        <f>(K125+K149+K173)*0.405</f>
        <v>457585.71048895014</v>
      </c>
      <c r="L175" s="104">
        <v>0</v>
      </c>
      <c r="M175" s="104">
        <f>K175</f>
        <v>457585.71048895014</v>
      </c>
      <c r="N175" s="104" t="e">
        <f>(N125+N149+N173)*0.39</f>
        <v>#REF!</v>
      </c>
      <c r="O175" s="104">
        <f>(O125+O149+O173)*0.405</f>
        <v>283844.71960851271</v>
      </c>
      <c r="P175" s="104">
        <v>0</v>
      </c>
      <c r="Q175" s="104">
        <f>O175</f>
        <v>283844.71960851271</v>
      </c>
      <c r="R175" s="104" t="e">
        <f>(R125+R149+R173)*0.39</f>
        <v>#REF!</v>
      </c>
      <c r="S175" s="104">
        <f>(S125+S149+S173)*0.405</f>
        <v>253614.49845037848</v>
      </c>
      <c r="T175" s="104">
        <v>0</v>
      </c>
      <c r="U175" s="104">
        <f>S175</f>
        <v>253614.49845037848</v>
      </c>
      <c r="V175" s="104" t="e">
        <f>(V125+V149+V173)*0.39</f>
        <v>#REF!</v>
      </c>
      <c r="W175" s="104">
        <f>(W125+W149+W173)*0.405</f>
        <v>1394849.330341805</v>
      </c>
      <c r="X175" s="104">
        <v>0</v>
      </c>
      <c r="Y175" s="104">
        <f>W175</f>
        <v>1394849.330341805</v>
      </c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</row>
    <row r="176" spans="1:77" s="33" customFormat="1" x14ac:dyDescent="0.25">
      <c r="A176" s="100" t="s">
        <v>32</v>
      </c>
      <c r="B176" s="100"/>
      <c r="C176" s="208">
        <f>C174+C175</f>
        <v>442047.20889428293</v>
      </c>
      <c r="D176" s="208">
        <f t="shared" ref="D176:Y176" si="85">D174+D175</f>
        <v>54256.75</v>
      </c>
      <c r="E176" s="208">
        <f t="shared" si="85"/>
        <v>496302.95889428293</v>
      </c>
      <c r="F176" s="104" t="e">
        <f t="shared" si="85"/>
        <v>#REF!</v>
      </c>
      <c r="G176" s="104">
        <f>G174+G175+0.4</f>
        <v>997608.9553539115</v>
      </c>
      <c r="H176" s="104">
        <f t="shared" si="85"/>
        <v>56520.112500000003</v>
      </c>
      <c r="I176" s="104">
        <f t="shared" si="85"/>
        <v>1054128.6678539114</v>
      </c>
      <c r="J176" s="104" t="e">
        <f t="shared" si="85"/>
        <v>#REF!</v>
      </c>
      <c r="K176" s="104">
        <f t="shared" si="85"/>
        <v>1642872.7709554937</v>
      </c>
      <c r="L176" s="104">
        <f t="shared" si="85"/>
        <v>56681.415874999999</v>
      </c>
      <c r="M176" s="104">
        <f t="shared" si="85"/>
        <v>1699554.1868304936</v>
      </c>
      <c r="N176" s="104" t="e">
        <f t="shared" si="85"/>
        <v>#REF!</v>
      </c>
      <c r="O176" s="104">
        <f t="shared" si="85"/>
        <v>1029785.5091357046</v>
      </c>
      <c r="P176" s="104">
        <f t="shared" si="85"/>
        <v>58093.858351250004</v>
      </c>
      <c r="Q176" s="104">
        <f t="shared" si="85"/>
        <v>1087879.3674869547</v>
      </c>
      <c r="R176" s="104" t="e">
        <f t="shared" si="85"/>
        <v>#REF!</v>
      </c>
      <c r="S176" s="104">
        <f t="shared" si="85"/>
        <v>926921.72959946119</v>
      </c>
      <c r="T176" s="104">
        <f t="shared" si="85"/>
        <v>59548.674101787503</v>
      </c>
      <c r="U176" s="104">
        <f t="shared" si="85"/>
        <v>986470.40370124858</v>
      </c>
      <c r="V176" s="104" t="e">
        <f t="shared" si="85"/>
        <v>#REF!</v>
      </c>
      <c r="W176" s="104">
        <f t="shared" si="85"/>
        <v>5039233.7739388542</v>
      </c>
      <c r="X176" s="104">
        <f t="shared" si="85"/>
        <v>285100.8108280375</v>
      </c>
      <c r="Y176" s="104">
        <f t="shared" si="85"/>
        <v>5324334.5847668918</v>
      </c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</row>
    <row r="177" spans="1:77" s="158" customFormat="1" x14ac:dyDescent="0.25">
      <c r="A177" s="91"/>
      <c r="B177" s="91"/>
      <c r="C177" s="156">
        <v>544228</v>
      </c>
      <c r="D177" s="156">
        <v>192738</v>
      </c>
      <c r="E177" s="105"/>
      <c r="F177" s="91"/>
      <c r="G177" s="156">
        <v>1401166</v>
      </c>
      <c r="H177" s="156">
        <v>140947</v>
      </c>
      <c r="I177" s="105"/>
      <c r="J177" s="91"/>
      <c r="K177" s="156">
        <v>1227676</v>
      </c>
      <c r="L177" s="156">
        <v>146195</v>
      </c>
      <c r="M177" s="105"/>
      <c r="N177" s="91"/>
      <c r="O177" s="156">
        <v>710360</v>
      </c>
      <c r="P177" s="156">
        <v>151711</v>
      </c>
      <c r="Q177" s="105"/>
      <c r="R177" s="91"/>
      <c r="S177" s="156">
        <v>597075</v>
      </c>
      <c r="T177" s="156">
        <v>157514</v>
      </c>
      <c r="U177" s="105"/>
      <c r="V177" s="157"/>
      <c r="W177" s="105">
        <v>4480505</v>
      </c>
      <c r="X177" s="105">
        <v>789105</v>
      </c>
      <c r="Y177" s="156">
        <f>W177+X177</f>
        <v>5269610</v>
      </c>
      <c r="Z177" s="105"/>
      <c r="AA177" s="105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</row>
    <row r="178" spans="1:77" s="99" customFormat="1" ht="21" x14ac:dyDescent="0.4">
      <c r="A178" s="326" t="s">
        <v>15</v>
      </c>
      <c r="B178" s="326"/>
      <c r="C178" s="326"/>
      <c r="D178" s="326"/>
      <c r="E178" s="326"/>
      <c r="F178" s="326"/>
      <c r="G178" s="326"/>
      <c r="H178" s="326"/>
      <c r="I178" s="326"/>
      <c r="J178" s="326"/>
      <c r="K178" s="326"/>
      <c r="L178" s="326"/>
      <c r="M178" s="326"/>
      <c r="N178" s="326"/>
      <c r="O178" s="326"/>
      <c r="P178" s="326"/>
      <c r="Q178" s="326"/>
      <c r="R178" s="326"/>
      <c r="S178" s="326"/>
      <c r="T178" s="326"/>
      <c r="U178" s="326"/>
      <c r="V178" s="326"/>
      <c r="W178" s="326"/>
      <c r="X178" s="326"/>
      <c r="Y178" s="326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</row>
    <row r="179" spans="1:77" s="139" customFormat="1" x14ac:dyDescent="0.25">
      <c r="A179" s="136" t="s">
        <v>5</v>
      </c>
      <c r="B179" s="136"/>
      <c r="C179" s="214"/>
      <c r="D179" s="214"/>
      <c r="E179" s="214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7"/>
      <c r="W179" s="136"/>
      <c r="X179" s="136"/>
      <c r="Y179" s="136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  <c r="AU179" s="138"/>
      <c r="AV179" s="138"/>
      <c r="AW179" s="138"/>
      <c r="AX179" s="138"/>
      <c r="AY179" s="138"/>
      <c r="AZ179" s="138"/>
      <c r="BA179" s="138"/>
      <c r="BB179" s="138"/>
      <c r="BC179" s="138"/>
      <c r="BD179" s="138"/>
      <c r="BE179" s="138"/>
      <c r="BF179" s="138"/>
      <c r="BG179" s="138"/>
      <c r="BH179" s="138"/>
      <c r="BI179" s="138"/>
      <c r="BJ179" s="138"/>
      <c r="BK179" s="138"/>
      <c r="BL179" s="138"/>
      <c r="BM179" s="138"/>
      <c r="BN179" s="138"/>
      <c r="BO179" s="138"/>
      <c r="BP179" s="138"/>
      <c r="BQ179" s="138"/>
      <c r="BR179" s="138"/>
      <c r="BS179" s="138"/>
      <c r="BT179" s="138"/>
      <c r="BU179" s="138"/>
      <c r="BV179" s="138"/>
      <c r="BW179" s="138"/>
      <c r="BX179" s="138"/>
      <c r="BY179" s="138"/>
    </row>
    <row r="180" spans="1:77" x14ac:dyDescent="0.25">
      <c r="A180" s="53"/>
      <c r="B180" s="52"/>
      <c r="C180" s="124">
        <f>SUM('Research Area'!C180+'Research Cyberinfrastructure'!C180+'EA &amp; Seed Funding'!C180+'Partnerships &amp; Collaborations'!C180+'Broadening Participation Divers'!C180+'Education Workforce Development'!C180+'Communications &amp; Disseminations'!C180+'Evaluation and Assessment '!C180+'Sustainability Plan'!C180+'Management '!C180)</f>
        <v>19490.333556602567</v>
      </c>
      <c r="D180" s="56">
        <f>SUM('Research Area'!D180+'Research Cyberinfrastructure'!D180+'EA &amp; Seed Funding'!D180+'Partnerships &amp; Collaborations'!D180+'Broadening Participation Divers'!D180+'Education Workforce Development'!D180+'Communications &amp; Disseminations'!D180+'Evaluation and Assessment '!D180+'Sustainability Plan'!D180+'Management '!D180)</f>
        <v>0</v>
      </c>
      <c r="E180" s="56">
        <f>SUM(C180:D180)</f>
        <v>19490.333556602567</v>
      </c>
      <c r="F180" s="15"/>
      <c r="G180" s="55">
        <f>SUM('Research Area'!G180+'Research Cyberinfrastructure'!G180+'EA &amp; Seed Funding'!G180+'Partnerships &amp; Collaborations'!G180+'Broadening Participation Divers'!G180+'Education Workforce Development'!G180+'Communications &amp; Disseminations'!G180+'Evaluation and Assessment '!G180+'Sustainability Plan'!G180+'Management '!G180)</f>
        <v>35525.043563300642</v>
      </c>
      <c r="H180" s="56">
        <f>SUM('Research Area'!H180+'Research Cyberinfrastructure'!H180+'EA &amp; Seed Funding'!H180+'Partnerships &amp; Collaborations'!H180+'Broadening Participation Divers'!H180+'Education Workforce Development'!H180+'Communications &amp; Disseminations'!H180+'Evaluation and Assessment '!H180+'Sustainability Plan'!H180+'Management '!H180)</f>
        <v>0</v>
      </c>
      <c r="I180" s="56">
        <f>SUM(G180:H180)</f>
        <v>35525.043563300642</v>
      </c>
      <c r="J180" s="15"/>
      <c r="K180" s="55">
        <f>SUM('Research Area'!K180+'Research Cyberinfrastructure'!K180+'EA &amp; Seed Funding'!K180+'Partnerships &amp; Collaborations'!K180+'Broadening Participation Divers'!K180+'Education Workforce Development'!K180+'Communications &amp; Disseminations'!K180+'Evaluation and Assessment '!K180+'Sustainability Plan'!K180+'Management '!K180)</f>
        <v>36590.794870199665</v>
      </c>
      <c r="L180" s="56">
        <f>SUM('Research Area'!L180+'Research Cyberinfrastructure'!L180+'EA &amp; Seed Funding'!L180+'Partnerships &amp; Collaborations'!L180+'Broadening Participation Divers'!L180+'Education Workforce Development'!L180+'Communications &amp; Disseminations'!L180+'Evaluation and Assessment '!L180+'Sustainability Plan'!L180+'Management '!L180)</f>
        <v>0</v>
      </c>
      <c r="M180" s="56">
        <f>SUM(K180:L180)</f>
        <v>36590.794870199665</v>
      </c>
      <c r="N180" s="15"/>
      <c r="O180" s="55">
        <f>SUM('Research Area'!O180+'Research Cyberinfrastructure'!O180+'EA &amp; Seed Funding'!O180+'Partnerships &amp; Collaborations'!O180+'Broadening Participation Divers'!O180+'Education Workforce Development'!O180+'Communications &amp; Disseminations'!O180+'Evaluation and Assessment '!O180+'Sustainability Plan'!O180+'Management '!O180)</f>
        <v>37688.518716305654</v>
      </c>
      <c r="P180" s="56">
        <f>SUM('Research Area'!P180+'Research Cyberinfrastructure'!P180+'EA &amp; Seed Funding'!P180+'Partnerships &amp; Collaborations'!P180+'Broadening Participation Divers'!P180+'Education Workforce Development'!P180+'Communications &amp; Disseminations'!P180+'Evaluation and Assessment '!P180+'Sustainability Plan'!P180+'Management '!P180)</f>
        <v>0</v>
      </c>
      <c r="Q180" s="56">
        <f>SUM(O180:P180)</f>
        <v>37688.518716305654</v>
      </c>
      <c r="R180" s="15"/>
      <c r="S180" s="55">
        <f>SUM('Research Area'!S180+'Research Cyberinfrastructure'!S180+'EA &amp; Seed Funding'!S180+'Partnerships &amp; Collaborations'!S180+'Broadening Participation Divers'!S180+'Education Workforce Development'!S180+'Communications &amp; Disseminations'!S180+'Evaluation and Assessment '!S180+'Sustainability Plan'!S180+'Management '!S180)</f>
        <v>21936.542127794826</v>
      </c>
      <c r="T180" s="56">
        <f>SUM('Research Area'!T180+'Research Cyberinfrastructure'!T180+'EA &amp; Seed Funding'!T180+'Partnerships &amp; Collaborations'!T180+'Broadening Participation Divers'!T180+'Education Workforce Development'!T180+'Communications &amp; Disseminations'!T180+'Evaluation and Assessment '!T180+'Sustainability Plan'!T180+'Management '!T180)</f>
        <v>0</v>
      </c>
      <c r="U180" s="56">
        <f>SUM(S180:T180)</f>
        <v>21936.542127794826</v>
      </c>
      <c r="V180" s="16"/>
      <c r="W180" s="55">
        <f>SUM('Research Area'!W180+'Research Cyberinfrastructure'!W180+'EA &amp; Seed Funding'!W180+'Partnerships &amp; Collaborations'!W180+'Broadening Participation Divers'!W180+'Education Workforce Development'!W180+'Communications &amp; Disseminations'!W180+'Evaluation and Assessment '!W180+'Sustainability Plan'!W180+'Management '!W180)</f>
        <v>151231.23283420334</v>
      </c>
      <c r="X180" s="56">
        <f>SUM('Research Area'!X180+'Research Cyberinfrastructure'!X180+'EA &amp; Seed Funding'!X180+'Partnerships &amp; Collaborations'!X180+'Broadening Participation Divers'!X180+'Education Workforce Development'!X180+'Communications &amp; Disseminations'!X180+'Evaluation and Assessment '!X180+'Sustainability Plan'!X180+'Management '!X180)</f>
        <v>0</v>
      </c>
      <c r="Y180" s="56">
        <f t="shared" ref="Y180:Y185" si="86">SUM(W180:X180)</f>
        <v>151231.23283420334</v>
      </c>
    </row>
    <row r="181" spans="1:77" x14ac:dyDescent="0.25">
      <c r="A181" s="17"/>
      <c r="B181" s="17"/>
      <c r="C181" s="124">
        <f>SUM('Research Area'!C181+'Research Cyberinfrastructure'!C181+'EA &amp; Seed Funding'!C181+'Partnerships &amp; Collaborations'!C181+'Broadening Participation Divers'!C181+'Education Workforce Development'!C181+'Communications &amp; Disseminations'!C181+'Evaluation and Assessment '!C181+'Sustainability Plan'!C181+'Management '!C181)</f>
        <v>34106.250343846157</v>
      </c>
      <c r="D181" s="56">
        <f>SUM('Research Area'!D181+'Research Cyberinfrastructure'!D181+'EA &amp; Seed Funding'!D181+'Partnerships &amp; Collaborations'!D181+'Broadening Participation Divers'!D181+'Education Workforce Development'!D181+'Communications &amp; Disseminations'!D181+'Evaluation and Assessment '!D181+'Sustainability Plan'!D181+'Management '!D181)</f>
        <v>0</v>
      </c>
      <c r="E181" s="56">
        <f t="shared" ref="E181:E185" si="87">SUM(C181:D181)</f>
        <v>34106.250343846157</v>
      </c>
      <c r="F181" s="15"/>
      <c r="G181" s="55">
        <f>SUM('Research Area'!G181+'Research Cyberinfrastructure'!G181+'EA &amp; Seed Funding'!G181+'Partnerships &amp; Collaborations'!G181+'Broadening Participation Divers'!G181+'Education Workforce Development'!G181+'Communications &amp; Disseminations'!G181+'Evaluation and Assessment '!G181+'Sustainability Plan'!G181+'Management '!G181)</f>
        <v>120129.43785416154</v>
      </c>
      <c r="H181" s="56">
        <f>SUM('Research Area'!H181+'Research Cyberinfrastructure'!H181+'EA &amp; Seed Funding'!H181+'Partnerships &amp; Collaborations'!H181+'Broadening Participation Divers'!H181+'Education Workforce Development'!H181+'Communications &amp; Disseminations'!H181+'Evaluation and Assessment '!H181+'Sustainability Plan'!H181+'Management '!H181)</f>
        <v>0</v>
      </c>
      <c r="I181" s="56">
        <f t="shared" ref="I181:I185" si="88">SUM(G181:H181)</f>
        <v>120129.43785416154</v>
      </c>
      <c r="J181" s="15"/>
      <c r="K181" s="55">
        <f>SUM('Research Area'!K181+'Research Cyberinfrastructure'!K181+'EA &amp; Seed Funding'!K181+'Partnerships &amp; Collaborations'!K181+'Broadening Participation Divers'!K181+'Education Workforce Development'!K181+'Communications &amp; Disseminations'!K181+'Evaluation and Assessment '!K181+'Sustainability Plan'!K181+'Management '!K181)</f>
        <v>36183.320989786393</v>
      </c>
      <c r="L181" s="56">
        <f>SUM('Research Area'!L181+'Research Cyberinfrastructure'!L181+'EA &amp; Seed Funding'!L181+'Partnerships &amp; Collaborations'!L181+'Broadening Participation Divers'!L181+'Education Workforce Development'!L181+'Communications &amp; Disseminations'!L181+'Evaluation and Assessment '!L181+'Sustainability Plan'!L181+'Management '!L181)</f>
        <v>0</v>
      </c>
      <c r="M181" s="56">
        <f t="shared" ref="M181:M185" si="89">SUM(K181:L181)</f>
        <v>36183.320989786393</v>
      </c>
      <c r="N181" s="15"/>
      <c r="O181" s="55">
        <f>SUM('Research Area'!O181+'Research Cyberinfrastructure'!O181+'EA &amp; Seed Funding'!O181+'Partnerships &amp; Collaborations'!O181+'Broadening Participation Divers'!O181+'Education Workforce Development'!O181+'Communications &amp; Disseminations'!O181+'Evaluation and Assessment '!O181+'Sustainability Plan'!O181+'Management '!O181)</f>
        <v>37268.820619479986</v>
      </c>
      <c r="P181" s="56">
        <f>SUM('Research Area'!P181+'Research Cyberinfrastructure'!P181+'EA &amp; Seed Funding'!P181+'Partnerships &amp; Collaborations'!P181+'Broadening Participation Divers'!P181+'Education Workforce Development'!P181+'Communications &amp; Disseminations'!P181+'Evaluation and Assessment '!P181+'Sustainability Plan'!P181+'Management '!P181)</f>
        <v>0</v>
      </c>
      <c r="Q181" s="56">
        <f t="shared" ref="Q181:Q185" si="90">SUM(O181:P181)</f>
        <v>37268.820619479986</v>
      </c>
      <c r="R181" s="15"/>
      <c r="S181" s="55">
        <f>SUM('Research Area'!S181+'Research Cyberinfrastructure'!S181+'EA &amp; Seed Funding'!S181+'Partnerships &amp; Collaborations'!S181+'Broadening Participation Divers'!S181+'Education Workforce Development'!S181+'Communications &amp; Disseminations'!S181+'Evaluation and Assessment '!S181+'Sustainability Plan'!S181+'Management '!S181)</f>
        <v>38386.88523806438</v>
      </c>
      <c r="T181" s="56">
        <f>SUM('Research Area'!T181+'Research Cyberinfrastructure'!T181+'EA &amp; Seed Funding'!T181+'Partnerships &amp; Collaborations'!T181+'Broadening Participation Divers'!T181+'Education Workforce Development'!T181+'Communications &amp; Disseminations'!T181+'Evaluation and Assessment '!T181+'Sustainability Plan'!T181+'Management '!T181)</f>
        <v>0</v>
      </c>
      <c r="U181" s="56">
        <f t="shared" ref="U181:U185" si="91">SUM(S181:T181)</f>
        <v>38386.88523806438</v>
      </c>
      <c r="V181" s="16"/>
      <c r="W181" s="55">
        <f>SUM('Research Area'!W181+'Research Cyberinfrastructure'!W181+'EA &amp; Seed Funding'!W181+'Partnerships &amp; Collaborations'!W181+'Broadening Participation Divers'!W181+'Education Workforce Development'!W181+'Communications &amp; Disseminations'!W181+'Evaluation and Assessment '!W181+'Sustainability Plan'!W181+'Management '!W181)</f>
        <v>266074.71504533844</v>
      </c>
      <c r="X181" s="56">
        <f>SUM('Research Area'!X181+'Research Cyberinfrastructure'!X181+'EA &amp; Seed Funding'!X181+'Partnerships &amp; Collaborations'!X181+'Broadening Participation Divers'!X181+'Education Workforce Development'!X181+'Communications &amp; Disseminations'!X181+'Evaluation and Assessment '!X181+'Sustainability Plan'!X181+'Management '!X181)</f>
        <v>0</v>
      </c>
      <c r="Y181" s="56">
        <f t="shared" si="86"/>
        <v>266074.71504533844</v>
      </c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</row>
    <row r="182" spans="1:77" x14ac:dyDescent="0.25">
      <c r="A182" s="17"/>
      <c r="B182" s="17"/>
      <c r="C182" s="124">
        <f>SUM('Research Area'!C182+'Research Cyberinfrastructure'!C182+'EA &amp; Seed Funding'!C182+'Partnerships &amp; Collaborations'!C182+'Broadening Participation Divers'!C182+'Education Workforce Development'!C182+'Communications &amp; Disseminations'!C182+'Evaluation and Assessment '!C182+'Sustainability Plan'!C182+'Management '!C182)</f>
        <v>10000</v>
      </c>
      <c r="D182" s="56">
        <f>SUM('Research Area'!D182+'Research Cyberinfrastructure'!D182+'EA &amp; Seed Funding'!D182+'Partnerships &amp; Collaborations'!D182+'Broadening Participation Divers'!D182+'Education Workforce Development'!D182+'Communications &amp; Disseminations'!D182+'Evaluation and Assessment '!D182+'Sustainability Plan'!D182+'Management '!D182)</f>
        <v>0</v>
      </c>
      <c r="E182" s="56">
        <f t="shared" si="87"/>
        <v>10000</v>
      </c>
      <c r="F182" s="15"/>
      <c r="G182" s="55">
        <f>SUM('Research Area'!G182+'Research Cyberinfrastructure'!G182+'EA &amp; Seed Funding'!G182+'Partnerships &amp; Collaborations'!G182+'Broadening Participation Divers'!G182+'Education Workforce Development'!G182+'Communications &amp; Disseminations'!G182+'Evaluation and Assessment '!G182+'Sustainability Plan'!G182+'Management '!G182)</f>
        <v>95300</v>
      </c>
      <c r="H182" s="56">
        <f>SUM('Research Area'!H182+'Research Cyberinfrastructure'!H182+'EA &amp; Seed Funding'!H182+'Partnerships &amp; Collaborations'!H182+'Broadening Participation Divers'!H182+'Education Workforce Development'!H182+'Communications &amp; Disseminations'!H182+'Evaluation and Assessment '!H182+'Sustainability Plan'!H182+'Management '!H182)</f>
        <v>0</v>
      </c>
      <c r="I182" s="56">
        <f t="shared" si="88"/>
        <v>95300</v>
      </c>
      <c r="J182" s="15"/>
      <c r="K182" s="55">
        <f>SUM('Research Area'!K182+'Research Cyberinfrastructure'!K182+'EA &amp; Seed Funding'!K182+'Partnerships &amp; Collaborations'!K182+'Broadening Participation Divers'!K182+'Education Workforce Development'!K182+'Communications &amp; Disseminations'!K182+'Evaluation and Assessment '!K182+'Sustainability Plan'!K182+'Management '!K182)</f>
        <v>10609</v>
      </c>
      <c r="L182" s="56">
        <f>SUM('Research Area'!L182+'Research Cyberinfrastructure'!L182+'EA &amp; Seed Funding'!L182+'Partnerships &amp; Collaborations'!L182+'Broadening Participation Divers'!L182+'Education Workforce Development'!L182+'Communications &amp; Disseminations'!L182+'Evaluation and Assessment '!L182+'Sustainability Plan'!L182+'Management '!L182)</f>
        <v>0</v>
      </c>
      <c r="M182" s="56">
        <f t="shared" si="89"/>
        <v>10609</v>
      </c>
      <c r="N182" s="15"/>
      <c r="O182" s="55">
        <f>SUM('Research Area'!O182+'Research Cyberinfrastructure'!O182+'EA &amp; Seed Funding'!O182+'Partnerships &amp; Collaborations'!O182+'Broadening Participation Divers'!O182+'Education Workforce Development'!O182+'Communications &amp; Disseminations'!O182+'Evaluation and Assessment '!O182+'Sustainability Plan'!O182+'Management '!O182)</f>
        <v>10927.27</v>
      </c>
      <c r="P182" s="56">
        <f>SUM('Research Area'!P182+'Research Cyberinfrastructure'!P182+'EA &amp; Seed Funding'!P182+'Partnerships &amp; Collaborations'!P182+'Broadening Participation Divers'!P182+'Education Workforce Development'!P182+'Communications &amp; Disseminations'!P182+'Evaluation and Assessment '!P182+'Sustainability Plan'!P182+'Management '!P182)</f>
        <v>0</v>
      </c>
      <c r="Q182" s="56">
        <f t="shared" si="90"/>
        <v>10927.27</v>
      </c>
      <c r="R182" s="15"/>
      <c r="S182" s="55">
        <f>SUM('Research Area'!S182+'Research Cyberinfrastructure'!S182+'EA &amp; Seed Funding'!S182+'Partnerships &amp; Collaborations'!S182+'Broadening Participation Divers'!S182+'Education Workforce Development'!S182+'Communications &amp; Disseminations'!S182+'Evaluation and Assessment '!S182+'Sustainability Plan'!S182+'Management '!S182)</f>
        <v>5627.5440500000004</v>
      </c>
      <c r="T182" s="56">
        <f>SUM('Research Area'!T182+'Research Cyberinfrastructure'!T182+'EA &amp; Seed Funding'!T182+'Partnerships &amp; Collaborations'!T182+'Broadening Participation Divers'!T182+'Education Workforce Development'!T182+'Communications &amp; Disseminations'!T182+'Evaluation and Assessment '!T182+'Sustainability Plan'!T182+'Management '!T182)</f>
        <v>0</v>
      </c>
      <c r="U182" s="56">
        <f t="shared" si="91"/>
        <v>5627.5440500000004</v>
      </c>
      <c r="V182" s="16"/>
      <c r="W182" s="55">
        <f>SUM('Research Area'!W182+'Research Cyberinfrastructure'!W182+'EA &amp; Seed Funding'!W182+'Partnerships &amp; Collaborations'!W182+'Broadening Participation Divers'!W182+'Education Workforce Development'!W182+'Communications &amp; Disseminations'!W182+'Evaluation and Assessment '!W182+'Sustainability Plan'!W182+'Management '!W182)</f>
        <v>132463.81405000002</v>
      </c>
      <c r="X182" s="56">
        <f>SUM('Research Area'!X182+'Research Cyberinfrastructure'!X182+'EA &amp; Seed Funding'!X182+'Partnerships &amp; Collaborations'!X182+'Broadening Participation Divers'!X182+'Education Workforce Development'!X182+'Communications &amp; Disseminations'!X182+'Evaluation and Assessment '!X182+'Sustainability Plan'!X182+'Management '!X182)</f>
        <v>0</v>
      </c>
      <c r="Y182" s="56">
        <f t="shared" si="86"/>
        <v>132463.81405000002</v>
      </c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</row>
    <row r="183" spans="1:77" x14ac:dyDescent="0.25">
      <c r="A183" s="17"/>
      <c r="B183" s="17"/>
      <c r="C183" s="124">
        <f>SUM('Research Area'!C183+'Research Cyberinfrastructure'!C183+'EA &amp; Seed Funding'!C183+'Partnerships &amp; Collaborations'!C183+'Broadening Participation Divers'!C183+'Education Workforce Development'!C183+'Communications &amp; Disseminations'!C183+'Evaluation and Assessment '!C183+'Sustainability Plan'!C183+'Management '!C183)</f>
        <v>6000</v>
      </c>
      <c r="D183" s="56">
        <f>SUM('Research Area'!D183+'Research Cyberinfrastructure'!D183+'EA &amp; Seed Funding'!D183+'Partnerships &amp; Collaborations'!D183+'Broadening Participation Divers'!D183+'Education Workforce Development'!D183+'Communications &amp; Disseminations'!D183+'Evaluation and Assessment '!D183+'Sustainability Plan'!D183+'Management '!D183)</f>
        <v>5000</v>
      </c>
      <c r="E183" s="56">
        <f t="shared" ref="E183" si="92">SUM(C183:D183)</f>
        <v>11000</v>
      </c>
      <c r="F183" s="15"/>
      <c r="G183" s="55">
        <f>SUM('Research Area'!G183+'Research Cyberinfrastructure'!G183+'EA &amp; Seed Funding'!G183+'Partnerships &amp; Collaborations'!G183+'Broadening Participation Divers'!G183+'Education Workforce Development'!G183+'Communications &amp; Disseminations'!G183+'Evaluation and Assessment '!G183+'Sustainability Plan'!G183+'Management '!G183)</f>
        <v>6000</v>
      </c>
      <c r="H183" s="56">
        <f>SUM('Research Area'!H183+'Research Cyberinfrastructure'!H183+'EA &amp; Seed Funding'!H183+'Partnerships &amp; Collaborations'!H183+'Broadening Participation Divers'!H183+'Education Workforce Development'!H183+'Communications &amp; Disseminations'!H183+'Evaluation and Assessment '!H183+'Sustainability Plan'!H183+'Management '!H183)</f>
        <v>5150</v>
      </c>
      <c r="I183" s="56">
        <f t="shared" ref="I183" si="93">SUM(G183:H183)</f>
        <v>11150</v>
      </c>
      <c r="J183" s="15"/>
      <c r="K183" s="55">
        <f>SUM('Research Area'!K183+'Research Cyberinfrastructure'!K183+'EA &amp; Seed Funding'!K183+'Partnerships &amp; Collaborations'!K183+'Broadening Participation Divers'!K183+'Education Workforce Development'!K183+'Communications &amp; Disseminations'!K183+'Evaluation and Assessment '!K183+'Sustainability Plan'!K183+'Management '!K183)</f>
        <v>6000</v>
      </c>
      <c r="L183" s="56">
        <f>SUM('Research Area'!L183+'Research Cyberinfrastructure'!L183+'EA &amp; Seed Funding'!L183+'Partnerships &amp; Collaborations'!L183+'Broadening Participation Divers'!L183+'Education Workforce Development'!L183+'Communications &amp; Disseminations'!L183+'Evaluation and Assessment '!L183+'Sustainability Plan'!L183+'Management '!L183)</f>
        <v>0</v>
      </c>
      <c r="M183" s="56">
        <f t="shared" ref="M183" si="94">SUM(K183:L183)</f>
        <v>6000</v>
      </c>
      <c r="N183" s="15"/>
      <c r="O183" s="55">
        <f>SUM('Research Area'!O183+'Research Cyberinfrastructure'!O183+'EA &amp; Seed Funding'!O183+'Partnerships &amp; Collaborations'!O183+'Broadening Participation Divers'!O183+'Education Workforce Development'!O183+'Communications &amp; Disseminations'!O183+'Evaluation and Assessment '!O183+'Sustainability Plan'!O183+'Management '!O183)</f>
        <v>6000</v>
      </c>
      <c r="P183" s="56">
        <f>SUM('Research Area'!P183+'Research Cyberinfrastructure'!P183+'EA &amp; Seed Funding'!P183+'Partnerships &amp; Collaborations'!P183+'Broadening Participation Divers'!P183+'Education Workforce Development'!P183+'Communications &amp; Disseminations'!P183+'Evaluation and Assessment '!P183+'Sustainability Plan'!P183+'Management '!P183)</f>
        <v>0</v>
      </c>
      <c r="Q183" s="56">
        <f t="shared" ref="Q183" si="95">SUM(O183:P183)</f>
        <v>6000</v>
      </c>
      <c r="R183" s="15"/>
      <c r="S183" s="55">
        <f>SUM('Research Area'!S183+'Research Cyberinfrastructure'!S183+'EA &amp; Seed Funding'!S183+'Partnerships &amp; Collaborations'!S183+'Broadening Participation Divers'!S183+'Education Workforce Development'!S183+'Communications &amp; Disseminations'!S183+'Evaluation and Assessment '!S183+'Sustainability Plan'!S183+'Management '!S183)</f>
        <v>0</v>
      </c>
      <c r="T183" s="56">
        <f>SUM('Research Area'!T183+'Research Cyberinfrastructure'!T183+'EA &amp; Seed Funding'!T183+'Partnerships &amp; Collaborations'!T183+'Broadening Participation Divers'!T183+'Education Workforce Development'!T183+'Communications &amp; Disseminations'!T183+'Evaluation and Assessment '!T183+'Sustainability Plan'!T183+'Management '!T183)</f>
        <v>0</v>
      </c>
      <c r="U183" s="56">
        <f t="shared" ref="U183" si="96">SUM(S183:T183)</f>
        <v>0</v>
      </c>
      <c r="V183" s="16"/>
      <c r="W183" s="55">
        <f>SUM('Research Area'!W183+'Research Cyberinfrastructure'!W183+'EA &amp; Seed Funding'!W183+'Partnerships &amp; Collaborations'!W183+'Broadening Participation Divers'!W183+'Education Workforce Development'!W183+'Communications &amp; Disseminations'!W183+'Evaluation and Assessment '!W183+'Sustainability Plan'!W183+'Management '!W183)</f>
        <v>24000</v>
      </c>
      <c r="X183" s="56">
        <f>SUM('Research Area'!X183+'Research Cyberinfrastructure'!X183+'EA &amp; Seed Funding'!X183+'Partnerships &amp; Collaborations'!X183+'Broadening Participation Divers'!X183+'Education Workforce Development'!X183+'Communications &amp; Disseminations'!X183+'Evaluation and Assessment '!X183+'Sustainability Plan'!X183+'Management '!X183)</f>
        <v>10150</v>
      </c>
      <c r="Y183" s="56">
        <f t="shared" si="86"/>
        <v>34150</v>
      </c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</row>
    <row r="184" spans="1:77" x14ac:dyDescent="0.25">
      <c r="A184" s="17"/>
      <c r="B184" s="17"/>
      <c r="C184" s="124">
        <f>SUM('Research Area'!C184+'Research Cyberinfrastructure'!C184+'EA &amp; Seed Funding'!C184+'Partnerships &amp; Collaborations'!C184+'Broadening Participation Divers'!C184+'Education Workforce Development'!C184+'Communications &amp; Disseminations'!C184+'Evaluation and Assessment '!C184+'Sustainability Plan'!C184+'Management '!C184)</f>
        <v>11439</v>
      </c>
      <c r="D184" s="56">
        <f>SUM('Research Area'!D184+'Research Cyberinfrastructure'!D184+'EA &amp; Seed Funding'!D184+'Partnerships &amp; Collaborations'!D184+'Broadening Participation Divers'!D184+'Education Workforce Development'!D184+'Communications &amp; Disseminations'!D184+'Evaluation and Assessment '!D184+'Sustainability Plan'!D184+'Management '!D184)</f>
        <v>0</v>
      </c>
      <c r="E184" s="56">
        <f t="shared" si="87"/>
        <v>11439</v>
      </c>
      <c r="F184" s="15"/>
      <c r="G184" s="55">
        <f>SUM('Research Area'!G184+'Research Cyberinfrastructure'!G184+'EA &amp; Seed Funding'!G184+'Partnerships &amp; Collaborations'!G184+'Broadening Participation Divers'!G184+'Education Workforce Development'!G184+'Communications &amp; Disseminations'!G184+'Evaluation and Assessment '!G184+'Sustainability Plan'!G184+'Management '!G184)</f>
        <v>11782.17</v>
      </c>
      <c r="H184" s="56">
        <f>SUM('Research Area'!H184+'Research Cyberinfrastructure'!H184+'EA &amp; Seed Funding'!H184+'Partnerships &amp; Collaborations'!H184+'Broadening Participation Divers'!H184+'Education Workforce Development'!H184+'Communications &amp; Disseminations'!H184+'Evaluation and Assessment '!H184+'Sustainability Plan'!H184+'Management '!H184)</f>
        <v>0</v>
      </c>
      <c r="I184" s="56">
        <f t="shared" si="88"/>
        <v>11782.17</v>
      </c>
      <c r="J184" s="15"/>
      <c r="K184" s="55">
        <f>SUM('Research Area'!K184+'Research Cyberinfrastructure'!K184+'EA &amp; Seed Funding'!K184+'Partnerships &amp; Collaborations'!K184+'Broadening Participation Divers'!K184+'Education Workforce Development'!K184+'Communications &amp; Disseminations'!K184+'Evaluation and Assessment '!K184+'Sustainability Plan'!K184+'Management '!K184)</f>
        <v>12135.6351</v>
      </c>
      <c r="L184" s="56">
        <f>SUM('Research Area'!L184+'Research Cyberinfrastructure'!L184+'EA &amp; Seed Funding'!L184+'Partnerships &amp; Collaborations'!L184+'Broadening Participation Divers'!L184+'Education Workforce Development'!L184+'Communications &amp; Disseminations'!L184+'Evaluation and Assessment '!L184+'Sustainability Plan'!L184+'Management '!L184)</f>
        <v>0</v>
      </c>
      <c r="M184" s="56">
        <f t="shared" si="89"/>
        <v>12135.6351</v>
      </c>
      <c r="N184" s="15"/>
      <c r="O184" s="55">
        <f>SUM('Research Area'!O184+'Research Cyberinfrastructure'!O184+'EA &amp; Seed Funding'!O184+'Partnerships &amp; Collaborations'!O184+'Broadening Participation Divers'!O184+'Education Workforce Development'!O184+'Communications &amp; Disseminations'!O184+'Evaluation and Assessment '!O184+'Sustainability Plan'!O184+'Management '!O184)</f>
        <v>12499.704153000001</v>
      </c>
      <c r="P184" s="56">
        <f>SUM('Research Area'!P184+'Research Cyberinfrastructure'!P184+'EA &amp; Seed Funding'!P184+'Partnerships &amp; Collaborations'!P184+'Broadening Participation Divers'!P184+'Education Workforce Development'!P184+'Communications &amp; Disseminations'!P184+'Evaluation and Assessment '!P184+'Sustainability Plan'!P184+'Management '!P184)</f>
        <v>0</v>
      </c>
      <c r="Q184" s="56">
        <f t="shared" si="90"/>
        <v>12499.704153000001</v>
      </c>
      <c r="R184" s="15"/>
      <c r="S184" s="55">
        <f>SUM('Research Area'!S184+'Research Cyberinfrastructure'!S184+'EA &amp; Seed Funding'!S184+'Partnerships &amp; Collaborations'!S184+'Broadening Participation Divers'!S184+'Education Workforce Development'!S184+'Communications &amp; Disseminations'!S184+'Evaluation and Assessment '!S184+'Sustainability Plan'!S184+'Management '!S184)</f>
        <v>12874.695277590001</v>
      </c>
      <c r="T184" s="56">
        <f>SUM('Research Area'!T184+'Research Cyberinfrastructure'!T184+'EA &amp; Seed Funding'!T184+'Partnerships &amp; Collaborations'!T184+'Broadening Participation Divers'!T184+'Education Workforce Development'!T184+'Communications &amp; Disseminations'!T184+'Evaluation and Assessment '!T184+'Sustainability Plan'!T184+'Management '!T184)</f>
        <v>0</v>
      </c>
      <c r="U184" s="56">
        <f t="shared" si="91"/>
        <v>12874.695277590001</v>
      </c>
      <c r="V184" s="16"/>
      <c r="W184" s="55">
        <f>SUM('Research Area'!W184+'Research Cyberinfrastructure'!W184+'EA &amp; Seed Funding'!W184+'Partnerships &amp; Collaborations'!W184+'Broadening Participation Divers'!W184+'Education Workforce Development'!W184+'Communications &amp; Disseminations'!W184+'Evaluation and Assessment '!W184+'Sustainability Plan'!W184+'Management '!W184)</f>
        <v>60731.204530589996</v>
      </c>
      <c r="X184" s="56">
        <f>SUM('Research Area'!X184+'Research Cyberinfrastructure'!X184+'EA &amp; Seed Funding'!X184+'Partnerships &amp; Collaborations'!X184+'Broadening Participation Divers'!X184+'Education Workforce Development'!X184+'Communications &amp; Disseminations'!X184+'Evaluation and Assessment '!X184+'Sustainability Plan'!X184+'Management '!X184)</f>
        <v>0</v>
      </c>
      <c r="Y184" s="56">
        <f t="shared" si="86"/>
        <v>60731.204530589996</v>
      </c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</row>
    <row r="185" spans="1:77" x14ac:dyDescent="0.25">
      <c r="A185" s="17"/>
      <c r="B185" s="17"/>
      <c r="C185" s="124">
        <f>SUM('Research Area'!C185+'Research Cyberinfrastructure'!C185+'EA &amp; Seed Funding'!C185+'Partnerships &amp; Collaborations'!C185+'Broadening Participation Divers'!C185+'Education Workforce Development'!C185+'Communications &amp; Disseminations'!C185+'Evaluation and Assessment '!C185+'Sustainability Plan'!C185+'Management '!C185)</f>
        <v>20000</v>
      </c>
      <c r="D185" s="56">
        <f>SUM('Research Area'!D185+'Research Cyberinfrastructure'!D185+'EA &amp; Seed Funding'!D185+'Partnerships &amp; Collaborations'!D185+'Broadening Participation Divers'!D185+'Education Workforce Development'!D185+'Communications &amp; Disseminations'!D185+'Evaluation and Assessment '!D185+'Sustainability Plan'!D185+'Management '!D185)</f>
        <v>0</v>
      </c>
      <c r="E185" s="56">
        <f t="shared" si="87"/>
        <v>20000</v>
      </c>
      <c r="F185" s="15"/>
      <c r="G185" s="55">
        <f>SUM('Research Area'!G185+'Research Cyberinfrastructure'!G185+'EA &amp; Seed Funding'!G185+'Partnerships &amp; Collaborations'!G185+'Broadening Participation Divers'!G185+'Education Workforce Development'!G185+'Communications &amp; Disseminations'!G185+'Evaluation and Assessment '!G185+'Sustainability Plan'!G185+'Management '!G185)</f>
        <v>20600</v>
      </c>
      <c r="H185" s="56">
        <f>SUM('Research Area'!H185+'Research Cyberinfrastructure'!H185+'EA &amp; Seed Funding'!H185+'Partnerships &amp; Collaborations'!H185+'Broadening Participation Divers'!H185+'Education Workforce Development'!H185+'Communications &amp; Disseminations'!H185+'Evaluation and Assessment '!H185+'Sustainability Plan'!H185+'Management '!H185)</f>
        <v>0</v>
      </c>
      <c r="I185" s="56">
        <f t="shared" si="88"/>
        <v>20600</v>
      </c>
      <c r="J185" s="15"/>
      <c r="K185" s="55">
        <f>SUM('Research Area'!K185+'Research Cyberinfrastructure'!K185+'EA &amp; Seed Funding'!K185+'Partnerships &amp; Collaborations'!K185+'Broadening Participation Divers'!K185+'Education Workforce Development'!K185+'Communications &amp; Disseminations'!K185+'Evaluation and Assessment '!K185+'Sustainability Plan'!K185+'Management '!K185)</f>
        <v>21218</v>
      </c>
      <c r="L185" s="56">
        <f>SUM('Research Area'!L185+'Research Cyberinfrastructure'!L185+'EA &amp; Seed Funding'!L185+'Partnerships &amp; Collaborations'!L185+'Broadening Participation Divers'!L185+'Education Workforce Development'!L185+'Communications &amp; Disseminations'!L185+'Evaluation and Assessment '!L185+'Sustainability Plan'!L185+'Management '!L185)</f>
        <v>0</v>
      </c>
      <c r="M185" s="56">
        <f t="shared" si="89"/>
        <v>21218</v>
      </c>
      <c r="N185" s="15"/>
      <c r="O185" s="55">
        <f>SUM('Research Area'!O185+'Research Cyberinfrastructure'!O185+'EA &amp; Seed Funding'!O185+'Partnerships &amp; Collaborations'!O185+'Broadening Participation Divers'!O185+'Education Workforce Development'!O185+'Communications &amp; Disseminations'!O185+'Evaluation and Assessment '!O185+'Sustainability Plan'!O185+'Management '!O185)</f>
        <v>21854.54</v>
      </c>
      <c r="P185" s="56">
        <f>SUM('Research Area'!P185+'Research Cyberinfrastructure'!P185+'EA &amp; Seed Funding'!P185+'Partnerships &amp; Collaborations'!P185+'Broadening Participation Divers'!P185+'Education Workforce Development'!P185+'Communications &amp; Disseminations'!P185+'Evaluation and Assessment '!P185+'Sustainability Plan'!P185+'Management '!P185)</f>
        <v>0</v>
      </c>
      <c r="Q185" s="56">
        <f t="shared" si="90"/>
        <v>21854.54</v>
      </c>
      <c r="R185" s="15"/>
      <c r="S185" s="55">
        <f>SUM('Research Area'!S185+'Research Cyberinfrastructure'!S185+'EA &amp; Seed Funding'!S185+'Partnerships &amp; Collaborations'!S185+'Broadening Participation Divers'!S185+'Education Workforce Development'!S185+'Communications &amp; Disseminations'!S185+'Evaluation and Assessment '!S185+'Sustainability Plan'!S185+'Management '!S185)</f>
        <v>22510.176200000002</v>
      </c>
      <c r="T185" s="56">
        <f>SUM('Research Area'!T185+'Research Cyberinfrastructure'!T185+'EA &amp; Seed Funding'!T185+'Partnerships &amp; Collaborations'!T185+'Broadening Participation Divers'!T185+'Education Workforce Development'!T185+'Communications &amp; Disseminations'!T185+'Evaluation and Assessment '!T185+'Sustainability Plan'!T185+'Management '!T185)</f>
        <v>0</v>
      </c>
      <c r="U185" s="56">
        <f t="shared" si="91"/>
        <v>22510.176200000002</v>
      </c>
      <c r="V185" s="16"/>
      <c r="W185" s="55">
        <f>SUM('Research Area'!W185+'Research Cyberinfrastructure'!W185+'EA &amp; Seed Funding'!W185+'Partnerships &amp; Collaborations'!W185+'Broadening Participation Divers'!W185+'Education Workforce Development'!W185+'Communications &amp; Disseminations'!W185+'Evaluation and Assessment '!W185+'Sustainability Plan'!W185+'Management '!W185)</f>
        <v>106182.71620000001</v>
      </c>
      <c r="X185" s="56">
        <f>SUM('Research Area'!X185+'Research Cyberinfrastructure'!X185+'EA &amp; Seed Funding'!X185+'Partnerships &amp; Collaborations'!X185+'Broadening Participation Divers'!X185+'Education Workforce Development'!X185+'Communications &amp; Disseminations'!X185+'Evaluation and Assessment '!X185+'Sustainability Plan'!X185+'Management '!X185)</f>
        <v>0</v>
      </c>
      <c r="Y185" s="56">
        <f t="shared" si="86"/>
        <v>106182.71620000001</v>
      </c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</row>
    <row r="186" spans="1:77" s="146" customFormat="1" x14ac:dyDescent="0.25">
      <c r="A186" s="140"/>
      <c r="B186" s="140" t="s">
        <v>9</v>
      </c>
      <c r="C186" s="233">
        <f>SUM(C180:C185)</f>
        <v>101035.58390044872</v>
      </c>
      <c r="D186" s="142">
        <f>SUM(D180:D185)</f>
        <v>5000</v>
      </c>
      <c r="E186" s="142">
        <f>SUM(E180:E185)</f>
        <v>106035.58390044872</v>
      </c>
      <c r="F186" s="143"/>
      <c r="G186" s="141">
        <f>SUM(G180:G185)</f>
        <v>289336.65141746216</v>
      </c>
      <c r="H186" s="142">
        <f>SUM(H180:H185)</f>
        <v>5150</v>
      </c>
      <c r="I186" s="142">
        <f>SUM(I180:I185)</f>
        <v>294486.65141746216</v>
      </c>
      <c r="J186" s="143"/>
      <c r="K186" s="141">
        <f>SUM(K180:K185)</f>
        <v>122736.75095998605</v>
      </c>
      <c r="L186" s="142">
        <f>SUM(L180:L185)</f>
        <v>0</v>
      </c>
      <c r="M186" s="142">
        <f>SUM(M180:M185)</f>
        <v>122736.75095998605</v>
      </c>
      <c r="N186" s="143"/>
      <c r="O186" s="141">
        <f>SUM(O180:O185)</f>
        <v>126238.85348878565</v>
      </c>
      <c r="P186" s="142">
        <f>SUM(P180:P185)</f>
        <v>0</v>
      </c>
      <c r="Q186" s="142">
        <f>SUM(Q180:Q185)</f>
        <v>126238.85348878565</v>
      </c>
      <c r="R186" s="143"/>
      <c r="S186" s="141">
        <f>SUM(S180:S185)</f>
        <v>101335.84289344921</v>
      </c>
      <c r="T186" s="142">
        <f>SUM(T180:T185)</f>
        <v>0</v>
      </c>
      <c r="U186" s="142">
        <f>SUM(U180:U185)</f>
        <v>101335.84289344921</v>
      </c>
      <c r="V186" s="144"/>
      <c r="W186" s="141">
        <f>SUM(W180:W185)</f>
        <v>740683.68266013183</v>
      </c>
      <c r="X186" s="142">
        <f>SUM(X180:X185)</f>
        <v>10150</v>
      </c>
      <c r="Y186" s="142">
        <f>SUM(Y180:Y185)</f>
        <v>750833.68266013183</v>
      </c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45"/>
      <c r="AR186" s="145"/>
      <c r="AS186" s="145"/>
      <c r="AT186" s="145"/>
      <c r="AU186" s="145"/>
      <c r="AV186" s="145"/>
      <c r="AW186" s="145"/>
      <c r="AX186" s="145"/>
      <c r="AY186" s="145"/>
      <c r="AZ186" s="145"/>
      <c r="BA186" s="145"/>
      <c r="BB186" s="145"/>
      <c r="BC186" s="145"/>
      <c r="BD186" s="145"/>
      <c r="BE186" s="145"/>
      <c r="BF186" s="145"/>
      <c r="BG186" s="145"/>
      <c r="BH186" s="145"/>
      <c r="BI186" s="145"/>
      <c r="BJ186" s="145"/>
      <c r="BK186" s="145"/>
      <c r="BL186" s="145"/>
      <c r="BM186" s="145"/>
      <c r="BN186" s="145"/>
      <c r="BO186" s="145"/>
      <c r="BP186" s="145"/>
      <c r="BQ186" s="145"/>
      <c r="BR186" s="145"/>
      <c r="BS186" s="145"/>
      <c r="BT186" s="145"/>
      <c r="BU186" s="145"/>
      <c r="BV186" s="145"/>
      <c r="BW186" s="145"/>
      <c r="BX186" s="145"/>
      <c r="BY186" s="145"/>
    </row>
    <row r="187" spans="1:77" s="139" customFormat="1" x14ac:dyDescent="0.25">
      <c r="A187" s="136" t="s">
        <v>12</v>
      </c>
      <c r="B187" s="136"/>
      <c r="C187" s="215"/>
      <c r="D187" s="215"/>
      <c r="E187" s="215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8"/>
      <c r="W187" s="147"/>
      <c r="X187" s="147"/>
      <c r="Y187" s="147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  <c r="AU187" s="138"/>
      <c r="AV187" s="138"/>
      <c r="AW187" s="138"/>
      <c r="AX187" s="138"/>
      <c r="AY187" s="138"/>
      <c r="AZ187" s="138"/>
      <c r="BA187" s="138"/>
      <c r="BB187" s="138"/>
      <c r="BC187" s="138"/>
      <c r="BD187" s="138"/>
      <c r="BE187" s="138"/>
      <c r="BF187" s="138"/>
      <c r="BG187" s="138"/>
      <c r="BH187" s="138"/>
      <c r="BI187" s="138"/>
      <c r="BJ187" s="138"/>
      <c r="BK187" s="138"/>
      <c r="BL187" s="138"/>
      <c r="BM187" s="138"/>
      <c r="BN187" s="138"/>
      <c r="BO187" s="138"/>
      <c r="BP187" s="138"/>
      <c r="BQ187" s="138"/>
      <c r="BR187" s="138"/>
      <c r="BS187" s="138"/>
      <c r="BT187" s="138"/>
      <c r="BU187" s="138"/>
      <c r="BV187" s="138"/>
      <c r="BW187" s="138"/>
      <c r="BX187" s="138"/>
      <c r="BY187" s="138"/>
    </row>
    <row r="188" spans="1:77" x14ac:dyDescent="0.25">
      <c r="A188" s="53"/>
      <c r="B188" s="52"/>
      <c r="C188" s="124">
        <f>SUM('Research Area'!C188+'Research Cyberinfrastructure'!C188+'EA &amp; Seed Funding'!C188+'Partnerships &amp; Collaborations'!C188+'Broadening Participation Divers'!C188+'Education Workforce Development'!C188+'Communications &amp; Disseminations'!C188+'Evaluation and Assessment '!C188+'Sustainability Plan'!C188+'Management '!C188)</f>
        <v>34000</v>
      </c>
      <c r="D188" s="56">
        <f>SUM('Research Area'!D188+'Research Cyberinfrastructure'!D188+'EA &amp; Seed Funding'!D188+'Partnerships &amp; Collaborations'!D188+'Broadening Participation Divers'!D188+'Education Workforce Development'!D188+'Communications &amp; Disseminations'!D188+'Evaluation and Assessment '!D188+'Sustainability Plan'!D188+'Management '!D188)</f>
        <v>34000</v>
      </c>
      <c r="E188" s="56">
        <f>SUM(C188:D188)</f>
        <v>68000</v>
      </c>
      <c r="F188" s="15"/>
      <c r="G188" s="55">
        <f>SUM('Research Area'!G188+'Research Cyberinfrastructure'!G188+'EA &amp; Seed Funding'!G188+'Partnerships &amp; Collaborations'!G188+'Broadening Participation Divers'!G188+'Education Workforce Development'!G188+'Communications &amp; Disseminations'!G188+'Evaluation and Assessment '!G188+'Sustainability Plan'!G188+'Management '!G188)</f>
        <v>158620</v>
      </c>
      <c r="H188" s="56">
        <f>SUM('Research Area'!H188+'Research Cyberinfrastructure'!H188+'EA &amp; Seed Funding'!H188+'Partnerships &amp; Collaborations'!H188+'Broadening Participation Divers'!H188+'Education Workforce Development'!H188+'Communications &amp; Disseminations'!H188+'Evaluation and Assessment '!H188+'Sustainability Plan'!H188+'Management '!H188)</f>
        <v>35020</v>
      </c>
      <c r="I188" s="56">
        <f>SUM(G188:H188)</f>
        <v>193640</v>
      </c>
      <c r="J188" s="15"/>
      <c r="K188" s="55">
        <f>SUM('Research Area'!K188+'Research Cyberinfrastructure'!K188+'EA &amp; Seed Funding'!K188+'Partnerships &amp; Collaborations'!K188+'Broadening Participation Divers'!K188+'Education Workforce Development'!K188+'Communications &amp; Disseminations'!K188+'Evaluation and Assessment '!K188+'Sustainability Plan'!K188+'Management '!K188)</f>
        <v>227032.6</v>
      </c>
      <c r="L188" s="56">
        <f>SUM('Research Area'!L188+'Research Cyberinfrastructure'!L188+'EA &amp; Seed Funding'!L188+'Partnerships &amp; Collaborations'!L188+'Broadening Participation Divers'!L188+'Education Workforce Development'!L188+'Communications &amp; Disseminations'!L188+'Evaluation and Assessment '!L188+'Sustainability Plan'!L188+'Management '!L188)</f>
        <v>36070.6</v>
      </c>
      <c r="M188" s="56">
        <f>SUM(K188:L188)</f>
        <v>263103.2</v>
      </c>
      <c r="N188" s="15"/>
      <c r="O188" s="55">
        <f>SUM('Research Area'!O188+'Research Cyberinfrastructure'!O188+'EA &amp; Seed Funding'!O188+'Partnerships &amp; Collaborations'!O188+'Broadening Participation Divers'!O188+'Education Workforce Development'!O188+'Communications &amp; Disseminations'!O188+'Evaluation and Assessment '!O188+'Sustainability Plan'!O188+'Management '!O188)</f>
        <v>102716.33799999999</v>
      </c>
      <c r="P188" s="56">
        <f>SUM('Research Area'!P188+'Research Cyberinfrastructure'!P188+'EA &amp; Seed Funding'!P188+'Partnerships &amp; Collaborations'!P188+'Broadening Participation Divers'!P188+'Education Workforce Development'!P188+'Communications &amp; Disseminations'!P188+'Evaluation and Assessment '!P188+'Sustainability Plan'!P188+'Management '!P188)</f>
        <v>37152.718000000001</v>
      </c>
      <c r="Q188" s="56">
        <f>SUM(O188:P188)</f>
        <v>139869.05599999998</v>
      </c>
      <c r="R188" s="15"/>
      <c r="S188" s="55">
        <f>SUM('Research Area'!S188+'Research Cyberinfrastructure'!S188+'EA &amp; Seed Funding'!S188+'Partnerships &amp; Collaborations'!S188+'Broadening Participation Divers'!S188+'Education Workforce Development'!S188+'Communications &amp; Disseminations'!S188+'Evaluation and Assessment '!S188+'Sustainability Plan'!S188+'Management '!S188)</f>
        <v>38267.29954</v>
      </c>
      <c r="T188" s="56">
        <f>SUM('Research Area'!T188+'Research Cyberinfrastructure'!T188+'EA &amp; Seed Funding'!T188+'Partnerships &amp; Collaborations'!T188+'Broadening Participation Divers'!T188+'Education Workforce Development'!T188+'Communications &amp; Disseminations'!T188+'Evaluation and Assessment '!T188+'Sustainability Plan'!T188+'Management '!T188)</f>
        <v>38267.29954</v>
      </c>
      <c r="U188" s="56">
        <f>SUM(S188:T188)</f>
        <v>76534.59908</v>
      </c>
      <c r="V188" s="16"/>
      <c r="W188" s="55">
        <f>SUM('Research Area'!W188+'Research Cyberinfrastructure'!W188+'EA &amp; Seed Funding'!W188+'Partnerships &amp; Collaborations'!W188+'Broadening Participation Divers'!W188+'Education Workforce Development'!W188+'Communications &amp; Disseminations'!W188+'Evaluation and Assessment '!W188+'Sustainability Plan'!W188+'Management '!W188)</f>
        <v>560636.23754</v>
      </c>
      <c r="X188" s="56">
        <f>SUM('Research Area'!X188+'Research Cyberinfrastructure'!X188+'EA &amp; Seed Funding'!X188+'Partnerships &amp; Collaborations'!X188+'Broadening Participation Divers'!X188+'Education Workforce Development'!X188+'Communications &amp; Disseminations'!X188+'Evaluation and Assessment '!X188+'Sustainability Plan'!X188+'Management '!X188)</f>
        <v>180510.61754000001</v>
      </c>
      <c r="Y188" s="56">
        <f>SUM(W188:X188)</f>
        <v>741146.85508000001</v>
      </c>
    </row>
    <row r="189" spans="1:77" x14ac:dyDescent="0.25">
      <c r="A189" s="17"/>
      <c r="B189" s="13"/>
      <c r="C189" s="124">
        <f>SUM('Research Area'!C189+'Research Cyberinfrastructure'!C189+'EA &amp; Seed Funding'!C189+'Partnerships &amp; Collaborations'!C189+'Broadening Participation Divers'!C189+'Education Workforce Development'!C189+'Communications &amp; Disseminations'!C189+'Evaluation and Assessment '!C189+'Sustainability Plan'!C189+'Management '!C189)</f>
        <v>12390</v>
      </c>
      <c r="D189" s="56">
        <f>SUM('Research Area'!D189+'Research Cyberinfrastructure'!D189+'EA &amp; Seed Funding'!D189+'Partnerships &amp; Collaborations'!D189+'Broadening Participation Divers'!D189+'Education Workforce Development'!D189+'Communications &amp; Disseminations'!D189+'Evaluation and Assessment '!D189+'Sustainability Plan'!D189+'Management '!D189)</f>
        <v>0</v>
      </c>
      <c r="E189" s="56">
        <f t="shared" ref="E189:E194" si="97">SUM(C189:D189)</f>
        <v>12390</v>
      </c>
      <c r="F189" s="15"/>
      <c r="G189" s="55">
        <f>SUM('Research Area'!G189+'Research Cyberinfrastructure'!G189+'EA &amp; Seed Funding'!G189+'Partnerships &amp; Collaborations'!G189+'Broadening Participation Divers'!G189+'Education Workforce Development'!G189+'Communications &amp; Disseminations'!G189+'Evaluation and Assessment '!G189+'Sustainability Plan'!G189+'Management '!G189)</f>
        <v>94087.762000000002</v>
      </c>
      <c r="H189" s="56">
        <f>SUM('Research Area'!H189+'Research Cyberinfrastructure'!H189+'EA &amp; Seed Funding'!H189+'Partnerships &amp; Collaborations'!H189+'Broadening Participation Divers'!H189+'Education Workforce Development'!H189+'Communications &amp; Disseminations'!H189+'Evaluation and Assessment '!H189+'Sustainability Plan'!H189+'Management '!H189)</f>
        <v>0</v>
      </c>
      <c r="I189" s="56">
        <f t="shared" ref="I189:I194" si="98">SUM(G189:H189)</f>
        <v>94087.762000000002</v>
      </c>
      <c r="J189" s="15"/>
      <c r="K189" s="55">
        <f>SUM('Research Area'!K189+'Research Cyberinfrastructure'!K189+'EA &amp; Seed Funding'!K189+'Partnerships &amp; Collaborations'!K189+'Broadening Participation Divers'!K189+'Education Workforce Development'!K189+'Communications &amp; Disseminations'!K189+'Evaluation and Assessment '!K189+'Sustainability Plan'!K189+'Management '!K189)</f>
        <v>98016.451000000001</v>
      </c>
      <c r="L189" s="56">
        <f>SUM('Research Area'!L189+'Research Cyberinfrastructure'!L189+'EA &amp; Seed Funding'!L189+'Partnerships &amp; Collaborations'!L189+'Broadening Participation Divers'!L189+'Education Workforce Development'!L189+'Communications &amp; Disseminations'!L189+'Evaluation and Assessment '!L189+'Sustainability Plan'!L189+'Management '!L189)</f>
        <v>0</v>
      </c>
      <c r="M189" s="56">
        <f t="shared" ref="M189:M194" si="99">SUM(K189:L189)</f>
        <v>98016.451000000001</v>
      </c>
      <c r="N189" s="15"/>
      <c r="O189" s="55">
        <f>SUM('Research Area'!O189+'Research Cyberinfrastructure'!O189+'EA &amp; Seed Funding'!O189+'Partnerships &amp; Collaborations'!O189+'Broadening Participation Divers'!O189+'Education Workforce Development'!O189+'Communications &amp; Disseminations'!O189+'Evaluation and Assessment '!O189+'Sustainability Plan'!O189+'Management '!O189)</f>
        <v>101466.17453</v>
      </c>
      <c r="P189" s="56">
        <f>SUM('Research Area'!P189+'Research Cyberinfrastructure'!P189+'EA &amp; Seed Funding'!P189+'Partnerships &amp; Collaborations'!P189+'Broadening Participation Divers'!P189+'Education Workforce Development'!P189+'Communications &amp; Disseminations'!P189+'Evaluation and Assessment '!P189+'Sustainability Plan'!P189+'Management '!P189)</f>
        <v>0</v>
      </c>
      <c r="Q189" s="56">
        <f t="shared" ref="Q189:Q194" si="100">SUM(O189:P189)</f>
        <v>101466.17453</v>
      </c>
      <c r="R189" s="15"/>
      <c r="S189" s="55">
        <f>SUM('Research Area'!S189+'Research Cyberinfrastructure'!S189+'EA &amp; Seed Funding'!S189+'Partnerships &amp; Collaborations'!S189+'Broadening Participation Divers'!S189+'Education Workforce Development'!S189+'Communications &amp; Disseminations'!S189+'Evaluation and Assessment '!S189+'Sustainability Plan'!S189+'Management '!S189)</f>
        <v>76973.547515900005</v>
      </c>
      <c r="T189" s="56">
        <f>SUM('Research Area'!T189+'Research Cyberinfrastructure'!T189+'EA &amp; Seed Funding'!T189+'Partnerships &amp; Collaborations'!T189+'Broadening Participation Divers'!T189+'Education Workforce Development'!T189+'Communications &amp; Disseminations'!T189+'Evaluation and Assessment '!T189+'Sustainability Plan'!T189+'Management '!T189)</f>
        <v>0</v>
      </c>
      <c r="U189" s="56">
        <f t="shared" ref="U189:U194" si="101">SUM(S189:T189)</f>
        <v>76973.547515900005</v>
      </c>
      <c r="V189" s="16"/>
      <c r="W189" s="55">
        <f>SUM('Research Area'!W189+'Research Cyberinfrastructure'!W189+'EA &amp; Seed Funding'!W189+'Partnerships &amp; Collaborations'!W189+'Broadening Participation Divers'!W189+'Education Workforce Development'!W189+'Communications &amp; Disseminations'!W189+'Evaluation and Assessment '!W189+'Sustainability Plan'!W189+'Management '!W189)</f>
        <v>382933.9350459</v>
      </c>
      <c r="X189" s="56">
        <f>SUM('Research Area'!X189+'Research Cyberinfrastructure'!X189+'EA &amp; Seed Funding'!X189+'Partnerships &amp; Collaborations'!X189+'Broadening Participation Divers'!X189+'Education Workforce Development'!X189+'Communications &amp; Disseminations'!X189+'Evaluation and Assessment '!X189+'Sustainability Plan'!X189+'Management '!X189)</f>
        <v>0</v>
      </c>
      <c r="Y189" s="56">
        <f t="shared" ref="Y189:Y194" si="102">SUM(W189:X189)</f>
        <v>382933.9350459</v>
      </c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</row>
    <row r="190" spans="1:77" x14ac:dyDescent="0.25">
      <c r="A190" s="17"/>
      <c r="B190" s="17"/>
      <c r="C190" s="124">
        <f>SUM('Research Area'!C190+'Research Cyberinfrastructure'!C190+'EA &amp; Seed Funding'!C190+'Partnerships &amp; Collaborations'!C190+'Broadening Participation Divers'!C190+'Education Workforce Development'!C190+'Communications &amp; Disseminations'!C190+'Evaluation and Assessment '!C190+'Sustainability Plan'!C190+'Management '!C190)</f>
        <v>12000</v>
      </c>
      <c r="D190" s="56">
        <f>SUM('Research Area'!D190+'Research Cyberinfrastructure'!D190+'EA &amp; Seed Funding'!D190+'Partnerships &amp; Collaborations'!D190+'Broadening Participation Divers'!D190+'Education Workforce Development'!D190+'Communications &amp; Disseminations'!D190+'Evaluation and Assessment '!D190+'Sustainability Plan'!D190+'Management '!D190)</f>
        <v>0</v>
      </c>
      <c r="E190" s="56">
        <f t="shared" si="97"/>
        <v>12000</v>
      </c>
      <c r="F190" s="15"/>
      <c r="G190" s="55">
        <f>SUM('Research Area'!G190+'Research Cyberinfrastructure'!G190+'EA &amp; Seed Funding'!G190+'Partnerships &amp; Collaborations'!G190+'Broadening Participation Divers'!G190+'Education Workforce Development'!G190+'Communications &amp; Disseminations'!G190+'Evaluation and Assessment '!G190+'Sustainability Plan'!G190+'Management '!G190)</f>
        <v>61800</v>
      </c>
      <c r="H190" s="56">
        <f>SUM('Research Area'!H190+'Research Cyberinfrastructure'!H190+'EA &amp; Seed Funding'!H190+'Partnerships &amp; Collaborations'!H190+'Broadening Participation Divers'!H190+'Education Workforce Development'!H190+'Communications &amp; Disseminations'!H190+'Evaluation and Assessment '!H190+'Sustainability Plan'!H190+'Management '!H190)</f>
        <v>0</v>
      </c>
      <c r="I190" s="56">
        <f t="shared" si="98"/>
        <v>61800</v>
      </c>
      <c r="J190" s="15"/>
      <c r="K190" s="55">
        <f>SUM('Research Area'!K190+'Research Cyberinfrastructure'!K190+'EA &amp; Seed Funding'!K190+'Partnerships &amp; Collaborations'!K190+'Broadening Participation Divers'!K190+'Education Workforce Development'!K190+'Communications &amp; Disseminations'!K190+'Evaluation and Assessment '!K190+'Sustainability Plan'!K190+'Management '!K190)</f>
        <v>63654.000000000007</v>
      </c>
      <c r="L190" s="56">
        <f>SUM('Research Area'!L190+'Research Cyberinfrastructure'!L190+'EA &amp; Seed Funding'!L190+'Partnerships &amp; Collaborations'!L190+'Broadening Participation Divers'!L190+'Education Workforce Development'!L190+'Communications &amp; Disseminations'!L190+'Evaluation and Assessment '!L190+'Sustainability Plan'!L190+'Management '!L190)</f>
        <v>0</v>
      </c>
      <c r="M190" s="56">
        <f t="shared" si="99"/>
        <v>63654.000000000007</v>
      </c>
      <c r="N190" s="15"/>
      <c r="O190" s="55">
        <f>SUM('Research Area'!O190+'Research Cyberinfrastructure'!O190+'EA &amp; Seed Funding'!O190+'Partnerships &amp; Collaborations'!O190+'Broadening Participation Divers'!O190+'Education Workforce Development'!O190+'Communications &amp; Disseminations'!O190+'Evaluation and Assessment '!O190+'Sustainability Plan'!O190+'Management '!O190)</f>
        <v>65563.62000000001</v>
      </c>
      <c r="P190" s="56">
        <f>SUM('Research Area'!P190+'Research Cyberinfrastructure'!P190+'EA &amp; Seed Funding'!P190+'Partnerships &amp; Collaborations'!P190+'Broadening Participation Divers'!P190+'Education Workforce Development'!P190+'Communications &amp; Disseminations'!P190+'Evaluation and Assessment '!P190+'Sustainability Plan'!P190+'Management '!P190)</f>
        <v>0</v>
      </c>
      <c r="Q190" s="56">
        <f t="shared" si="100"/>
        <v>65563.62000000001</v>
      </c>
      <c r="R190" s="15"/>
      <c r="S190" s="55">
        <f>SUM('Research Area'!S190+'Research Cyberinfrastructure'!S190+'EA &amp; Seed Funding'!S190+'Partnerships &amp; Collaborations'!S190+'Broadening Participation Divers'!S190+'Education Workforce Development'!S190+'Communications &amp; Disseminations'!S190+'Evaluation and Assessment '!S190+'Sustainability Plan'!S190+'Management '!S190)</f>
        <v>67530.52860000002</v>
      </c>
      <c r="T190" s="56">
        <f>SUM('Research Area'!T190+'Research Cyberinfrastructure'!T190+'EA &amp; Seed Funding'!T190+'Partnerships &amp; Collaborations'!T190+'Broadening Participation Divers'!T190+'Education Workforce Development'!T190+'Communications &amp; Disseminations'!T190+'Evaluation and Assessment '!T190+'Sustainability Plan'!T190+'Management '!T190)</f>
        <v>0</v>
      </c>
      <c r="U190" s="56">
        <f t="shared" si="101"/>
        <v>67530.52860000002</v>
      </c>
      <c r="V190" s="16"/>
      <c r="W190" s="55">
        <f>SUM('Research Area'!W190+'Research Cyberinfrastructure'!W190+'EA &amp; Seed Funding'!W190+'Partnerships &amp; Collaborations'!W190+'Broadening Participation Divers'!W190+'Education Workforce Development'!W190+'Communications &amp; Disseminations'!W190+'Evaluation and Assessment '!W190+'Sustainability Plan'!W190+'Management '!W190)</f>
        <v>270548.14860000007</v>
      </c>
      <c r="X190" s="56">
        <f>SUM('Research Area'!X190+'Research Cyberinfrastructure'!X190+'EA &amp; Seed Funding'!X190+'Partnerships &amp; Collaborations'!X190+'Broadening Participation Divers'!X190+'Education Workforce Development'!X190+'Communications &amp; Disseminations'!X190+'Evaluation and Assessment '!X190+'Sustainability Plan'!X190+'Management '!X190)</f>
        <v>0</v>
      </c>
      <c r="Y190" s="56">
        <f t="shared" si="102"/>
        <v>270548.14860000007</v>
      </c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</row>
    <row r="191" spans="1:77" x14ac:dyDescent="0.25">
      <c r="A191" s="23"/>
      <c r="B191" s="17"/>
      <c r="C191" s="124">
        <f>SUM('Research Area'!C191+'Research Cyberinfrastructure'!C191+'EA &amp; Seed Funding'!C191+'Partnerships &amp; Collaborations'!C191+'Broadening Participation Divers'!C191+'Education Workforce Development'!C191+'Communications &amp; Disseminations'!C191+'Evaluation and Assessment '!C191+'Sustainability Plan'!C191+'Management '!C191)</f>
        <v>0</v>
      </c>
      <c r="D191" s="56">
        <f>SUM('Research Area'!D191+'Research Cyberinfrastructure'!D191+'EA &amp; Seed Funding'!D191+'Partnerships &amp; Collaborations'!D191+'Broadening Participation Divers'!D191+'Education Workforce Development'!D191+'Communications &amp; Disseminations'!D191+'Evaluation and Assessment '!D191+'Sustainability Plan'!D191+'Management '!D191)</f>
        <v>0</v>
      </c>
      <c r="E191" s="56">
        <f t="shared" si="97"/>
        <v>0</v>
      </c>
      <c r="F191" s="15"/>
      <c r="G191" s="55">
        <f>SUM('Research Area'!G191+'Research Cyberinfrastructure'!G191+'EA &amp; Seed Funding'!G191+'Partnerships &amp; Collaborations'!G191+'Broadening Participation Divers'!G191+'Education Workforce Development'!G191+'Communications &amp; Disseminations'!G191+'Evaluation and Assessment '!G191+'Sustainability Plan'!G191+'Management '!G191)</f>
        <v>0</v>
      </c>
      <c r="H191" s="56">
        <f>SUM('Research Area'!H191+'Research Cyberinfrastructure'!H191+'EA &amp; Seed Funding'!H191+'Partnerships &amp; Collaborations'!H191+'Broadening Participation Divers'!H191+'Education Workforce Development'!H191+'Communications &amp; Disseminations'!H191+'Evaluation and Assessment '!H191+'Sustainability Plan'!H191+'Management '!H191)</f>
        <v>0</v>
      </c>
      <c r="I191" s="56">
        <f t="shared" si="98"/>
        <v>0</v>
      </c>
      <c r="J191" s="15"/>
      <c r="K191" s="55">
        <f>SUM('Research Area'!K191+'Research Cyberinfrastructure'!K191+'EA &amp; Seed Funding'!K191+'Partnerships &amp; Collaborations'!K191+'Broadening Participation Divers'!K191+'Education Workforce Development'!K191+'Communications &amp; Disseminations'!K191+'Evaluation and Assessment '!K191+'Sustainability Plan'!K191+'Management '!K191)</f>
        <v>0</v>
      </c>
      <c r="L191" s="56">
        <f>SUM('Research Area'!L191+'Research Cyberinfrastructure'!L191+'EA &amp; Seed Funding'!L191+'Partnerships &amp; Collaborations'!L191+'Broadening Participation Divers'!L191+'Education Workforce Development'!L191+'Communications &amp; Disseminations'!L191+'Evaluation and Assessment '!L191+'Sustainability Plan'!L191+'Management '!L191)</f>
        <v>0</v>
      </c>
      <c r="M191" s="56">
        <f t="shared" si="99"/>
        <v>0</v>
      </c>
      <c r="N191" s="15"/>
      <c r="O191" s="55">
        <f>SUM('Research Area'!O191+'Research Cyberinfrastructure'!O191+'EA &amp; Seed Funding'!O191+'Partnerships &amp; Collaborations'!O191+'Broadening Participation Divers'!O191+'Education Workforce Development'!O191+'Communications &amp; Disseminations'!O191+'Evaluation and Assessment '!O191+'Sustainability Plan'!O191+'Management '!O191)</f>
        <v>0</v>
      </c>
      <c r="P191" s="56">
        <f>SUM('Research Area'!P191+'Research Cyberinfrastructure'!P191+'EA &amp; Seed Funding'!P191+'Partnerships &amp; Collaborations'!P191+'Broadening Participation Divers'!P191+'Education Workforce Development'!P191+'Communications &amp; Disseminations'!P191+'Evaluation and Assessment '!P191+'Sustainability Plan'!P191+'Management '!P191)</f>
        <v>0</v>
      </c>
      <c r="Q191" s="56">
        <f t="shared" si="100"/>
        <v>0</v>
      </c>
      <c r="R191" s="15"/>
      <c r="S191" s="55">
        <f>SUM('Research Area'!S191+'Research Cyberinfrastructure'!S191+'EA &amp; Seed Funding'!S191+'Partnerships &amp; Collaborations'!S191+'Broadening Participation Divers'!S191+'Education Workforce Development'!S191+'Communications &amp; Disseminations'!S191+'Evaluation and Assessment '!S191+'Sustainability Plan'!S191+'Management '!S191)</f>
        <v>0</v>
      </c>
      <c r="T191" s="56">
        <f>SUM('Research Area'!T191+'Research Cyberinfrastructure'!T191+'EA &amp; Seed Funding'!T191+'Partnerships &amp; Collaborations'!T191+'Broadening Participation Divers'!T191+'Education Workforce Development'!T191+'Communications &amp; Disseminations'!T191+'Evaluation and Assessment '!T191+'Sustainability Plan'!T191+'Management '!T191)</f>
        <v>0</v>
      </c>
      <c r="U191" s="56">
        <f t="shared" si="101"/>
        <v>0</v>
      </c>
      <c r="V191" s="16"/>
      <c r="W191" s="55">
        <f>SUM('Research Area'!W191+'Research Cyberinfrastructure'!W191+'EA &amp; Seed Funding'!W191+'Partnerships &amp; Collaborations'!W191+'Broadening Participation Divers'!W191+'Education Workforce Development'!W191+'Communications &amp; Disseminations'!W191+'Evaluation and Assessment '!W191+'Sustainability Plan'!W191+'Management '!W191)</f>
        <v>0</v>
      </c>
      <c r="X191" s="56">
        <f>SUM('Research Area'!X191+'Research Cyberinfrastructure'!X191+'EA &amp; Seed Funding'!X191+'Partnerships &amp; Collaborations'!X191+'Broadening Participation Divers'!X191+'Education Workforce Development'!X191+'Communications &amp; Disseminations'!X191+'Evaluation and Assessment '!X191+'Sustainability Plan'!X191+'Management '!X191)</f>
        <v>0</v>
      </c>
      <c r="Y191" s="56">
        <f t="shared" si="102"/>
        <v>0</v>
      </c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</row>
    <row r="192" spans="1:77" x14ac:dyDescent="0.25">
      <c r="A192" s="17"/>
      <c r="B192" s="17"/>
      <c r="C192" s="124">
        <f>SUM('Research Area'!C192+'Research Cyberinfrastructure'!C192+'EA &amp; Seed Funding'!C192+'Partnerships &amp; Collaborations'!C192+'Broadening Participation Divers'!C192+'Education Workforce Development'!C192+'Communications &amp; Disseminations'!C192+'Evaluation and Assessment '!C192+'Sustainability Plan'!C192+'Management '!C192)</f>
        <v>0</v>
      </c>
      <c r="D192" s="56">
        <f>SUM('Research Area'!D192+'Research Cyberinfrastructure'!D192+'EA &amp; Seed Funding'!D192+'Partnerships &amp; Collaborations'!D192+'Broadening Participation Divers'!D192+'Education Workforce Development'!D192+'Communications &amp; Disseminations'!D192+'Evaluation and Assessment '!D192+'Sustainability Plan'!D192+'Management '!D192)</f>
        <v>0</v>
      </c>
      <c r="E192" s="56">
        <f t="shared" si="97"/>
        <v>0</v>
      </c>
      <c r="F192" s="15"/>
      <c r="G192" s="55">
        <f>SUM('Research Area'!G192+'Research Cyberinfrastructure'!G192+'EA &amp; Seed Funding'!G192+'Partnerships &amp; Collaborations'!G192+'Broadening Participation Divers'!G192+'Education Workforce Development'!G192+'Communications &amp; Disseminations'!G192+'Evaluation and Assessment '!G192+'Sustainability Plan'!G192+'Management '!G192)</f>
        <v>0</v>
      </c>
      <c r="H192" s="56">
        <f>SUM('Research Area'!H192+'Research Cyberinfrastructure'!H192+'EA &amp; Seed Funding'!H192+'Partnerships &amp; Collaborations'!H192+'Broadening Participation Divers'!H192+'Education Workforce Development'!H192+'Communications &amp; Disseminations'!H192+'Evaluation and Assessment '!H192+'Sustainability Plan'!H192+'Management '!H192)</f>
        <v>0</v>
      </c>
      <c r="I192" s="56">
        <f t="shared" si="98"/>
        <v>0</v>
      </c>
      <c r="J192" s="15"/>
      <c r="K192" s="55">
        <f>SUM('Research Area'!K192+'Research Cyberinfrastructure'!K192+'EA &amp; Seed Funding'!K192+'Partnerships &amp; Collaborations'!K192+'Broadening Participation Divers'!K192+'Education Workforce Development'!K192+'Communications &amp; Disseminations'!K192+'Evaluation and Assessment '!K192+'Sustainability Plan'!K192+'Management '!K192)</f>
        <v>0</v>
      </c>
      <c r="L192" s="56">
        <f>SUM('Research Area'!L192+'Research Cyberinfrastructure'!L192+'EA &amp; Seed Funding'!L192+'Partnerships &amp; Collaborations'!L192+'Broadening Participation Divers'!L192+'Education Workforce Development'!L192+'Communications &amp; Disseminations'!L192+'Evaluation and Assessment '!L192+'Sustainability Plan'!L192+'Management '!L192)</f>
        <v>0</v>
      </c>
      <c r="M192" s="56">
        <f t="shared" si="99"/>
        <v>0</v>
      </c>
      <c r="N192" s="15"/>
      <c r="O192" s="55">
        <f>SUM('Research Area'!O192+'Research Cyberinfrastructure'!O192+'EA &amp; Seed Funding'!O192+'Partnerships &amp; Collaborations'!O192+'Broadening Participation Divers'!O192+'Education Workforce Development'!O192+'Communications &amp; Disseminations'!O192+'Evaluation and Assessment '!O192+'Sustainability Plan'!O192+'Management '!O192)</f>
        <v>0</v>
      </c>
      <c r="P192" s="56">
        <f>SUM('Research Area'!P192+'Research Cyberinfrastructure'!P192+'EA &amp; Seed Funding'!P192+'Partnerships &amp; Collaborations'!P192+'Broadening Participation Divers'!P192+'Education Workforce Development'!P192+'Communications &amp; Disseminations'!P192+'Evaluation and Assessment '!P192+'Sustainability Plan'!P192+'Management '!P192)</f>
        <v>0</v>
      </c>
      <c r="Q192" s="56">
        <f t="shared" si="100"/>
        <v>0</v>
      </c>
      <c r="R192" s="15"/>
      <c r="S192" s="55">
        <f>SUM('Research Area'!S192+'Research Cyberinfrastructure'!S192+'EA &amp; Seed Funding'!S192+'Partnerships &amp; Collaborations'!S192+'Broadening Participation Divers'!S192+'Education Workforce Development'!S192+'Communications &amp; Disseminations'!S192+'Evaluation and Assessment '!S192+'Sustainability Plan'!S192+'Management '!S192)</f>
        <v>0</v>
      </c>
      <c r="T192" s="56">
        <f>SUM('Research Area'!T192+'Research Cyberinfrastructure'!T192+'EA &amp; Seed Funding'!T192+'Partnerships &amp; Collaborations'!T192+'Broadening Participation Divers'!T192+'Education Workforce Development'!T192+'Communications &amp; Disseminations'!T192+'Evaluation and Assessment '!T192+'Sustainability Plan'!T192+'Management '!T192)</f>
        <v>0</v>
      </c>
      <c r="U192" s="56">
        <f t="shared" si="101"/>
        <v>0</v>
      </c>
      <c r="V192" s="16"/>
      <c r="W192" s="55">
        <f>SUM('Research Area'!W192+'Research Cyberinfrastructure'!W192+'EA &amp; Seed Funding'!W192+'Partnerships &amp; Collaborations'!W192+'Broadening Participation Divers'!W192+'Education Workforce Development'!W192+'Communications &amp; Disseminations'!W192+'Evaluation and Assessment '!W192+'Sustainability Plan'!W192+'Management '!W192)</f>
        <v>0</v>
      </c>
      <c r="X192" s="56">
        <f>SUM('Research Area'!X192+'Research Cyberinfrastructure'!X192+'EA &amp; Seed Funding'!X192+'Partnerships &amp; Collaborations'!X192+'Broadening Participation Divers'!X192+'Education Workforce Development'!X192+'Communications &amp; Disseminations'!X192+'Evaluation and Assessment '!X192+'Sustainability Plan'!X192+'Management '!X192)</f>
        <v>0</v>
      </c>
      <c r="Y192" s="56">
        <f t="shared" si="102"/>
        <v>0</v>
      </c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</row>
    <row r="193" spans="1:77" x14ac:dyDescent="0.25">
      <c r="A193" s="17"/>
      <c r="B193" s="13"/>
      <c r="C193" s="124">
        <f>SUM('Research Area'!C193+'Research Cyberinfrastructure'!C193+'EA &amp; Seed Funding'!C193+'Partnerships &amp; Collaborations'!C193+'Broadening Participation Divers'!C193+'Education Workforce Development'!C193+'Communications &amp; Disseminations'!C193+'Evaluation and Assessment '!C193+'Sustainability Plan'!C193+'Management '!C193)</f>
        <v>0</v>
      </c>
      <c r="D193" s="56">
        <f>SUM('Research Area'!D193+'Research Cyberinfrastructure'!D193+'EA &amp; Seed Funding'!D193+'Partnerships &amp; Collaborations'!D193+'Broadening Participation Divers'!D193+'Education Workforce Development'!D193+'Communications &amp; Disseminations'!D193+'Evaluation and Assessment '!D193+'Sustainability Plan'!D193+'Management '!D193)</f>
        <v>0</v>
      </c>
      <c r="E193" s="56">
        <f t="shared" si="97"/>
        <v>0</v>
      </c>
      <c r="F193" s="15"/>
      <c r="G193" s="55">
        <f>SUM('Research Area'!G193+'Research Cyberinfrastructure'!G193+'EA &amp; Seed Funding'!G193+'Partnerships &amp; Collaborations'!G193+'Broadening Participation Divers'!G193+'Education Workforce Development'!G193+'Communications &amp; Disseminations'!G193+'Evaluation and Assessment '!G193+'Sustainability Plan'!G193+'Management '!G193)</f>
        <v>0</v>
      </c>
      <c r="H193" s="56">
        <f>SUM('Research Area'!H193+'Research Cyberinfrastructure'!H193+'EA &amp; Seed Funding'!H193+'Partnerships &amp; Collaborations'!H193+'Broadening Participation Divers'!H193+'Education Workforce Development'!H193+'Communications &amp; Disseminations'!H193+'Evaluation and Assessment '!H193+'Sustainability Plan'!H193+'Management '!H193)</f>
        <v>0</v>
      </c>
      <c r="I193" s="56">
        <f t="shared" si="98"/>
        <v>0</v>
      </c>
      <c r="J193" s="15"/>
      <c r="K193" s="55">
        <f>SUM('Research Area'!K193+'Research Cyberinfrastructure'!K193+'EA &amp; Seed Funding'!K193+'Partnerships &amp; Collaborations'!K193+'Broadening Participation Divers'!K193+'Education Workforce Development'!K193+'Communications &amp; Disseminations'!K193+'Evaluation and Assessment '!K193+'Sustainability Plan'!K193+'Management '!K193)</f>
        <v>0</v>
      </c>
      <c r="L193" s="56">
        <f>SUM('Research Area'!L193+'Research Cyberinfrastructure'!L193+'EA &amp; Seed Funding'!L193+'Partnerships &amp; Collaborations'!L193+'Broadening Participation Divers'!L193+'Education Workforce Development'!L193+'Communications &amp; Disseminations'!L193+'Evaluation and Assessment '!L193+'Sustainability Plan'!L193+'Management '!L193)</f>
        <v>0</v>
      </c>
      <c r="M193" s="56">
        <f t="shared" si="99"/>
        <v>0</v>
      </c>
      <c r="N193" s="15"/>
      <c r="O193" s="55">
        <f>SUM('Research Area'!O193+'Research Cyberinfrastructure'!O193+'EA &amp; Seed Funding'!O193+'Partnerships &amp; Collaborations'!O193+'Broadening Participation Divers'!O193+'Education Workforce Development'!O193+'Communications &amp; Disseminations'!O193+'Evaluation and Assessment '!O193+'Sustainability Plan'!O193+'Management '!O193)</f>
        <v>0</v>
      </c>
      <c r="P193" s="56">
        <f>SUM('Research Area'!P193+'Research Cyberinfrastructure'!P193+'EA &amp; Seed Funding'!P193+'Partnerships &amp; Collaborations'!P193+'Broadening Participation Divers'!P193+'Education Workforce Development'!P193+'Communications &amp; Disseminations'!P193+'Evaluation and Assessment '!P193+'Sustainability Plan'!P193+'Management '!P193)</f>
        <v>0</v>
      </c>
      <c r="Q193" s="56">
        <f t="shared" si="100"/>
        <v>0</v>
      </c>
      <c r="R193" s="15"/>
      <c r="S193" s="55">
        <f>SUM('Research Area'!S193+'Research Cyberinfrastructure'!S193+'EA &amp; Seed Funding'!S193+'Partnerships &amp; Collaborations'!S193+'Broadening Participation Divers'!S193+'Education Workforce Development'!S193+'Communications &amp; Disseminations'!S193+'Evaluation and Assessment '!S193+'Sustainability Plan'!S193+'Management '!S193)</f>
        <v>0</v>
      </c>
      <c r="T193" s="56">
        <f>SUM('Research Area'!T193+'Research Cyberinfrastructure'!T193+'EA &amp; Seed Funding'!T193+'Partnerships &amp; Collaborations'!T193+'Broadening Participation Divers'!T193+'Education Workforce Development'!T193+'Communications &amp; Disseminations'!T193+'Evaluation and Assessment '!T193+'Sustainability Plan'!T193+'Management '!T193)</f>
        <v>0</v>
      </c>
      <c r="U193" s="56">
        <f t="shared" si="101"/>
        <v>0</v>
      </c>
      <c r="V193" s="16"/>
      <c r="W193" s="55">
        <f>SUM('Research Area'!W193+'Research Cyberinfrastructure'!W193+'EA &amp; Seed Funding'!W193+'Partnerships &amp; Collaborations'!W193+'Broadening Participation Divers'!W193+'Education Workforce Development'!W193+'Communications &amp; Disseminations'!W193+'Evaluation and Assessment '!W193+'Sustainability Plan'!W193+'Management '!W193)</f>
        <v>0</v>
      </c>
      <c r="X193" s="56">
        <f>SUM('Research Area'!X193+'Research Cyberinfrastructure'!X193+'EA &amp; Seed Funding'!X193+'Partnerships &amp; Collaborations'!X193+'Broadening Participation Divers'!X193+'Education Workforce Development'!X193+'Communications &amp; Disseminations'!X193+'Evaluation and Assessment '!X193+'Sustainability Plan'!X193+'Management '!X193)</f>
        <v>0</v>
      </c>
      <c r="Y193" s="56">
        <f t="shared" si="102"/>
        <v>0</v>
      </c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</row>
    <row r="194" spans="1:77" x14ac:dyDescent="0.25">
      <c r="A194" s="17"/>
      <c r="B194" s="17"/>
      <c r="C194" s="124">
        <f>SUM('Research Area'!C194+'Research Cyberinfrastructure'!C194+'EA &amp; Seed Funding'!C194+'Partnerships &amp; Collaborations'!C194+'Broadening Participation Divers'!C194+'Education Workforce Development'!C194+'Communications &amp; Disseminations'!C194+'Evaluation and Assessment '!C194+'Sustainability Plan'!C194+'Management '!C194)</f>
        <v>0</v>
      </c>
      <c r="D194" s="56">
        <f>SUM('Research Area'!D194+'Research Cyberinfrastructure'!D194+'EA &amp; Seed Funding'!D194+'Partnerships &amp; Collaborations'!D194+'Broadening Participation Divers'!D194+'Education Workforce Development'!D194+'Communications &amp; Disseminations'!D194+'Evaluation and Assessment '!D194+'Sustainability Plan'!D194+'Management '!D194)</f>
        <v>0</v>
      </c>
      <c r="E194" s="56">
        <f t="shared" si="97"/>
        <v>0</v>
      </c>
      <c r="F194" s="15"/>
      <c r="G194" s="55">
        <f>SUM('Research Area'!G194+'Research Cyberinfrastructure'!G194+'EA &amp; Seed Funding'!G194+'Partnerships &amp; Collaborations'!G194+'Broadening Participation Divers'!G194+'Education Workforce Development'!G194+'Communications &amp; Disseminations'!G194+'Evaluation and Assessment '!G194+'Sustainability Plan'!G194+'Management '!G194)</f>
        <v>0</v>
      </c>
      <c r="H194" s="56">
        <f>SUM('Research Area'!H194+'Research Cyberinfrastructure'!H194+'EA &amp; Seed Funding'!H194+'Partnerships &amp; Collaborations'!H194+'Broadening Participation Divers'!H194+'Education Workforce Development'!H194+'Communications &amp; Disseminations'!H194+'Evaluation and Assessment '!H194+'Sustainability Plan'!H194+'Management '!H194)</f>
        <v>0</v>
      </c>
      <c r="I194" s="56">
        <f t="shared" si="98"/>
        <v>0</v>
      </c>
      <c r="J194" s="15"/>
      <c r="K194" s="55">
        <f>SUM('Research Area'!K194+'Research Cyberinfrastructure'!K194+'EA &amp; Seed Funding'!K194+'Partnerships &amp; Collaborations'!K194+'Broadening Participation Divers'!K194+'Education Workforce Development'!K194+'Communications &amp; Disseminations'!K194+'Evaluation and Assessment '!K194+'Sustainability Plan'!K194+'Management '!K194)</f>
        <v>0</v>
      </c>
      <c r="L194" s="56">
        <f>SUM('Research Area'!L194+'Research Cyberinfrastructure'!L194+'EA &amp; Seed Funding'!L194+'Partnerships &amp; Collaborations'!L194+'Broadening Participation Divers'!L194+'Education Workforce Development'!L194+'Communications &amp; Disseminations'!L194+'Evaluation and Assessment '!L194+'Sustainability Plan'!L194+'Management '!L194)</f>
        <v>0</v>
      </c>
      <c r="M194" s="56">
        <f t="shared" si="99"/>
        <v>0</v>
      </c>
      <c r="N194" s="15"/>
      <c r="O194" s="55">
        <f>SUM('Research Area'!O194+'Research Cyberinfrastructure'!O194+'EA &amp; Seed Funding'!O194+'Partnerships &amp; Collaborations'!O194+'Broadening Participation Divers'!O194+'Education Workforce Development'!O194+'Communications &amp; Disseminations'!O194+'Evaluation and Assessment '!O194+'Sustainability Plan'!O194+'Management '!O194)</f>
        <v>0</v>
      </c>
      <c r="P194" s="56">
        <f>SUM('Research Area'!P194+'Research Cyberinfrastructure'!P194+'EA &amp; Seed Funding'!P194+'Partnerships &amp; Collaborations'!P194+'Broadening Participation Divers'!P194+'Education Workforce Development'!P194+'Communications &amp; Disseminations'!P194+'Evaluation and Assessment '!P194+'Sustainability Plan'!P194+'Management '!P194)</f>
        <v>0</v>
      </c>
      <c r="Q194" s="56">
        <f t="shared" si="100"/>
        <v>0</v>
      </c>
      <c r="R194" s="15"/>
      <c r="S194" s="55">
        <f>SUM('Research Area'!S194+'Research Cyberinfrastructure'!S194+'EA &amp; Seed Funding'!S194+'Partnerships &amp; Collaborations'!S194+'Broadening Participation Divers'!S194+'Education Workforce Development'!S194+'Communications &amp; Disseminations'!S194+'Evaluation and Assessment '!S194+'Sustainability Plan'!S194+'Management '!S194)</f>
        <v>0</v>
      </c>
      <c r="T194" s="56">
        <f>SUM('Research Area'!T194+'Research Cyberinfrastructure'!T194+'EA &amp; Seed Funding'!T194+'Partnerships &amp; Collaborations'!T194+'Broadening Participation Divers'!T194+'Education Workforce Development'!T194+'Communications &amp; Disseminations'!T194+'Evaluation and Assessment '!T194+'Sustainability Plan'!T194+'Management '!T194)</f>
        <v>0</v>
      </c>
      <c r="U194" s="56">
        <f t="shared" si="101"/>
        <v>0</v>
      </c>
      <c r="V194" s="16"/>
      <c r="W194" s="55">
        <f>SUM('Research Area'!W194+'Research Cyberinfrastructure'!W194+'EA &amp; Seed Funding'!W194+'Partnerships &amp; Collaborations'!W194+'Broadening Participation Divers'!W194+'Education Workforce Development'!W194+'Communications &amp; Disseminations'!W194+'Evaluation and Assessment '!W194+'Sustainability Plan'!W194+'Management '!W194)</f>
        <v>0</v>
      </c>
      <c r="X194" s="56">
        <f>SUM('Research Area'!X194+'Research Cyberinfrastructure'!X194+'EA &amp; Seed Funding'!X194+'Partnerships &amp; Collaborations'!X194+'Broadening Participation Divers'!X194+'Education Workforce Development'!X194+'Communications &amp; Disseminations'!X194+'Evaluation and Assessment '!X194+'Sustainability Plan'!X194+'Management '!X194)</f>
        <v>0</v>
      </c>
      <c r="Y194" s="56">
        <f t="shared" si="102"/>
        <v>0</v>
      </c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</row>
    <row r="195" spans="1:77" s="83" customFormat="1" x14ac:dyDescent="0.25">
      <c r="A195" s="78"/>
      <c r="B195" s="78" t="s">
        <v>9</v>
      </c>
      <c r="C195" s="232">
        <f>SUM(C188:C194)</f>
        <v>58390</v>
      </c>
      <c r="D195" s="130">
        <f>SUM(D188:D194)</f>
        <v>34000</v>
      </c>
      <c r="E195" s="130">
        <f>SUM(E188:E194)</f>
        <v>92390</v>
      </c>
      <c r="F195" s="81"/>
      <c r="G195" s="126">
        <f>SUM(G188:G194)</f>
        <v>314507.76199999999</v>
      </c>
      <c r="H195" s="130">
        <f>SUM(H188:H194)</f>
        <v>35020</v>
      </c>
      <c r="I195" s="130">
        <f>SUM(I188:I194)</f>
        <v>349527.76199999999</v>
      </c>
      <c r="J195" s="81"/>
      <c r="K195" s="126">
        <f>SUM(K188:K194)</f>
        <v>388703.05099999998</v>
      </c>
      <c r="L195" s="130">
        <f>SUM(L188:L194)</f>
        <v>36070.6</v>
      </c>
      <c r="M195" s="130">
        <f>SUM(M188:M194)</f>
        <v>424773.65100000001</v>
      </c>
      <c r="N195" s="81"/>
      <c r="O195" s="126">
        <f>SUM(O188:O194)</f>
        <v>269746.13253</v>
      </c>
      <c r="P195" s="130">
        <f>SUM(P188:P194)</f>
        <v>37152.718000000001</v>
      </c>
      <c r="Q195" s="130">
        <f>SUM(Q188:Q194)</f>
        <v>306898.85053</v>
      </c>
      <c r="R195" s="81"/>
      <c r="S195" s="126">
        <f>SUM(S188:S194)</f>
        <v>182771.37565590002</v>
      </c>
      <c r="T195" s="130">
        <f>SUM(T188:T194)</f>
        <v>38267.29954</v>
      </c>
      <c r="U195" s="130">
        <f>SUM(U188:U194)</f>
        <v>221038.67519590002</v>
      </c>
      <c r="V195" s="82"/>
      <c r="W195" s="126">
        <f>SUM(W188:W194)</f>
        <v>1214118.3211858999</v>
      </c>
      <c r="X195" s="130">
        <f>SUM(X188:X194)</f>
        <v>180510.61754000001</v>
      </c>
      <c r="Y195" s="130">
        <f>SUM(Y188:Y194)</f>
        <v>1394628.9387258999</v>
      </c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</row>
    <row r="196" spans="1:77" s="36" customFormat="1" x14ac:dyDescent="0.25">
      <c r="A196" s="106" t="s">
        <v>16</v>
      </c>
      <c r="B196" s="209"/>
      <c r="C196" s="149">
        <f>C186+C195</f>
        <v>159425.58390044872</v>
      </c>
      <c r="D196" s="149">
        <f>D186+D195</f>
        <v>39000</v>
      </c>
      <c r="E196" s="149">
        <f>E186+E195</f>
        <v>198425.58390044872</v>
      </c>
      <c r="F196" s="149" t="e">
        <f>SUM(#REF!+#REF!+'Research Cyberinfrastructure'!F196+'EA &amp; Seed Funding'!F196+'Partnerships &amp; Collaborations'!F196+'Broadening Participation Divers'!F196+'Education Workforce Development'!F196+'Communications &amp; Disseminations'!F196+'Evaluation and Assessment '!F196+'Sustainability Plan'!F196+'Management '!F196)</f>
        <v>#REF!</v>
      </c>
      <c r="G196" s="149">
        <f>G186+G195</f>
        <v>603844.41341746214</v>
      </c>
      <c r="H196" s="149">
        <f>H186+H195</f>
        <v>40170</v>
      </c>
      <c r="I196" s="149">
        <f>I186+I195</f>
        <v>644014.41341746214</v>
      </c>
      <c r="J196" s="149" t="e">
        <f>SUM(#REF!+#REF!+'Research Cyberinfrastructure'!J196+'EA &amp; Seed Funding'!J196+'Partnerships &amp; Collaborations'!J196+'Broadening Participation Divers'!J196+'Education Workforce Development'!J196+'Communications &amp; Disseminations'!J196+'Evaluation and Assessment '!J196+'Sustainability Plan'!J196+'Management '!J196)</f>
        <v>#REF!</v>
      </c>
      <c r="K196" s="149">
        <f>K186+K195</f>
        <v>511439.80195998604</v>
      </c>
      <c r="L196" s="149">
        <f>L186+L195</f>
        <v>36070.6</v>
      </c>
      <c r="M196" s="149">
        <f>M186+M195</f>
        <v>547510.40195998608</v>
      </c>
      <c r="N196" s="149" t="e">
        <f>SUM(#REF!+#REF!+'Research Cyberinfrastructure'!N196+'EA &amp; Seed Funding'!N196+'Partnerships &amp; Collaborations'!N196+'Broadening Participation Divers'!N196+'Education Workforce Development'!N196+'Communications &amp; Disseminations'!N196+'Evaluation and Assessment '!N196+'Sustainability Plan'!N196+'Management '!N196)</f>
        <v>#REF!</v>
      </c>
      <c r="O196" s="149">
        <f>O186+O195</f>
        <v>395984.98601878562</v>
      </c>
      <c r="P196" s="149">
        <f>P186+P195</f>
        <v>37152.718000000001</v>
      </c>
      <c r="Q196" s="149">
        <f>Q186+Q195</f>
        <v>433137.70401878562</v>
      </c>
      <c r="R196" s="149" t="e">
        <f>SUM(#REF!+#REF!+'Research Cyberinfrastructure'!R196+'EA &amp; Seed Funding'!R196+'Partnerships &amp; Collaborations'!R196+'Broadening Participation Divers'!R196+'Education Workforce Development'!R196+'Communications &amp; Disseminations'!R196+'Evaluation and Assessment '!R196+'Sustainability Plan'!R196+'Management '!R196)</f>
        <v>#REF!</v>
      </c>
      <c r="S196" s="149">
        <f>S186+S195</f>
        <v>284107.21854934923</v>
      </c>
      <c r="T196" s="149">
        <f>T186+T195</f>
        <v>38267.29954</v>
      </c>
      <c r="U196" s="149">
        <f>U186+U195</f>
        <v>322374.51808934927</v>
      </c>
      <c r="V196" s="149" t="e">
        <f>SUM(#REF!+#REF!+'Research Cyberinfrastructure'!V196+'EA &amp; Seed Funding'!V196+'Partnerships &amp; Collaborations'!V196+'Broadening Participation Divers'!V196+'Education Workforce Development'!V196+'Communications &amp; Disseminations'!V196+'Evaluation and Assessment '!V196+'Sustainability Plan'!V196+'Management '!V196)</f>
        <v>#REF!</v>
      </c>
      <c r="W196" s="149">
        <f>W186+W195</f>
        <v>1954802.0038460316</v>
      </c>
      <c r="X196" s="149">
        <f>X186+X195</f>
        <v>190660.61754000001</v>
      </c>
      <c r="Y196" s="149">
        <f>Y186+Y195</f>
        <v>2145462.6213860316</v>
      </c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</row>
    <row r="197" spans="1:77" s="77" customFormat="1" x14ac:dyDescent="0.25">
      <c r="A197" s="74" t="s">
        <v>6</v>
      </c>
      <c r="B197" s="74"/>
      <c r="C197" s="212"/>
      <c r="D197" s="212"/>
      <c r="E197" s="212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9"/>
      <c r="W197" s="58"/>
      <c r="X197" s="58"/>
      <c r="Y197" s="58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</row>
    <row r="198" spans="1:77" x14ac:dyDescent="0.25">
      <c r="A198" s="50">
        <v>3.6999999999999998E-2</v>
      </c>
      <c r="B198" s="52" t="s">
        <v>107</v>
      </c>
      <c r="C198" s="124">
        <f>SUM('Research Area'!C198+'Research Cyberinfrastructure'!C198+'EA &amp; Seed Funding'!C198+'Partnerships &amp; Collaborations'!C198+'Broadening Participation Divers'!C198+'Education Workforce Development'!C198+'Communications &amp; Disseminations'!C198+'Evaluation and Assessment '!C198+'Sustainability Plan'!C198+'Management '!C198)</f>
        <v>0</v>
      </c>
      <c r="D198" s="56">
        <f>SUM('Research Area'!D198+'Research Cyberinfrastructure'!D198+'EA &amp; Seed Funding'!D198+'Partnerships &amp; Collaborations'!D198+'Broadening Participation Divers'!D198+'Education Workforce Development'!D198+'Communications &amp; Disseminations'!D198+'Evaluation and Assessment '!D198+'Sustainability Plan'!D198+'Management '!D198)</f>
        <v>0</v>
      </c>
      <c r="E198" s="56">
        <f t="shared" ref="E198:E202" si="103">SUM(C198:D198)</f>
        <v>0</v>
      </c>
      <c r="F198" s="15"/>
      <c r="G198" s="55">
        <f>SUM('Research Area'!G198+'Research Cyberinfrastructure'!G198+'EA &amp; Seed Funding'!G198+'Partnerships &amp; Collaborations'!G198+'Broadening Participation Divers'!G198+'Education Workforce Development'!G198+'Communications &amp; Disseminations'!G198+'Evaluation and Assessment '!G198+'Sustainability Plan'!G198+'Management '!G198)</f>
        <v>4204.8134959999998</v>
      </c>
      <c r="H198" s="56">
        <f>SUM('Research Area'!H198+'Research Cyberinfrastructure'!H198+'EA &amp; Seed Funding'!H198+'Partnerships &amp; Collaborations'!H198+'Broadening Participation Divers'!H198+'Education Workforce Development'!H198+'Communications &amp; Disseminations'!H198+'Evaluation and Assessment '!H198+'Sustainability Plan'!H198+'Management '!H198)</f>
        <v>0</v>
      </c>
      <c r="I198" s="56">
        <f t="shared" ref="I198:I202" si="104">SUM(G198:H198)</f>
        <v>4204.8134959999998</v>
      </c>
      <c r="J198" s="15"/>
      <c r="K198" s="55">
        <f>SUM('Research Area'!K198+'Research Cyberinfrastructure'!K198+'EA &amp; Seed Funding'!K198+'Partnerships &amp; Collaborations'!K198+'Broadening Participation Divers'!K198+'Education Workforce Development'!K198+'Communications &amp; Disseminations'!K198+'Evaluation and Assessment '!K198+'Sustainability Plan'!K198+'Management '!K198)</f>
        <v>5490.3179727949</v>
      </c>
      <c r="L198" s="56">
        <f>SUM('Research Area'!L198+'Research Cyberinfrastructure'!L198+'EA &amp; Seed Funding'!L198+'Partnerships &amp; Collaborations'!L198+'Broadening Participation Divers'!L198+'Education Workforce Development'!L198+'Communications &amp; Disseminations'!L198+'Evaluation and Assessment '!L198+'Sustainability Plan'!L198+'Management '!L198)</f>
        <v>0</v>
      </c>
      <c r="M198" s="56">
        <f t="shared" ref="M198:M202" si="105">SUM(K198:L198)</f>
        <v>5490.3179727949</v>
      </c>
      <c r="N198" s="15"/>
      <c r="O198" s="55">
        <f>SUM('Research Area'!O198+'Research Cyberinfrastructure'!O198+'EA &amp; Seed Funding'!O198+'Partnerships &amp; Collaborations'!O198+'Broadening Participation Divers'!O198+'Education Workforce Development'!O198+'Communications &amp; Disseminations'!O198+'Evaluation and Assessment '!O198+'Sustainability Plan'!O198+'Management '!O198)</f>
        <v>5845.8846228368129</v>
      </c>
      <c r="P198" s="56">
        <f>SUM('Research Area'!P198+'Research Cyberinfrastructure'!P198+'EA &amp; Seed Funding'!P198+'Partnerships &amp; Collaborations'!P198+'Broadening Participation Divers'!P198+'Education Workforce Development'!P198+'Communications &amp; Disseminations'!P198+'Evaluation and Assessment '!P198+'Sustainability Plan'!P198+'Management '!P198)</f>
        <v>0</v>
      </c>
      <c r="Q198" s="56">
        <f t="shared" ref="Q198:Q202" si="106">SUM(O198:P198)</f>
        <v>5845.8846228368129</v>
      </c>
      <c r="R198" s="15"/>
      <c r="S198" s="55">
        <f>SUM('Research Area'!S198+'Research Cyberinfrastructure'!S198+'EA &amp; Seed Funding'!S198+'Partnerships &amp; Collaborations'!S198+'Broadening Participation Divers'!S198+'Education Workforce Development'!S198+'Communications &amp; Disseminations'!S198+'Evaluation and Assessment '!S198+'Sustainability Plan'!S198+'Management '!S198)</f>
        <v>5020.7672113749331</v>
      </c>
      <c r="T198" s="56">
        <f>SUM('Research Area'!T198+'Research Cyberinfrastructure'!T198+'EA &amp; Seed Funding'!T198+'Partnerships &amp; Collaborations'!T198+'Broadening Participation Divers'!T198+'Education Workforce Development'!T198+'Communications &amp; Disseminations'!T198+'Evaluation and Assessment '!T198+'Sustainability Plan'!T198+'Management '!T198)</f>
        <v>0</v>
      </c>
      <c r="U198" s="56">
        <f t="shared" ref="U198:U202" si="107">SUM(S198:T198)</f>
        <v>5020.7672113749331</v>
      </c>
      <c r="V198" s="16"/>
      <c r="W198" s="55">
        <f>SUM('Research Area'!W198+'Research Cyberinfrastructure'!W198+'EA &amp; Seed Funding'!W198+'Partnerships &amp; Collaborations'!W198+'Broadening Participation Divers'!W198+'Education Workforce Development'!W198+'Communications &amp; Disseminations'!W198+'Evaluation and Assessment '!W198+'Sustainability Plan'!W198+'Management '!W198)</f>
        <v>20561.783303006647</v>
      </c>
      <c r="X198" s="56">
        <f>SUM('Research Area'!X198+'Research Cyberinfrastructure'!X198+'EA &amp; Seed Funding'!X198+'Partnerships &amp; Collaborations'!X198+'Broadening Participation Divers'!X198+'Education Workforce Development'!X198+'Communications &amp; Disseminations'!X198+'Evaluation and Assessment '!X198+'Sustainability Plan'!X198+'Management '!X198)</f>
        <v>0</v>
      </c>
      <c r="Y198" s="56">
        <f t="shared" ref="Y198:Y202" si="108">SUM(W198:X198)</f>
        <v>20561.783303006647</v>
      </c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</row>
    <row r="199" spans="1:77" x14ac:dyDescent="0.25">
      <c r="A199" s="50">
        <v>0.105</v>
      </c>
      <c r="B199" s="52" t="s">
        <v>108</v>
      </c>
      <c r="C199" s="124">
        <f>SUM('Research Area'!C199+'Research Cyberinfrastructure'!C199+'EA &amp; Seed Funding'!C199+'Partnerships &amp; Collaborations'!C199+'Broadening Participation Divers'!C199+'Education Workforce Development'!C199+'Communications &amp; Disseminations'!C199+'Evaluation and Assessment '!C199+'Sustainability Plan'!C199+'Management '!C199)</f>
        <v>12157.950006404259</v>
      </c>
      <c r="D199" s="56">
        <f>SUM('Research Area'!D199+'Research Cyberinfrastructure'!D199+'EA &amp; Seed Funding'!D199+'Partnerships &amp; Collaborations'!D199+'Broadening Participation Divers'!D199+'Education Workforce Development'!D199+'Communications &amp; Disseminations'!D199+'Evaluation and Assessment '!D199+'Sustainability Plan'!D199+'Management '!D199)</f>
        <v>540.75</v>
      </c>
      <c r="E199" s="56">
        <f t="shared" si="103"/>
        <v>12698.700006404259</v>
      </c>
      <c r="F199" s="15"/>
      <c r="G199" s="55">
        <f>SUM('Research Area'!G199+'Research Cyberinfrastructure'!G199+'EA &amp; Seed Funding'!G199+'Partnerships &amp; Collaborations'!G199+'Broadening Participation Divers'!G199+'Education Workforce Development'!G199+'Communications &amp; Disseminations'!G199+'Evaluation and Assessment '!G199+'Sustainability Plan'!G199+'Management '!G199)</f>
        <v>14599.363176794281</v>
      </c>
      <c r="H199" s="56">
        <f>SUM('Research Area'!H199+'Research Cyberinfrastructure'!H199+'EA &amp; Seed Funding'!H199+'Partnerships &amp; Collaborations'!H199+'Broadening Participation Divers'!H199+'Education Workforce Development'!H199+'Communications &amp; Disseminations'!H199+'Evaluation and Assessment '!H199+'Sustainability Plan'!H199+'Management '!H199)</f>
        <v>573.68167499999993</v>
      </c>
      <c r="I199" s="56">
        <f t="shared" si="104"/>
        <v>15173.04485179428</v>
      </c>
      <c r="J199" s="15"/>
      <c r="K199" s="55">
        <f>SUM('Research Area'!K199+'Research Cyberinfrastructure'!K199+'EA &amp; Seed Funding'!K199+'Partnerships &amp; Collaborations'!K199+'Broadening Participation Divers'!K199+'Education Workforce Development'!K199+'Communications &amp; Disseminations'!K199+'Evaluation and Assessment '!K199+'Sustainability Plan'!K199+'Management '!K199)</f>
        <v>15467.811853961051</v>
      </c>
      <c r="L199" s="56">
        <f>SUM('Research Area'!L199+'Research Cyberinfrastructure'!L199+'EA &amp; Seed Funding'!L199+'Partnerships &amp; Collaborations'!L199+'Broadening Participation Divers'!L199+'Education Workforce Development'!L199+'Communications &amp; Disseminations'!L199+'Evaluation and Assessment '!L199+'Sustainability Plan'!L199+'Management '!L199)</f>
        <v>0</v>
      </c>
      <c r="M199" s="56">
        <f t="shared" si="105"/>
        <v>15467.811853961051</v>
      </c>
      <c r="N199" s="15"/>
      <c r="O199" s="55">
        <f>SUM('Research Area'!O199+'Research Cyberinfrastructure'!O199+'EA &amp; Seed Funding'!O199+'Partnerships &amp; Collaborations'!O199+'Broadening Participation Divers'!O199+'Education Workforce Development'!O199+'Communications &amp; Disseminations'!O199+'Evaluation and Assessment '!O199+'Sustainability Plan'!O199+'Management '!O199)</f>
        <v>16388.52947935828</v>
      </c>
      <c r="P199" s="56">
        <f>SUM('Research Area'!P199+'Research Cyberinfrastructure'!P199+'EA &amp; Seed Funding'!P199+'Partnerships &amp; Collaborations'!P199+'Broadening Participation Divers'!P199+'Education Workforce Development'!P199+'Communications &amp; Disseminations'!P199+'Evaluation and Assessment '!P199+'Sustainability Plan'!P199+'Management '!P199)</f>
        <v>0</v>
      </c>
      <c r="Q199" s="56">
        <f t="shared" si="106"/>
        <v>16388.52947935828</v>
      </c>
      <c r="R199" s="15"/>
      <c r="S199" s="55">
        <f>SUM('Research Area'!S199+'Research Cyberinfrastructure'!S199+'EA &amp; Seed Funding'!S199+'Partnerships &amp; Collaborations'!S199+'Broadening Participation Divers'!S199+'Education Workforce Development'!S199+'Communications &amp; Disseminations'!S199+'Evaluation and Assessment '!S199+'Sustainability Plan'!S199+'Management '!S199)</f>
        <v>13894.314291796516</v>
      </c>
      <c r="T199" s="56">
        <f>SUM('Research Area'!T199+'Research Cyberinfrastructure'!T199+'EA &amp; Seed Funding'!T199+'Partnerships &amp; Collaborations'!T199+'Broadening Participation Divers'!T199+'Education Workforce Development'!T199+'Communications &amp; Disseminations'!T199+'Evaluation and Assessment '!T199+'Sustainability Plan'!T199+'Management '!T199)</f>
        <v>0</v>
      </c>
      <c r="U199" s="56">
        <f t="shared" si="107"/>
        <v>13894.314291796516</v>
      </c>
      <c r="V199" s="16"/>
      <c r="W199" s="55">
        <f>SUM('Research Area'!W199+'Research Cyberinfrastructure'!W199+'EA &amp; Seed Funding'!W199+'Partnerships &amp; Collaborations'!W199+'Broadening Participation Divers'!W199+'Education Workforce Development'!W199+'Communications &amp; Disseminations'!W199+'Evaluation and Assessment '!W199+'Sustainability Plan'!W199+'Management '!W199)</f>
        <v>72507.968808314385</v>
      </c>
      <c r="X199" s="56">
        <f>SUM('Research Area'!X199+'Research Cyberinfrastructure'!X199+'EA &amp; Seed Funding'!X199+'Partnerships &amp; Collaborations'!X199+'Broadening Participation Divers'!X199+'Education Workforce Development'!X199+'Communications &amp; Disseminations'!X199+'Evaluation and Assessment '!X199+'Sustainability Plan'!X199+'Management '!X199)</f>
        <v>1114.4316749999998</v>
      </c>
      <c r="Y199" s="56">
        <f t="shared" si="108"/>
        <v>73622.400483314384</v>
      </c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</row>
    <row r="200" spans="1:77" x14ac:dyDescent="0.25">
      <c r="A200" s="3">
        <v>0.36099999999999999</v>
      </c>
      <c r="B200" s="52" t="s">
        <v>52</v>
      </c>
      <c r="C200" s="124">
        <f>SUM('Research Area'!C200+'Research Cyberinfrastructure'!C200+'EA &amp; Seed Funding'!C200+'Partnerships &amp; Collaborations'!C200+'Broadening Participation Divers'!C200+'Education Workforce Development'!C200+'Communications &amp; Disseminations'!C200+'Evaluation and Assessment '!C200+'Sustainability Plan'!C200+'Management '!C200)</f>
        <v>0</v>
      </c>
      <c r="D200" s="56">
        <f>SUM('Research Area'!D200+'Research Cyberinfrastructure'!D200+'EA &amp; Seed Funding'!D200+'Partnerships &amp; Collaborations'!D200+'Broadening Participation Divers'!D200+'Education Workforce Development'!D200+'Communications &amp; Disseminations'!D200+'Evaluation and Assessment '!D200+'Sustainability Plan'!D200+'Management '!D200)</f>
        <v>0</v>
      </c>
      <c r="E200" s="56">
        <f t="shared" si="103"/>
        <v>0</v>
      </c>
      <c r="F200" s="15"/>
      <c r="G200" s="55">
        <f>SUM('Research Area'!G200+'Research Cyberinfrastructure'!G200+'EA &amp; Seed Funding'!G200+'Partnerships &amp; Collaborations'!G200+'Broadening Participation Divers'!G200+'Education Workforce Development'!G200+'Communications &amp; Disseminations'!G200+'Evaluation and Assessment '!G200+'Sustainability Plan'!G200+'Management '!G200)</f>
        <v>65107.432999999997</v>
      </c>
      <c r="H200" s="56">
        <f>SUM('Research Area'!H200+'Research Cyberinfrastructure'!H200+'EA &amp; Seed Funding'!H200+'Partnerships &amp; Collaborations'!H200+'Broadening Participation Divers'!H200+'Education Workforce Development'!H200+'Communications &amp; Disseminations'!H200+'Evaluation and Assessment '!H200+'Sustainability Plan'!H200+'Management '!H200)</f>
        <v>0</v>
      </c>
      <c r="I200" s="56">
        <f t="shared" si="104"/>
        <v>65107.432999999997</v>
      </c>
      <c r="J200" s="15"/>
      <c r="K200" s="55">
        <f>SUM('Research Area'!K200+'Research Cyberinfrastructure'!K200+'EA &amp; Seed Funding'!K200+'Partnerships &amp; Collaborations'!K200+'Broadening Participation Divers'!K200+'Education Workforce Development'!K200+'Communications &amp; Disseminations'!K200+'Evaluation and Assessment '!K200+'Sustainability Plan'!K200+'Management '!K200)</f>
        <v>0</v>
      </c>
      <c r="L200" s="56">
        <f>SUM('Research Area'!L200+'Research Cyberinfrastructure'!L200+'EA &amp; Seed Funding'!L200+'Partnerships &amp; Collaborations'!L200+'Broadening Participation Divers'!L200+'Education Workforce Development'!L200+'Communications &amp; Disseminations'!L200+'Evaluation and Assessment '!L200+'Sustainability Plan'!L200+'Management '!L200)</f>
        <v>0</v>
      </c>
      <c r="M200" s="56">
        <f t="shared" si="105"/>
        <v>0</v>
      </c>
      <c r="N200" s="15"/>
      <c r="O200" s="55">
        <f>SUM('Research Area'!O200+'Research Cyberinfrastructure'!O200+'EA &amp; Seed Funding'!O200+'Partnerships &amp; Collaborations'!O200+'Broadening Participation Divers'!O200+'Education Workforce Development'!O200+'Communications &amp; Disseminations'!O200+'Evaluation and Assessment '!O200+'Sustainability Plan'!O200+'Management '!O200)</f>
        <v>0</v>
      </c>
      <c r="P200" s="56">
        <f>SUM('Research Area'!P200+'Research Cyberinfrastructure'!P200+'EA &amp; Seed Funding'!P200+'Partnerships &amp; Collaborations'!P200+'Broadening Participation Divers'!P200+'Education Workforce Development'!P200+'Communications &amp; Disseminations'!P200+'Evaluation and Assessment '!P200+'Sustainability Plan'!P200+'Management '!P200)</f>
        <v>0</v>
      </c>
      <c r="Q200" s="56">
        <f t="shared" si="106"/>
        <v>0</v>
      </c>
      <c r="R200" s="15"/>
      <c r="S200" s="55">
        <f>SUM('Research Area'!S200+'Research Cyberinfrastructure'!S200+'EA &amp; Seed Funding'!S200+'Partnerships &amp; Collaborations'!S200+'Broadening Participation Divers'!S200+'Education Workforce Development'!S200+'Communications &amp; Disseminations'!S200+'Evaluation and Assessment '!S200+'Sustainability Plan'!S200+'Management '!S200)</f>
        <v>0</v>
      </c>
      <c r="T200" s="56">
        <f>SUM('Research Area'!T200+'Research Cyberinfrastructure'!T200+'EA &amp; Seed Funding'!T200+'Partnerships &amp; Collaborations'!T200+'Broadening Participation Divers'!T200+'Education Workforce Development'!T200+'Communications &amp; Disseminations'!T200+'Evaluation and Assessment '!T200+'Sustainability Plan'!T200+'Management '!T200)</f>
        <v>0</v>
      </c>
      <c r="U200" s="56">
        <f t="shared" si="107"/>
        <v>0</v>
      </c>
      <c r="V200" s="16"/>
      <c r="W200" s="55">
        <f>SUM('Research Area'!W200+'Research Cyberinfrastructure'!W200+'EA &amp; Seed Funding'!W200+'Partnerships &amp; Collaborations'!W200+'Broadening Participation Divers'!W200+'Education Workforce Development'!W200+'Communications &amp; Disseminations'!W200+'Evaluation and Assessment '!W200+'Sustainability Plan'!W200+'Management '!W200)</f>
        <v>65107.432999999997</v>
      </c>
      <c r="X200" s="56">
        <f>SUM('Research Area'!X200+'Research Cyberinfrastructure'!X200+'EA &amp; Seed Funding'!X200+'Partnerships &amp; Collaborations'!X200+'Broadening Participation Divers'!X200+'Education Workforce Development'!X200+'Communications &amp; Disseminations'!X200+'Evaluation and Assessment '!X200+'Sustainability Plan'!X200+'Management '!X200)</f>
        <v>0</v>
      </c>
      <c r="Y200" s="56">
        <f t="shared" si="108"/>
        <v>65107.432999999997</v>
      </c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</row>
    <row r="201" spans="1:77" x14ac:dyDescent="0.25">
      <c r="A201" s="50">
        <v>0.34899999999999998</v>
      </c>
      <c r="B201" s="52" t="s">
        <v>109</v>
      </c>
      <c r="C201" s="124">
        <f>SUM('Research Area'!C201+'Research Cyberinfrastructure'!C201+'EA &amp; Seed Funding'!C201+'Partnerships &amp; Collaborations'!C201+'Broadening Participation Divers'!C201+'Education Workforce Development'!C201+'Communications &amp; Disseminations'!C201+'Evaluation and Assessment '!C201+'Sustainability Plan'!C201+'Management '!C201)</f>
        <v>16319.8333</v>
      </c>
      <c r="D201" s="56">
        <f>SUM('Research Area'!D201+'Research Cyberinfrastructure'!D201+'EA &amp; Seed Funding'!D201+'Partnerships &amp; Collaborations'!D201+'Broadening Participation Divers'!D201+'Education Workforce Development'!D201+'Communications &amp; Disseminations'!D201+'Evaluation and Assessment '!D201+'Sustainability Plan'!D201+'Management '!D201)</f>
        <v>11866</v>
      </c>
      <c r="E201" s="56">
        <f t="shared" si="103"/>
        <v>28185.833299999998</v>
      </c>
      <c r="F201" s="15"/>
      <c r="G201" s="55">
        <f>SUM('Research Area'!G201+'Research Cyberinfrastructure'!G201+'EA &amp; Seed Funding'!G201+'Partnerships &amp; Collaborations'!G201+'Broadening Participation Divers'!G201+'Education Workforce Development'!G201+'Communications &amp; Disseminations'!G201+'Evaluation and Assessment '!G201+'Sustainability Plan'!G201+'Management '!G201)</f>
        <v>71577.167815110006</v>
      </c>
      <c r="H201" s="56">
        <f>SUM('Research Area'!H201+'Research Cyberinfrastructure'!H201+'EA &amp; Seed Funding'!H201+'Partnerships &amp; Collaborations'!H201+'Broadening Participation Divers'!H201+'Education Workforce Development'!H201+'Communications &amp; Disseminations'!H201+'Evaluation and Assessment '!H201+'Sustainability Plan'!H201+'Management '!H201)</f>
        <v>12588.6394</v>
      </c>
      <c r="I201" s="56">
        <f t="shared" si="104"/>
        <v>84165.807215110006</v>
      </c>
      <c r="J201" s="15"/>
      <c r="K201" s="55">
        <f>SUM('Research Area'!K201+'Research Cyberinfrastructure'!K201+'EA &amp; Seed Funding'!K201+'Partnerships &amp; Collaborations'!K201+'Broadening Participation Divers'!K201+'Education Workforce Development'!K201+'Communications &amp; Disseminations'!K201+'Evaluation and Assessment '!K201+'Sustainability Plan'!K201+'Management '!K201)</f>
        <v>91193.71350440738</v>
      </c>
      <c r="L201" s="56">
        <f>SUM('Research Area'!L201+'Research Cyberinfrastructure'!L201+'EA &amp; Seed Funding'!L201+'Partnerships &amp; Collaborations'!L201+'Broadening Participation Divers'!L201+'Education Workforce Development'!L201+'Communications &amp; Disseminations'!L201+'Evaluation and Assessment '!L201+'Sustainability Plan'!L201+'Management '!L201)</f>
        <v>13355.287539459998</v>
      </c>
      <c r="M201" s="56">
        <f t="shared" si="105"/>
        <v>104549.00104386738</v>
      </c>
      <c r="N201" s="15"/>
      <c r="O201" s="55">
        <f>SUM('Research Area'!O201+'Research Cyberinfrastructure'!O201+'EA &amp; Seed Funding'!O201+'Partnerships &amp; Collaborations'!O201+'Broadening Participation Divers'!O201+'Education Workforce Development'!O201+'Communications &amp; Disseminations'!O201+'Evaluation and Assessment '!O201+'Sustainability Plan'!O201+'Management '!O201)</f>
        <v>45240.293172832229</v>
      </c>
      <c r="P201" s="56">
        <f>SUM('Research Area'!P201+'Research Cyberinfrastructure'!P201+'EA &amp; Seed Funding'!P201+'Partnerships &amp; Collaborations'!P201+'Broadening Participation Divers'!P201+'Education Workforce Development'!P201+'Communications &amp; Disseminations'!P201+'Evaluation and Assessment '!P201+'Sustainability Plan'!P201+'Management '!P201)</f>
        <v>14168.624550613114</v>
      </c>
      <c r="Q201" s="56">
        <f t="shared" si="106"/>
        <v>59408.917723445345</v>
      </c>
      <c r="R201" s="15"/>
      <c r="S201" s="55">
        <f>SUM('Research Area'!S201+'Research Cyberinfrastructure'!S201+'EA &amp; Seed Funding'!S201+'Partnerships &amp; Collaborations'!S201+'Broadening Participation Divers'!S201+'Education Workforce Development'!S201+'Communications &amp; Disseminations'!S201+'Evaluation and Assessment '!S201+'Sustainability Plan'!S201+'Management '!S201)</f>
        <v>20673.476557673333</v>
      </c>
      <c r="T201" s="56">
        <f>SUM('Research Area'!T201+'Research Cyberinfrastructure'!T201+'EA &amp; Seed Funding'!T201+'Partnerships &amp; Collaborations'!T201+'Broadening Participation Divers'!T201+'Education Workforce Development'!T201+'Communications &amp; Disseminations'!T201+'Evaluation and Assessment '!T201+'Sustainability Plan'!T201+'Management '!T201)</f>
        <v>15031.493785745455</v>
      </c>
      <c r="U201" s="56">
        <f t="shared" si="107"/>
        <v>35704.97034341879</v>
      </c>
      <c r="V201" s="16"/>
      <c r="W201" s="55">
        <f>SUM('Research Area'!W201+'Research Cyberinfrastructure'!W201+'EA &amp; Seed Funding'!W201+'Partnerships &amp; Collaborations'!W201+'Broadening Participation Divers'!W201+'Education Workforce Development'!W201+'Communications &amp; Disseminations'!W201+'Evaluation and Assessment '!W201+'Sustainability Plan'!W201+'Management '!W201)</f>
        <v>245004.48435002298</v>
      </c>
      <c r="X201" s="56">
        <f>SUM('Research Area'!X201+'Research Cyberinfrastructure'!X201+'EA &amp; Seed Funding'!X201+'Partnerships &amp; Collaborations'!X201+'Broadening Participation Divers'!X201+'Education Workforce Development'!X201+'Communications &amp; Disseminations'!X201+'Evaluation and Assessment '!X201+'Sustainability Plan'!X201+'Management '!X201)</f>
        <v>67010.045275818571</v>
      </c>
      <c r="Y201" s="56">
        <f t="shared" si="108"/>
        <v>312014.52962584153</v>
      </c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</row>
    <row r="202" spans="1:77" x14ac:dyDescent="0.25">
      <c r="A202" s="50">
        <v>0.56200000000000006</v>
      </c>
      <c r="B202" s="54" t="s">
        <v>110</v>
      </c>
      <c r="C202" s="124">
        <f>SUM('Research Area'!C202+'Research Cyberinfrastructure'!C202+'EA &amp; Seed Funding'!C202+'Partnerships &amp; Collaborations'!C202+'Broadening Participation Divers'!C202+'Education Workforce Development'!C202+'Communications &amp; Disseminations'!C202+'Evaluation and Assessment '!C202+'Sustainability Plan'!C202+'Management '!C202)</f>
        <v>0</v>
      </c>
      <c r="D202" s="56">
        <f>SUM('Research Area'!D202+'Research Cyberinfrastructure'!D202+'EA &amp; Seed Funding'!D202+'Partnerships &amp; Collaborations'!D202+'Broadening Participation Divers'!D202+'Education Workforce Development'!D202+'Communications &amp; Disseminations'!D202+'Evaluation and Assessment '!D202+'Sustainability Plan'!D202+'Management '!D202)</f>
        <v>0</v>
      </c>
      <c r="E202" s="56">
        <f t="shared" si="103"/>
        <v>0</v>
      </c>
      <c r="F202" s="15"/>
      <c r="G202" s="55">
        <f>SUM('Research Area'!G202+'Research Cyberinfrastructure'!G202+'EA &amp; Seed Funding'!G202+'Partnerships &amp; Collaborations'!G202+'Broadening Participation Divers'!G202+'Education Workforce Development'!G202+'Communications &amp; Disseminations'!G202+'Evaluation and Assessment '!G202+'Sustainability Plan'!G202+'Management '!G202)</f>
        <v>0</v>
      </c>
      <c r="H202" s="56">
        <f>SUM('Research Area'!H202+'Research Cyberinfrastructure'!H202+'EA &amp; Seed Funding'!H202+'Partnerships &amp; Collaborations'!H202+'Broadening Participation Divers'!H202+'Education Workforce Development'!H202+'Communications &amp; Disseminations'!H202+'Evaluation and Assessment '!H202+'Sustainability Plan'!H202+'Management '!H202)</f>
        <v>0</v>
      </c>
      <c r="I202" s="56">
        <f t="shared" si="104"/>
        <v>0</v>
      </c>
      <c r="J202" s="15"/>
      <c r="K202" s="55">
        <f>SUM('Research Area'!K202+'Research Cyberinfrastructure'!K202+'EA &amp; Seed Funding'!K202+'Partnerships &amp; Collaborations'!K202+'Broadening Participation Divers'!K202+'Education Workforce Development'!K202+'Communications &amp; Disseminations'!K202+'Evaluation and Assessment '!K202+'Sustainability Plan'!K202+'Management '!K202)</f>
        <v>0</v>
      </c>
      <c r="L202" s="56">
        <f>SUM('Research Area'!L202+'Research Cyberinfrastructure'!L202+'EA &amp; Seed Funding'!L202+'Partnerships &amp; Collaborations'!L202+'Broadening Participation Divers'!L202+'Education Workforce Development'!L202+'Communications &amp; Disseminations'!L202+'Evaluation and Assessment '!L202+'Sustainability Plan'!L202+'Management '!L202)</f>
        <v>0</v>
      </c>
      <c r="M202" s="56">
        <f t="shared" si="105"/>
        <v>0</v>
      </c>
      <c r="N202" s="15"/>
      <c r="O202" s="55">
        <f>SUM('Research Area'!O202+'Research Cyberinfrastructure'!O202+'EA &amp; Seed Funding'!O202+'Partnerships &amp; Collaborations'!O202+'Broadening Participation Divers'!O202+'Education Workforce Development'!O202+'Communications &amp; Disseminations'!O202+'Evaluation and Assessment '!O202+'Sustainability Plan'!O202+'Management '!O202)</f>
        <v>0</v>
      </c>
      <c r="P202" s="56">
        <f>SUM('Research Area'!P202+'Research Cyberinfrastructure'!P202+'EA &amp; Seed Funding'!P202+'Partnerships &amp; Collaborations'!P202+'Broadening Participation Divers'!P202+'Education Workforce Development'!P202+'Communications &amp; Disseminations'!P202+'Evaluation and Assessment '!P202+'Sustainability Plan'!P202+'Management '!P202)</f>
        <v>0</v>
      </c>
      <c r="Q202" s="56">
        <f t="shared" si="106"/>
        <v>0</v>
      </c>
      <c r="R202" s="15"/>
      <c r="S202" s="55">
        <f>SUM('Research Area'!S202+'Research Cyberinfrastructure'!S202+'EA &amp; Seed Funding'!S202+'Partnerships &amp; Collaborations'!S202+'Broadening Participation Divers'!S202+'Education Workforce Development'!S202+'Communications &amp; Disseminations'!S202+'Evaluation and Assessment '!S202+'Sustainability Plan'!S202+'Management '!S202)</f>
        <v>0</v>
      </c>
      <c r="T202" s="56">
        <f>SUM('Research Area'!T202+'Research Cyberinfrastructure'!T202+'EA &amp; Seed Funding'!T202+'Partnerships &amp; Collaborations'!T202+'Broadening Participation Divers'!T202+'Education Workforce Development'!T202+'Communications &amp; Disseminations'!T202+'Evaluation and Assessment '!T202+'Sustainability Plan'!T202+'Management '!T202)</f>
        <v>0</v>
      </c>
      <c r="U202" s="56">
        <f t="shared" si="107"/>
        <v>0</v>
      </c>
      <c r="V202" s="16"/>
      <c r="W202" s="55">
        <f>SUM('Research Area'!W202+'Research Cyberinfrastructure'!W202+'EA &amp; Seed Funding'!W202+'Partnerships &amp; Collaborations'!W202+'Broadening Participation Divers'!W202+'Education Workforce Development'!W202+'Communications &amp; Disseminations'!W202+'Evaluation and Assessment '!W202+'Sustainability Plan'!W202+'Management '!W202)</f>
        <v>0</v>
      </c>
      <c r="X202" s="56">
        <f>SUM('Research Area'!X202+'Research Cyberinfrastructure'!X202+'EA &amp; Seed Funding'!X202+'Partnerships &amp; Collaborations'!X202+'Broadening Participation Divers'!X202+'Education Workforce Development'!X202+'Communications &amp; Disseminations'!X202+'Evaluation and Assessment '!X202+'Sustainability Plan'!X202+'Management '!X202)</f>
        <v>0</v>
      </c>
      <c r="Y202" s="56">
        <f t="shared" si="108"/>
        <v>0</v>
      </c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</row>
    <row r="203" spans="1:77" x14ac:dyDescent="0.25">
      <c r="A203" s="53"/>
      <c r="B203" s="52"/>
      <c r="C203" s="124">
        <f>SUM('Research Area'!C203+'Research Cyberinfrastructure'!C203+'EA &amp; Seed Funding'!C203+'Partnerships &amp; Collaborations'!C203+'Broadening Participation Divers'!C203+'Education Workforce Development'!C203+'Communications &amp; Disseminations'!C203+'Evaluation and Assessment '!C203+'Sustainability Plan'!C203+'Management '!C203)</f>
        <v>0</v>
      </c>
      <c r="D203" s="56">
        <f>SUM('Research Area'!D203+'Research Cyberinfrastructure'!D203+'EA &amp; Seed Funding'!D203+'Partnerships &amp; Collaborations'!D203+'Broadening Participation Divers'!D203+'Education Workforce Development'!D203+'Communications &amp; Disseminations'!D203+'Evaluation and Assessment '!D203+'Sustainability Plan'!D203+'Management '!D203)</f>
        <v>0</v>
      </c>
      <c r="E203" s="56">
        <f>SUM(C203:D203)</f>
        <v>0</v>
      </c>
      <c r="F203" s="15"/>
      <c r="G203" s="55">
        <f>SUM('Research Area'!G203+'Research Cyberinfrastructure'!G203+'EA &amp; Seed Funding'!G203+'Partnerships &amp; Collaborations'!G203+'Broadening Participation Divers'!G203+'Education Workforce Development'!G203+'Communications &amp; Disseminations'!G203+'Evaluation and Assessment '!G203+'Sustainability Plan'!G203+'Management '!G203)</f>
        <v>0</v>
      </c>
      <c r="H203" s="56">
        <f>SUM('Research Area'!H203+'Research Cyberinfrastructure'!H203+'EA &amp; Seed Funding'!H203+'Partnerships &amp; Collaborations'!H203+'Broadening Participation Divers'!H203+'Education Workforce Development'!H203+'Communications &amp; Disseminations'!H203+'Evaluation and Assessment '!H203+'Sustainability Plan'!H203+'Management '!H203)</f>
        <v>0</v>
      </c>
      <c r="I203" s="56">
        <f>SUM(G203:H203)</f>
        <v>0</v>
      </c>
      <c r="J203" s="15"/>
      <c r="K203" s="55">
        <f>SUM('Research Area'!K203+'Research Cyberinfrastructure'!K203+'EA &amp; Seed Funding'!K203+'Partnerships &amp; Collaborations'!K203+'Broadening Participation Divers'!K203+'Education Workforce Development'!K203+'Communications &amp; Disseminations'!K203+'Evaluation and Assessment '!K203+'Sustainability Plan'!K203+'Management '!K203)</f>
        <v>0</v>
      </c>
      <c r="L203" s="56">
        <f>SUM('Research Area'!L203+'Research Cyberinfrastructure'!L203+'EA &amp; Seed Funding'!L203+'Partnerships &amp; Collaborations'!L203+'Broadening Participation Divers'!L203+'Education Workforce Development'!L203+'Communications &amp; Disseminations'!L203+'Evaluation and Assessment '!L203+'Sustainability Plan'!L203+'Management '!L203)</f>
        <v>0</v>
      </c>
      <c r="M203" s="56">
        <f>SUM(K203:L203)</f>
        <v>0</v>
      </c>
      <c r="N203" s="15"/>
      <c r="O203" s="55">
        <f>SUM('Research Area'!O203+'Research Cyberinfrastructure'!O203+'EA &amp; Seed Funding'!O203+'Partnerships &amp; Collaborations'!O203+'Broadening Participation Divers'!O203+'Education Workforce Development'!O203+'Communications &amp; Disseminations'!O203+'Evaluation and Assessment '!O203+'Sustainability Plan'!O203+'Management '!O203)</f>
        <v>0</v>
      </c>
      <c r="P203" s="56">
        <f>SUM('Research Area'!P203+'Research Cyberinfrastructure'!P203+'EA &amp; Seed Funding'!P203+'Partnerships &amp; Collaborations'!P203+'Broadening Participation Divers'!P203+'Education Workforce Development'!P203+'Communications &amp; Disseminations'!P203+'Evaluation and Assessment '!P203+'Sustainability Plan'!P203+'Management '!P203)</f>
        <v>0</v>
      </c>
      <c r="Q203" s="56">
        <f>SUM(O203:P203)</f>
        <v>0</v>
      </c>
      <c r="R203" s="15"/>
      <c r="S203" s="55">
        <f>SUM('Research Area'!S203+'Research Cyberinfrastructure'!S203+'EA &amp; Seed Funding'!S203+'Partnerships &amp; Collaborations'!S203+'Broadening Participation Divers'!S203+'Education Workforce Development'!S203+'Communications &amp; Disseminations'!S203+'Evaluation and Assessment '!S203+'Sustainability Plan'!S203+'Management '!S203)</f>
        <v>0</v>
      </c>
      <c r="T203" s="56">
        <f>SUM('Research Area'!T203+'Research Cyberinfrastructure'!T203+'EA &amp; Seed Funding'!T203+'Partnerships &amp; Collaborations'!T203+'Broadening Participation Divers'!T203+'Education Workforce Development'!T203+'Communications &amp; Disseminations'!T203+'Evaluation and Assessment '!T203+'Sustainability Plan'!T203+'Management '!T203)</f>
        <v>0</v>
      </c>
      <c r="U203" s="56">
        <f>SUM(S203:T203)</f>
        <v>0</v>
      </c>
      <c r="V203" s="16"/>
      <c r="W203" s="55">
        <f>SUM('Research Area'!W203+'Research Cyberinfrastructure'!W203+'EA &amp; Seed Funding'!W203+'Partnerships &amp; Collaborations'!W203+'Broadening Participation Divers'!W203+'Education Workforce Development'!W203+'Communications &amp; Disseminations'!W203+'Evaluation and Assessment '!W203+'Sustainability Plan'!W203+'Management '!W203)</f>
        <v>0</v>
      </c>
      <c r="X203" s="56">
        <f>SUM('Research Area'!X203+'Research Cyberinfrastructure'!X203+'EA &amp; Seed Funding'!X203+'Partnerships &amp; Collaborations'!X203+'Broadening Participation Divers'!X203+'Education Workforce Development'!X203+'Communications &amp; Disseminations'!X203+'Evaluation and Assessment '!X203+'Sustainability Plan'!X203+'Management '!X203)</f>
        <v>0</v>
      </c>
      <c r="Y203" s="56">
        <f>SUM(W203:X203)</f>
        <v>0</v>
      </c>
    </row>
    <row r="204" spans="1:77" s="22" customFormat="1" x14ac:dyDescent="0.25">
      <c r="A204" s="19"/>
      <c r="B204" s="78" t="s">
        <v>9</v>
      </c>
      <c r="C204" s="232">
        <f>SUM(C198:C203)</f>
        <v>28477.783306404257</v>
      </c>
      <c r="D204" s="130">
        <f>SUM(D198:D203)</f>
        <v>12406.75</v>
      </c>
      <c r="E204" s="130">
        <f>SUM(E198:E203)</f>
        <v>40884.533306404257</v>
      </c>
      <c r="F204" s="20"/>
      <c r="G204" s="126">
        <f>SUM(G198:G203)</f>
        <v>155488.7774879043</v>
      </c>
      <c r="H204" s="130">
        <f>SUM(H198:H203)</f>
        <v>13162.321075</v>
      </c>
      <c r="I204" s="130">
        <f>SUM(I198:I203)</f>
        <v>168651.09856290428</v>
      </c>
      <c r="J204" s="20"/>
      <c r="K204" s="126">
        <f>SUM(K198:K203)</f>
        <v>112151.84333116333</v>
      </c>
      <c r="L204" s="130">
        <f>SUM(L198:L203)</f>
        <v>13355.287539459998</v>
      </c>
      <c r="M204" s="130">
        <f>SUM(M198:M203)</f>
        <v>125507.13087062332</v>
      </c>
      <c r="N204" s="20"/>
      <c r="O204" s="126">
        <f>SUM(O198:O203)</f>
        <v>67474.707275027322</v>
      </c>
      <c r="P204" s="130">
        <f>SUM(P198:P203)</f>
        <v>14168.624550613114</v>
      </c>
      <c r="Q204" s="130">
        <f>SUM(Q198:Q203)</f>
        <v>81643.331825640431</v>
      </c>
      <c r="R204" s="20"/>
      <c r="S204" s="126">
        <f>SUM(S198:S203)</f>
        <v>39588.558060844778</v>
      </c>
      <c r="T204" s="130">
        <f>SUM(T198:T203)</f>
        <v>15031.493785745455</v>
      </c>
      <c r="U204" s="130">
        <f>SUM(U198:U203)</f>
        <v>54620.051846590242</v>
      </c>
      <c r="V204" s="21"/>
      <c r="W204" s="126">
        <f>SUM(W198:W203)</f>
        <v>403181.66946134402</v>
      </c>
      <c r="X204" s="130">
        <f>SUM(X198:X203)</f>
        <v>68124.476950818571</v>
      </c>
      <c r="Y204" s="130">
        <f>SUM(Y198:Y203)</f>
        <v>471306.14641216258</v>
      </c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</row>
    <row r="205" spans="1:77" s="37" customFormat="1" x14ac:dyDescent="0.25">
      <c r="A205" s="106" t="s">
        <v>17</v>
      </c>
      <c r="B205" s="35"/>
      <c r="C205" s="150">
        <f>C196+C204</f>
        <v>187903.36720685297</v>
      </c>
      <c r="D205" s="150">
        <f>D196+D204</f>
        <v>51406.75</v>
      </c>
      <c r="E205" s="150">
        <f>E196+E204</f>
        <v>239310.11720685297</v>
      </c>
      <c r="F205" s="150" t="e">
        <f>SUM(#REF!+#REF!+'Research Cyberinfrastructure'!F205+'EA &amp; Seed Funding'!F205+'Partnerships &amp; Collaborations'!F205+'Broadening Participation Divers'!F205+'Education Workforce Development'!F205+'Communications &amp; Disseminations'!F205+'Evaluation and Assessment '!F205+'Sustainability Plan'!F205+'Management '!F205)</f>
        <v>#REF!</v>
      </c>
      <c r="G205" s="150">
        <f>G196+G204</f>
        <v>759333.19090536644</v>
      </c>
      <c r="H205" s="150">
        <f>H196+H204</f>
        <v>53332.321075</v>
      </c>
      <c r="I205" s="150">
        <f>I196+I204</f>
        <v>812665.51198036643</v>
      </c>
      <c r="J205" s="150" t="e">
        <f>SUM(#REF!+#REF!+'Research Cyberinfrastructure'!J205+'EA &amp; Seed Funding'!J205+'Partnerships &amp; Collaborations'!J205+'Broadening Participation Divers'!J205+'Education Workforce Development'!J205+'Communications &amp; Disseminations'!J205+'Evaluation and Assessment '!J205+'Sustainability Plan'!J205+'Management '!J205)</f>
        <v>#REF!</v>
      </c>
      <c r="K205" s="150">
        <f>K196+K204</f>
        <v>623591.64529114938</v>
      </c>
      <c r="L205" s="150">
        <f>L196+L204</f>
        <v>49425.887539459996</v>
      </c>
      <c r="M205" s="150">
        <f>M196+M204</f>
        <v>673017.53283060936</v>
      </c>
      <c r="N205" s="150" t="e">
        <f>SUM(#REF!+#REF!+'Research Cyberinfrastructure'!N205+'EA &amp; Seed Funding'!N205+'Partnerships &amp; Collaborations'!N205+'Broadening Participation Divers'!N205+'Education Workforce Development'!N205+'Communications &amp; Disseminations'!N205+'Evaluation and Assessment '!N205+'Sustainability Plan'!N205+'Management '!N205)</f>
        <v>#REF!</v>
      </c>
      <c r="O205" s="150">
        <f>O196+O204</f>
        <v>463459.69329381292</v>
      </c>
      <c r="P205" s="150">
        <f>P196+P204</f>
        <v>51321.342550613117</v>
      </c>
      <c r="Q205" s="150">
        <f>Q196+Q204</f>
        <v>514781.03584442602</v>
      </c>
      <c r="R205" s="150" t="e">
        <f>SUM(#REF!+#REF!+'Research Cyberinfrastructure'!R205+'EA &amp; Seed Funding'!R205+'Partnerships &amp; Collaborations'!R205+'Broadening Participation Divers'!R205+'Education Workforce Development'!R205+'Communications &amp; Disseminations'!R205+'Evaluation and Assessment '!R205+'Sustainability Plan'!R205+'Management '!R205)</f>
        <v>#REF!</v>
      </c>
      <c r="S205" s="150">
        <f>S196+S204</f>
        <v>323695.77661019401</v>
      </c>
      <c r="T205" s="150">
        <f>T196+T204</f>
        <v>53298.793325745457</v>
      </c>
      <c r="U205" s="150">
        <f>U196+U204</f>
        <v>376994.56993593951</v>
      </c>
      <c r="V205" s="150" t="e">
        <f>SUM(#REF!+#REF!+'Research Cyberinfrastructure'!V205+'EA &amp; Seed Funding'!V205+'Partnerships &amp; Collaborations'!V205+'Broadening Participation Divers'!V205+'Education Workforce Development'!V205+'Communications &amp; Disseminations'!V205+'Evaluation and Assessment '!V205+'Sustainability Plan'!V205+'Management '!V205)</f>
        <v>#REF!</v>
      </c>
      <c r="W205" s="150">
        <f>W196+W204</f>
        <v>2357983.6733073755</v>
      </c>
      <c r="X205" s="150">
        <f>X196+X204</f>
        <v>258785.09449081856</v>
      </c>
      <c r="Y205" s="150">
        <f>Y196+Y204</f>
        <v>2616768.7677981942</v>
      </c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</row>
    <row r="206" spans="1:77" s="77" customFormat="1" x14ac:dyDescent="0.25">
      <c r="A206" s="74" t="s">
        <v>18</v>
      </c>
      <c r="B206" s="127"/>
      <c r="C206" s="213"/>
      <c r="D206" s="213"/>
      <c r="E206" s="212"/>
      <c r="F206" s="128"/>
      <c r="G206" s="128"/>
      <c r="H206" s="128"/>
      <c r="I206" s="58"/>
      <c r="J206" s="128"/>
      <c r="K206" s="128"/>
      <c r="L206" s="58"/>
      <c r="M206" s="58"/>
      <c r="N206" s="128"/>
      <c r="O206" s="128"/>
      <c r="P206" s="58"/>
      <c r="Q206" s="58"/>
      <c r="R206" s="128"/>
      <c r="S206" s="128"/>
      <c r="T206" s="58"/>
      <c r="U206" s="58"/>
      <c r="V206" s="59"/>
      <c r="W206" s="58"/>
      <c r="X206" s="58"/>
      <c r="Y206" s="129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</row>
    <row r="207" spans="1:77" x14ac:dyDescent="0.25">
      <c r="A207" s="53"/>
      <c r="B207" s="52"/>
      <c r="C207" s="124">
        <f>SUM('Research Area'!C207+'Research Cyberinfrastructure'!C207+'EA &amp; Seed Funding'!C207+'Partnerships &amp; Collaborations'!C207+'Broadening Participation Divers'!C207+'Education Workforce Development'!C207+'Communications &amp; Disseminations'!C207+'Evaluation and Assessment '!C207+'Sustainability Plan'!C207+'Management '!C207)</f>
        <v>0</v>
      </c>
      <c r="D207" s="56">
        <f>SUM('Research Area'!D207+'Research Cyberinfrastructure'!D207+'EA &amp; Seed Funding'!D207+'Partnerships &amp; Collaborations'!D207+'Broadening Participation Divers'!D207+'Education Workforce Development'!D207+'Communications &amp; Disseminations'!D207+'Evaluation and Assessment '!D207+'Sustainability Plan'!D207+'Management '!D207)</f>
        <v>0</v>
      </c>
      <c r="E207" s="56">
        <f>SUM(C207:D207)</f>
        <v>0</v>
      </c>
      <c r="F207" s="15"/>
      <c r="G207" s="55">
        <f>SUM('Research Area'!G207+'Research Cyberinfrastructure'!G207+'EA &amp; Seed Funding'!G207+'Partnerships &amp; Collaborations'!G207+'Broadening Participation Divers'!G207+'Education Workforce Development'!G207+'Communications &amp; Disseminations'!G207+'Evaluation and Assessment '!G207+'Sustainability Plan'!G207+'Management '!G207)</f>
        <v>0</v>
      </c>
      <c r="H207" s="56">
        <f>SUM('Research Area'!H207+'Research Cyberinfrastructure'!H207+'EA &amp; Seed Funding'!H207+'Partnerships &amp; Collaborations'!H207+'Broadening Participation Divers'!H207+'Education Workforce Development'!H207+'Communications &amp; Disseminations'!H207+'Evaluation and Assessment '!H207+'Sustainability Plan'!H207+'Management '!H207)</f>
        <v>0</v>
      </c>
      <c r="I207" s="56">
        <f>SUM(G207:H207)</f>
        <v>0</v>
      </c>
      <c r="J207" s="15"/>
      <c r="K207" s="55">
        <f>SUM('Research Area'!K207+'Research Cyberinfrastructure'!K207+'EA &amp; Seed Funding'!K207+'Partnerships &amp; Collaborations'!K207+'Broadening Participation Divers'!K207+'Education Workforce Development'!K207+'Communications &amp; Disseminations'!K207+'Evaluation and Assessment '!K207+'Sustainability Plan'!K207+'Management '!K207)</f>
        <v>0</v>
      </c>
      <c r="L207" s="56">
        <f>SUM('Research Area'!L207+'Research Cyberinfrastructure'!L207+'EA &amp; Seed Funding'!L207+'Partnerships &amp; Collaborations'!L207+'Broadening Participation Divers'!L207+'Education Workforce Development'!L207+'Communications &amp; Disseminations'!L207+'Evaluation and Assessment '!L207+'Sustainability Plan'!L207+'Management '!L207)</f>
        <v>0</v>
      </c>
      <c r="M207" s="56">
        <f>SUM(K207:L207)</f>
        <v>0</v>
      </c>
      <c r="N207" s="15"/>
      <c r="O207" s="55">
        <f>SUM('Research Area'!O207+'Research Cyberinfrastructure'!O207+'EA &amp; Seed Funding'!O207+'Partnerships &amp; Collaborations'!O207+'Broadening Participation Divers'!O207+'Education Workforce Development'!O207+'Communications &amp; Disseminations'!O207+'Evaluation and Assessment '!O207+'Sustainability Plan'!O207+'Management '!O207)</f>
        <v>0</v>
      </c>
      <c r="P207" s="56">
        <f>SUM('Research Area'!P207+'Research Cyberinfrastructure'!P207+'EA &amp; Seed Funding'!P207+'Partnerships &amp; Collaborations'!P207+'Broadening Participation Divers'!P207+'Education Workforce Development'!P207+'Communications &amp; Disseminations'!P207+'Evaluation and Assessment '!P207+'Sustainability Plan'!P207+'Management '!P207)</f>
        <v>0</v>
      </c>
      <c r="Q207" s="56">
        <f>SUM(O207:P207)</f>
        <v>0</v>
      </c>
      <c r="R207" s="15"/>
      <c r="S207" s="55">
        <f>SUM('Research Area'!S207+'Research Cyberinfrastructure'!S207+'EA &amp; Seed Funding'!S207+'Partnerships &amp; Collaborations'!S207+'Broadening Participation Divers'!S207+'Education Workforce Development'!S207+'Communications &amp; Disseminations'!S207+'Evaluation and Assessment '!S207+'Sustainability Plan'!S207+'Management '!S207)</f>
        <v>0</v>
      </c>
      <c r="T207" s="56">
        <f>SUM('Research Area'!T207+'Research Cyberinfrastructure'!T207+'EA &amp; Seed Funding'!T207+'Partnerships &amp; Collaborations'!T207+'Broadening Participation Divers'!T207+'Education Workforce Development'!T207+'Communications &amp; Disseminations'!T207+'Evaluation and Assessment '!T207+'Sustainability Plan'!T207+'Management '!T207)</f>
        <v>0</v>
      </c>
      <c r="U207" s="56">
        <f>SUM(S207:T207)</f>
        <v>0</v>
      </c>
      <c r="V207" s="16"/>
      <c r="W207" s="55">
        <f>SUM('Research Area'!W207+'Research Cyberinfrastructure'!W207+'EA &amp; Seed Funding'!W207+'Partnerships &amp; Collaborations'!W207+'Broadening Participation Divers'!W207+'Education Workforce Development'!W207+'Communications &amp; Disseminations'!W207+'Evaluation and Assessment '!W207+'Sustainability Plan'!W207+'Management '!W207)</f>
        <v>0</v>
      </c>
      <c r="X207" s="56">
        <f>SUM('Research Area'!X207+'Research Cyberinfrastructure'!X207+'EA &amp; Seed Funding'!X207+'Partnerships &amp; Collaborations'!X207+'Broadening Participation Divers'!X207+'Education Workforce Development'!X207+'Communications &amp; Disseminations'!X207+'Evaluation and Assessment '!X207+'Sustainability Plan'!X207+'Management '!X207)</f>
        <v>0</v>
      </c>
      <c r="Y207" s="56">
        <f>SUM(W207:X207)</f>
        <v>0</v>
      </c>
    </row>
    <row r="208" spans="1:77" x14ac:dyDescent="0.25">
      <c r="A208" s="17"/>
      <c r="B208" s="17"/>
      <c r="C208" s="124">
        <f>SUM('Research Area'!C208+'Research Cyberinfrastructure'!C208+'EA &amp; Seed Funding'!C208+'Partnerships &amp; Collaborations'!C208+'Broadening Participation Divers'!C208+'Education Workforce Development'!C208+'Communications &amp; Disseminations'!C208+'Evaluation and Assessment '!C208+'Sustainability Plan'!C208+'Management '!C208)</f>
        <v>0</v>
      </c>
      <c r="D208" s="56">
        <f>SUM('Research Area'!D208+'Research Cyberinfrastructure'!D208+'EA &amp; Seed Funding'!D208+'Partnerships &amp; Collaborations'!D208+'Broadening Participation Divers'!D208+'Education Workforce Development'!D208+'Communications &amp; Disseminations'!D208+'Evaluation and Assessment '!D208+'Sustainability Plan'!D208+'Management '!D208)</f>
        <v>0</v>
      </c>
      <c r="E208" s="56">
        <f t="shared" ref="E208:E216" si="109">SUM(C208:D208)</f>
        <v>0</v>
      </c>
      <c r="F208" s="15"/>
      <c r="G208" s="55">
        <f>SUM('Research Area'!G208+'Research Cyberinfrastructure'!G208+'EA &amp; Seed Funding'!G208+'Partnerships &amp; Collaborations'!G208+'Broadening Participation Divers'!G208+'Education Workforce Development'!G208+'Communications &amp; Disseminations'!G208+'Evaluation and Assessment '!G208+'Sustainability Plan'!G208+'Management '!G208)</f>
        <v>12000</v>
      </c>
      <c r="H208" s="56">
        <f>SUM('Research Area'!H208+'Research Cyberinfrastructure'!H208+'EA &amp; Seed Funding'!H208+'Partnerships &amp; Collaborations'!H208+'Broadening Participation Divers'!H208+'Education Workforce Development'!H208+'Communications &amp; Disseminations'!H208+'Evaluation and Assessment '!H208+'Sustainability Plan'!H208+'Management '!H208)</f>
        <v>0</v>
      </c>
      <c r="I208" s="56">
        <f t="shared" ref="I208:I216" si="110">SUM(G208:H208)</f>
        <v>12000</v>
      </c>
      <c r="J208" s="15"/>
      <c r="K208" s="55">
        <f>SUM('Research Area'!K208+'Research Cyberinfrastructure'!K208+'EA &amp; Seed Funding'!K208+'Partnerships &amp; Collaborations'!K208+'Broadening Participation Divers'!K208+'Education Workforce Development'!K208+'Communications &amp; Disseminations'!K208+'Evaluation and Assessment '!K208+'Sustainability Plan'!K208+'Management '!K208)</f>
        <v>0</v>
      </c>
      <c r="L208" s="56">
        <f>SUM('Research Area'!L208+'Research Cyberinfrastructure'!L208+'EA &amp; Seed Funding'!L208+'Partnerships &amp; Collaborations'!L208+'Broadening Participation Divers'!L208+'Education Workforce Development'!L208+'Communications &amp; Disseminations'!L208+'Evaluation and Assessment '!L208+'Sustainability Plan'!L208+'Management '!L208)</f>
        <v>0</v>
      </c>
      <c r="M208" s="56">
        <f t="shared" ref="M208:M216" si="111">SUM(K208:L208)</f>
        <v>0</v>
      </c>
      <c r="N208" s="15"/>
      <c r="O208" s="55">
        <f>SUM('Research Area'!O208+'Research Cyberinfrastructure'!O208+'EA &amp; Seed Funding'!O208+'Partnerships &amp; Collaborations'!O208+'Broadening Participation Divers'!O208+'Education Workforce Development'!O208+'Communications &amp; Disseminations'!O208+'Evaluation and Assessment '!O208+'Sustainability Plan'!O208+'Management '!O208)</f>
        <v>0</v>
      </c>
      <c r="P208" s="56">
        <f>SUM('Research Area'!P208+'Research Cyberinfrastructure'!P208+'EA &amp; Seed Funding'!P208+'Partnerships &amp; Collaborations'!P208+'Broadening Participation Divers'!P208+'Education Workforce Development'!P208+'Communications &amp; Disseminations'!P208+'Evaluation and Assessment '!P208+'Sustainability Plan'!P208+'Management '!P208)</f>
        <v>0</v>
      </c>
      <c r="Q208" s="56">
        <f t="shared" ref="Q208:Q216" si="112">SUM(O208:P208)</f>
        <v>0</v>
      </c>
      <c r="R208" s="15"/>
      <c r="S208" s="55">
        <f>SUM('Research Area'!S208+'Research Cyberinfrastructure'!S208+'EA &amp; Seed Funding'!S208+'Partnerships &amp; Collaborations'!S208+'Broadening Participation Divers'!S208+'Education Workforce Development'!S208+'Communications &amp; Disseminations'!S208+'Evaluation and Assessment '!S208+'Sustainability Plan'!S208+'Management '!S208)</f>
        <v>0</v>
      </c>
      <c r="T208" s="56">
        <f>SUM('Research Area'!T208+'Research Cyberinfrastructure'!T208+'EA &amp; Seed Funding'!T208+'Partnerships &amp; Collaborations'!T208+'Broadening Participation Divers'!T208+'Education Workforce Development'!T208+'Communications &amp; Disseminations'!T208+'Evaluation and Assessment '!T208+'Sustainability Plan'!T208+'Management '!T208)</f>
        <v>0</v>
      </c>
      <c r="U208" s="56">
        <f t="shared" ref="U208:U216" si="113">SUM(S208:T208)</f>
        <v>0</v>
      </c>
      <c r="V208" s="16"/>
      <c r="W208" s="55">
        <f>SUM('Research Area'!W208+'Research Cyberinfrastructure'!W208+'EA &amp; Seed Funding'!W208+'Partnerships &amp; Collaborations'!W208+'Broadening Participation Divers'!W208+'Education Workforce Development'!W208+'Communications &amp; Disseminations'!W208+'Evaluation and Assessment '!W208+'Sustainability Plan'!W208+'Management '!W208)</f>
        <v>12000</v>
      </c>
      <c r="X208" s="56">
        <f>SUM('Research Area'!X208+'Research Cyberinfrastructure'!X208+'EA &amp; Seed Funding'!X208+'Partnerships &amp; Collaborations'!X208+'Broadening Participation Divers'!X208+'Education Workforce Development'!X208+'Communications &amp; Disseminations'!X208+'Evaluation and Assessment '!X208+'Sustainability Plan'!X208+'Management '!X208)</f>
        <v>0</v>
      </c>
      <c r="Y208" s="56">
        <f t="shared" ref="Y208:Y216" si="114">SUM(W208:X208)</f>
        <v>12000</v>
      </c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</row>
    <row r="209" spans="1:77" x14ac:dyDescent="0.25">
      <c r="A209" s="17"/>
      <c r="B209" s="17"/>
      <c r="C209" s="124">
        <f>SUM('Research Area'!C209+'Research Cyberinfrastructure'!C209+'EA &amp; Seed Funding'!C209+'Partnerships &amp; Collaborations'!C209+'Broadening Participation Divers'!C209+'Education Workforce Development'!C209+'Communications &amp; Disseminations'!C209+'Evaluation and Assessment '!C209+'Sustainability Plan'!C209+'Management '!C209)</f>
        <v>0</v>
      </c>
      <c r="D209" s="56">
        <f>SUM('Research Area'!D209+'Research Cyberinfrastructure'!D209+'EA &amp; Seed Funding'!D209+'Partnerships &amp; Collaborations'!D209+'Broadening Participation Divers'!D209+'Education Workforce Development'!D209+'Communications &amp; Disseminations'!D209+'Evaluation and Assessment '!D209+'Sustainability Plan'!D209+'Management '!D209)</f>
        <v>0</v>
      </c>
      <c r="E209" s="56">
        <f t="shared" si="109"/>
        <v>0</v>
      </c>
      <c r="F209" s="15"/>
      <c r="G209" s="55">
        <f>SUM('Research Area'!G209+'Research Cyberinfrastructure'!G209+'EA &amp; Seed Funding'!G209+'Partnerships &amp; Collaborations'!G209+'Broadening Participation Divers'!G209+'Education Workforce Development'!G209+'Communications &amp; Disseminations'!G209+'Evaluation and Assessment '!G209+'Sustainability Plan'!G209+'Management '!G209)</f>
        <v>0</v>
      </c>
      <c r="H209" s="56">
        <f>SUM('Research Area'!H209+'Research Cyberinfrastructure'!H209+'EA &amp; Seed Funding'!H209+'Partnerships &amp; Collaborations'!H209+'Broadening Participation Divers'!H209+'Education Workforce Development'!H209+'Communications &amp; Disseminations'!H209+'Evaluation and Assessment '!H209+'Sustainability Plan'!H209+'Management '!H209)</f>
        <v>0</v>
      </c>
      <c r="I209" s="56">
        <f t="shared" si="110"/>
        <v>0</v>
      </c>
      <c r="J209" s="15"/>
      <c r="K209" s="55">
        <f>SUM('Research Area'!K209+'Research Cyberinfrastructure'!K209+'EA &amp; Seed Funding'!K209+'Partnerships &amp; Collaborations'!K209+'Broadening Participation Divers'!K209+'Education Workforce Development'!K209+'Communications &amp; Disseminations'!K209+'Evaluation and Assessment '!K209+'Sustainability Plan'!K209+'Management '!K209)</f>
        <v>0</v>
      </c>
      <c r="L209" s="56">
        <f>SUM('Research Area'!L209+'Research Cyberinfrastructure'!L209+'EA &amp; Seed Funding'!L209+'Partnerships &amp; Collaborations'!L209+'Broadening Participation Divers'!L209+'Education Workforce Development'!L209+'Communications &amp; Disseminations'!L209+'Evaluation and Assessment '!L209+'Sustainability Plan'!L209+'Management '!L209)</f>
        <v>0</v>
      </c>
      <c r="M209" s="56">
        <f t="shared" si="111"/>
        <v>0</v>
      </c>
      <c r="N209" s="15"/>
      <c r="O209" s="55">
        <f>SUM('Research Area'!O209+'Research Cyberinfrastructure'!O209+'EA &amp; Seed Funding'!O209+'Partnerships &amp; Collaborations'!O209+'Broadening Participation Divers'!O209+'Education Workforce Development'!O209+'Communications &amp; Disseminations'!O209+'Evaluation and Assessment '!O209+'Sustainability Plan'!O209+'Management '!O209)</f>
        <v>0</v>
      </c>
      <c r="P209" s="56">
        <f>SUM('Research Area'!P209+'Research Cyberinfrastructure'!P209+'EA &amp; Seed Funding'!P209+'Partnerships &amp; Collaborations'!P209+'Broadening Participation Divers'!P209+'Education Workforce Development'!P209+'Communications &amp; Disseminations'!P209+'Evaluation and Assessment '!P209+'Sustainability Plan'!P209+'Management '!P209)</f>
        <v>0</v>
      </c>
      <c r="Q209" s="56">
        <f t="shared" si="112"/>
        <v>0</v>
      </c>
      <c r="R209" s="15"/>
      <c r="S209" s="55">
        <f>SUM('Research Area'!S209+'Research Cyberinfrastructure'!S209+'EA &amp; Seed Funding'!S209+'Partnerships &amp; Collaborations'!S209+'Broadening Participation Divers'!S209+'Education Workforce Development'!S209+'Communications &amp; Disseminations'!S209+'Evaluation and Assessment '!S209+'Sustainability Plan'!S209+'Management '!S209)</f>
        <v>0</v>
      </c>
      <c r="T209" s="56">
        <f>SUM('Research Area'!T209+'Research Cyberinfrastructure'!T209+'EA &amp; Seed Funding'!T209+'Partnerships &amp; Collaborations'!T209+'Broadening Participation Divers'!T209+'Education Workforce Development'!T209+'Communications &amp; Disseminations'!T209+'Evaluation and Assessment '!T209+'Sustainability Plan'!T209+'Management '!T209)</f>
        <v>0</v>
      </c>
      <c r="U209" s="56">
        <f t="shared" si="113"/>
        <v>0</v>
      </c>
      <c r="V209" s="16"/>
      <c r="W209" s="55">
        <f>SUM('Research Area'!W209+'Research Cyberinfrastructure'!W209+'EA &amp; Seed Funding'!W209+'Partnerships &amp; Collaborations'!W209+'Broadening Participation Divers'!W209+'Education Workforce Development'!W209+'Communications &amp; Disseminations'!W209+'Evaluation and Assessment '!W209+'Sustainability Plan'!W209+'Management '!W209)</f>
        <v>0</v>
      </c>
      <c r="X209" s="56">
        <f>SUM('Research Area'!X209+'Research Cyberinfrastructure'!X209+'EA &amp; Seed Funding'!X209+'Partnerships &amp; Collaborations'!X209+'Broadening Participation Divers'!X209+'Education Workforce Development'!X209+'Communications &amp; Disseminations'!X209+'Evaluation and Assessment '!X209+'Sustainability Plan'!X209+'Management '!X209)</f>
        <v>0</v>
      </c>
      <c r="Y209" s="56">
        <f t="shared" si="114"/>
        <v>0</v>
      </c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</row>
    <row r="210" spans="1:77" x14ac:dyDescent="0.25">
      <c r="A210" s="17"/>
      <c r="B210" s="17"/>
      <c r="C210" s="124">
        <f>SUM('Research Area'!C210+'Research Cyberinfrastructure'!C210+'EA &amp; Seed Funding'!C210+'Partnerships &amp; Collaborations'!C210+'Broadening Participation Divers'!C210+'Education Workforce Development'!C210+'Communications &amp; Disseminations'!C210+'Evaluation and Assessment '!C210+'Sustainability Plan'!C210+'Management '!C210)</f>
        <v>0</v>
      </c>
      <c r="D210" s="56">
        <f>SUM('Research Area'!D210+'Research Cyberinfrastructure'!D210+'EA &amp; Seed Funding'!D210+'Partnerships &amp; Collaborations'!D210+'Broadening Participation Divers'!D210+'Education Workforce Development'!D210+'Communications &amp; Disseminations'!D210+'Evaluation and Assessment '!D210+'Sustainability Plan'!D210+'Management '!D210)</f>
        <v>0</v>
      </c>
      <c r="E210" s="56">
        <f t="shared" si="109"/>
        <v>0</v>
      </c>
      <c r="F210" s="15"/>
      <c r="G210" s="55">
        <f>SUM('Research Area'!G210+'Research Cyberinfrastructure'!G210+'EA &amp; Seed Funding'!G210+'Partnerships &amp; Collaborations'!G210+'Broadening Participation Divers'!G210+'Education Workforce Development'!G210+'Communications &amp; Disseminations'!G210+'Evaluation and Assessment '!G210+'Sustainability Plan'!G210+'Management '!G210)</f>
        <v>0</v>
      </c>
      <c r="H210" s="56">
        <f>SUM('Research Area'!H210+'Research Cyberinfrastructure'!H210+'EA &amp; Seed Funding'!H210+'Partnerships &amp; Collaborations'!H210+'Broadening Participation Divers'!H210+'Education Workforce Development'!H210+'Communications &amp; Disseminations'!H210+'Evaluation and Assessment '!H210+'Sustainability Plan'!H210+'Management '!H210)</f>
        <v>0</v>
      </c>
      <c r="I210" s="56">
        <f t="shared" si="110"/>
        <v>0</v>
      </c>
      <c r="J210" s="15"/>
      <c r="K210" s="55">
        <f>SUM('Research Area'!K210+'Research Cyberinfrastructure'!K210+'EA &amp; Seed Funding'!K210+'Partnerships &amp; Collaborations'!K210+'Broadening Participation Divers'!K210+'Education Workforce Development'!K210+'Communications &amp; Disseminations'!K210+'Evaluation and Assessment '!K210+'Sustainability Plan'!K210+'Management '!K210)</f>
        <v>0</v>
      </c>
      <c r="L210" s="56">
        <f>SUM('Research Area'!L210+'Research Cyberinfrastructure'!L210+'EA &amp; Seed Funding'!L210+'Partnerships &amp; Collaborations'!L210+'Broadening Participation Divers'!L210+'Education Workforce Development'!L210+'Communications &amp; Disseminations'!L210+'Evaluation and Assessment '!L210+'Sustainability Plan'!L210+'Management '!L210)</f>
        <v>0</v>
      </c>
      <c r="M210" s="56">
        <f t="shared" si="111"/>
        <v>0</v>
      </c>
      <c r="N210" s="15"/>
      <c r="O210" s="55">
        <f>SUM('Research Area'!O210+'Research Cyberinfrastructure'!O210+'EA &amp; Seed Funding'!O210+'Partnerships &amp; Collaborations'!O210+'Broadening Participation Divers'!O210+'Education Workforce Development'!O210+'Communications &amp; Disseminations'!O210+'Evaluation and Assessment '!O210+'Sustainability Plan'!O210+'Management '!O210)</f>
        <v>0</v>
      </c>
      <c r="P210" s="56">
        <f>SUM('Research Area'!P210+'Research Cyberinfrastructure'!P210+'EA &amp; Seed Funding'!P210+'Partnerships &amp; Collaborations'!P210+'Broadening Participation Divers'!P210+'Education Workforce Development'!P210+'Communications &amp; Disseminations'!P210+'Evaluation and Assessment '!P210+'Sustainability Plan'!P210+'Management '!P210)</f>
        <v>0</v>
      </c>
      <c r="Q210" s="56">
        <f t="shared" si="112"/>
        <v>0</v>
      </c>
      <c r="R210" s="15"/>
      <c r="S210" s="55">
        <f>SUM('Research Area'!S210+'Research Cyberinfrastructure'!S210+'EA &amp; Seed Funding'!S210+'Partnerships &amp; Collaborations'!S210+'Broadening Participation Divers'!S210+'Education Workforce Development'!S210+'Communications &amp; Disseminations'!S210+'Evaluation and Assessment '!S210+'Sustainability Plan'!S210+'Management '!S210)</f>
        <v>0</v>
      </c>
      <c r="T210" s="56">
        <f>SUM('Research Area'!T210+'Research Cyberinfrastructure'!T210+'EA &amp; Seed Funding'!T210+'Partnerships &amp; Collaborations'!T210+'Broadening Participation Divers'!T210+'Education Workforce Development'!T210+'Communications &amp; Disseminations'!T210+'Evaluation and Assessment '!T210+'Sustainability Plan'!T210+'Management '!T210)</f>
        <v>0</v>
      </c>
      <c r="U210" s="56">
        <f t="shared" si="113"/>
        <v>0</v>
      </c>
      <c r="V210" s="16"/>
      <c r="W210" s="55">
        <f>SUM('Research Area'!W210+'Research Cyberinfrastructure'!W210+'EA &amp; Seed Funding'!W210+'Partnerships &amp; Collaborations'!W210+'Broadening Participation Divers'!W210+'Education Workforce Development'!W210+'Communications &amp; Disseminations'!W210+'Evaluation and Assessment '!W210+'Sustainability Plan'!W210+'Management '!W210)</f>
        <v>0</v>
      </c>
      <c r="X210" s="56">
        <f>SUM('Research Area'!X210+'Research Cyberinfrastructure'!X210+'EA &amp; Seed Funding'!X210+'Partnerships &amp; Collaborations'!X210+'Broadening Participation Divers'!X210+'Education Workforce Development'!X210+'Communications &amp; Disseminations'!X210+'Evaluation and Assessment '!X210+'Sustainability Plan'!X210+'Management '!X210)</f>
        <v>0</v>
      </c>
      <c r="Y210" s="56">
        <f t="shared" si="114"/>
        <v>0</v>
      </c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</row>
    <row r="211" spans="1:77" x14ac:dyDescent="0.25">
      <c r="A211" s="17"/>
      <c r="B211" s="17"/>
      <c r="C211" s="124">
        <f>SUM('Research Area'!C211+'Research Cyberinfrastructure'!C211+'EA &amp; Seed Funding'!C211+'Partnerships &amp; Collaborations'!C211+'Broadening Participation Divers'!C211+'Education Workforce Development'!C211+'Communications &amp; Disseminations'!C211+'Evaluation and Assessment '!C211+'Sustainability Plan'!C211+'Management '!C211)</f>
        <v>0</v>
      </c>
      <c r="D211" s="56">
        <f>SUM('Research Area'!D211+'Research Cyberinfrastructure'!D211+'EA &amp; Seed Funding'!D211+'Partnerships &amp; Collaborations'!D211+'Broadening Participation Divers'!D211+'Education Workforce Development'!D211+'Communications &amp; Disseminations'!D211+'Evaluation and Assessment '!D211+'Sustainability Plan'!D211+'Management '!D211)</f>
        <v>0</v>
      </c>
      <c r="E211" s="56">
        <f t="shared" si="109"/>
        <v>0</v>
      </c>
      <c r="F211" s="15"/>
      <c r="G211" s="55">
        <f>SUM('Research Area'!G211+'Research Cyberinfrastructure'!G211+'EA &amp; Seed Funding'!G211+'Partnerships &amp; Collaborations'!G211+'Broadening Participation Divers'!G211+'Education Workforce Development'!G211+'Communications &amp; Disseminations'!G211+'Evaluation and Assessment '!G211+'Sustainability Plan'!G211+'Management '!G211)</f>
        <v>0</v>
      </c>
      <c r="H211" s="56">
        <f>SUM('Research Area'!H211+'Research Cyberinfrastructure'!H211+'EA &amp; Seed Funding'!H211+'Partnerships &amp; Collaborations'!H211+'Broadening Participation Divers'!H211+'Education Workforce Development'!H211+'Communications &amp; Disseminations'!H211+'Evaluation and Assessment '!H211+'Sustainability Plan'!H211+'Management '!H211)</f>
        <v>0</v>
      </c>
      <c r="I211" s="56">
        <f t="shared" si="110"/>
        <v>0</v>
      </c>
      <c r="J211" s="15"/>
      <c r="K211" s="55">
        <f>SUM('Research Area'!K211+'Research Cyberinfrastructure'!K211+'EA &amp; Seed Funding'!K211+'Partnerships &amp; Collaborations'!K211+'Broadening Participation Divers'!K211+'Education Workforce Development'!K211+'Communications &amp; Disseminations'!K211+'Evaluation and Assessment '!K211+'Sustainability Plan'!K211+'Management '!K211)</f>
        <v>0</v>
      </c>
      <c r="L211" s="56">
        <f>SUM('Research Area'!L211+'Research Cyberinfrastructure'!L211+'EA &amp; Seed Funding'!L211+'Partnerships &amp; Collaborations'!L211+'Broadening Participation Divers'!L211+'Education Workforce Development'!L211+'Communications &amp; Disseminations'!L211+'Evaluation and Assessment '!L211+'Sustainability Plan'!L211+'Management '!L211)</f>
        <v>0</v>
      </c>
      <c r="M211" s="56">
        <f t="shared" si="111"/>
        <v>0</v>
      </c>
      <c r="N211" s="15"/>
      <c r="O211" s="55">
        <f>SUM('Research Area'!O211+'Research Cyberinfrastructure'!O211+'EA &amp; Seed Funding'!O211+'Partnerships &amp; Collaborations'!O211+'Broadening Participation Divers'!O211+'Education Workforce Development'!O211+'Communications &amp; Disseminations'!O211+'Evaluation and Assessment '!O211+'Sustainability Plan'!O211+'Management '!O211)</f>
        <v>0</v>
      </c>
      <c r="P211" s="56">
        <f>SUM('Research Area'!P211+'Research Cyberinfrastructure'!P211+'EA &amp; Seed Funding'!P211+'Partnerships &amp; Collaborations'!P211+'Broadening Participation Divers'!P211+'Education Workforce Development'!P211+'Communications &amp; Disseminations'!P211+'Evaluation and Assessment '!P211+'Sustainability Plan'!P211+'Management '!P211)</f>
        <v>0</v>
      </c>
      <c r="Q211" s="56">
        <f t="shared" si="112"/>
        <v>0</v>
      </c>
      <c r="R211" s="15"/>
      <c r="S211" s="55">
        <f>SUM('Research Area'!S211+'Research Cyberinfrastructure'!S211+'EA &amp; Seed Funding'!S211+'Partnerships &amp; Collaborations'!S211+'Broadening Participation Divers'!S211+'Education Workforce Development'!S211+'Communications &amp; Disseminations'!S211+'Evaluation and Assessment '!S211+'Sustainability Plan'!S211+'Management '!S211)</f>
        <v>0</v>
      </c>
      <c r="T211" s="56">
        <f>SUM('Research Area'!T211+'Research Cyberinfrastructure'!T211+'EA &amp; Seed Funding'!T211+'Partnerships &amp; Collaborations'!T211+'Broadening Participation Divers'!T211+'Education Workforce Development'!T211+'Communications &amp; Disseminations'!T211+'Evaluation and Assessment '!T211+'Sustainability Plan'!T211+'Management '!T211)</f>
        <v>0</v>
      </c>
      <c r="U211" s="56">
        <f t="shared" si="113"/>
        <v>0</v>
      </c>
      <c r="V211" s="16"/>
      <c r="W211" s="55">
        <f>SUM('Research Area'!W211+'Research Cyberinfrastructure'!W211+'EA &amp; Seed Funding'!W211+'Partnerships &amp; Collaborations'!W211+'Broadening Participation Divers'!W211+'Education Workforce Development'!W211+'Communications &amp; Disseminations'!W211+'Evaluation and Assessment '!W211+'Sustainability Plan'!W211+'Management '!W211)</f>
        <v>0</v>
      </c>
      <c r="X211" s="56">
        <f>SUM('Research Area'!X211+'Research Cyberinfrastructure'!X211+'EA &amp; Seed Funding'!X211+'Partnerships &amp; Collaborations'!X211+'Broadening Participation Divers'!X211+'Education Workforce Development'!X211+'Communications &amp; Disseminations'!X211+'Evaluation and Assessment '!X211+'Sustainability Plan'!X211+'Management '!X211)</f>
        <v>0</v>
      </c>
      <c r="Y211" s="56">
        <f t="shared" si="114"/>
        <v>0</v>
      </c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</row>
    <row r="212" spans="1:77" x14ac:dyDescent="0.25">
      <c r="A212" s="17"/>
      <c r="B212" s="17"/>
      <c r="C212" s="124">
        <f>SUM('Research Area'!C212+'Research Cyberinfrastructure'!C212+'EA &amp; Seed Funding'!C212+'Partnerships &amp; Collaborations'!C212+'Broadening Participation Divers'!C212+'Education Workforce Development'!C212+'Communications &amp; Disseminations'!C212+'Evaluation and Assessment '!C212+'Sustainability Plan'!C212+'Management '!C212)</f>
        <v>0</v>
      </c>
      <c r="D212" s="56">
        <f>SUM('Research Area'!D212+'Research Cyberinfrastructure'!D212+'EA &amp; Seed Funding'!D212+'Partnerships &amp; Collaborations'!D212+'Broadening Participation Divers'!D212+'Education Workforce Development'!D212+'Communications &amp; Disseminations'!D212+'Evaluation and Assessment '!D212+'Sustainability Plan'!D212+'Management '!D212)</f>
        <v>0</v>
      </c>
      <c r="E212" s="56">
        <f t="shared" si="109"/>
        <v>0</v>
      </c>
      <c r="F212" s="15"/>
      <c r="G212" s="55">
        <f>SUM('Research Area'!G212+'Research Cyberinfrastructure'!G212+'EA &amp; Seed Funding'!G212+'Partnerships &amp; Collaborations'!G212+'Broadening Participation Divers'!G212+'Education Workforce Development'!G212+'Communications &amp; Disseminations'!G212+'Evaluation and Assessment '!G212+'Sustainability Plan'!G212+'Management '!G212)</f>
        <v>0</v>
      </c>
      <c r="H212" s="56">
        <f>SUM('Research Area'!H212+'Research Cyberinfrastructure'!H212+'EA &amp; Seed Funding'!H212+'Partnerships &amp; Collaborations'!H212+'Broadening Participation Divers'!H212+'Education Workforce Development'!H212+'Communications &amp; Disseminations'!H212+'Evaluation and Assessment '!H212+'Sustainability Plan'!H212+'Management '!H212)</f>
        <v>0</v>
      </c>
      <c r="I212" s="56">
        <f t="shared" si="110"/>
        <v>0</v>
      </c>
      <c r="J212" s="15"/>
      <c r="K212" s="55">
        <f>SUM('Research Area'!K212+'Research Cyberinfrastructure'!K212+'EA &amp; Seed Funding'!K212+'Partnerships &amp; Collaborations'!K212+'Broadening Participation Divers'!K212+'Education Workforce Development'!K212+'Communications &amp; Disseminations'!K212+'Evaluation and Assessment '!K212+'Sustainability Plan'!K212+'Management '!K212)</f>
        <v>0</v>
      </c>
      <c r="L212" s="56">
        <f>SUM('Research Area'!L212+'Research Cyberinfrastructure'!L212+'EA &amp; Seed Funding'!L212+'Partnerships &amp; Collaborations'!L212+'Broadening Participation Divers'!L212+'Education Workforce Development'!L212+'Communications &amp; Disseminations'!L212+'Evaluation and Assessment '!L212+'Sustainability Plan'!L212+'Management '!L212)</f>
        <v>0</v>
      </c>
      <c r="M212" s="56">
        <f t="shared" si="111"/>
        <v>0</v>
      </c>
      <c r="N212" s="15"/>
      <c r="O212" s="55">
        <f>SUM('Research Area'!O212+'Research Cyberinfrastructure'!O212+'EA &amp; Seed Funding'!O212+'Partnerships &amp; Collaborations'!O212+'Broadening Participation Divers'!O212+'Education Workforce Development'!O212+'Communications &amp; Disseminations'!O212+'Evaluation and Assessment '!O212+'Sustainability Plan'!O212+'Management '!O212)</f>
        <v>0</v>
      </c>
      <c r="P212" s="56">
        <f>SUM('Research Area'!P212+'Research Cyberinfrastructure'!P212+'EA &amp; Seed Funding'!P212+'Partnerships &amp; Collaborations'!P212+'Broadening Participation Divers'!P212+'Education Workforce Development'!P212+'Communications &amp; Disseminations'!P212+'Evaluation and Assessment '!P212+'Sustainability Plan'!P212+'Management '!P212)</f>
        <v>0</v>
      </c>
      <c r="Q212" s="56">
        <f t="shared" si="112"/>
        <v>0</v>
      </c>
      <c r="R212" s="15"/>
      <c r="S212" s="55">
        <f>SUM('Research Area'!S212+'Research Cyberinfrastructure'!S212+'EA &amp; Seed Funding'!S212+'Partnerships &amp; Collaborations'!S212+'Broadening Participation Divers'!S212+'Education Workforce Development'!S212+'Communications &amp; Disseminations'!S212+'Evaluation and Assessment '!S212+'Sustainability Plan'!S212+'Management '!S212)</f>
        <v>0</v>
      </c>
      <c r="T212" s="56">
        <f>SUM('Research Area'!T212+'Research Cyberinfrastructure'!T212+'EA &amp; Seed Funding'!T212+'Partnerships &amp; Collaborations'!T212+'Broadening Participation Divers'!T212+'Education Workforce Development'!T212+'Communications &amp; Disseminations'!T212+'Evaluation and Assessment '!T212+'Sustainability Plan'!T212+'Management '!T212)</f>
        <v>0</v>
      </c>
      <c r="U212" s="56">
        <f t="shared" si="113"/>
        <v>0</v>
      </c>
      <c r="V212" s="16"/>
      <c r="W212" s="55">
        <f>SUM('Research Area'!W212+'Research Cyberinfrastructure'!W212+'EA &amp; Seed Funding'!W212+'Partnerships &amp; Collaborations'!W212+'Broadening Participation Divers'!W212+'Education Workforce Development'!W212+'Communications &amp; Disseminations'!W212+'Evaluation and Assessment '!W212+'Sustainability Plan'!W212+'Management '!W212)</f>
        <v>0</v>
      </c>
      <c r="X212" s="56">
        <f>SUM('Research Area'!X212+'Research Cyberinfrastructure'!X212+'EA &amp; Seed Funding'!X212+'Partnerships &amp; Collaborations'!X212+'Broadening Participation Divers'!X212+'Education Workforce Development'!X212+'Communications &amp; Disseminations'!X212+'Evaluation and Assessment '!X212+'Sustainability Plan'!X212+'Management '!X212)</f>
        <v>0</v>
      </c>
      <c r="Y212" s="56">
        <f t="shared" si="114"/>
        <v>0</v>
      </c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</row>
    <row r="213" spans="1:77" x14ac:dyDescent="0.25">
      <c r="A213" s="17"/>
      <c r="B213" s="17"/>
      <c r="C213" s="124">
        <f>SUM('Research Area'!C213+'Research Cyberinfrastructure'!C213+'EA &amp; Seed Funding'!C213+'Partnerships &amp; Collaborations'!C213+'Broadening Participation Divers'!C213+'Education Workforce Development'!C213+'Communications &amp; Disseminations'!C213+'Evaluation and Assessment '!C213+'Sustainability Plan'!C213+'Management '!C213)</f>
        <v>0</v>
      </c>
      <c r="D213" s="56">
        <f>SUM('Research Area'!D213+'Research Cyberinfrastructure'!D213+'EA &amp; Seed Funding'!D213+'Partnerships &amp; Collaborations'!D213+'Broadening Participation Divers'!D213+'Education Workforce Development'!D213+'Communications &amp; Disseminations'!D213+'Evaluation and Assessment '!D213+'Sustainability Plan'!D213+'Management '!D213)</f>
        <v>0</v>
      </c>
      <c r="E213" s="56">
        <f t="shared" si="109"/>
        <v>0</v>
      </c>
      <c r="F213" s="15"/>
      <c r="G213" s="55">
        <f>SUM('Research Area'!G213+'Research Cyberinfrastructure'!G213+'EA &amp; Seed Funding'!G213+'Partnerships &amp; Collaborations'!G213+'Broadening Participation Divers'!G213+'Education Workforce Development'!G213+'Communications &amp; Disseminations'!G213+'Evaluation and Assessment '!G213+'Sustainability Plan'!G213+'Management '!G213)</f>
        <v>0</v>
      </c>
      <c r="H213" s="56">
        <f>SUM('Research Area'!H213+'Research Cyberinfrastructure'!H213+'EA &amp; Seed Funding'!H213+'Partnerships &amp; Collaborations'!H213+'Broadening Participation Divers'!H213+'Education Workforce Development'!H213+'Communications &amp; Disseminations'!H213+'Evaluation and Assessment '!H213+'Sustainability Plan'!H213+'Management '!H213)</f>
        <v>0</v>
      </c>
      <c r="I213" s="56">
        <f t="shared" si="110"/>
        <v>0</v>
      </c>
      <c r="J213" s="15"/>
      <c r="K213" s="55">
        <f>SUM('Research Area'!K213+'Research Cyberinfrastructure'!K213+'EA &amp; Seed Funding'!K213+'Partnerships &amp; Collaborations'!K213+'Broadening Participation Divers'!K213+'Education Workforce Development'!K213+'Communications &amp; Disseminations'!K213+'Evaluation and Assessment '!K213+'Sustainability Plan'!K213+'Management '!K213)</f>
        <v>0</v>
      </c>
      <c r="L213" s="56">
        <f>SUM('Research Area'!L213+'Research Cyberinfrastructure'!L213+'EA &amp; Seed Funding'!L213+'Partnerships &amp; Collaborations'!L213+'Broadening Participation Divers'!L213+'Education Workforce Development'!L213+'Communications &amp; Disseminations'!L213+'Evaluation and Assessment '!L213+'Sustainability Plan'!L213+'Management '!L213)</f>
        <v>0</v>
      </c>
      <c r="M213" s="56">
        <f t="shared" si="111"/>
        <v>0</v>
      </c>
      <c r="N213" s="15"/>
      <c r="O213" s="55">
        <f>SUM('Research Area'!O213+'Research Cyberinfrastructure'!O213+'EA &amp; Seed Funding'!O213+'Partnerships &amp; Collaborations'!O213+'Broadening Participation Divers'!O213+'Education Workforce Development'!O213+'Communications &amp; Disseminations'!O213+'Evaluation and Assessment '!O213+'Sustainability Plan'!O213+'Management '!O213)</f>
        <v>0</v>
      </c>
      <c r="P213" s="56">
        <f>SUM('Research Area'!P213+'Research Cyberinfrastructure'!P213+'EA &amp; Seed Funding'!P213+'Partnerships &amp; Collaborations'!P213+'Broadening Participation Divers'!P213+'Education Workforce Development'!P213+'Communications &amp; Disseminations'!P213+'Evaluation and Assessment '!P213+'Sustainability Plan'!P213+'Management '!P213)</f>
        <v>0</v>
      </c>
      <c r="Q213" s="56">
        <f t="shared" si="112"/>
        <v>0</v>
      </c>
      <c r="R213" s="15"/>
      <c r="S213" s="55">
        <f>SUM('Research Area'!S213+'Research Cyberinfrastructure'!S213+'EA &amp; Seed Funding'!S213+'Partnerships &amp; Collaborations'!S213+'Broadening Participation Divers'!S213+'Education Workforce Development'!S213+'Communications &amp; Disseminations'!S213+'Evaluation and Assessment '!S213+'Sustainability Plan'!S213+'Management '!S213)</f>
        <v>0</v>
      </c>
      <c r="T213" s="56">
        <f>SUM('Research Area'!T213+'Research Cyberinfrastructure'!T213+'EA &amp; Seed Funding'!T213+'Partnerships &amp; Collaborations'!T213+'Broadening Participation Divers'!T213+'Education Workforce Development'!T213+'Communications &amp; Disseminations'!T213+'Evaluation and Assessment '!T213+'Sustainability Plan'!T213+'Management '!T213)</f>
        <v>0</v>
      </c>
      <c r="U213" s="56">
        <f t="shared" si="113"/>
        <v>0</v>
      </c>
      <c r="V213" s="16"/>
      <c r="W213" s="55">
        <f>SUM('Research Area'!W213+'Research Cyberinfrastructure'!W213+'EA &amp; Seed Funding'!W213+'Partnerships &amp; Collaborations'!W213+'Broadening Participation Divers'!W213+'Education Workforce Development'!W213+'Communications &amp; Disseminations'!W213+'Evaluation and Assessment '!W213+'Sustainability Plan'!W213+'Management '!W213)</f>
        <v>0</v>
      </c>
      <c r="X213" s="56">
        <f>SUM('Research Area'!X213+'Research Cyberinfrastructure'!X213+'EA &amp; Seed Funding'!X213+'Partnerships &amp; Collaborations'!X213+'Broadening Participation Divers'!X213+'Education Workforce Development'!X213+'Communications &amp; Disseminations'!X213+'Evaluation and Assessment '!X213+'Sustainability Plan'!X213+'Management '!X213)</f>
        <v>0</v>
      </c>
      <c r="Y213" s="56">
        <f t="shared" si="114"/>
        <v>0</v>
      </c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</row>
    <row r="214" spans="1:77" x14ac:dyDescent="0.25">
      <c r="A214" s="17"/>
      <c r="B214" s="17"/>
      <c r="C214" s="124">
        <f>SUM('Research Area'!C214+'Research Cyberinfrastructure'!C214+'EA &amp; Seed Funding'!C214+'Partnerships &amp; Collaborations'!C214+'Broadening Participation Divers'!C214+'Education Workforce Development'!C214+'Communications &amp; Disseminations'!C214+'Evaluation and Assessment '!C214+'Sustainability Plan'!C214+'Management '!C214)</f>
        <v>0</v>
      </c>
      <c r="D214" s="56">
        <f>SUM('Research Area'!D214+'Research Cyberinfrastructure'!D214+'EA &amp; Seed Funding'!D214+'Partnerships &amp; Collaborations'!D214+'Broadening Participation Divers'!D214+'Education Workforce Development'!D214+'Communications &amp; Disseminations'!D214+'Evaluation and Assessment '!D214+'Sustainability Plan'!D214+'Management '!D214)</f>
        <v>0</v>
      </c>
      <c r="E214" s="56">
        <f t="shared" si="109"/>
        <v>0</v>
      </c>
      <c r="F214" s="15"/>
      <c r="G214" s="55">
        <f>SUM('Research Area'!G214+'Research Cyberinfrastructure'!G214+'EA &amp; Seed Funding'!G214+'Partnerships &amp; Collaborations'!G214+'Broadening Participation Divers'!G214+'Education Workforce Development'!G214+'Communications &amp; Disseminations'!G214+'Evaluation and Assessment '!G214+'Sustainability Plan'!G214+'Management '!G214)</f>
        <v>0</v>
      </c>
      <c r="H214" s="56">
        <f>SUM('Research Area'!H214+'Research Cyberinfrastructure'!H214+'EA &amp; Seed Funding'!H214+'Partnerships &amp; Collaborations'!H214+'Broadening Participation Divers'!H214+'Education Workforce Development'!H214+'Communications &amp; Disseminations'!H214+'Evaluation and Assessment '!H214+'Sustainability Plan'!H214+'Management '!H214)</f>
        <v>0</v>
      </c>
      <c r="I214" s="56">
        <f t="shared" si="110"/>
        <v>0</v>
      </c>
      <c r="J214" s="15"/>
      <c r="K214" s="55">
        <f>SUM('Research Area'!K214+'Research Cyberinfrastructure'!K214+'EA &amp; Seed Funding'!K214+'Partnerships &amp; Collaborations'!K214+'Broadening Participation Divers'!K214+'Education Workforce Development'!K214+'Communications &amp; Disseminations'!K214+'Evaluation and Assessment '!K214+'Sustainability Plan'!K214+'Management '!K214)</f>
        <v>0</v>
      </c>
      <c r="L214" s="56">
        <f>SUM('Research Area'!L214+'Research Cyberinfrastructure'!L214+'EA &amp; Seed Funding'!L214+'Partnerships &amp; Collaborations'!L214+'Broadening Participation Divers'!L214+'Education Workforce Development'!L214+'Communications &amp; Disseminations'!L214+'Evaluation and Assessment '!L214+'Sustainability Plan'!L214+'Management '!L214)</f>
        <v>0</v>
      </c>
      <c r="M214" s="56">
        <f t="shared" si="111"/>
        <v>0</v>
      </c>
      <c r="N214" s="15"/>
      <c r="O214" s="55">
        <f>SUM('Research Area'!O214+'Research Cyberinfrastructure'!O214+'EA &amp; Seed Funding'!O214+'Partnerships &amp; Collaborations'!O214+'Broadening Participation Divers'!O214+'Education Workforce Development'!O214+'Communications &amp; Disseminations'!O214+'Evaluation and Assessment '!O214+'Sustainability Plan'!O214+'Management '!O214)</f>
        <v>0</v>
      </c>
      <c r="P214" s="56">
        <f>SUM('Research Area'!P214+'Research Cyberinfrastructure'!P214+'EA &amp; Seed Funding'!P214+'Partnerships &amp; Collaborations'!P214+'Broadening Participation Divers'!P214+'Education Workforce Development'!P214+'Communications &amp; Disseminations'!P214+'Evaluation and Assessment '!P214+'Sustainability Plan'!P214+'Management '!P214)</f>
        <v>0</v>
      </c>
      <c r="Q214" s="56">
        <f t="shared" si="112"/>
        <v>0</v>
      </c>
      <c r="R214" s="15"/>
      <c r="S214" s="55">
        <f>SUM('Research Area'!S214+'Research Cyberinfrastructure'!S214+'EA &amp; Seed Funding'!S214+'Partnerships &amp; Collaborations'!S214+'Broadening Participation Divers'!S214+'Education Workforce Development'!S214+'Communications &amp; Disseminations'!S214+'Evaluation and Assessment '!S214+'Sustainability Plan'!S214+'Management '!S214)</f>
        <v>0</v>
      </c>
      <c r="T214" s="56">
        <f>SUM('Research Area'!T214+'Research Cyberinfrastructure'!T214+'EA &amp; Seed Funding'!T214+'Partnerships &amp; Collaborations'!T214+'Broadening Participation Divers'!T214+'Education Workforce Development'!T214+'Communications &amp; Disseminations'!T214+'Evaluation and Assessment '!T214+'Sustainability Plan'!T214+'Management '!T214)</f>
        <v>0</v>
      </c>
      <c r="U214" s="56">
        <f t="shared" si="113"/>
        <v>0</v>
      </c>
      <c r="V214" s="16"/>
      <c r="W214" s="55">
        <f>SUM('Research Area'!W214+'Research Cyberinfrastructure'!W214+'EA &amp; Seed Funding'!W214+'Partnerships &amp; Collaborations'!W214+'Broadening Participation Divers'!W214+'Education Workforce Development'!W214+'Communications &amp; Disseminations'!W214+'Evaluation and Assessment '!W214+'Sustainability Plan'!W214+'Management '!W214)</f>
        <v>0</v>
      </c>
      <c r="X214" s="56">
        <f>SUM('Research Area'!X214+'Research Cyberinfrastructure'!X214+'EA &amp; Seed Funding'!X214+'Partnerships &amp; Collaborations'!X214+'Broadening Participation Divers'!X214+'Education Workforce Development'!X214+'Communications &amp; Disseminations'!X214+'Evaluation and Assessment '!X214+'Sustainability Plan'!X214+'Management '!X214)</f>
        <v>0</v>
      </c>
      <c r="Y214" s="56">
        <f t="shared" si="114"/>
        <v>0</v>
      </c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</row>
    <row r="215" spans="1:77" x14ac:dyDescent="0.25">
      <c r="A215" s="17"/>
      <c r="B215" s="17"/>
      <c r="C215" s="124">
        <f>SUM('Research Area'!C215+'Research Cyberinfrastructure'!C215+'EA &amp; Seed Funding'!C215+'Partnerships &amp; Collaborations'!C215+'Broadening Participation Divers'!C215+'Education Workforce Development'!C215+'Communications &amp; Disseminations'!C215+'Evaluation and Assessment '!C215+'Sustainability Plan'!C215+'Management '!C215)</f>
        <v>0</v>
      </c>
      <c r="D215" s="56">
        <f>SUM('Research Area'!D215+'Research Cyberinfrastructure'!D215+'EA &amp; Seed Funding'!D215+'Partnerships &amp; Collaborations'!D215+'Broadening Participation Divers'!D215+'Education Workforce Development'!D215+'Communications &amp; Disseminations'!D215+'Evaluation and Assessment '!D215+'Sustainability Plan'!D215+'Management '!D215)</f>
        <v>0</v>
      </c>
      <c r="E215" s="56">
        <f t="shared" si="109"/>
        <v>0</v>
      </c>
      <c r="F215" s="15"/>
      <c r="G215" s="55">
        <f>SUM('Research Area'!G215+'Research Cyberinfrastructure'!G215+'EA &amp; Seed Funding'!G215+'Partnerships &amp; Collaborations'!G215+'Broadening Participation Divers'!G215+'Education Workforce Development'!G215+'Communications &amp; Disseminations'!G215+'Evaluation and Assessment '!G215+'Sustainability Plan'!G215+'Management '!G215)</f>
        <v>0</v>
      </c>
      <c r="H215" s="56">
        <f>SUM('Research Area'!H215+'Research Cyberinfrastructure'!H215+'EA &amp; Seed Funding'!H215+'Partnerships &amp; Collaborations'!H215+'Broadening Participation Divers'!H215+'Education Workforce Development'!H215+'Communications &amp; Disseminations'!H215+'Evaluation and Assessment '!H215+'Sustainability Plan'!H215+'Management '!H215)</f>
        <v>0</v>
      </c>
      <c r="I215" s="56">
        <f t="shared" si="110"/>
        <v>0</v>
      </c>
      <c r="J215" s="15"/>
      <c r="K215" s="55">
        <f>SUM('Research Area'!K215+'Research Cyberinfrastructure'!K215+'EA &amp; Seed Funding'!K215+'Partnerships &amp; Collaborations'!K215+'Broadening Participation Divers'!K215+'Education Workforce Development'!K215+'Communications &amp; Disseminations'!K215+'Evaluation and Assessment '!K215+'Sustainability Plan'!K215+'Management '!K215)</f>
        <v>0</v>
      </c>
      <c r="L215" s="56">
        <f>SUM('Research Area'!L215+'Research Cyberinfrastructure'!L215+'EA &amp; Seed Funding'!L215+'Partnerships &amp; Collaborations'!L215+'Broadening Participation Divers'!L215+'Education Workforce Development'!L215+'Communications &amp; Disseminations'!L215+'Evaluation and Assessment '!L215+'Sustainability Plan'!L215+'Management '!L215)</f>
        <v>0</v>
      </c>
      <c r="M215" s="56">
        <f t="shared" si="111"/>
        <v>0</v>
      </c>
      <c r="N215" s="15"/>
      <c r="O215" s="55">
        <f>SUM('Research Area'!O215+'Research Cyberinfrastructure'!O215+'EA &amp; Seed Funding'!O215+'Partnerships &amp; Collaborations'!O215+'Broadening Participation Divers'!O215+'Education Workforce Development'!O215+'Communications &amp; Disseminations'!O215+'Evaluation and Assessment '!O215+'Sustainability Plan'!O215+'Management '!O215)</f>
        <v>0</v>
      </c>
      <c r="P215" s="56">
        <f>SUM('Research Area'!P215+'Research Cyberinfrastructure'!P215+'EA &amp; Seed Funding'!P215+'Partnerships &amp; Collaborations'!P215+'Broadening Participation Divers'!P215+'Education Workforce Development'!P215+'Communications &amp; Disseminations'!P215+'Evaluation and Assessment '!P215+'Sustainability Plan'!P215+'Management '!P215)</f>
        <v>0</v>
      </c>
      <c r="Q215" s="56">
        <f t="shared" si="112"/>
        <v>0</v>
      </c>
      <c r="R215" s="15"/>
      <c r="S215" s="55">
        <f>SUM('Research Area'!S215+'Research Cyberinfrastructure'!S215+'EA &amp; Seed Funding'!S215+'Partnerships &amp; Collaborations'!S215+'Broadening Participation Divers'!S215+'Education Workforce Development'!S215+'Communications &amp; Disseminations'!S215+'Evaluation and Assessment '!S215+'Sustainability Plan'!S215+'Management '!S215)</f>
        <v>0</v>
      </c>
      <c r="T215" s="56">
        <f>SUM('Research Area'!T215+'Research Cyberinfrastructure'!T215+'EA &amp; Seed Funding'!T215+'Partnerships &amp; Collaborations'!T215+'Broadening Participation Divers'!T215+'Education Workforce Development'!T215+'Communications &amp; Disseminations'!T215+'Evaluation and Assessment '!T215+'Sustainability Plan'!T215+'Management '!T215)</f>
        <v>0</v>
      </c>
      <c r="U215" s="56">
        <f t="shared" si="113"/>
        <v>0</v>
      </c>
      <c r="V215" s="16"/>
      <c r="W215" s="55">
        <f>SUM('Research Area'!W215+'Research Cyberinfrastructure'!W215+'EA &amp; Seed Funding'!W215+'Partnerships &amp; Collaborations'!W215+'Broadening Participation Divers'!W215+'Education Workforce Development'!W215+'Communications &amp; Disseminations'!W215+'Evaluation and Assessment '!W215+'Sustainability Plan'!W215+'Management '!W215)</f>
        <v>0</v>
      </c>
      <c r="X215" s="56">
        <f>SUM('Research Area'!X215+'Research Cyberinfrastructure'!X215+'EA &amp; Seed Funding'!X215+'Partnerships &amp; Collaborations'!X215+'Broadening Participation Divers'!X215+'Education Workforce Development'!X215+'Communications &amp; Disseminations'!X215+'Evaluation and Assessment '!X215+'Sustainability Plan'!X215+'Management '!X215)</f>
        <v>0</v>
      </c>
      <c r="Y215" s="56">
        <f t="shared" si="114"/>
        <v>0</v>
      </c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</row>
    <row r="216" spans="1:77" x14ac:dyDescent="0.25">
      <c r="A216" s="17"/>
      <c r="B216" s="17"/>
      <c r="C216" s="124">
        <f>SUM('Research Area'!C216+'Research Cyberinfrastructure'!C216+'EA &amp; Seed Funding'!C216+'Partnerships &amp; Collaborations'!C216+'Broadening Participation Divers'!C216+'Education Workforce Development'!C216+'Communications &amp; Disseminations'!C216+'Evaluation and Assessment '!C216+'Sustainability Plan'!C216+'Management '!C216)</f>
        <v>0</v>
      </c>
      <c r="D216" s="56">
        <f>SUM('Research Area'!D216+'Research Cyberinfrastructure'!D216+'EA &amp; Seed Funding'!D216+'Partnerships &amp; Collaborations'!D216+'Broadening Participation Divers'!D216+'Education Workforce Development'!D216+'Communications &amp; Disseminations'!D216+'Evaluation and Assessment '!D216+'Sustainability Plan'!D216+'Management '!D216)</f>
        <v>0</v>
      </c>
      <c r="E216" s="56">
        <f t="shared" si="109"/>
        <v>0</v>
      </c>
      <c r="F216" s="15"/>
      <c r="G216" s="55">
        <f>SUM('Research Area'!G216+'Research Cyberinfrastructure'!G216+'EA &amp; Seed Funding'!G216+'Partnerships &amp; Collaborations'!G216+'Broadening Participation Divers'!G216+'Education Workforce Development'!G216+'Communications &amp; Disseminations'!G216+'Evaluation and Assessment '!G216+'Sustainability Plan'!G216+'Management '!G216)</f>
        <v>0</v>
      </c>
      <c r="H216" s="56">
        <f>SUM('Research Area'!H216+'Research Cyberinfrastructure'!H216+'EA &amp; Seed Funding'!H216+'Partnerships &amp; Collaborations'!H216+'Broadening Participation Divers'!H216+'Education Workforce Development'!H216+'Communications &amp; Disseminations'!H216+'Evaluation and Assessment '!H216+'Sustainability Plan'!H216+'Management '!H216)</f>
        <v>0</v>
      </c>
      <c r="I216" s="56">
        <f t="shared" si="110"/>
        <v>0</v>
      </c>
      <c r="J216" s="15"/>
      <c r="K216" s="55">
        <f>SUM('Research Area'!K216+'Research Cyberinfrastructure'!K216+'EA &amp; Seed Funding'!K216+'Partnerships &amp; Collaborations'!K216+'Broadening Participation Divers'!K216+'Education Workforce Development'!K216+'Communications &amp; Disseminations'!K216+'Evaluation and Assessment '!K216+'Sustainability Plan'!K216+'Management '!K216)</f>
        <v>0</v>
      </c>
      <c r="L216" s="56">
        <f>SUM('Research Area'!L216+'Research Cyberinfrastructure'!L216+'EA &amp; Seed Funding'!L216+'Partnerships &amp; Collaborations'!L216+'Broadening Participation Divers'!L216+'Education Workforce Development'!L216+'Communications &amp; Disseminations'!L216+'Evaluation and Assessment '!L216+'Sustainability Plan'!L216+'Management '!L216)</f>
        <v>0</v>
      </c>
      <c r="M216" s="56">
        <f t="shared" si="111"/>
        <v>0</v>
      </c>
      <c r="N216" s="15"/>
      <c r="O216" s="55">
        <f>SUM('Research Area'!O216+'Research Cyberinfrastructure'!O216+'EA &amp; Seed Funding'!O216+'Partnerships &amp; Collaborations'!O216+'Broadening Participation Divers'!O216+'Education Workforce Development'!O216+'Communications &amp; Disseminations'!O216+'Evaluation and Assessment '!O216+'Sustainability Plan'!O216+'Management '!O216)</f>
        <v>0</v>
      </c>
      <c r="P216" s="56">
        <f>SUM('Research Area'!P216+'Research Cyberinfrastructure'!P216+'EA &amp; Seed Funding'!P216+'Partnerships &amp; Collaborations'!P216+'Broadening Participation Divers'!P216+'Education Workforce Development'!P216+'Communications &amp; Disseminations'!P216+'Evaluation and Assessment '!P216+'Sustainability Plan'!P216+'Management '!P216)</f>
        <v>0</v>
      </c>
      <c r="Q216" s="56">
        <f t="shared" si="112"/>
        <v>0</v>
      </c>
      <c r="R216" s="15"/>
      <c r="S216" s="55">
        <f>SUM('Research Area'!S216+'Research Cyberinfrastructure'!S216+'EA &amp; Seed Funding'!S216+'Partnerships &amp; Collaborations'!S216+'Broadening Participation Divers'!S216+'Education Workforce Development'!S216+'Communications &amp; Disseminations'!S216+'Evaluation and Assessment '!S216+'Sustainability Plan'!S216+'Management '!S216)</f>
        <v>0</v>
      </c>
      <c r="T216" s="56">
        <f>SUM('Research Area'!T216+'Research Cyberinfrastructure'!T216+'EA &amp; Seed Funding'!T216+'Partnerships &amp; Collaborations'!T216+'Broadening Participation Divers'!T216+'Education Workforce Development'!T216+'Communications &amp; Disseminations'!T216+'Evaluation and Assessment '!T216+'Sustainability Plan'!T216+'Management '!T216)</f>
        <v>0</v>
      </c>
      <c r="U216" s="56">
        <f t="shared" si="113"/>
        <v>0</v>
      </c>
      <c r="V216" s="16"/>
      <c r="W216" s="55">
        <f>SUM('Research Area'!W216+'Research Cyberinfrastructure'!W216+'EA &amp; Seed Funding'!W216+'Partnerships &amp; Collaborations'!W216+'Broadening Participation Divers'!W216+'Education Workforce Development'!W216+'Communications &amp; Disseminations'!W216+'Evaluation and Assessment '!W216+'Sustainability Plan'!W216+'Management '!W216)</f>
        <v>0</v>
      </c>
      <c r="X216" s="56">
        <f>SUM('Research Area'!X216+'Research Cyberinfrastructure'!X216+'EA &amp; Seed Funding'!X216+'Partnerships &amp; Collaborations'!X216+'Broadening Participation Divers'!X216+'Education Workforce Development'!X216+'Communications &amp; Disseminations'!X216+'Evaluation and Assessment '!X216+'Sustainability Plan'!X216+'Management '!X216)</f>
        <v>0</v>
      </c>
      <c r="Y216" s="56">
        <f t="shared" si="114"/>
        <v>0</v>
      </c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</row>
    <row r="217" spans="1:77" s="83" customFormat="1" x14ac:dyDescent="0.25">
      <c r="A217" s="78"/>
      <c r="B217" s="78" t="s">
        <v>9</v>
      </c>
      <c r="C217" s="232">
        <f>SUM(C207:C216)</f>
        <v>0</v>
      </c>
      <c r="D217" s="130">
        <f>SUM(D207:D216)</f>
        <v>0</v>
      </c>
      <c r="E217" s="130">
        <f>SUM(E207:E216)</f>
        <v>0</v>
      </c>
      <c r="F217" s="81"/>
      <c r="G217" s="126">
        <f>SUM(G207:G216)</f>
        <v>12000</v>
      </c>
      <c r="H217" s="130">
        <f>SUM(H207:H216)</f>
        <v>0</v>
      </c>
      <c r="I217" s="130">
        <f>SUM(I207:I216)</f>
        <v>12000</v>
      </c>
      <c r="J217" s="81"/>
      <c r="K217" s="126">
        <f>SUM(K207:K216)</f>
        <v>0</v>
      </c>
      <c r="L217" s="130">
        <f>SUM(L207:L216)</f>
        <v>0</v>
      </c>
      <c r="M217" s="130">
        <f>SUM(M207:M216)</f>
        <v>0</v>
      </c>
      <c r="N217" s="81"/>
      <c r="O217" s="126">
        <f>SUM(O207:O216)</f>
        <v>0</v>
      </c>
      <c r="P217" s="130">
        <f>SUM(P207:P216)</f>
        <v>0</v>
      </c>
      <c r="Q217" s="130">
        <f>SUM(Q207:Q216)</f>
        <v>0</v>
      </c>
      <c r="R217" s="81"/>
      <c r="S217" s="126">
        <f>SUM(S207:S216)</f>
        <v>0</v>
      </c>
      <c r="T217" s="130">
        <f>SUM(T207:T216)</f>
        <v>0</v>
      </c>
      <c r="U217" s="130">
        <f>SUM(U207:U216)</f>
        <v>0</v>
      </c>
      <c r="V217" s="82"/>
      <c r="W217" s="126">
        <f>SUM(W207:W216)</f>
        <v>12000</v>
      </c>
      <c r="X217" s="130">
        <f>SUM(X207:X216)</f>
        <v>0</v>
      </c>
      <c r="Y217" s="130">
        <f>SUM(Y207:Y216)</f>
        <v>12000</v>
      </c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</row>
    <row r="218" spans="1:77" s="77" customFormat="1" x14ac:dyDescent="0.25">
      <c r="A218" s="74" t="s">
        <v>7</v>
      </c>
      <c r="B218" s="74"/>
      <c r="C218" s="212"/>
      <c r="D218" s="212"/>
      <c r="E218" s="212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9"/>
      <c r="W218" s="58"/>
      <c r="X218" s="58"/>
      <c r="Y218" s="58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</row>
    <row r="219" spans="1:77" x14ac:dyDescent="0.25">
      <c r="A219" s="53"/>
      <c r="B219" s="52"/>
      <c r="C219" s="124">
        <f>SUM('Research Area'!C219+'Research Cyberinfrastructure'!C219+'EA &amp; Seed Funding'!C219+'Partnerships &amp; Collaborations'!C219+'Broadening Participation Divers'!C219+'Education Workforce Development'!C219+'Communications &amp; Disseminations'!C219+'Evaluation and Assessment '!C219+'Sustainability Plan'!C219+'Management '!C219)</f>
        <v>8000</v>
      </c>
      <c r="D219" s="56">
        <f>SUM('Research Area'!D219+'Research Cyberinfrastructure'!D219+'EA &amp; Seed Funding'!D219+'Partnerships &amp; Collaborations'!D219+'Broadening Participation Divers'!D219+'Education Workforce Development'!D219+'Communications &amp; Disseminations'!D219+'Evaluation and Assessment '!D219+'Sustainability Plan'!D219+'Management '!D219)</f>
        <v>4800</v>
      </c>
      <c r="E219" s="56">
        <f>SUM(C219:D219)</f>
        <v>12800</v>
      </c>
      <c r="F219" s="15"/>
      <c r="G219" s="55">
        <f>SUM('Research Area'!G219+'Research Cyberinfrastructure'!G219+'EA &amp; Seed Funding'!G219+'Partnerships &amp; Collaborations'!G219+'Broadening Participation Divers'!G219+'Education Workforce Development'!G219+'Communications &amp; Disseminations'!G219+'Evaluation and Assessment '!G219+'Sustainability Plan'!G219+'Management '!G219)</f>
        <v>8000</v>
      </c>
      <c r="H219" s="56">
        <f>SUM('Research Area'!H219+'Research Cyberinfrastructure'!H219+'EA &amp; Seed Funding'!H219+'Partnerships &amp; Collaborations'!H219+'Broadening Participation Divers'!H219+'Education Workforce Development'!H219+'Communications &amp; Disseminations'!H219+'Evaluation and Assessment '!H219+'Sustainability Plan'!H219+'Management '!H219)</f>
        <v>4800</v>
      </c>
      <c r="I219" s="56">
        <f>SUM(G219:H219)</f>
        <v>12800</v>
      </c>
      <c r="J219" s="15"/>
      <c r="K219" s="55">
        <f>SUM('Research Area'!K219+'Research Cyberinfrastructure'!K219+'EA &amp; Seed Funding'!K219+'Partnerships &amp; Collaborations'!K219+'Broadening Participation Divers'!K219+'Education Workforce Development'!K219+'Communications &amp; Disseminations'!K219+'Evaluation and Assessment '!K219+'Sustainability Plan'!K219+'Management '!K219)</f>
        <v>8000</v>
      </c>
      <c r="L219" s="56">
        <f>SUM('Research Area'!L219+'Research Cyberinfrastructure'!L219+'EA &amp; Seed Funding'!L219+'Partnerships &amp; Collaborations'!L219+'Broadening Participation Divers'!L219+'Education Workforce Development'!L219+'Communications &amp; Disseminations'!L219+'Evaluation and Assessment '!L219+'Sustainability Plan'!L219+'Management '!L219)</f>
        <v>4800</v>
      </c>
      <c r="M219" s="56">
        <f>SUM(K219:L219)</f>
        <v>12800</v>
      </c>
      <c r="N219" s="15"/>
      <c r="O219" s="55">
        <f>SUM('Research Area'!O219+'Research Cyberinfrastructure'!O219+'EA &amp; Seed Funding'!O219+'Partnerships &amp; Collaborations'!O219+'Broadening Participation Divers'!O219+'Education Workforce Development'!O219+'Communications &amp; Disseminations'!O219+'Evaluation and Assessment '!O219+'Sustainability Plan'!O219+'Management '!O219)</f>
        <v>8000</v>
      </c>
      <c r="P219" s="56">
        <f>SUM('Research Area'!P219+'Research Cyberinfrastructure'!P219+'EA &amp; Seed Funding'!P219+'Partnerships &amp; Collaborations'!P219+'Broadening Participation Divers'!P219+'Education Workforce Development'!P219+'Communications &amp; Disseminations'!P219+'Evaluation and Assessment '!P219+'Sustainability Plan'!P219+'Management '!P219)</f>
        <v>4800</v>
      </c>
      <c r="Q219" s="56">
        <f>SUM(O219:P219)</f>
        <v>12800</v>
      </c>
      <c r="R219" s="15"/>
      <c r="S219" s="55">
        <f>SUM('Research Area'!S219+'Research Cyberinfrastructure'!S219+'EA &amp; Seed Funding'!S219+'Partnerships &amp; Collaborations'!S219+'Broadening Participation Divers'!S219+'Education Workforce Development'!S219+'Communications &amp; Disseminations'!S219+'Evaluation and Assessment '!S219+'Sustainability Plan'!S219+'Management '!S219)</f>
        <v>8000</v>
      </c>
      <c r="T219" s="56">
        <f>SUM('Research Area'!T219+'Research Cyberinfrastructure'!T219+'EA &amp; Seed Funding'!T219+'Partnerships &amp; Collaborations'!T219+'Broadening Participation Divers'!T219+'Education Workforce Development'!T219+'Communications &amp; Disseminations'!T219+'Evaluation and Assessment '!T219+'Sustainability Plan'!T219+'Management '!T219)</f>
        <v>4800</v>
      </c>
      <c r="U219" s="56">
        <f>SUM(S219:T219)</f>
        <v>12800</v>
      </c>
      <c r="V219" s="16"/>
      <c r="W219" s="55">
        <f>SUM('Research Area'!W219+'Research Cyberinfrastructure'!W219+'EA &amp; Seed Funding'!W219+'Partnerships &amp; Collaborations'!W219+'Broadening Participation Divers'!W219+'Education Workforce Development'!W219+'Communications &amp; Disseminations'!W219+'Evaluation and Assessment '!W219+'Sustainability Plan'!W219+'Management '!W219)</f>
        <v>40000</v>
      </c>
      <c r="X219" s="56">
        <f>SUM('Research Area'!X219+'Research Cyberinfrastructure'!X219+'EA &amp; Seed Funding'!X219+'Partnerships &amp; Collaborations'!X219+'Broadening Participation Divers'!X219+'Education Workforce Development'!X219+'Communications &amp; Disseminations'!X219+'Evaluation and Assessment '!X219+'Sustainability Plan'!X219+'Management '!X219)</f>
        <v>24000</v>
      </c>
      <c r="Y219" s="56">
        <f>SUM(W219:X219)</f>
        <v>64000</v>
      </c>
    </row>
    <row r="220" spans="1:77" x14ac:dyDescent="0.25">
      <c r="A220" s="23"/>
      <c r="B220" s="17"/>
      <c r="C220" s="124">
        <f>SUM('Research Area'!C220+'Research Cyberinfrastructure'!C220+'EA &amp; Seed Funding'!C220+'Partnerships &amp; Collaborations'!C220+'Broadening Participation Divers'!C220+'Education Workforce Development'!C220+'Communications &amp; Disseminations'!C220+'Evaluation and Assessment '!C220+'Sustainability Plan'!C220+'Management '!C220)</f>
        <v>22000</v>
      </c>
      <c r="D220" s="56">
        <f>SUM('Research Area'!D220+'Research Cyberinfrastructure'!D220+'EA &amp; Seed Funding'!D220+'Partnerships &amp; Collaborations'!D220+'Broadening Participation Divers'!D220+'Education Workforce Development'!D220+'Communications &amp; Disseminations'!D220+'Evaluation and Assessment '!D220+'Sustainability Plan'!D220+'Management '!D220)</f>
        <v>0</v>
      </c>
      <c r="E220" s="56">
        <f t="shared" ref="E220:E224" si="115">SUM(C220:D220)</f>
        <v>22000</v>
      </c>
      <c r="F220" s="15"/>
      <c r="G220" s="55">
        <f>SUM('Research Area'!G220+'Research Cyberinfrastructure'!G220+'EA &amp; Seed Funding'!G220+'Partnerships &amp; Collaborations'!G220+'Broadening Participation Divers'!G220+'Education Workforce Development'!G220+'Communications &amp; Disseminations'!G220+'Evaluation and Assessment '!G220+'Sustainability Plan'!G220+'Management '!G220)</f>
        <v>29000</v>
      </c>
      <c r="H220" s="56">
        <f>SUM('Research Area'!H220+'Research Cyberinfrastructure'!H220+'EA &amp; Seed Funding'!H220+'Partnerships &amp; Collaborations'!H220+'Broadening Participation Divers'!H220+'Education Workforce Development'!H220+'Communications &amp; Disseminations'!H220+'Evaluation and Assessment '!H220+'Sustainability Plan'!H220+'Management '!H220)</f>
        <v>0</v>
      </c>
      <c r="I220" s="56">
        <f t="shared" ref="I220:I224" si="116">SUM(G220:H220)</f>
        <v>29000</v>
      </c>
      <c r="J220" s="15"/>
      <c r="K220" s="55">
        <f>SUM('Research Area'!K220+'Research Cyberinfrastructure'!K220+'EA &amp; Seed Funding'!K220+'Partnerships &amp; Collaborations'!K220+'Broadening Participation Divers'!K220+'Education Workforce Development'!K220+'Communications &amp; Disseminations'!K220+'Evaluation and Assessment '!K220+'Sustainability Plan'!K220+'Management '!K220)</f>
        <v>19500</v>
      </c>
      <c r="L220" s="56">
        <f>SUM('Research Area'!L220+'Research Cyberinfrastructure'!L220+'EA &amp; Seed Funding'!L220+'Partnerships &amp; Collaborations'!L220+'Broadening Participation Divers'!L220+'Education Workforce Development'!L220+'Communications &amp; Disseminations'!L220+'Evaluation and Assessment '!L220+'Sustainability Plan'!L220+'Management '!L220)</f>
        <v>0</v>
      </c>
      <c r="M220" s="56">
        <f t="shared" ref="M220:M224" si="117">SUM(K220:L220)</f>
        <v>19500</v>
      </c>
      <c r="N220" s="15"/>
      <c r="O220" s="55">
        <f>SUM('Research Area'!O220+'Research Cyberinfrastructure'!O220+'EA &amp; Seed Funding'!O220+'Partnerships &amp; Collaborations'!O220+'Broadening Participation Divers'!O220+'Education Workforce Development'!O220+'Communications &amp; Disseminations'!O220+'Evaluation and Assessment '!O220+'Sustainability Plan'!O220+'Management '!O220)</f>
        <v>27500</v>
      </c>
      <c r="P220" s="56">
        <f>SUM('Research Area'!P220+'Research Cyberinfrastructure'!P220+'EA &amp; Seed Funding'!P220+'Partnerships &amp; Collaborations'!P220+'Broadening Participation Divers'!P220+'Education Workforce Development'!P220+'Communications &amp; Disseminations'!P220+'Evaluation and Assessment '!P220+'Sustainability Plan'!P220+'Management '!P220)</f>
        <v>0</v>
      </c>
      <c r="Q220" s="56">
        <f t="shared" ref="Q220:Q224" si="118">SUM(O220:P220)</f>
        <v>27500</v>
      </c>
      <c r="R220" s="15"/>
      <c r="S220" s="55">
        <f>SUM('Research Area'!S220+'Research Cyberinfrastructure'!S220+'EA &amp; Seed Funding'!S220+'Partnerships &amp; Collaborations'!S220+'Broadening Participation Divers'!S220+'Education Workforce Development'!S220+'Communications &amp; Disseminations'!S220+'Evaluation and Assessment '!S220+'Sustainability Plan'!S220+'Management '!S220)</f>
        <v>14500</v>
      </c>
      <c r="T220" s="56">
        <f>SUM('Research Area'!T220+'Research Cyberinfrastructure'!T220+'EA &amp; Seed Funding'!T220+'Partnerships &amp; Collaborations'!T220+'Broadening Participation Divers'!T220+'Education Workforce Development'!T220+'Communications &amp; Disseminations'!T220+'Evaluation and Assessment '!T220+'Sustainability Plan'!T220+'Management '!T220)</f>
        <v>0</v>
      </c>
      <c r="U220" s="56">
        <f t="shared" ref="U220:U224" si="119">SUM(S220:T220)</f>
        <v>14500</v>
      </c>
      <c r="V220" s="16"/>
      <c r="W220" s="55">
        <f>SUM('Research Area'!W220+'Research Cyberinfrastructure'!W220+'EA &amp; Seed Funding'!W220+'Partnerships &amp; Collaborations'!W220+'Broadening Participation Divers'!W220+'Education Workforce Development'!W220+'Communications &amp; Disseminations'!W220+'Evaluation and Assessment '!W220+'Sustainability Plan'!W220+'Management '!W220)</f>
        <v>112500</v>
      </c>
      <c r="X220" s="56">
        <f>SUM('Research Area'!X220+'Research Cyberinfrastructure'!X220+'EA &amp; Seed Funding'!X220+'Partnerships &amp; Collaborations'!X220+'Broadening Participation Divers'!X220+'Education Workforce Development'!X220+'Communications &amp; Disseminations'!X220+'Evaluation and Assessment '!X220+'Sustainability Plan'!X220+'Management '!X220)</f>
        <v>0</v>
      </c>
      <c r="Y220" s="56">
        <f t="shared" ref="Y220:Y224" si="120">SUM(W220:X220)</f>
        <v>112500</v>
      </c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</row>
    <row r="221" spans="1:77" x14ac:dyDescent="0.25">
      <c r="A221" s="17"/>
      <c r="B221" s="17"/>
      <c r="C221" s="124">
        <f>SUM('Research Area'!C221+'Research Cyberinfrastructure'!C221+'EA &amp; Seed Funding'!C221+'Partnerships &amp; Collaborations'!C221+'Broadening Participation Divers'!C221+'Education Workforce Development'!C221+'Communications &amp; Disseminations'!C221+'Evaluation and Assessment '!C221+'Sustainability Plan'!C221+'Management '!C221)</f>
        <v>4000</v>
      </c>
      <c r="D221" s="56">
        <f>SUM('Research Area'!D221+'Research Cyberinfrastructure'!D221+'EA &amp; Seed Funding'!D221+'Partnerships &amp; Collaborations'!D221+'Broadening Participation Divers'!D221+'Education Workforce Development'!D221+'Communications &amp; Disseminations'!D221+'Evaluation and Assessment '!D221+'Sustainability Plan'!D221+'Management '!D221)</f>
        <v>0</v>
      </c>
      <c r="E221" s="56">
        <f t="shared" si="115"/>
        <v>4000</v>
      </c>
      <c r="F221" s="15"/>
      <c r="G221" s="55">
        <f>SUM('Research Area'!G221+'Research Cyberinfrastructure'!G221+'EA &amp; Seed Funding'!G221+'Partnerships &amp; Collaborations'!G221+'Broadening Participation Divers'!G221+'Education Workforce Development'!G221+'Communications &amp; Disseminations'!G221+'Evaluation and Assessment '!G221+'Sustainability Plan'!G221+'Management '!G221)</f>
        <v>0</v>
      </c>
      <c r="H221" s="56">
        <f>SUM('Research Area'!H221+'Research Cyberinfrastructure'!H221+'EA &amp; Seed Funding'!H221+'Partnerships &amp; Collaborations'!H221+'Broadening Participation Divers'!H221+'Education Workforce Development'!H221+'Communications &amp; Disseminations'!H221+'Evaluation and Assessment '!H221+'Sustainability Plan'!H221+'Management '!H221)</f>
        <v>0</v>
      </c>
      <c r="I221" s="56">
        <f t="shared" si="116"/>
        <v>0</v>
      </c>
      <c r="J221" s="15"/>
      <c r="K221" s="55">
        <f>SUM('Research Area'!K221+'Research Cyberinfrastructure'!K221+'EA &amp; Seed Funding'!K221+'Partnerships &amp; Collaborations'!K221+'Broadening Participation Divers'!K221+'Education Workforce Development'!K221+'Communications &amp; Disseminations'!K221+'Evaluation and Assessment '!K221+'Sustainability Plan'!K221+'Management '!K221)</f>
        <v>4000</v>
      </c>
      <c r="L221" s="56">
        <f>SUM('Research Area'!L221+'Research Cyberinfrastructure'!L221+'EA &amp; Seed Funding'!L221+'Partnerships &amp; Collaborations'!L221+'Broadening Participation Divers'!L221+'Education Workforce Development'!L221+'Communications &amp; Disseminations'!L221+'Evaluation and Assessment '!L221+'Sustainability Plan'!L221+'Management '!L221)</f>
        <v>0</v>
      </c>
      <c r="M221" s="56">
        <f t="shared" si="117"/>
        <v>4000</v>
      </c>
      <c r="N221" s="15"/>
      <c r="O221" s="55">
        <f>SUM('Research Area'!O221+'Research Cyberinfrastructure'!O221+'EA &amp; Seed Funding'!O221+'Partnerships &amp; Collaborations'!O221+'Broadening Participation Divers'!O221+'Education Workforce Development'!O221+'Communications &amp; Disseminations'!O221+'Evaluation and Assessment '!O221+'Sustainability Plan'!O221+'Management '!O221)</f>
        <v>0</v>
      </c>
      <c r="P221" s="56">
        <f>SUM('Research Area'!P221+'Research Cyberinfrastructure'!P221+'EA &amp; Seed Funding'!P221+'Partnerships &amp; Collaborations'!P221+'Broadening Participation Divers'!P221+'Education Workforce Development'!P221+'Communications &amp; Disseminations'!P221+'Evaluation and Assessment '!P221+'Sustainability Plan'!P221+'Management '!P221)</f>
        <v>0</v>
      </c>
      <c r="Q221" s="56">
        <f t="shared" si="118"/>
        <v>0</v>
      </c>
      <c r="R221" s="15"/>
      <c r="S221" s="55">
        <f>SUM('Research Area'!S221+'Research Cyberinfrastructure'!S221+'EA &amp; Seed Funding'!S221+'Partnerships &amp; Collaborations'!S221+'Broadening Participation Divers'!S221+'Education Workforce Development'!S221+'Communications &amp; Disseminations'!S221+'Evaluation and Assessment '!S221+'Sustainability Plan'!S221+'Management '!S221)</f>
        <v>0</v>
      </c>
      <c r="T221" s="56">
        <f>SUM('Research Area'!T221+'Research Cyberinfrastructure'!T221+'EA &amp; Seed Funding'!T221+'Partnerships &amp; Collaborations'!T221+'Broadening Participation Divers'!T221+'Education Workforce Development'!T221+'Communications &amp; Disseminations'!T221+'Evaluation and Assessment '!T221+'Sustainability Plan'!T221+'Management '!T221)</f>
        <v>0</v>
      </c>
      <c r="U221" s="56">
        <f t="shared" si="119"/>
        <v>0</v>
      </c>
      <c r="V221" s="16"/>
      <c r="W221" s="55">
        <f>SUM('Research Area'!W221+'Research Cyberinfrastructure'!W221+'EA &amp; Seed Funding'!W221+'Partnerships &amp; Collaborations'!W221+'Broadening Participation Divers'!W221+'Education Workforce Development'!W221+'Communications &amp; Disseminations'!W221+'Evaluation and Assessment '!W221+'Sustainability Plan'!W221+'Management '!W221)</f>
        <v>8000</v>
      </c>
      <c r="X221" s="56">
        <f>SUM('Research Area'!X221+'Research Cyberinfrastructure'!X221+'EA &amp; Seed Funding'!X221+'Partnerships &amp; Collaborations'!X221+'Broadening Participation Divers'!X221+'Education Workforce Development'!X221+'Communications &amp; Disseminations'!X221+'Evaluation and Assessment '!X221+'Sustainability Plan'!X221+'Management '!X221)</f>
        <v>0</v>
      </c>
      <c r="Y221" s="56">
        <f t="shared" si="120"/>
        <v>8000</v>
      </c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</row>
    <row r="222" spans="1:77" x14ac:dyDescent="0.25">
      <c r="A222" s="17"/>
      <c r="B222" s="17"/>
      <c r="C222" s="124">
        <f>SUM('Research Area'!C222+'Research Cyberinfrastructure'!C222+'EA &amp; Seed Funding'!C222+'Partnerships &amp; Collaborations'!C222+'Broadening Participation Divers'!C222+'Education Workforce Development'!C222+'Communications &amp; Disseminations'!C222+'Evaluation and Assessment '!C222+'Sustainability Plan'!C222+'Management '!C222)</f>
        <v>0</v>
      </c>
      <c r="D222" s="56">
        <f>SUM('Research Area'!D222+'Research Cyberinfrastructure'!D222+'EA &amp; Seed Funding'!D222+'Partnerships &amp; Collaborations'!D222+'Broadening Participation Divers'!D222+'Education Workforce Development'!D222+'Communications &amp; Disseminations'!D222+'Evaluation and Assessment '!D222+'Sustainability Plan'!D222+'Management '!D222)</f>
        <v>0</v>
      </c>
      <c r="E222" s="56">
        <f t="shared" si="115"/>
        <v>0</v>
      </c>
      <c r="F222" s="15"/>
      <c r="G222" s="55">
        <f>SUM('Research Area'!G222+'Research Cyberinfrastructure'!G222+'EA &amp; Seed Funding'!G222+'Partnerships &amp; Collaborations'!G222+'Broadening Participation Divers'!G222+'Education Workforce Development'!G222+'Communications &amp; Disseminations'!G222+'Evaluation and Assessment '!G222+'Sustainability Plan'!G222+'Management '!G222)</f>
        <v>0</v>
      </c>
      <c r="H222" s="56">
        <f>SUM('Research Area'!H222+'Research Cyberinfrastructure'!H222+'EA &amp; Seed Funding'!H222+'Partnerships &amp; Collaborations'!H222+'Broadening Participation Divers'!H222+'Education Workforce Development'!H222+'Communications &amp; Disseminations'!H222+'Evaluation and Assessment '!H222+'Sustainability Plan'!H222+'Management '!H222)</f>
        <v>0</v>
      </c>
      <c r="I222" s="56">
        <f t="shared" si="116"/>
        <v>0</v>
      </c>
      <c r="J222" s="15"/>
      <c r="K222" s="55">
        <f>SUM('Research Area'!K222+'Research Cyberinfrastructure'!K222+'EA &amp; Seed Funding'!K222+'Partnerships &amp; Collaborations'!K222+'Broadening Participation Divers'!K222+'Education Workforce Development'!K222+'Communications &amp; Disseminations'!K222+'Evaluation and Assessment '!K222+'Sustainability Plan'!K222+'Management '!K222)</f>
        <v>0</v>
      </c>
      <c r="L222" s="56">
        <f>SUM('Research Area'!L222+'Research Cyberinfrastructure'!L222+'EA &amp; Seed Funding'!L222+'Partnerships &amp; Collaborations'!L222+'Broadening Participation Divers'!L222+'Education Workforce Development'!L222+'Communications &amp; Disseminations'!L222+'Evaluation and Assessment '!L222+'Sustainability Plan'!L222+'Management '!L222)</f>
        <v>0</v>
      </c>
      <c r="M222" s="56">
        <f t="shared" si="117"/>
        <v>0</v>
      </c>
      <c r="N222" s="15"/>
      <c r="O222" s="55">
        <f>SUM('Research Area'!O222+'Research Cyberinfrastructure'!O222+'EA &amp; Seed Funding'!O222+'Partnerships &amp; Collaborations'!O222+'Broadening Participation Divers'!O222+'Education Workforce Development'!O222+'Communications &amp; Disseminations'!O222+'Evaluation and Assessment '!O222+'Sustainability Plan'!O222+'Management '!O222)</f>
        <v>0</v>
      </c>
      <c r="P222" s="56">
        <f>SUM('Research Area'!P222+'Research Cyberinfrastructure'!P222+'EA &amp; Seed Funding'!P222+'Partnerships &amp; Collaborations'!P222+'Broadening Participation Divers'!P222+'Education Workforce Development'!P222+'Communications &amp; Disseminations'!P222+'Evaluation and Assessment '!P222+'Sustainability Plan'!P222+'Management '!P222)</f>
        <v>0</v>
      </c>
      <c r="Q222" s="56">
        <f t="shared" si="118"/>
        <v>0</v>
      </c>
      <c r="R222" s="15"/>
      <c r="S222" s="55">
        <f>SUM('Research Area'!S222+'Research Cyberinfrastructure'!S222+'EA &amp; Seed Funding'!S222+'Partnerships &amp; Collaborations'!S222+'Broadening Participation Divers'!S222+'Education Workforce Development'!S222+'Communications &amp; Disseminations'!S222+'Evaluation and Assessment '!S222+'Sustainability Plan'!S222+'Management '!S222)</f>
        <v>0</v>
      </c>
      <c r="T222" s="56">
        <f>SUM('Research Area'!T222+'Research Cyberinfrastructure'!T222+'EA &amp; Seed Funding'!T222+'Partnerships &amp; Collaborations'!T222+'Broadening Participation Divers'!T222+'Education Workforce Development'!T222+'Communications &amp; Disseminations'!T222+'Evaluation and Assessment '!T222+'Sustainability Plan'!T222+'Management '!T222)</f>
        <v>0</v>
      </c>
      <c r="U222" s="56">
        <f t="shared" si="119"/>
        <v>0</v>
      </c>
      <c r="V222" s="16"/>
      <c r="W222" s="55">
        <f>SUM('Research Area'!W222+'Research Cyberinfrastructure'!W222+'EA &amp; Seed Funding'!W222+'Partnerships &amp; Collaborations'!W222+'Broadening Participation Divers'!W222+'Education Workforce Development'!W222+'Communications &amp; Disseminations'!W222+'Evaluation and Assessment '!W222+'Sustainability Plan'!W222+'Management '!W222)</f>
        <v>0</v>
      </c>
      <c r="X222" s="56">
        <f>SUM('Research Area'!X222+'Research Cyberinfrastructure'!X222+'EA &amp; Seed Funding'!X222+'Partnerships &amp; Collaborations'!X222+'Broadening Participation Divers'!X222+'Education Workforce Development'!X222+'Communications &amp; Disseminations'!X222+'Evaluation and Assessment '!X222+'Sustainability Plan'!X222+'Management '!X222)</f>
        <v>0</v>
      </c>
      <c r="Y222" s="56">
        <f t="shared" si="120"/>
        <v>0</v>
      </c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</row>
    <row r="223" spans="1:77" x14ac:dyDescent="0.25">
      <c r="A223" s="23"/>
      <c r="B223" s="17"/>
      <c r="C223" s="124">
        <f>SUM('Research Area'!C223+'Research Cyberinfrastructure'!C223+'EA &amp; Seed Funding'!C223+'Partnerships &amp; Collaborations'!C223+'Broadening Participation Divers'!C223+'Education Workforce Development'!C223+'Communications &amp; Disseminations'!C223+'Evaluation and Assessment '!C223+'Sustainability Plan'!C223+'Management '!C223)</f>
        <v>0</v>
      </c>
      <c r="D223" s="56">
        <f>SUM('Research Area'!D223+'Research Cyberinfrastructure'!D223+'EA &amp; Seed Funding'!D223+'Partnerships &amp; Collaborations'!D223+'Broadening Participation Divers'!D223+'Education Workforce Development'!D223+'Communications &amp; Disseminations'!D223+'Evaluation and Assessment '!D223+'Sustainability Plan'!D223+'Management '!D223)</f>
        <v>0</v>
      </c>
      <c r="E223" s="56">
        <f t="shared" si="115"/>
        <v>0</v>
      </c>
      <c r="F223" s="15"/>
      <c r="G223" s="55">
        <f>SUM('Research Area'!G223+'Research Cyberinfrastructure'!G223+'EA &amp; Seed Funding'!G223+'Partnerships &amp; Collaborations'!G223+'Broadening Participation Divers'!G223+'Education Workforce Development'!G223+'Communications &amp; Disseminations'!G223+'Evaluation and Assessment '!G223+'Sustainability Plan'!G223+'Management '!G223)</f>
        <v>0</v>
      </c>
      <c r="H223" s="56">
        <f>SUM('Research Area'!H223+'Research Cyberinfrastructure'!H223+'EA &amp; Seed Funding'!H223+'Partnerships &amp; Collaborations'!H223+'Broadening Participation Divers'!H223+'Education Workforce Development'!H223+'Communications &amp; Disseminations'!H223+'Evaluation and Assessment '!H223+'Sustainability Plan'!H223+'Management '!H223)</f>
        <v>0</v>
      </c>
      <c r="I223" s="56">
        <f t="shared" si="116"/>
        <v>0</v>
      </c>
      <c r="J223" s="15"/>
      <c r="K223" s="55">
        <f>SUM('Research Area'!K223+'Research Cyberinfrastructure'!K223+'EA &amp; Seed Funding'!K223+'Partnerships &amp; Collaborations'!K223+'Broadening Participation Divers'!K223+'Education Workforce Development'!K223+'Communications &amp; Disseminations'!K223+'Evaluation and Assessment '!K223+'Sustainability Plan'!K223+'Management '!K223)</f>
        <v>0</v>
      </c>
      <c r="L223" s="56">
        <f>SUM('Research Area'!L223+'Research Cyberinfrastructure'!L223+'EA &amp; Seed Funding'!L223+'Partnerships &amp; Collaborations'!L223+'Broadening Participation Divers'!L223+'Education Workforce Development'!L223+'Communications &amp; Disseminations'!L223+'Evaluation and Assessment '!L223+'Sustainability Plan'!L223+'Management '!L223)</f>
        <v>0</v>
      </c>
      <c r="M223" s="56">
        <f t="shared" si="117"/>
        <v>0</v>
      </c>
      <c r="N223" s="15"/>
      <c r="O223" s="55">
        <f>SUM('Research Area'!O223+'Research Cyberinfrastructure'!O223+'EA &amp; Seed Funding'!O223+'Partnerships &amp; Collaborations'!O223+'Broadening Participation Divers'!O223+'Education Workforce Development'!O223+'Communications &amp; Disseminations'!O223+'Evaluation and Assessment '!O223+'Sustainability Plan'!O223+'Management '!O223)</f>
        <v>0</v>
      </c>
      <c r="P223" s="56">
        <f>SUM('Research Area'!P223+'Research Cyberinfrastructure'!P223+'EA &amp; Seed Funding'!P223+'Partnerships &amp; Collaborations'!P223+'Broadening Participation Divers'!P223+'Education Workforce Development'!P223+'Communications &amp; Disseminations'!P223+'Evaluation and Assessment '!P223+'Sustainability Plan'!P223+'Management '!P223)</f>
        <v>0</v>
      </c>
      <c r="Q223" s="56">
        <f t="shared" si="118"/>
        <v>0</v>
      </c>
      <c r="R223" s="15"/>
      <c r="S223" s="55">
        <f>SUM('Research Area'!S223+'Research Cyberinfrastructure'!S223+'EA &amp; Seed Funding'!S223+'Partnerships &amp; Collaborations'!S223+'Broadening Participation Divers'!S223+'Education Workforce Development'!S223+'Communications &amp; Disseminations'!S223+'Evaluation and Assessment '!S223+'Sustainability Plan'!S223+'Management '!S223)</f>
        <v>0</v>
      </c>
      <c r="T223" s="56">
        <f>SUM('Research Area'!T223+'Research Cyberinfrastructure'!T223+'EA &amp; Seed Funding'!T223+'Partnerships &amp; Collaborations'!T223+'Broadening Participation Divers'!T223+'Education Workforce Development'!T223+'Communications &amp; Disseminations'!T223+'Evaluation and Assessment '!T223+'Sustainability Plan'!T223+'Management '!T223)</f>
        <v>0</v>
      </c>
      <c r="U223" s="56">
        <f t="shared" si="119"/>
        <v>0</v>
      </c>
      <c r="V223" s="16"/>
      <c r="W223" s="55">
        <f>SUM('Research Area'!W223+'Research Cyberinfrastructure'!W223+'EA &amp; Seed Funding'!W223+'Partnerships &amp; Collaborations'!W223+'Broadening Participation Divers'!W223+'Education Workforce Development'!W223+'Communications &amp; Disseminations'!W223+'Evaluation and Assessment '!W223+'Sustainability Plan'!W223+'Management '!W223)</f>
        <v>0</v>
      </c>
      <c r="X223" s="56">
        <f>SUM('Research Area'!X223+'Research Cyberinfrastructure'!X223+'EA &amp; Seed Funding'!X223+'Partnerships &amp; Collaborations'!X223+'Broadening Participation Divers'!X223+'Education Workforce Development'!X223+'Communications &amp; Disseminations'!X223+'Evaluation and Assessment '!X223+'Sustainability Plan'!X223+'Management '!X223)</f>
        <v>0</v>
      </c>
      <c r="Y223" s="56">
        <f t="shared" si="120"/>
        <v>0</v>
      </c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</row>
    <row r="224" spans="1:77" x14ac:dyDescent="0.25">
      <c r="A224" s="17"/>
      <c r="B224" s="17"/>
      <c r="C224" s="124">
        <f>SUM('Research Area'!C224+'Research Cyberinfrastructure'!C224+'EA &amp; Seed Funding'!C224+'Partnerships &amp; Collaborations'!C224+'Broadening Participation Divers'!C224+'Education Workforce Development'!C224+'Communications &amp; Disseminations'!C224+'Evaluation and Assessment '!C224+'Sustainability Plan'!C224+'Management '!C224)</f>
        <v>0</v>
      </c>
      <c r="D224" s="56">
        <f>SUM('Research Area'!D224+'Research Cyberinfrastructure'!D224+'EA &amp; Seed Funding'!D224+'Partnerships &amp; Collaborations'!D224+'Broadening Participation Divers'!D224+'Education Workforce Development'!D224+'Communications &amp; Disseminations'!D224+'Evaluation and Assessment '!D224+'Sustainability Plan'!D224+'Management '!D224)</f>
        <v>0</v>
      </c>
      <c r="E224" s="56">
        <f t="shared" si="115"/>
        <v>0</v>
      </c>
      <c r="F224" s="15"/>
      <c r="G224" s="55">
        <f>SUM('Research Area'!G224+'Research Cyberinfrastructure'!G224+'EA &amp; Seed Funding'!G224+'Partnerships &amp; Collaborations'!G224+'Broadening Participation Divers'!G224+'Education Workforce Development'!G224+'Communications &amp; Disseminations'!G224+'Evaluation and Assessment '!G224+'Sustainability Plan'!G224+'Management '!G224)</f>
        <v>0</v>
      </c>
      <c r="H224" s="56">
        <f>SUM('Research Area'!H224+'Research Cyberinfrastructure'!H224+'EA &amp; Seed Funding'!H224+'Partnerships &amp; Collaborations'!H224+'Broadening Participation Divers'!H224+'Education Workforce Development'!H224+'Communications &amp; Disseminations'!H224+'Evaluation and Assessment '!H224+'Sustainability Plan'!H224+'Management '!H224)</f>
        <v>0</v>
      </c>
      <c r="I224" s="56">
        <f t="shared" si="116"/>
        <v>0</v>
      </c>
      <c r="J224" s="15"/>
      <c r="K224" s="55">
        <f>SUM('Research Area'!K224+'Research Cyberinfrastructure'!K224+'EA &amp; Seed Funding'!K224+'Partnerships &amp; Collaborations'!K224+'Broadening Participation Divers'!K224+'Education Workforce Development'!K224+'Communications &amp; Disseminations'!K224+'Evaluation and Assessment '!K224+'Sustainability Plan'!K224+'Management '!K224)</f>
        <v>0</v>
      </c>
      <c r="L224" s="56">
        <f>SUM('Research Area'!L224+'Research Cyberinfrastructure'!L224+'EA &amp; Seed Funding'!L224+'Partnerships &amp; Collaborations'!L224+'Broadening Participation Divers'!L224+'Education Workforce Development'!L224+'Communications &amp; Disseminations'!L224+'Evaluation and Assessment '!L224+'Sustainability Plan'!L224+'Management '!L224)</f>
        <v>0</v>
      </c>
      <c r="M224" s="56">
        <f t="shared" si="117"/>
        <v>0</v>
      </c>
      <c r="N224" s="15"/>
      <c r="O224" s="55">
        <f>SUM('Research Area'!O224+'Research Cyberinfrastructure'!O224+'EA &amp; Seed Funding'!O224+'Partnerships &amp; Collaborations'!O224+'Broadening Participation Divers'!O224+'Education Workforce Development'!O224+'Communications &amp; Disseminations'!O224+'Evaluation and Assessment '!O224+'Sustainability Plan'!O224+'Management '!O224)</f>
        <v>0</v>
      </c>
      <c r="P224" s="56">
        <f>SUM('Research Area'!P224+'Research Cyberinfrastructure'!P224+'EA &amp; Seed Funding'!P224+'Partnerships &amp; Collaborations'!P224+'Broadening Participation Divers'!P224+'Education Workforce Development'!P224+'Communications &amp; Disseminations'!P224+'Evaluation and Assessment '!P224+'Sustainability Plan'!P224+'Management '!P224)</f>
        <v>0</v>
      </c>
      <c r="Q224" s="56">
        <f t="shared" si="118"/>
        <v>0</v>
      </c>
      <c r="R224" s="15"/>
      <c r="S224" s="55">
        <f>SUM('Research Area'!S224+'Research Cyberinfrastructure'!S224+'EA &amp; Seed Funding'!S224+'Partnerships &amp; Collaborations'!S224+'Broadening Participation Divers'!S224+'Education Workforce Development'!S224+'Communications &amp; Disseminations'!S224+'Evaluation and Assessment '!S224+'Sustainability Plan'!S224+'Management '!S224)</f>
        <v>0</v>
      </c>
      <c r="T224" s="56">
        <f>SUM('Research Area'!T224+'Research Cyberinfrastructure'!T224+'EA &amp; Seed Funding'!T224+'Partnerships &amp; Collaborations'!T224+'Broadening Participation Divers'!T224+'Education Workforce Development'!T224+'Communications &amp; Disseminations'!T224+'Evaluation and Assessment '!T224+'Sustainability Plan'!T224+'Management '!T224)</f>
        <v>0</v>
      </c>
      <c r="U224" s="56">
        <f t="shared" si="119"/>
        <v>0</v>
      </c>
      <c r="V224" s="16"/>
      <c r="W224" s="55">
        <f>SUM('Research Area'!W224+'Research Cyberinfrastructure'!W224+'EA &amp; Seed Funding'!W224+'Partnerships &amp; Collaborations'!W224+'Broadening Participation Divers'!W224+'Education Workforce Development'!W224+'Communications &amp; Disseminations'!W224+'Evaluation and Assessment '!W224+'Sustainability Plan'!W224+'Management '!W224)</f>
        <v>0</v>
      </c>
      <c r="X224" s="56">
        <f>SUM('Research Area'!X224+'Research Cyberinfrastructure'!X224+'EA &amp; Seed Funding'!X224+'Partnerships &amp; Collaborations'!X224+'Broadening Participation Divers'!X224+'Education Workforce Development'!X224+'Communications &amp; Disseminations'!X224+'Evaluation and Assessment '!X224+'Sustainability Plan'!X224+'Management '!X224)</f>
        <v>0</v>
      </c>
      <c r="Y224" s="56">
        <f t="shared" si="120"/>
        <v>0</v>
      </c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</row>
    <row r="225" spans="1:77" s="83" customFormat="1" x14ac:dyDescent="0.25">
      <c r="A225" s="78"/>
      <c r="B225" s="78" t="s">
        <v>9</v>
      </c>
      <c r="C225" s="232">
        <f>SUM(C219:C224)</f>
        <v>34000</v>
      </c>
      <c r="D225" s="130">
        <f>SUM(D219:D224)</f>
        <v>4800</v>
      </c>
      <c r="E225" s="130">
        <f>SUM(E219:E224)</f>
        <v>38800</v>
      </c>
      <c r="F225" s="81"/>
      <c r="G225" s="126">
        <f>SUM(G219:G224)</f>
        <v>37000</v>
      </c>
      <c r="H225" s="130">
        <f>SUM(H219:H224)</f>
        <v>4800</v>
      </c>
      <c r="I225" s="130">
        <f>SUM(I219:I224)</f>
        <v>41800</v>
      </c>
      <c r="J225" s="81"/>
      <c r="K225" s="126">
        <f>SUM(K219:K224)</f>
        <v>31500</v>
      </c>
      <c r="L225" s="130">
        <f>SUM(L219:L224)</f>
        <v>4800</v>
      </c>
      <c r="M225" s="130">
        <f>SUM(M219:M224)</f>
        <v>36300</v>
      </c>
      <c r="N225" s="81"/>
      <c r="O225" s="126">
        <f>SUM(O219:O224)</f>
        <v>35500</v>
      </c>
      <c r="P225" s="130">
        <f>SUM(P219:P224)</f>
        <v>4800</v>
      </c>
      <c r="Q225" s="130">
        <f>SUM(Q219:Q224)</f>
        <v>40300</v>
      </c>
      <c r="R225" s="81"/>
      <c r="S225" s="126">
        <f>SUM(S219:S224)</f>
        <v>22500</v>
      </c>
      <c r="T225" s="130">
        <f>SUM(T219:T224)</f>
        <v>4800</v>
      </c>
      <c r="U225" s="130">
        <f>SUM(U219:U224)</f>
        <v>27300</v>
      </c>
      <c r="V225" s="82"/>
      <c r="W225" s="126">
        <f>SUM(W219:W224)</f>
        <v>160500</v>
      </c>
      <c r="X225" s="130">
        <f>SUM(X219:X224)</f>
        <v>24000</v>
      </c>
      <c r="Y225" s="130">
        <f>SUM(Y219:Y224)</f>
        <v>184500</v>
      </c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</row>
    <row r="226" spans="1:77" s="77" customFormat="1" x14ac:dyDescent="0.25">
      <c r="A226" s="74" t="s">
        <v>14</v>
      </c>
      <c r="B226" s="74"/>
      <c r="C226" s="212"/>
      <c r="D226" s="212"/>
      <c r="E226" s="212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9"/>
      <c r="W226" s="58"/>
      <c r="X226" s="58"/>
      <c r="Y226" s="58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</row>
    <row r="227" spans="1:77" x14ac:dyDescent="0.25">
      <c r="A227" s="53"/>
      <c r="B227" s="52"/>
      <c r="C227" s="124">
        <f>SUM('Research Area'!C227+'Research Cyberinfrastructure'!C227+'EA &amp; Seed Funding'!C227+'Partnerships &amp; Collaborations'!C227+'Broadening Participation Divers'!C227+'Education Workforce Development'!C227+'Communications &amp; Disseminations'!C227+'Evaluation and Assessment '!C227+'Sustainability Plan'!C227+'Management '!C227)</f>
        <v>0</v>
      </c>
      <c r="D227" s="56">
        <f>SUM('Research Area'!D227+'Research Cyberinfrastructure'!D227+'EA &amp; Seed Funding'!D227+'Partnerships &amp; Collaborations'!D227+'Broadening Participation Divers'!D227+'Education Workforce Development'!D227+'Communications &amp; Disseminations'!D227+'Evaluation and Assessment '!D227+'Sustainability Plan'!D227+'Management '!D227)</f>
        <v>0</v>
      </c>
      <c r="E227" s="56">
        <f>SUM(C227:D227)</f>
        <v>0</v>
      </c>
      <c r="F227" s="15"/>
      <c r="G227" s="55">
        <f>SUM('Research Area'!G227+'Research Cyberinfrastructure'!G227+'EA &amp; Seed Funding'!G227+'Partnerships &amp; Collaborations'!G227+'Broadening Participation Divers'!G227+'Education Workforce Development'!G227+'Communications &amp; Disseminations'!G227+'Evaluation and Assessment '!G227+'Sustainability Plan'!G227+'Management '!G227)</f>
        <v>0</v>
      </c>
      <c r="H227" s="56">
        <f>SUM('Research Area'!H227+'Research Cyberinfrastructure'!H227+'EA &amp; Seed Funding'!H227+'Partnerships &amp; Collaborations'!H227+'Broadening Participation Divers'!H227+'Education Workforce Development'!H227+'Communications &amp; Disseminations'!H227+'Evaluation and Assessment '!H227+'Sustainability Plan'!H227+'Management '!H227)</f>
        <v>0</v>
      </c>
      <c r="I227" s="56">
        <f>SUM(G227:H227)</f>
        <v>0</v>
      </c>
      <c r="J227" s="15"/>
      <c r="K227" s="55">
        <f>SUM('Research Area'!K227+'Research Cyberinfrastructure'!K227+'EA &amp; Seed Funding'!K227+'Partnerships &amp; Collaborations'!K227+'Broadening Participation Divers'!K227+'Education Workforce Development'!K227+'Communications &amp; Disseminations'!K227+'Evaluation and Assessment '!K227+'Sustainability Plan'!K227+'Management '!K227)</f>
        <v>0</v>
      </c>
      <c r="L227" s="56">
        <f>SUM('Research Area'!L227+'Research Cyberinfrastructure'!L227+'EA &amp; Seed Funding'!L227+'Partnerships &amp; Collaborations'!L227+'Broadening Participation Divers'!L227+'Education Workforce Development'!L227+'Communications &amp; Disseminations'!L227+'Evaluation and Assessment '!L227+'Sustainability Plan'!L227+'Management '!L227)</f>
        <v>0</v>
      </c>
      <c r="M227" s="56">
        <f>SUM(K227:L227)</f>
        <v>0</v>
      </c>
      <c r="N227" s="15"/>
      <c r="O227" s="55">
        <f>SUM('Research Area'!O227+'Research Cyberinfrastructure'!O227+'EA &amp; Seed Funding'!O227+'Partnerships &amp; Collaborations'!O227+'Broadening Participation Divers'!O227+'Education Workforce Development'!O227+'Communications &amp; Disseminations'!O227+'Evaluation and Assessment '!O227+'Sustainability Plan'!O227+'Management '!O227)</f>
        <v>0</v>
      </c>
      <c r="P227" s="56">
        <f>SUM('Research Area'!P227+'Research Cyberinfrastructure'!P227+'EA &amp; Seed Funding'!P227+'Partnerships &amp; Collaborations'!P227+'Broadening Participation Divers'!P227+'Education Workforce Development'!P227+'Communications &amp; Disseminations'!P227+'Evaluation and Assessment '!P227+'Sustainability Plan'!P227+'Management '!P227)</f>
        <v>0</v>
      </c>
      <c r="Q227" s="56">
        <f>SUM(O227:P227)</f>
        <v>0</v>
      </c>
      <c r="R227" s="15"/>
      <c r="S227" s="55">
        <f>SUM('Research Area'!S227+'Research Cyberinfrastructure'!S227+'EA &amp; Seed Funding'!S227+'Partnerships &amp; Collaborations'!S227+'Broadening Participation Divers'!S227+'Education Workforce Development'!S227+'Communications &amp; Disseminations'!S227+'Evaluation and Assessment '!S227+'Sustainability Plan'!S227+'Management '!S227)</f>
        <v>0</v>
      </c>
      <c r="T227" s="56">
        <f>SUM('Research Area'!T227+'Research Cyberinfrastructure'!T227+'EA &amp; Seed Funding'!T227+'Partnerships &amp; Collaborations'!T227+'Broadening Participation Divers'!T227+'Education Workforce Development'!T227+'Communications &amp; Disseminations'!T227+'Evaluation and Assessment '!T227+'Sustainability Plan'!T227+'Management '!T227)</f>
        <v>0</v>
      </c>
      <c r="U227" s="56">
        <f>SUM(S227:T227)</f>
        <v>0</v>
      </c>
      <c r="V227" s="16"/>
      <c r="W227" s="55">
        <f>SUM('Research Area'!W227+'Research Cyberinfrastructure'!W227+'EA &amp; Seed Funding'!W227+'Partnerships &amp; Collaborations'!W227+'Broadening Participation Divers'!W227+'Education Workforce Development'!W227+'Communications &amp; Disseminations'!W227+'Evaluation and Assessment '!W227+'Sustainability Plan'!W227+'Management '!W227)</f>
        <v>0</v>
      </c>
      <c r="X227" s="56">
        <f>SUM('Research Area'!X227+'Research Cyberinfrastructure'!X227+'EA &amp; Seed Funding'!X227+'Partnerships &amp; Collaborations'!X227+'Broadening Participation Divers'!X227+'Education Workforce Development'!X227+'Communications &amp; Disseminations'!X227+'Evaluation and Assessment '!X227+'Sustainability Plan'!X227+'Management '!X227)</f>
        <v>0</v>
      </c>
      <c r="Y227" s="56">
        <f>SUM(W227:X227)</f>
        <v>0</v>
      </c>
    </row>
    <row r="228" spans="1:77" s="11" customFormat="1" x14ac:dyDescent="0.25">
      <c r="A228" s="13"/>
      <c r="B228" s="13"/>
      <c r="C228" s="124">
        <f>SUM('Research Area'!C228+'Research Cyberinfrastructure'!C228+'EA &amp; Seed Funding'!C228+'Partnerships &amp; Collaborations'!C228+'Broadening Participation Divers'!C228+'Education Workforce Development'!C228+'Communications &amp; Disseminations'!C228+'Evaluation and Assessment '!C228+'Sustainability Plan'!C228+'Management '!C228)</f>
        <v>0</v>
      </c>
      <c r="D228" s="56">
        <f>SUM('Research Area'!D228+'Research Cyberinfrastructure'!D228+'EA &amp; Seed Funding'!D228+'Partnerships &amp; Collaborations'!D228+'Broadening Participation Divers'!D228+'Education Workforce Development'!D228+'Communications &amp; Disseminations'!D228+'Evaluation and Assessment '!D228+'Sustainability Plan'!D228+'Management '!D228)</f>
        <v>0</v>
      </c>
      <c r="E228" s="56">
        <f t="shared" ref="E228:E230" si="121">SUM(C228:D228)</f>
        <v>0</v>
      </c>
      <c r="F228" s="15"/>
      <c r="G228" s="55">
        <f>SUM('Research Area'!G228+'Research Cyberinfrastructure'!G228+'EA &amp; Seed Funding'!G228+'Partnerships &amp; Collaborations'!G228+'Broadening Participation Divers'!G228+'Education Workforce Development'!G228+'Communications &amp; Disseminations'!G228+'Evaluation and Assessment '!G228+'Sustainability Plan'!G228+'Management '!G228)</f>
        <v>25000</v>
      </c>
      <c r="H228" s="56">
        <f>SUM('Research Area'!H228+'Research Cyberinfrastructure'!H228+'EA &amp; Seed Funding'!H228+'Partnerships &amp; Collaborations'!H228+'Broadening Participation Divers'!H228+'Education Workforce Development'!H228+'Communications &amp; Disseminations'!H228+'Evaluation and Assessment '!H228+'Sustainability Plan'!H228+'Management '!H228)</f>
        <v>0</v>
      </c>
      <c r="I228" s="56">
        <f t="shared" ref="I228:I230" si="122">SUM(G228:H228)</f>
        <v>25000</v>
      </c>
      <c r="J228" s="15"/>
      <c r="K228" s="55">
        <f>SUM('Research Area'!K228+'Research Cyberinfrastructure'!K228+'EA &amp; Seed Funding'!K228+'Partnerships &amp; Collaborations'!K228+'Broadening Participation Divers'!K228+'Education Workforce Development'!K228+'Communications &amp; Disseminations'!K228+'Evaluation and Assessment '!K228+'Sustainability Plan'!K228+'Management '!K228)</f>
        <v>37931.75</v>
      </c>
      <c r="L228" s="56">
        <f>SUM('Research Area'!L228+'Research Cyberinfrastructure'!L228+'EA &amp; Seed Funding'!L228+'Partnerships &amp; Collaborations'!L228+'Broadening Participation Divers'!L228+'Education Workforce Development'!L228+'Communications &amp; Disseminations'!L228+'Evaluation and Assessment '!L228+'Sustainability Plan'!L228+'Management '!L228)</f>
        <v>0</v>
      </c>
      <c r="M228" s="56">
        <f t="shared" ref="M228:M230" si="123">SUM(K228:L228)</f>
        <v>37931.75</v>
      </c>
      <c r="N228" s="15"/>
      <c r="O228" s="55">
        <f>SUM('Research Area'!O228+'Research Cyberinfrastructure'!O228+'EA &amp; Seed Funding'!O228+'Partnerships &amp; Collaborations'!O228+'Broadening Participation Divers'!O228+'Education Workforce Development'!O228+'Communications &amp; Disseminations'!O228+'Evaluation and Assessment '!O228+'Sustainability Plan'!O228+'Management '!O228)</f>
        <v>38578.337500000001</v>
      </c>
      <c r="P228" s="56">
        <f>SUM('Research Area'!P228+'Research Cyberinfrastructure'!P228+'EA &amp; Seed Funding'!P228+'Partnerships &amp; Collaborations'!P228+'Broadening Participation Divers'!P228+'Education Workforce Development'!P228+'Communications &amp; Disseminations'!P228+'Evaluation and Assessment '!P228+'Sustainability Plan'!P228+'Management '!P228)</f>
        <v>0</v>
      </c>
      <c r="Q228" s="56">
        <f t="shared" ref="Q228:Q230" si="124">SUM(O228:P228)</f>
        <v>38578.337500000001</v>
      </c>
      <c r="R228" s="15"/>
      <c r="S228" s="55">
        <f>SUM('Research Area'!S228+'Research Cyberinfrastructure'!S228+'EA &amp; Seed Funding'!S228+'Partnerships &amp; Collaborations'!S228+'Broadening Participation Divers'!S228+'Education Workforce Development'!S228+'Communications &amp; Disseminations'!S228+'Evaluation and Assessment '!S228+'Sustainability Plan'!S228+'Management '!S228)</f>
        <v>25000</v>
      </c>
      <c r="T228" s="56">
        <f>SUM('Research Area'!T228+'Research Cyberinfrastructure'!T228+'EA &amp; Seed Funding'!T228+'Partnerships &amp; Collaborations'!T228+'Broadening Participation Divers'!T228+'Education Workforce Development'!T228+'Communications &amp; Disseminations'!T228+'Evaluation and Assessment '!T228+'Sustainability Plan'!T228+'Management '!T228)</f>
        <v>0</v>
      </c>
      <c r="U228" s="56">
        <f t="shared" ref="U228:U230" si="125">SUM(S228:T228)</f>
        <v>25000</v>
      </c>
      <c r="V228" s="16"/>
      <c r="W228" s="55">
        <f>SUM('Research Area'!W228+'Research Cyberinfrastructure'!W228+'EA &amp; Seed Funding'!W228+'Partnerships &amp; Collaborations'!W228+'Broadening Participation Divers'!W228+'Education Workforce Development'!W228+'Communications &amp; Disseminations'!W228+'Evaluation and Assessment '!W228+'Sustainability Plan'!W228+'Management '!W228)</f>
        <v>126510.08749999999</v>
      </c>
      <c r="X228" s="56">
        <f>SUM('Research Area'!X228+'Research Cyberinfrastructure'!X228+'EA &amp; Seed Funding'!X228+'Partnerships &amp; Collaborations'!X228+'Broadening Participation Divers'!X228+'Education Workforce Development'!X228+'Communications &amp; Disseminations'!X228+'Evaluation and Assessment '!X228+'Sustainability Plan'!X228+'Management '!X228)</f>
        <v>0</v>
      </c>
      <c r="Y228" s="56">
        <f>SUM(W228:X228)</f>
        <v>126510.08749999999</v>
      </c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</row>
    <row r="229" spans="1:77" s="11" customFormat="1" x14ac:dyDescent="0.25">
      <c r="A229" s="13"/>
      <c r="B229" s="13"/>
      <c r="C229" s="124">
        <f>SUM('Research Area'!C229+'Research Cyberinfrastructure'!C229+'EA &amp; Seed Funding'!C229+'Partnerships &amp; Collaborations'!C229+'Broadening Participation Divers'!C229+'Education Workforce Development'!C229+'Communications &amp; Disseminations'!C229+'Evaluation and Assessment '!C229+'Sustainability Plan'!C229+'Management '!C229)</f>
        <v>0</v>
      </c>
      <c r="D229" s="56">
        <f>SUM('Research Area'!D229+'Research Cyberinfrastructure'!D229+'EA &amp; Seed Funding'!D229+'Partnerships &amp; Collaborations'!D229+'Broadening Participation Divers'!D229+'Education Workforce Development'!D229+'Communications &amp; Disseminations'!D229+'Evaluation and Assessment '!D229+'Sustainability Plan'!D229+'Management '!D229)</f>
        <v>0</v>
      </c>
      <c r="E229" s="56">
        <f t="shared" si="121"/>
        <v>0</v>
      </c>
      <c r="F229" s="15"/>
      <c r="G229" s="55">
        <f>SUM('Research Area'!G229+'Research Cyberinfrastructure'!G229+'EA &amp; Seed Funding'!G229+'Partnerships &amp; Collaborations'!G229+'Broadening Participation Divers'!G229+'Education Workforce Development'!G229+'Communications &amp; Disseminations'!G229+'Evaluation and Assessment '!G229+'Sustainability Plan'!G229+'Management '!G229)</f>
        <v>0</v>
      </c>
      <c r="H229" s="56">
        <f>SUM('Research Area'!H229+'Research Cyberinfrastructure'!H229+'EA &amp; Seed Funding'!H229+'Partnerships &amp; Collaborations'!H229+'Broadening Participation Divers'!H229+'Education Workforce Development'!H229+'Communications &amp; Disseminations'!H229+'Evaluation and Assessment '!H229+'Sustainability Plan'!H229+'Management '!H229)</f>
        <v>0</v>
      </c>
      <c r="I229" s="56">
        <f t="shared" si="122"/>
        <v>0</v>
      </c>
      <c r="J229" s="15"/>
      <c r="K229" s="55">
        <f>SUM('Research Area'!K229+'Research Cyberinfrastructure'!K229+'EA &amp; Seed Funding'!K229+'Partnerships &amp; Collaborations'!K229+'Broadening Participation Divers'!K229+'Education Workforce Development'!K229+'Communications &amp; Disseminations'!K229+'Evaluation and Assessment '!K229+'Sustainability Plan'!K229+'Management '!K229)</f>
        <v>0</v>
      </c>
      <c r="L229" s="56">
        <f>SUM('Research Area'!L229+'Research Cyberinfrastructure'!L229+'EA &amp; Seed Funding'!L229+'Partnerships &amp; Collaborations'!L229+'Broadening Participation Divers'!L229+'Education Workforce Development'!L229+'Communications &amp; Disseminations'!L229+'Evaluation and Assessment '!L229+'Sustainability Plan'!L229+'Management '!L229)</f>
        <v>0</v>
      </c>
      <c r="M229" s="56">
        <f t="shared" si="123"/>
        <v>0</v>
      </c>
      <c r="N229" s="15"/>
      <c r="O229" s="55">
        <f>SUM('Research Area'!O229+'Research Cyberinfrastructure'!O229+'EA &amp; Seed Funding'!O229+'Partnerships &amp; Collaborations'!O229+'Broadening Participation Divers'!O229+'Education Workforce Development'!O229+'Communications &amp; Disseminations'!O229+'Evaluation and Assessment '!O229+'Sustainability Plan'!O229+'Management '!O229)</f>
        <v>0</v>
      </c>
      <c r="P229" s="56">
        <f>SUM('Research Area'!P229+'Research Cyberinfrastructure'!P229+'EA &amp; Seed Funding'!P229+'Partnerships &amp; Collaborations'!P229+'Broadening Participation Divers'!P229+'Education Workforce Development'!P229+'Communications &amp; Disseminations'!P229+'Evaluation and Assessment '!P229+'Sustainability Plan'!P229+'Management '!P229)</f>
        <v>0</v>
      </c>
      <c r="Q229" s="56">
        <f t="shared" si="124"/>
        <v>0</v>
      </c>
      <c r="R229" s="15"/>
      <c r="S229" s="55">
        <f>SUM('Research Area'!S229+'Research Cyberinfrastructure'!S229+'EA &amp; Seed Funding'!S229+'Partnerships &amp; Collaborations'!S229+'Broadening Participation Divers'!S229+'Education Workforce Development'!S229+'Communications &amp; Disseminations'!S229+'Evaluation and Assessment '!S229+'Sustainability Plan'!S229+'Management '!S229)</f>
        <v>0</v>
      </c>
      <c r="T229" s="56">
        <f>SUM('Research Area'!T229+'Research Cyberinfrastructure'!T229+'EA &amp; Seed Funding'!T229+'Partnerships &amp; Collaborations'!T229+'Broadening Participation Divers'!T229+'Education Workforce Development'!T229+'Communications &amp; Disseminations'!T229+'Evaluation and Assessment '!T229+'Sustainability Plan'!T229+'Management '!T229)</f>
        <v>0</v>
      </c>
      <c r="U229" s="56">
        <f t="shared" si="125"/>
        <v>0</v>
      </c>
      <c r="V229" s="16"/>
      <c r="W229" s="55">
        <f>SUM('Research Area'!W229+'Research Cyberinfrastructure'!W229+'EA &amp; Seed Funding'!W229+'Partnerships &amp; Collaborations'!W229+'Broadening Participation Divers'!W229+'Education Workforce Development'!W229+'Communications &amp; Disseminations'!W229+'Evaluation and Assessment '!W229+'Sustainability Plan'!W229+'Management '!W229)</f>
        <v>0</v>
      </c>
      <c r="X229" s="56">
        <f>SUM('Research Area'!X229+'Research Cyberinfrastructure'!X229+'EA &amp; Seed Funding'!X229+'Partnerships &amp; Collaborations'!X229+'Broadening Participation Divers'!X229+'Education Workforce Development'!X229+'Communications &amp; Disseminations'!X229+'Evaluation and Assessment '!X229+'Sustainability Plan'!X229+'Management '!X229)</f>
        <v>0</v>
      </c>
      <c r="Y229" s="56">
        <f>SUM(W229:X229)</f>
        <v>0</v>
      </c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</row>
    <row r="230" spans="1:77" x14ac:dyDescent="0.25">
      <c r="A230" s="13"/>
      <c r="B230" s="13"/>
      <c r="C230" s="124">
        <f>SUM('Research Area'!C230+'Research Cyberinfrastructure'!C230+'EA &amp; Seed Funding'!C230+'Partnerships &amp; Collaborations'!C230+'Broadening Participation Divers'!C230+'Education Workforce Development'!C230+'Communications &amp; Disseminations'!C230+'Evaluation and Assessment '!C230+'Sustainability Plan'!C230+'Management '!C230)</f>
        <v>0</v>
      </c>
      <c r="D230" s="56">
        <f>SUM('Research Area'!D230+'Research Cyberinfrastructure'!D230+'EA &amp; Seed Funding'!D230+'Partnerships &amp; Collaborations'!D230+'Broadening Participation Divers'!D230+'Education Workforce Development'!D230+'Communications &amp; Disseminations'!D230+'Evaluation and Assessment '!D230+'Sustainability Plan'!D230+'Management '!D230)</f>
        <v>0</v>
      </c>
      <c r="E230" s="56">
        <f t="shared" si="121"/>
        <v>0</v>
      </c>
      <c r="F230" s="15"/>
      <c r="G230" s="55">
        <f>SUM('Research Area'!G230+'Research Cyberinfrastructure'!G230+'EA &amp; Seed Funding'!G230+'Partnerships &amp; Collaborations'!G230+'Broadening Participation Divers'!G230+'Education Workforce Development'!G230+'Communications &amp; Disseminations'!G230+'Evaluation and Assessment '!G230+'Sustainability Plan'!G230+'Management '!G230)</f>
        <v>49264.11</v>
      </c>
      <c r="H230" s="56">
        <f>SUM('Research Area'!H230+'Research Cyberinfrastructure'!H230+'EA &amp; Seed Funding'!H230+'Partnerships &amp; Collaborations'!H230+'Broadening Participation Divers'!H230+'Education Workforce Development'!H230+'Communications &amp; Disseminations'!H230+'Evaluation and Assessment '!H230+'Sustainability Plan'!H230+'Management '!H230)</f>
        <v>0</v>
      </c>
      <c r="I230" s="56">
        <f t="shared" si="122"/>
        <v>49264.11</v>
      </c>
      <c r="J230" s="15"/>
      <c r="K230" s="55">
        <f>SUM('Research Area'!K230+'Research Cyberinfrastructure'!K230+'EA &amp; Seed Funding'!K230+'Partnerships &amp; Collaborations'!K230+'Broadening Participation Divers'!K230+'Education Workforce Development'!K230+'Communications &amp; Disseminations'!K230+'Evaluation and Assessment '!K230+'Sustainability Plan'!K230+'Management '!K230)</f>
        <v>51727.315500000004</v>
      </c>
      <c r="L230" s="56">
        <f>SUM('Research Area'!L230+'Research Cyberinfrastructure'!L230+'EA &amp; Seed Funding'!L230+'Partnerships &amp; Collaborations'!L230+'Broadening Participation Divers'!L230+'Education Workforce Development'!L230+'Communications &amp; Disseminations'!L230+'Evaluation and Assessment '!L230+'Sustainability Plan'!L230+'Management '!L230)</f>
        <v>0</v>
      </c>
      <c r="M230" s="56">
        <f t="shared" si="123"/>
        <v>51727.315500000004</v>
      </c>
      <c r="N230" s="15"/>
      <c r="O230" s="55">
        <f>SUM('Research Area'!O230+'Research Cyberinfrastructure'!O230+'EA &amp; Seed Funding'!O230+'Partnerships &amp; Collaborations'!O230+'Broadening Participation Divers'!O230+'Education Workforce Development'!O230+'Communications &amp; Disseminations'!O230+'Evaluation and Assessment '!O230+'Sustainability Plan'!O230+'Management '!O230)</f>
        <v>54313.68127500001</v>
      </c>
      <c r="P230" s="56">
        <f>SUM('Research Area'!P230+'Research Cyberinfrastructure'!P230+'EA &amp; Seed Funding'!P230+'Partnerships &amp; Collaborations'!P230+'Broadening Participation Divers'!P230+'Education Workforce Development'!P230+'Communications &amp; Disseminations'!P230+'Evaluation and Assessment '!P230+'Sustainability Plan'!P230+'Management '!P230)</f>
        <v>0</v>
      </c>
      <c r="Q230" s="56">
        <f t="shared" si="124"/>
        <v>54313.68127500001</v>
      </c>
      <c r="R230" s="15"/>
      <c r="S230" s="55">
        <f>SUM('Research Area'!S230+'Research Cyberinfrastructure'!S230+'EA &amp; Seed Funding'!S230+'Partnerships &amp; Collaborations'!S230+'Broadening Participation Divers'!S230+'Education Workforce Development'!S230+'Communications &amp; Disseminations'!S230+'Evaluation and Assessment '!S230+'Sustainability Plan'!S230+'Management '!S230)</f>
        <v>57029.365338750016</v>
      </c>
      <c r="T230" s="56">
        <f>SUM('Research Area'!T230+'Research Cyberinfrastructure'!T230+'EA &amp; Seed Funding'!T230+'Partnerships &amp; Collaborations'!T230+'Broadening Participation Divers'!T230+'Education Workforce Development'!T230+'Communications &amp; Disseminations'!T230+'Evaluation and Assessment '!T230+'Sustainability Plan'!T230+'Management '!T230)</f>
        <v>0</v>
      </c>
      <c r="U230" s="56">
        <f t="shared" si="125"/>
        <v>57029.365338750016</v>
      </c>
      <c r="V230" s="16"/>
      <c r="W230" s="55">
        <f>SUM('Research Area'!W230+'Research Cyberinfrastructure'!W230+'EA &amp; Seed Funding'!W230+'Partnerships &amp; Collaborations'!W230+'Broadening Participation Divers'!W230+'Education Workforce Development'!W230+'Communications &amp; Disseminations'!W230+'Evaluation and Assessment '!W230+'Sustainability Plan'!W230+'Management '!W230)</f>
        <v>212334.47211375003</v>
      </c>
      <c r="X230" s="56">
        <f>SUM('Research Area'!X230+'Research Cyberinfrastructure'!X230+'EA &amp; Seed Funding'!X230+'Partnerships &amp; Collaborations'!X230+'Broadening Participation Divers'!X230+'Education Workforce Development'!X230+'Communications &amp; Disseminations'!X230+'Evaluation and Assessment '!X230+'Sustainability Plan'!X230+'Management '!X230)</f>
        <v>0</v>
      </c>
      <c r="Y230" s="56">
        <f>SUM(W230:X230)</f>
        <v>212334.47211375003</v>
      </c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</row>
    <row r="231" spans="1:77" s="83" customFormat="1" x14ac:dyDescent="0.25">
      <c r="A231" s="78"/>
      <c r="B231" s="78" t="s">
        <v>9</v>
      </c>
      <c r="C231" s="232">
        <f>SUM(C227:C230)</f>
        <v>0</v>
      </c>
      <c r="D231" s="130">
        <f>SUM(D227:D230)</f>
        <v>0</v>
      </c>
      <c r="E231" s="130">
        <f>SUM(E227:E230)</f>
        <v>0</v>
      </c>
      <c r="F231" s="81"/>
      <c r="G231" s="126">
        <f>SUM(G227:G230)</f>
        <v>74264.11</v>
      </c>
      <c r="H231" s="130">
        <f>SUM(H227:H230)</f>
        <v>0</v>
      </c>
      <c r="I231" s="130">
        <f>SUM(I227:I230)</f>
        <v>74264.11</v>
      </c>
      <c r="J231" s="81"/>
      <c r="K231" s="126">
        <f>SUM(K227:K230)</f>
        <v>89659.065499999997</v>
      </c>
      <c r="L231" s="130">
        <f>SUM(L227:L230)</f>
        <v>0</v>
      </c>
      <c r="M231" s="130">
        <f>SUM(M227:M230)</f>
        <v>89659.065499999997</v>
      </c>
      <c r="N231" s="81"/>
      <c r="O231" s="126">
        <f>SUM(O227:O230)</f>
        <v>92892.018775000004</v>
      </c>
      <c r="P231" s="130">
        <f>SUM(P227:P230)</f>
        <v>0</v>
      </c>
      <c r="Q231" s="130">
        <f>SUM(Q227:Q230)</f>
        <v>92892.018775000004</v>
      </c>
      <c r="R231" s="81"/>
      <c r="S231" s="126">
        <f>SUM(S227:S230)</f>
        <v>82029.365338750009</v>
      </c>
      <c r="T231" s="130">
        <f>SUM(T227:T230)</f>
        <v>0</v>
      </c>
      <c r="U231" s="130">
        <f>SUM(U227:U230)</f>
        <v>82029.365338750009</v>
      </c>
      <c r="V231" s="82"/>
      <c r="W231" s="126">
        <f>SUM(W227:W230)</f>
        <v>338844.55961375003</v>
      </c>
      <c r="X231" s="130">
        <f>SUM(X227:X230)</f>
        <v>0</v>
      </c>
      <c r="Y231" s="130">
        <f>SUM(Y227:Y230)</f>
        <v>338844.55961375003</v>
      </c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</row>
    <row r="232" spans="1:77" s="77" customFormat="1" x14ac:dyDescent="0.25">
      <c r="A232" s="74" t="s">
        <v>8</v>
      </c>
      <c r="B232" s="74"/>
      <c r="C232" s="212"/>
      <c r="D232" s="212"/>
      <c r="E232" s="212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9"/>
      <c r="W232" s="58"/>
      <c r="X232" s="58"/>
      <c r="Y232" s="58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</row>
    <row r="233" spans="1:77" x14ac:dyDescent="0.25">
      <c r="A233" s="53"/>
      <c r="B233" s="52"/>
      <c r="C233" s="124">
        <f>SUM('Research Area'!C233+'Research Cyberinfrastructure'!C233+'EA &amp; Seed Funding'!C233+'Partnerships &amp; Collaborations'!C233+'Broadening Participation Divers'!C233+'Education Workforce Development'!C233+'Communications &amp; Disseminations'!C233+'Evaluation and Assessment '!C233+'Sustainability Plan'!C233+'Management '!C233)</f>
        <v>0</v>
      </c>
      <c r="D233" s="56">
        <f>SUM('Research Area'!D233+'Research Cyberinfrastructure'!D233+'EA &amp; Seed Funding'!D233+'Partnerships &amp; Collaborations'!D233+'Broadening Participation Divers'!D233+'Education Workforce Development'!D233+'Communications &amp; Disseminations'!D233+'Evaluation and Assessment '!D233+'Sustainability Plan'!D233+'Management '!D233)</f>
        <v>0</v>
      </c>
      <c r="E233" s="56">
        <f>SUM(C233:D233)</f>
        <v>0</v>
      </c>
      <c r="F233" s="15"/>
      <c r="G233" s="55">
        <f>SUM('Research Area'!G233+'Research Cyberinfrastructure'!G233+'EA &amp; Seed Funding'!G233+'Partnerships &amp; Collaborations'!G233+'Broadening Participation Divers'!G233+'Education Workforce Development'!G233+'Communications &amp; Disseminations'!G233+'Evaluation and Assessment '!G233+'Sustainability Plan'!G233+'Management '!G233)</f>
        <v>60000</v>
      </c>
      <c r="H233" s="56">
        <f>SUM('Research Area'!H233+'Research Cyberinfrastructure'!H233+'EA &amp; Seed Funding'!H233+'Partnerships &amp; Collaborations'!H233+'Broadening Participation Divers'!H233+'Education Workforce Development'!H233+'Communications &amp; Disseminations'!H233+'Evaluation and Assessment '!H233+'Sustainability Plan'!H233+'Management '!H233)</f>
        <v>20021</v>
      </c>
      <c r="I233" s="56">
        <f>SUM(G233:H233)</f>
        <v>80021</v>
      </c>
      <c r="J233" s="15"/>
      <c r="K233" s="55">
        <f>SUM('Research Area'!K233+'Research Cyberinfrastructure'!K233+'EA &amp; Seed Funding'!K233+'Partnerships &amp; Collaborations'!K233+'Broadening Participation Divers'!K233+'Education Workforce Development'!K233+'Communications &amp; Disseminations'!K233+'Evaluation and Assessment '!K233+'Sustainability Plan'!K233+'Management '!K233)</f>
        <v>13400</v>
      </c>
      <c r="L233" s="56">
        <f>SUM('Research Area'!L233+'Research Cyberinfrastructure'!L233+'EA &amp; Seed Funding'!L233+'Partnerships &amp; Collaborations'!L233+'Broadening Participation Divers'!L233+'Education Workforce Development'!L233+'Communications &amp; Disseminations'!L233+'Evaluation and Assessment '!L233+'Sustainability Plan'!L233+'Management '!L233)</f>
        <v>20021</v>
      </c>
      <c r="M233" s="56">
        <f>SUM(K233:L233)</f>
        <v>33421</v>
      </c>
      <c r="N233" s="15"/>
      <c r="O233" s="55">
        <f>SUM('Research Area'!O233+'Research Cyberinfrastructure'!O233+'EA &amp; Seed Funding'!O233+'Partnerships &amp; Collaborations'!O233+'Broadening Participation Divers'!O233+'Education Workforce Development'!O233+'Communications &amp; Disseminations'!O233+'Evaluation and Assessment '!O233+'Sustainability Plan'!O233+'Management '!O233)</f>
        <v>10000</v>
      </c>
      <c r="P233" s="56">
        <f>SUM('Research Area'!P233+'Research Cyberinfrastructure'!P233+'EA &amp; Seed Funding'!P233+'Partnerships &amp; Collaborations'!P233+'Broadening Participation Divers'!P233+'Education Workforce Development'!P233+'Communications &amp; Disseminations'!P233+'Evaluation and Assessment '!P233+'Sustainability Plan'!P233+'Management '!P233)</f>
        <v>20021</v>
      </c>
      <c r="Q233" s="56">
        <f>SUM(O233:P233)</f>
        <v>30021</v>
      </c>
      <c r="R233" s="15"/>
      <c r="S233" s="55">
        <f>SUM('Research Area'!S233+'Research Cyberinfrastructure'!S233+'EA &amp; Seed Funding'!S233+'Partnerships &amp; Collaborations'!S233+'Broadening Participation Divers'!S233+'Education Workforce Development'!S233+'Communications &amp; Disseminations'!S233+'Evaluation and Assessment '!S233+'Sustainability Plan'!S233+'Management '!S233)</f>
        <v>0</v>
      </c>
      <c r="T233" s="56">
        <f>SUM('Research Area'!T233+'Research Cyberinfrastructure'!T233+'EA &amp; Seed Funding'!T233+'Partnerships &amp; Collaborations'!T233+'Broadening Participation Divers'!T233+'Education Workforce Development'!T233+'Communications &amp; Disseminations'!T233+'Evaluation and Assessment '!T233+'Sustainability Plan'!T233+'Management '!T233)</f>
        <v>0</v>
      </c>
      <c r="U233" s="56">
        <f>SUM(S233:T233)</f>
        <v>0</v>
      </c>
      <c r="V233" s="16"/>
      <c r="W233" s="55">
        <f>SUM('Research Area'!W233+'Research Cyberinfrastructure'!W233+'EA &amp; Seed Funding'!W233+'Partnerships &amp; Collaborations'!W233+'Broadening Participation Divers'!W233+'Education Workforce Development'!W233+'Communications &amp; Disseminations'!W233+'Evaluation and Assessment '!W233+'Sustainability Plan'!W233+'Management '!W233)</f>
        <v>83400</v>
      </c>
      <c r="X233" s="56">
        <f>SUM('Research Area'!X233+'Research Cyberinfrastructure'!X233+'EA &amp; Seed Funding'!X233+'Partnerships &amp; Collaborations'!X233+'Broadening Participation Divers'!X233+'Education Workforce Development'!X233+'Communications &amp; Disseminations'!X233+'Evaluation and Assessment '!X233+'Sustainability Plan'!X233+'Management '!X233)</f>
        <v>60063</v>
      </c>
      <c r="Y233" s="56">
        <f>SUM(W233:X233)</f>
        <v>143463</v>
      </c>
    </row>
    <row r="234" spans="1:77" x14ac:dyDescent="0.25">
      <c r="A234" s="17"/>
      <c r="B234" s="17"/>
      <c r="C234" s="124">
        <f>SUM('Research Area'!C234+'Research Cyberinfrastructure'!C234+'EA &amp; Seed Funding'!C234+'Partnerships &amp; Collaborations'!C234+'Broadening Participation Divers'!C234+'Education Workforce Development'!C234+'Communications &amp; Disseminations'!C234+'Evaluation and Assessment '!C234+'Sustainability Plan'!C234+'Management '!C234)</f>
        <v>0</v>
      </c>
      <c r="D234" s="56">
        <f>SUM('Research Area'!D234+'Research Cyberinfrastructure'!D234+'EA &amp; Seed Funding'!D234+'Partnerships &amp; Collaborations'!D234+'Broadening Participation Divers'!D234+'Education Workforce Development'!D234+'Communications &amp; Disseminations'!D234+'Evaluation and Assessment '!D234+'Sustainability Plan'!D234+'Management '!D234)</f>
        <v>0</v>
      </c>
      <c r="E234" s="56">
        <f t="shared" ref="E234:E244" si="126">SUM(C234:D234)</f>
        <v>0</v>
      </c>
      <c r="F234" s="15"/>
      <c r="G234" s="55">
        <f>SUM('Research Area'!G234+'Research Cyberinfrastructure'!G234+'EA &amp; Seed Funding'!G234+'Partnerships &amp; Collaborations'!G234+'Broadening Participation Divers'!G234+'Education Workforce Development'!G234+'Communications &amp; Disseminations'!G234+'Evaluation and Assessment '!G234+'Sustainability Plan'!G234+'Management '!G234)</f>
        <v>38000</v>
      </c>
      <c r="H234" s="56">
        <f>SUM('Research Area'!H234+'Research Cyberinfrastructure'!H234+'EA &amp; Seed Funding'!H234+'Partnerships &amp; Collaborations'!H234+'Broadening Participation Divers'!H234+'Education Workforce Development'!H234+'Communications &amp; Disseminations'!H234+'Evaluation and Assessment '!H234+'Sustainability Plan'!H234+'Management '!H234)</f>
        <v>0</v>
      </c>
      <c r="I234" s="56">
        <f t="shared" ref="I234:I244" si="127">SUM(G234:H234)</f>
        <v>38000</v>
      </c>
      <c r="J234" s="15"/>
      <c r="K234" s="55">
        <f>SUM('Research Area'!K234+'Research Cyberinfrastructure'!K234+'EA &amp; Seed Funding'!K234+'Partnerships &amp; Collaborations'!K234+'Broadening Participation Divers'!K234+'Education Workforce Development'!K234+'Communications &amp; Disseminations'!K234+'Evaluation and Assessment '!K234+'Sustainability Plan'!K234+'Management '!K234)</f>
        <v>0</v>
      </c>
      <c r="L234" s="56">
        <f>SUM('Research Area'!L234+'Research Cyberinfrastructure'!L234+'EA &amp; Seed Funding'!L234+'Partnerships &amp; Collaborations'!L234+'Broadening Participation Divers'!L234+'Education Workforce Development'!L234+'Communications &amp; Disseminations'!L234+'Evaluation and Assessment '!L234+'Sustainability Plan'!L234+'Management '!L234)</f>
        <v>0</v>
      </c>
      <c r="M234" s="56">
        <f t="shared" ref="M234:M244" si="128">SUM(K234:L234)</f>
        <v>0</v>
      </c>
      <c r="N234" s="15"/>
      <c r="O234" s="55">
        <f>SUM('Research Area'!O234+'Research Cyberinfrastructure'!O234+'EA &amp; Seed Funding'!O234+'Partnerships &amp; Collaborations'!O234+'Broadening Participation Divers'!O234+'Education Workforce Development'!O234+'Communications &amp; Disseminations'!O234+'Evaluation and Assessment '!O234+'Sustainability Plan'!O234+'Management '!O234)</f>
        <v>5000</v>
      </c>
      <c r="P234" s="56">
        <f>SUM('Research Area'!P234+'Research Cyberinfrastructure'!P234+'EA &amp; Seed Funding'!P234+'Partnerships &amp; Collaborations'!P234+'Broadening Participation Divers'!P234+'Education Workforce Development'!P234+'Communications &amp; Disseminations'!P234+'Evaluation and Assessment '!P234+'Sustainability Plan'!P234+'Management '!P234)</f>
        <v>0</v>
      </c>
      <c r="Q234" s="56">
        <f t="shared" ref="Q234:Q244" si="129">SUM(O234:P234)</f>
        <v>5000</v>
      </c>
      <c r="R234" s="15"/>
      <c r="S234" s="55">
        <f>SUM('Research Area'!S234+'Research Cyberinfrastructure'!S234+'EA &amp; Seed Funding'!S234+'Partnerships &amp; Collaborations'!S234+'Broadening Participation Divers'!S234+'Education Workforce Development'!S234+'Communications &amp; Disseminations'!S234+'Evaluation and Assessment '!S234+'Sustainability Plan'!S234+'Management '!S234)</f>
        <v>0</v>
      </c>
      <c r="T234" s="56">
        <f>SUM('Research Area'!T234+'Research Cyberinfrastructure'!T234+'EA &amp; Seed Funding'!T234+'Partnerships &amp; Collaborations'!T234+'Broadening Participation Divers'!T234+'Education Workforce Development'!T234+'Communications &amp; Disseminations'!T234+'Evaluation and Assessment '!T234+'Sustainability Plan'!T234+'Management '!T234)</f>
        <v>0</v>
      </c>
      <c r="U234" s="56">
        <f t="shared" ref="U234:U244" si="130">SUM(S234:T234)</f>
        <v>0</v>
      </c>
      <c r="V234" s="16"/>
      <c r="W234" s="55">
        <f>SUM('Research Area'!W234+'Research Cyberinfrastructure'!W234+'EA &amp; Seed Funding'!W234+'Partnerships &amp; Collaborations'!W234+'Broadening Participation Divers'!W234+'Education Workforce Development'!W234+'Communications &amp; Disseminations'!W234+'Evaluation and Assessment '!W234+'Sustainability Plan'!W234+'Management '!W234)</f>
        <v>43000</v>
      </c>
      <c r="X234" s="56">
        <f>SUM('Research Area'!X234+'Research Cyberinfrastructure'!X234+'EA &amp; Seed Funding'!X234+'Partnerships &amp; Collaborations'!X234+'Broadening Participation Divers'!X234+'Education Workforce Development'!X234+'Communications &amp; Disseminations'!X234+'Evaluation and Assessment '!X234+'Sustainability Plan'!X234+'Management '!X234)</f>
        <v>0</v>
      </c>
      <c r="Y234" s="56">
        <f t="shared" ref="Y234:Y244" si="131">SUM(W234:X234)</f>
        <v>43000</v>
      </c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</row>
    <row r="235" spans="1:77" x14ac:dyDescent="0.25">
      <c r="A235" s="17"/>
      <c r="B235" s="17"/>
      <c r="C235" s="124">
        <f>SUM('Research Area'!C235+'Research Cyberinfrastructure'!C235+'EA &amp; Seed Funding'!C235+'Partnerships &amp; Collaborations'!C235+'Broadening Participation Divers'!C235+'Education Workforce Development'!C235+'Communications &amp; Disseminations'!C235+'Evaluation and Assessment '!C235+'Sustainability Plan'!C235+'Management '!C235)</f>
        <v>0</v>
      </c>
      <c r="D235" s="56">
        <f>SUM('Research Area'!D235+'Research Cyberinfrastructure'!D235+'EA &amp; Seed Funding'!D235+'Partnerships &amp; Collaborations'!D235+'Broadening Participation Divers'!D235+'Education Workforce Development'!D235+'Communications &amp; Disseminations'!D235+'Evaluation and Assessment '!D235+'Sustainability Plan'!D235+'Management '!D235)</f>
        <v>0</v>
      </c>
      <c r="E235" s="56">
        <f t="shared" si="126"/>
        <v>0</v>
      </c>
      <c r="F235" s="15"/>
      <c r="G235" s="55">
        <f>SUM('Research Area'!G235+'Research Cyberinfrastructure'!G235+'EA &amp; Seed Funding'!G235+'Partnerships &amp; Collaborations'!G235+'Broadening Participation Divers'!G235+'Education Workforce Development'!G235+'Communications &amp; Disseminations'!G235+'Evaluation and Assessment '!G235+'Sustainability Plan'!G235+'Management '!G235)</f>
        <v>0</v>
      </c>
      <c r="H235" s="56">
        <f>SUM('Research Area'!H235+'Research Cyberinfrastructure'!H235+'EA &amp; Seed Funding'!H235+'Partnerships &amp; Collaborations'!H235+'Broadening Participation Divers'!H235+'Education Workforce Development'!H235+'Communications &amp; Disseminations'!H235+'Evaluation and Assessment '!H235+'Sustainability Plan'!H235+'Management '!H235)</f>
        <v>0</v>
      </c>
      <c r="I235" s="56">
        <f t="shared" si="127"/>
        <v>0</v>
      </c>
      <c r="J235" s="15"/>
      <c r="K235" s="55">
        <f>SUM('Research Area'!K235+'Research Cyberinfrastructure'!K235+'EA &amp; Seed Funding'!K235+'Partnerships &amp; Collaborations'!K235+'Broadening Participation Divers'!K235+'Education Workforce Development'!K235+'Communications &amp; Disseminations'!K235+'Evaluation and Assessment '!K235+'Sustainability Plan'!K235+'Management '!K235)</f>
        <v>0</v>
      </c>
      <c r="L235" s="56">
        <f>SUM('Research Area'!L235+'Research Cyberinfrastructure'!L235+'EA &amp; Seed Funding'!L235+'Partnerships &amp; Collaborations'!L235+'Broadening Participation Divers'!L235+'Education Workforce Development'!L235+'Communications &amp; Disseminations'!L235+'Evaluation and Assessment '!L235+'Sustainability Plan'!L235+'Management '!L235)</f>
        <v>0</v>
      </c>
      <c r="M235" s="56">
        <f t="shared" si="128"/>
        <v>0</v>
      </c>
      <c r="N235" s="15"/>
      <c r="O235" s="55">
        <f>SUM('Research Area'!O235+'Research Cyberinfrastructure'!O235+'EA &amp; Seed Funding'!O235+'Partnerships &amp; Collaborations'!O235+'Broadening Participation Divers'!O235+'Education Workforce Development'!O235+'Communications &amp; Disseminations'!O235+'Evaluation and Assessment '!O235+'Sustainability Plan'!O235+'Management '!O235)</f>
        <v>15000</v>
      </c>
      <c r="P235" s="56">
        <f>SUM('Research Area'!P235+'Research Cyberinfrastructure'!P235+'EA &amp; Seed Funding'!P235+'Partnerships &amp; Collaborations'!P235+'Broadening Participation Divers'!P235+'Education Workforce Development'!P235+'Communications &amp; Disseminations'!P235+'Evaluation and Assessment '!P235+'Sustainability Plan'!P235+'Management '!P235)</f>
        <v>0</v>
      </c>
      <c r="Q235" s="56">
        <f t="shared" si="129"/>
        <v>15000</v>
      </c>
      <c r="R235" s="15"/>
      <c r="S235" s="55">
        <f>SUM('Research Area'!S235+'Research Cyberinfrastructure'!S235+'EA &amp; Seed Funding'!S235+'Partnerships &amp; Collaborations'!S235+'Broadening Participation Divers'!S235+'Education Workforce Development'!S235+'Communications &amp; Disseminations'!S235+'Evaluation and Assessment '!S235+'Sustainability Plan'!S235+'Management '!S235)</f>
        <v>0</v>
      </c>
      <c r="T235" s="56">
        <f>SUM('Research Area'!T235+'Research Cyberinfrastructure'!T235+'EA &amp; Seed Funding'!T235+'Partnerships &amp; Collaborations'!T235+'Broadening Participation Divers'!T235+'Education Workforce Development'!T235+'Communications &amp; Disseminations'!T235+'Evaluation and Assessment '!T235+'Sustainability Plan'!T235+'Management '!T235)</f>
        <v>0</v>
      </c>
      <c r="U235" s="56">
        <f t="shared" si="130"/>
        <v>0</v>
      </c>
      <c r="V235" s="16"/>
      <c r="W235" s="55">
        <f>SUM('Research Area'!W235+'Research Cyberinfrastructure'!W235+'EA &amp; Seed Funding'!W235+'Partnerships &amp; Collaborations'!W235+'Broadening Participation Divers'!W235+'Education Workforce Development'!W235+'Communications &amp; Disseminations'!W235+'Evaluation and Assessment '!W235+'Sustainability Plan'!W235+'Management '!W235)</f>
        <v>15000</v>
      </c>
      <c r="X235" s="56">
        <f>SUM('Research Area'!X235+'Research Cyberinfrastructure'!X235+'EA &amp; Seed Funding'!X235+'Partnerships &amp; Collaborations'!X235+'Broadening Participation Divers'!X235+'Education Workforce Development'!X235+'Communications &amp; Disseminations'!X235+'Evaluation and Assessment '!X235+'Sustainability Plan'!X235+'Management '!X235)</f>
        <v>0</v>
      </c>
      <c r="Y235" s="56">
        <f t="shared" si="131"/>
        <v>15000</v>
      </c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</row>
    <row r="236" spans="1:77" x14ac:dyDescent="0.25">
      <c r="A236" s="17"/>
      <c r="B236" s="17"/>
      <c r="C236" s="124">
        <f>SUM('Research Area'!C236+'Research Cyberinfrastructure'!C236+'EA &amp; Seed Funding'!C236+'Partnerships &amp; Collaborations'!C236+'Broadening Participation Divers'!C236+'Education Workforce Development'!C236+'Communications &amp; Disseminations'!C236+'Evaluation and Assessment '!C236+'Sustainability Plan'!C236+'Management '!C236)</f>
        <v>0</v>
      </c>
      <c r="D236" s="56">
        <f>SUM('Research Area'!D236+'Research Cyberinfrastructure'!D236+'EA &amp; Seed Funding'!D236+'Partnerships &amp; Collaborations'!D236+'Broadening Participation Divers'!D236+'Education Workforce Development'!D236+'Communications &amp; Disseminations'!D236+'Evaluation and Assessment '!D236+'Sustainability Plan'!D236+'Management '!D236)</f>
        <v>0</v>
      </c>
      <c r="E236" s="56">
        <f t="shared" si="126"/>
        <v>0</v>
      </c>
      <c r="F236" s="15"/>
      <c r="G236" s="55">
        <f>SUM('Research Area'!G236+'Research Cyberinfrastructure'!G236+'EA &amp; Seed Funding'!G236+'Partnerships &amp; Collaborations'!G236+'Broadening Participation Divers'!G236+'Education Workforce Development'!G236+'Communications &amp; Disseminations'!G236+'Evaluation and Assessment '!G236+'Sustainability Plan'!G236+'Management '!G236)</f>
        <v>2500</v>
      </c>
      <c r="H236" s="56">
        <f>SUM('Research Area'!H236+'Research Cyberinfrastructure'!H236+'EA &amp; Seed Funding'!H236+'Partnerships &amp; Collaborations'!H236+'Broadening Participation Divers'!H236+'Education Workforce Development'!H236+'Communications &amp; Disseminations'!H236+'Evaluation and Assessment '!H236+'Sustainability Plan'!H236+'Management '!H236)</f>
        <v>0</v>
      </c>
      <c r="I236" s="56">
        <f t="shared" si="127"/>
        <v>2500</v>
      </c>
      <c r="J236" s="15"/>
      <c r="K236" s="55">
        <f>SUM('Research Area'!K236+'Research Cyberinfrastructure'!K236+'EA &amp; Seed Funding'!K236+'Partnerships &amp; Collaborations'!K236+'Broadening Participation Divers'!K236+'Education Workforce Development'!K236+'Communications &amp; Disseminations'!K236+'Evaluation and Assessment '!K236+'Sustainability Plan'!K236+'Management '!K236)</f>
        <v>2500</v>
      </c>
      <c r="L236" s="56">
        <f>SUM('Research Area'!L236+'Research Cyberinfrastructure'!L236+'EA &amp; Seed Funding'!L236+'Partnerships &amp; Collaborations'!L236+'Broadening Participation Divers'!L236+'Education Workforce Development'!L236+'Communications &amp; Disseminations'!L236+'Evaluation and Assessment '!L236+'Sustainability Plan'!L236+'Management '!L236)</f>
        <v>0</v>
      </c>
      <c r="M236" s="56">
        <f t="shared" si="128"/>
        <v>2500</v>
      </c>
      <c r="N236" s="15"/>
      <c r="O236" s="55">
        <f>SUM('Research Area'!O236+'Research Cyberinfrastructure'!O236+'EA &amp; Seed Funding'!O236+'Partnerships &amp; Collaborations'!O236+'Broadening Participation Divers'!O236+'Education Workforce Development'!O236+'Communications &amp; Disseminations'!O236+'Evaluation and Assessment '!O236+'Sustainability Plan'!O236+'Management '!O236)</f>
        <v>2500</v>
      </c>
      <c r="P236" s="56">
        <f>SUM('Research Area'!P236+'Research Cyberinfrastructure'!P236+'EA &amp; Seed Funding'!P236+'Partnerships &amp; Collaborations'!P236+'Broadening Participation Divers'!P236+'Education Workforce Development'!P236+'Communications &amp; Disseminations'!P236+'Evaluation and Assessment '!P236+'Sustainability Plan'!P236+'Management '!P236)</f>
        <v>0</v>
      </c>
      <c r="Q236" s="56">
        <f t="shared" si="129"/>
        <v>2500</v>
      </c>
      <c r="R236" s="15"/>
      <c r="S236" s="55">
        <f>SUM('Research Area'!S236+'Research Cyberinfrastructure'!S236+'EA &amp; Seed Funding'!S236+'Partnerships &amp; Collaborations'!S236+'Broadening Participation Divers'!S236+'Education Workforce Development'!S236+'Communications &amp; Disseminations'!S236+'Evaluation and Assessment '!S236+'Sustainability Plan'!S236+'Management '!S236)</f>
        <v>2500</v>
      </c>
      <c r="T236" s="56">
        <f>SUM('Research Area'!T236+'Research Cyberinfrastructure'!T236+'EA &amp; Seed Funding'!T236+'Partnerships &amp; Collaborations'!T236+'Broadening Participation Divers'!T236+'Education Workforce Development'!T236+'Communications &amp; Disseminations'!T236+'Evaluation and Assessment '!T236+'Sustainability Plan'!T236+'Management '!T236)</f>
        <v>0</v>
      </c>
      <c r="U236" s="56">
        <f t="shared" si="130"/>
        <v>2500</v>
      </c>
      <c r="V236" s="16"/>
      <c r="W236" s="55">
        <f>SUM('Research Area'!W236+'Research Cyberinfrastructure'!W236+'EA &amp; Seed Funding'!W236+'Partnerships &amp; Collaborations'!W236+'Broadening Participation Divers'!W236+'Education Workforce Development'!W236+'Communications &amp; Disseminations'!W236+'Evaluation and Assessment '!W236+'Sustainability Plan'!W236+'Management '!W236)</f>
        <v>10000</v>
      </c>
      <c r="X236" s="56">
        <f>SUM('Research Area'!X236+'Research Cyberinfrastructure'!X236+'EA &amp; Seed Funding'!X236+'Partnerships &amp; Collaborations'!X236+'Broadening Participation Divers'!X236+'Education Workforce Development'!X236+'Communications &amp; Disseminations'!X236+'Evaluation and Assessment '!X236+'Sustainability Plan'!X236+'Management '!X236)</f>
        <v>0</v>
      </c>
      <c r="Y236" s="56">
        <f t="shared" si="131"/>
        <v>10000</v>
      </c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</row>
    <row r="237" spans="1:77" x14ac:dyDescent="0.25">
      <c r="A237" s="17"/>
      <c r="B237" s="17"/>
      <c r="C237" s="124">
        <f>SUM('Research Area'!C237+'Research Cyberinfrastructure'!C237+'EA &amp; Seed Funding'!C237+'Partnerships &amp; Collaborations'!C237+'Broadening Participation Divers'!C237+'Education Workforce Development'!C237+'Communications &amp; Disseminations'!C237+'Evaluation and Assessment '!C237+'Sustainability Plan'!C237+'Management '!C237)</f>
        <v>14000</v>
      </c>
      <c r="D237" s="56">
        <f>SUM('Research Area'!D237+'Research Cyberinfrastructure'!D237+'EA &amp; Seed Funding'!D237+'Partnerships &amp; Collaborations'!D237+'Broadening Participation Divers'!D237+'Education Workforce Development'!D237+'Communications &amp; Disseminations'!D237+'Evaluation and Assessment '!D237+'Sustainability Plan'!D237+'Management '!D237)</f>
        <v>0</v>
      </c>
      <c r="E237" s="56">
        <f t="shared" si="126"/>
        <v>14000</v>
      </c>
      <c r="F237" s="15"/>
      <c r="G237" s="55">
        <f>SUM('Research Area'!G237+'Research Cyberinfrastructure'!G237+'EA &amp; Seed Funding'!G237+'Partnerships &amp; Collaborations'!G237+'Broadening Participation Divers'!G237+'Education Workforce Development'!G237+'Communications &amp; Disseminations'!G237+'Evaluation and Assessment '!G237+'Sustainability Plan'!G237+'Management '!G237)</f>
        <v>14000</v>
      </c>
      <c r="H237" s="56">
        <f>SUM('Research Area'!H237+'Research Cyberinfrastructure'!H237+'EA &amp; Seed Funding'!H237+'Partnerships &amp; Collaborations'!H237+'Broadening Participation Divers'!H237+'Education Workforce Development'!H237+'Communications &amp; Disseminations'!H237+'Evaluation and Assessment '!H237+'Sustainability Plan'!H237+'Management '!H237)</f>
        <v>0</v>
      </c>
      <c r="I237" s="56">
        <f t="shared" si="127"/>
        <v>14000</v>
      </c>
      <c r="J237" s="15"/>
      <c r="K237" s="55">
        <f>SUM('Research Area'!K237+'Research Cyberinfrastructure'!K237+'EA &amp; Seed Funding'!K237+'Partnerships &amp; Collaborations'!K237+'Broadening Participation Divers'!K237+'Education Workforce Development'!K237+'Communications &amp; Disseminations'!K237+'Evaluation and Assessment '!K237+'Sustainability Plan'!K237+'Management '!K237)</f>
        <v>14000</v>
      </c>
      <c r="L237" s="56">
        <f>SUM('Research Area'!L237+'Research Cyberinfrastructure'!L237+'EA &amp; Seed Funding'!L237+'Partnerships &amp; Collaborations'!L237+'Broadening Participation Divers'!L237+'Education Workforce Development'!L237+'Communications &amp; Disseminations'!L237+'Evaluation and Assessment '!L237+'Sustainability Plan'!L237+'Management '!L237)</f>
        <v>0</v>
      </c>
      <c r="M237" s="56">
        <f t="shared" si="128"/>
        <v>14000</v>
      </c>
      <c r="N237" s="15"/>
      <c r="O237" s="55">
        <f>SUM('Research Area'!O237+'Research Cyberinfrastructure'!O237+'EA &amp; Seed Funding'!O237+'Partnerships &amp; Collaborations'!O237+'Broadening Participation Divers'!O237+'Education Workforce Development'!O237+'Communications &amp; Disseminations'!O237+'Evaluation and Assessment '!O237+'Sustainability Plan'!O237+'Management '!O237)</f>
        <v>54000</v>
      </c>
      <c r="P237" s="56">
        <f>SUM('Research Area'!P237+'Research Cyberinfrastructure'!P237+'EA &amp; Seed Funding'!P237+'Partnerships &amp; Collaborations'!P237+'Broadening Participation Divers'!P237+'Education Workforce Development'!P237+'Communications &amp; Disseminations'!P237+'Evaluation and Assessment '!P237+'Sustainability Plan'!P237+'Management '!P237)</f>
        <v>0</v>
      </c>
      <c r="Q237" s="56">
        <f t="shared" si="129"/>
        <v>54000</v>
      </c>
      <c r="R237" s="15"/>
      <c r="S237" s="55">
        <f>SUM('Research Area'!S237+'Research Cyberinfrastructure'!S237+'EA &amp; Seed Funding'!S237+'Partnerships &amp; Collaborations'!S237+'Broadening Participation Divers'!S237+'Education Workforce Development'!S237+'Communications &amp; Disseminations'!S237+'Evaluation and Assessment '!S237+'Sustainability Plan'!S237+'Management '!S237)</f>
        <v>14000</v>
      </c>
      <c r="T237" s="56">
        <f>SUM('Research Area'!T237+'Research Cyberinfrastructure'!T237+'EA &amp; Seed Funding'!T237+'Partnerships &amp; Collaborations'!T237+'Broadening Participation Divers'!T237+'Education Workforce Development'!T237+'Communications &amp; Disseminations'!T237+'Evaluation and Assessment '!T237+'Sustainability Plan'!T237+'Management '!T237)</f>
        <v>0</v>
      </c>
      <c r="U237" s="56">
        <f t="shared" si="130"/>
        <v>14000</v>
      </c>
      <c r="V237" s="16"/>
      <c r="W237" s="55">
        <f>SUM('Research Area'!W237+'Research Cyberinfrastructure'!W237+'EA &amp; Seed Funding'!W237+'Partnerships &amp; Collaborations'!W237+'Broadening Participation Divers'!W237+'Education Workforce Development'!W237+'Communications &amp; Disseminations'!W237+'Evaluation and Assessment '!W237+'Sustainability Plan'!W237+'Management '!W237)</f>
        <v>110000</v>
      </c>
      <c r="X237" s="56">
        <f>SUM('Research Area'!X237+'Research Cyberinfrastructure'!X237+'EA &amp; Seed Funding'!X237+'Partnerships &amp; Collaborations'!X237+'Broadening Participation Divers'!X237+'Education Workforce Development'!X237+'Communications &amp; Disseminations'!X237+'Evaluation and Assessment '!X237+'Sustainability Plan'!X237+'Management '!X237)</f>
        <v>0</v>
      </c>
      <c r="Y237" s="56">
        <f t="shared" si="131"/>
        <v>110000</v>
      </c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</row>
    <row r="238" spans="1:77" x14ac:dyDescent="0.25">
      <c r="A238" s="17"/>
      <c r="B238" s="17"/>
      <c r="C238" s="124">
        <f>SUM('Research Area'!C238+'Research Cyberinfrastructure'!C238+'EA &amp; Seed Funding'!C238+'Partnerships &amp; Collaborations'!C238+'Broadening Participation Divers'!C238+'Education Workforce Development'!C238+'Communications &amp; Disseminations'!C238+'Evaluation and Assessment '!C238+'Sustainability Plan'!C238+'Management '!C238)</f>
        <v>1000</v>
      </c>
      <c r="D238" s="56">
        <f>SUM('Research Area'!D238+'Research Cyberinfrastructure'!D238+'EA &amp; Seed Funding'!D238+'Partnerships &amp; Collaborations'!D238+'Broadening Participation Divers'!D238+'Education Workforce Development'!D238+'Communications &amp; Disseminations'!D238+'Evaluation and Assessment '!D238+'Sustainability Plan'!D238+'Management '!D238)</f>
        <v>0</v>
      </c>
      <c r="E238" s="56">
        <f t="shared" si="126"/>
        <v>1000</v>
      </c>
      <c r="F238" s="15"/>
      <c r="G238" s="55">
        <f>SUM('Research Area'!G238+'Research Cyberinfrastructure'!G238+'EA &amp; Seed Funding'!G238+'Partnerships &amp; Collaborations'!G238+'Broadening Participation Divers'!G238+'Education Workforce Development'!G238+'Communications &amp; Disseminations'!G238+'Evaluation and Assessment '!G238+'Sustainability Plan'!G238+'Management '!G238)</f>
        <v>1000</v>
      </c>
      <c r="H238" s="56">
        <f>SUM('Research Area'!H238+'Research Cyberinfrastructure'!H238+'EA &amp; Seed Funding'!H238+'Partnerships &amp; Collaborations'!H238+'Broadening Participation Divers'!H238+'Education Workforce Development'!H238+'Communications &amp; Disseminations'!H238+'Evaluation and Assessment '!H238+'Sustainability Plan'!H238+'Management '!H238)</f>
        <v>0</v>
      </c>
      <c r="I238" s="56">
        <f t="shared" si="127"/>
        <v>1000</v>
      </c>
      <c r="J238" s="15"/>
      <c r="K238" s="55">
        <f>SUM('Research Area'!K238+'Research Cyberinfrastructure'!K238+'EA &amp; Seed Funding'!K238+'Partnerships &amp; Collaborations'!K238+'Broadening Participation Divers'!K238+'Education Workforce Development'!K238+'Communications &amp; Disseminations'!K238+'Evaluation and Assessment '!K238+'Sustainability Plan'!K238+'Management '!K238)</f>
        <v>1000</v>
      </c>
      <c r="L238" s="56">
        <f>SUM('Research Area'!L238+'Research Cyberinfrastructure'!L238+'EA &amp; Seed Funding'!L238+'Partnerships &amp; Collaborations'!L238+'Broadening Participation Divers'!L238+'Education Workforce Development'!L238+'Communications &amp; Disseminations'!L238+'Evaluation and Assessment '!L238+'Sustainability Plan'!L238+'Management '!L238)</f>
        <v>0</v>
      </c>
      <c r="M238" s="56">
        <f t="shared" si="128"/>
        <v>1000</v>
      </c>
      <c r="N238" s="15"/>
      <c r="O238" s="55">
        <f>SUM('Research Area'!O238+'Research Cyberinfrastructure'!O238+'EA &amp; Seed Funding'!O238+'Partnerships &amp; Collaborations'!O238+'Broadening Participation Divers'!O238+'Education Workforce Development'!O238+'Communications &amp; Disseminations'!O238+'Evaluation and Assessment '!O238+'Sustainability Plan'!O238+'Management '!O238)</f>
        <v>1000</v>
      </c>
      <c r="P238" s="56">
        <f>SUM('Research Area'!P238+'Research Cyberinfrastructure'!P238+'EA &amp; Seed Funding'!P238+'Partnerships &amp; Collaborations'!P238+'Broadening Participation Divers'!P238+'Education Workforce Development'!P238+'Communications &amp; Disseminations'!P238+'Evaluation and Assessment '!P238+'Sustainability Plan'!P238+'Management '!P238)</f>
        <v>0</v>
      </c>
      <c r="Q238" s="56">
        <f t="shared" si="129"/>
        <v>1000</v>
      </c>
      <c r="R238" s="15"/>
      <c r="S238" s="55">
        <f>SUM('Research Area'!S238+'Research Cyberinfrastructure'!S238+'EA &amp; Seed Funding'!S238+'Partnerships &amp; Collaborations'!S238+'Broadening Participation Divers'!S238+'Education Workforce Development'!S238+'Communications &amp; Disseminations'!S238+'Evaluation and Assessment '!S238+'Sustainability Plan'!S238+'Management '!S238)</f>
        <v>1000</v>
      </c>
      <c r="T238" s="56">
        <f>SUM('Research Area'!T238+'Research Cyberinfrastructure'!T238+'EA &amp; Seed Funding'!T238+'Partnerships &amp; Collaborations'!T238+'Broadening Participation Divers'!T238+'Education Workforce Development'!T238+'Communications &amp; Disseminations'!T238+'Evaluation and Assessment '!T238+'Sustainability Plan'!T238+'Management '!T238)</f>
        <v>0</v>
      </c>
      <c r="U238" s="56">
        <f t="shared" si="130"/>
        <v>1000</v>
      </c>
      <c r="V238" s="16"/>
      <c r="W238" s="55">
        <f>SUM('Research Area'!W238+'Research Cyberinfrastructure'!W238+'EA &amp; Seed Funding'!W238+'Partnerships &amp; Collaborations'!W238+'Broadening Participation Divers'!W238+'Education Workforce Development'!W238+'Communications &amp; Disseminations'!W238+'Evaluation and Assessment '!W238+'Sustainability Plan'!W238+'Management '!W238)</f>
        <v>5000</v>
      </c>
      <c r="X238" s="56">
        <f>SUM('Research Area'!X238+'Research Cyberinfrastructure'!X238+'EA &amp; Seed Funding'!X238+'Partnerships &amp; Collaborations'!X238+'Broadening Participation Divers'!X238+'Education Workforce Development'!X238+'Communications &amp; Disseminations'!X238+'Evaluation and Assessment '!X238+'Sustainability Plan'!X238+'Management '!X238)</f>
        <v>0</v>
      </c>
      <c r="Y238" s="56">
        <f t="shared" si="131"/>
        <v>5000</v>
      </c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</row>
    <row r="239" spans="1:77" x14ac:dyDescent="0.25">
      <c r="A239" s="17"/>
      <c r="B239" s="17"/>
      <c r="C239" s="124">
        <f>SUM('Research Area'!C239+'Research Cyberinfrastructure'!C239+'EA &amp; Seed Funding'!C239+'Partnerships &amp; Collaborations'!C239+'Broadening Participation Divers'!C239+'Education Workforce Development'!C239+'Communications &amp; Disseminations'!C239+'Evaluation and Assessment '!C239+'Sustainability Plan'!C239+'Management '!C239)</f>
        <v>0</v>
      </c>
      <c r="D239" s="56">
        <f>SUM('Research Area'!D239+'Research Cyberinfrastructure'!D239+'EA &amp; Seed Funding'!D239+'Partnerships &amp; Collaborations'!D239+'Broadening Participation Divers'!D239+'Education Workforce Development'!D239+'Communications &amp; Disseminations'!D239+'Evaluation and Assessment '!D239+'Sustainability Plan'!D239+'Management '!D239)</f>
        <v>0</v>
      </c>
      <c r="E239" s="56">
        <f t="shared" si="126"/>
        <v>0</v>
      </c>
      <c r="F239" s="15"/>
      <c r="G239" s="55">
        <f>SUM('Research Area'!G239+'Research Cyberinfrastructure'!G239+'EA &amp; Seed Funding'!G239+'Partnerships &amp; Collaborations'!G239+'Broadening Participation Divers'!G239+'Education Workforce Development'!G239+'Communications &amp; Disseminations'!G239+'Evaluation and Assessment '!G239+'Sustainability Plan'!G239+'Management '!G239)</f>
        <v>0</v>
      </c>
      <c r="H239" s="56">
        <f>SUM('Research Area'!H239+'Research Cyberinfrastructure'!H239+'EA &amp; Seed Funding'!H239+'Partnerships &amp; Collaborations'!H239+'Broadening Participation Divers'!H239+'Education Workforce Development'!H239+'Communications &amp; Disseminations'!H239+'Evaluation and Assessment '!H239+'Sustainability Plan'!H239+'Management '!H239)</f>
        <v>0</v>
      </c>
      <c r="I239" s="56">
        <f t="shared" si="127"/>
        <v>0</v>
      </c>
      <c r="J239" s="15"/>
      <c r="K239" s="55">
        <f>SUM('Research Area'!K239+'Research Cyberinfrastructure'!K239+'EA &amp; Seed Funding'!K239+'Partnerships &amp; Collaborations'!K239+'Broadening Participation Divers'!K239+'Education Workforce Development'!K239+'Communications &amp; Disseminations'!K239+'Evaluation and Assessment '!K239+'Sustainability Plan'!K239+'Management '!K239)</f>
        <v>3000</v>
      </c>
      <c r="L239" s="56">
        <f>SUM('Research Area'!L239+'Research Cyberinfrastructure'!L239+'EA &amp; Seed Funding'!L239+'Partnerships &amp; Collaborations'!L239+'Broadening Participation Divers'!L239+'Education Workforce Development'!L239+'Communications &amp; Disseminations'!L239+'Evaluation and Assessment '!L239+'Sustainability Plan'!L239+'Management '!L239)</f>
        <v>0</v>
      </c>
      <c r="M239" s="56">
        <f t="shared" si="128"/>
        <v>3000</v>
      </c>
      <c r="N239" s="15"/>
      <c r="O239" s="55">
        <f>SUM('Research Area'!O239+'Research Cyberinfrastructure'!O239+'EA &amp; Seed Funding'!O239+'Partnerships &amp; Collaborations'!O239+'Broadening Participation Divers'!O239+'Education Workforce Development'!O239+'Communications &amp; Disseminations'!O239+'Evaluation and Assessment '!O239+'Sustainability Plan'!O239+'Management '!O239)</f>
        <v>4000</v>
      </c>
      <c r="P239" s="56">
        <f>SUM('Research Area'!P239+'Research Cyberinfrastructure'!P239+'EA &amp; Seed Funding'!P239+'Partnerships &amp; Collaborations'!P239+'Broadening Participation Divers'!P239+'Education Workforce Development'!P239+'Communications &amp; Disseminations'!P239+'Evaluation and Assessment '!P239+'Sustainability Plan'!P239+'Management '!P239)</f>
        <v>0</v>
      </c>
      <c r="Q239" s="56">
        <f t="shared" si="129"/>
        <v>4000</v>
      </c>
      <c r="R239" s="15"/>
      <c r="S239" s="55">
        <f>SUM('Research Area'!S239+'Research Cyberinfrastructure'!S239+'EA &amp; Seed Funding'!S239+'Partnerships &amp; Collaborations'!S239+'Broadening Participation Divers'!S239+'Education Workforce Development'!S239+'Communications &amp; Disseminations'!S239+'Evaluation and Assessment '!S239+'Sustainability Plan'!S239+'Management '!S239)</f>
        <v>5500</v>
      </c>
      <c r="T239" s="56">
        <f>SUM('Research Area'!T239+'Research Cyberinfrastructure'!T239+'EA &amp; Seed Funding'!T239+'Partnerships &amp; Collaborations'!T239+'Broadening Participation Divers'!T239+'Education Workforce Development'!T239+'Communications &amp; Disseminations'!T239+'Evaluation and Assessment '!T239+'Sustainability Plan'!T239+'Management '!T239)</f>
        <v>0</v>
      </c>
      <c r="U239" s="56">
        <f t="shared" si="130"/>
        <v>5500</v>
      </c>
      <c r="V239" s="16"/>
      <c r="W239" s="55">
        <f>SUM('Research Area'!W239+'Research Cyberinfrastructure'!W239+'EA &amp; Seed Funding'!W239+'Partnerships &amp; Collaborations'!W239+'Broadening Participation Divers'!W239+'Education Workforce Development'!W239+'Communications &amp; Disseminations'!W239+'Evaluation and Assessment '!W239+'Sustainability Plan'!W239+'Management '!W239)</f>
        <v>12500</v>
      </c>
      <c r="X239" s="56">
        <f>SUM('Research Area'!X239+'Research Cyberinfrastructure'!X239+'EA &amp; Seed Funding'!X239+'Partnerships &amp; Collaborations'!X239+'Broadening Participation Divers'!X239+'Education Workforce Development'!X239+'Communications &amp; Disseminations'!X239+'Evaluation and Assessment '!X239+'Sustainability Plan'!X239+'Management '!X239)</f>
        <v>0</v>
      </c>
      <c r="Y239" s="56">
        <f t="shared" si="131"/>
        <v>12500</v>
      </c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</row>
    <row r="240" spans="1:77" x14ac:dyDescent="0.25">
      <c r="A240" s="17"/>
      <c r="B240" s="17"/>
      <c r="C240" s="124">
        <f>SUM('Research Area'!C240+'Research Cyberinfrastructure'!C240+'EA &amp; Seed Funding'!C240+'Partnerships &amp; Collaborations'!C240+'Broadening Participation Divers'!C240+'Education Workforce Development'!C240+'Communications &amp; Disseminations'!C240+'Evaluation and Assessment '!C240+'Sustainability Plan'!C240+'Management '!C240)</f>
        <v>0</v>
      </c>
      <c r="D240" s="56">
        <f>SUM('Research Area'!D240+'Research Cyberinfrastructure'!D240+'EA &amp; Seed Funding'!D240+'Partnerships &amp; Collaborations'!D240+'Broadening Participation Divers'!D240+'Education Workforce Development'!D240+'Communications &amp; Disseminations'!D240+'Evaluation and Assessment '!D240+'Sustainability Plan'!D240+'Management '!D240)</f>
        <v>0</v>
      </c>
      <c r="E240" s="56">
        <f t="shared" si="126"/>
        <v>0</v>
      </c>
      <c r="F240" s="15"/>
      <c r="G240" s="55">
        <f>SUM('Research Area'!G240+'Research Cyberinfrastructure'!G240+'EA &amp; Seed Funding'!G240+'Partnerships &amp; Collaborations'!G240+'Broadening Participation Divers'!G240+'Education Workforce Development'!G240+'Communications &amp; Disseminations'!G240+'Evaluation and Assessment '!G240+'Sustainability Plan'!G240+'Management '!G240)</f>
        <v>10000</v>
      </c>
      <c r="H240" s="56">
        <f>SUM('Research Area'!H240+'Research Cyberinfrastructure'!H240+'EA &amp; Seed Funding'!H240+'Partnerships &amp; Collaborations'!H240+'Broadening Participation Divers'!H240+'Education Workforce Development'!H240+'Communications &amp; Disseminations'!H240+'Evaluation and Assessment '!H240+'Sustainability Plan'!H240+'Management '!H240)</f>
        <v>0</v>
      </c>
      <c r="I240" s="56">
        <f t="shared" si="127"/>
        <v>10000</v>
      </c>
      <c r="J240" s="15"/>
      <c r="K240" s="55">
        <f>SUM('Research Area'!K240+'Research Cyberinfrastructure'!K240+'EA &amp; Seed Funding'!K240+'Partnerships &amp; Collaborations'!K240+'Broadening Participation Divers'!K240+'Education Workforce Development'!K240+'Communications &amp; Disseminations'!K240+'Evaluation and Assessment '!K240+'Sustainability Plan'!K240+'Management '!K240)</f>
        <v>10000</v>
      </c>
      <c r="L240" s="56">
        <f>SUM('Research Area'!L240+'Research Cyberinfrastructure'!L240+'EA &amp; Seed Funding'!L240+'Partnerships &amp; Collaborations'!L240+'Broadening Participation Divers'!L240+'Education Workforce Development'!L240+'Communications &amp; Disseminations'!L240+'Evaluation and Assessment '!L240+'Sustainability Plan'!L240+'Management '!L240)</f>
        <v>0</v>
      </c>
      <c r="M240" s="56">
        <f t="shared" si="128"/>
        <v>10000</v>
      </c>
      <c r="N240" s="15"/>
      <c r="O240" s="55">
        <f>SUM('Research Area'!O240+'Research Cyberinfrastructure'!O240+'EA &amp; Seed Funding'!O240+'Partnerships &amp; Collaborations'!O240+'Broadening Participation Divers'!O240+'Education Workforce Development'!O240+'Communications &amp; Disseminations'!O240+'Evaluation and Assessment '!O240+'Sustainability Plan'!O240+'Management '!O240)</f>
        <v>10000</v>
      </c>
      <c r="P240" s="56">
        <f>SUM('Research Area'!P240+'Research Cyberinfrastructure'!P240+'EA &amp; Seed Funding'!P240+'Partnerships &amp; Collaborations'!P240+'Broadening Participation Divers'!P240+'Education Workforce Development'!P240+'Communications &amp; Disseminations'!P240+'Evaluation and Assessment '!P240+'Sustainability Plan'!P240+'Management '!P240)</f>
        <v>0</v>
      </c>
      <c r="Q240" s="56">
        <f t="shared" si="129"/>
        <v>10000</v>
      </c>
      <c r="R240" s="15"/>
      <c r="S240" s="55">
        <f>SUM('Research Area'!S240+'Research Cyberinfrastructure'!S240+'EA &amp; Seed Funding'!S240+'Partnerships &amp; Collaborations'!S240+'Broadening Participation Divers'!S240+'Education Workforce Development'!S240+'Communications &amp; Disseminations'!S240+'Evaluation and Assessment '!S240+'Sustainability Plan'!S240+'Management '!S240)</f>
        <v>0</v>
      </c>
      <c r="T240" s="56">
        <f>SUM('Research Area'!T240+'Research Cyberinfrastructure'!T240+'EA &amp; Seed Funding'!T240+'Partnerships &amp; Collaborations'!T240+'Broadening Participation Divers'!T240+'Education Workforce Development'!T240+'Communications &amp; Disseminations'!T240+'Evaluation and Assessment '!T240+'Sustainability Plan'!T240+'Management '!T240)</f>
        <v>0</v>
      </c>
      <c r="U240" s="56">
        <f t="shared" si="130"/>
        <v>0</v>
      </c>
      <c r="V240" s="16"/>
      <c r="W240" s="55">
        <f>SUM('Research Area'!W240+'Research Cyberinfrastructure'!W240+'EA &amp; Seed Funding'!W240+'Partnerships &amp; Collaborations'!W240+'Broadening Participation Divers'!W240+'Education Workforce Development'!W240+'Communications &amp; Disseminations'!W240+'Evaluation and Assessment '!W240+'Sustainability Plan'!W240+'Management '!W240)</f>
        <v>30000</v>
      </c>
      <c r="X240" s="56">
        <f>SUM('Research Area'!X240+'Research Cyberinfrastructure'!X240+'EA &amp; Seed Funding'!X240+'Partnerships &amp; Collaborations'!X240+'Broadening Participation Divers'!X240+'Education Workforce Development'!X240+'Communications &amp; Disseminations'!X240+'Evaluation and Assessment '!X240+'Sustainability Plan'!X240+'Management '!X240)</f>
        <v>0</v>
      </c>
      <c r="Y240" s="56">
        <f t="shared" si="131"/>
        <v>30000</v>
      </c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</row>
    <row r="241" spans="1:77" x14ac:dyDescent="0.25">
      <c r="A241" s="17"/>
      <c r="B241" s="17"/>
      <c r="C241" s="124">
        <f>SUM('Research Area'!C241+'Research Cyberinfrastructure'!C241+'EA &amp; Seed Funding'!C241+'Partnerships &amp; Collaborations'!C241+'Broadening Participation Divers'!C241+'Education Workforce Development'!C241+'Communications &amp; Disseminations'!C241+'Evaluation and Assessment '!C241+'Sustainability Plan'!C241+'Management '!C241)</f>
        <v>0</v>
      </c>
      <c r="D241" s="56">
        <f>SUM('Research Area'!D241+'Research Cyberinfrastructure'!D241+'EA &amp; Seed Funding'!D241+'Partnerships &amp; Collaborations'!D241+'Broadening Participation Divers'!D241+'Education Workforce Development'!D241+'Communications &amp; Disseminations'!D241+'Evaluation and Assessment '!D241+'Sustainability Plan'!D241+'Management '!D241)</f>
        <v>0</v>
      </c>
      <c r="E241" s="56">
        <f t="shared" si="126"/>
        <v>0</v>
      </c>
      <c r="F241" s="15"/>
      <c r="G241" s="55">
        <f>SUM('Research Area'!G241+'Research Cyberinfrastructure'!G241+'EA &amp; Seed Funding'!G241+'Partnerships &amp; Collaborations'!G241+'Broadening Participation Divers'!G241+'Education Workforce Development'!G241+'Communications &amp; Disseminations'!G241+'Evaluation and Assessment '!G241+'Sustainability Plan'!G241+'Management '!G241)</f>
        <v>0</v>
      </c>
      <c r="H241" s="56">
        <f>SUM('Research Area'!H241+'Research Cyberinfrastructure'!H241+'EA &amp; Seed Funding'!H241+'Partnerships &amp; Collaborations'!H241+'Broadening Participation Divers'!H241+'Education Workforce Development'!H241+'Communications &amp; Disseminations'!H241+'Evaluation and Assessment '!H241+'Sustainability Plan'!H241+'Management '!H241)</f>
        <v>0</v>
      </c>
      <c r="I241" s="56">
        <f t="shared" si="127"/>
        <v>0</v>
      </c>
      <c r="J241" s="15"/>
      <c r="K241" s="55">
        <f>SUM('Research Area'!K241+'Research Cyberinfrastructure'!K241+'EA &amp; Seed Funding'!K241+'Partnerships &amp; Collaborations'!K241+'Broadening Participation Divers'!K241+'Education Workforce Development'!K241+'Communications &amp; Disseminations'!K241+'Evaluation and Assessment '!K241+'Sustainability Plan'!K241+'Management '!K241)</f>
        <v>0</v>
      </c>
      <c r="L241" s="56">
        <f>SUM('Research Area'!L241+'Research Cyberinfrastructure'!L241+'EA &amp; Seed Funding'!L241+'Partnerships &amp; Collaborations'!L241+'Broadening Participation Divers'!L241+'Education Workforce Development'!L241+'Communications &amp; Disseminations'!L241+'Evaluation and Assessment '!L241+'Sustainability Plan'!L241+'Management '!L241)</f>
        <v>0</v>
      </c>
      <c r="M241" s="56">
        <f t="shared" si="128"/>
        <v>0</v>
      </c>
      <c r="N241" s="15"/>
      <c r="O241" s="55">
        <f>SUM('Research Area'!O241+'Research Cyberinfrastructure'!O241+'EA &amp; Seed Funding'!O241+'Partnerships &amp; Collaborations'!O241+'Broadening Participation Divers'!O241+'Education Workforce Development'!O241+'Communications &amp; Disseminations'!O241+'Evaluation and Assessment '!O241+'Sustainability Plan'!O241+'Management '!O241)</f>
        <v>0</v>
      </c>
      <c r="P241" s="56">
        <f>SUM('Research Area'!P241+'Research Cyberinfrastructure'!P241+'EA &amp; Seed Funding'!P241+'Partnerships &amp; Collaborations'!P241+'Broadening Participation Divers'!P241+'Education Workforce Development'!P241+'Communications &amp; Disseminations'!P241+'Evaluation and Assessment '!P241+'Sustainability Plan'!P241+'Management '!P241)</f>
        <v>0</v>
      </c>
      <c r="Q241" s="56">
        <f t="shared" si="129"/>
        <v>0</v>
      </c>
      <c r="R241" s="15"/>
      <c r="S241" s="55">
        <f>SUM('Research Area'!S241+'Research Cyberinfrastructure'!S241+'EA &amp; Seed Funding'!S241+'Partnerships &amp; Collaborations'!S241+'Broadening Participation Divers'!S241+'Education Workforce Development'!S241+'Communications &amp; Disseminations'!S241+'Evaluation and Assessment '!S241+'Sustainability Plan'!S241+'Management '!S241)</f>
        <v>0</v>
      </c>
      <c r="T241" s="56">
        <f>SUM('Research Area'!T241+'Research Cyberinfrastructure'!T241+'EA &amp; Seed Funding'!T241+'Partnerships &amp; Collaborations'!T241+'Broadening Participation Divers'!T241+'Education Workforce Development'!T241+'Communications &amp; Disseminations'!T241+'Evaluation and Assessment '!T241+'Sustainability Plan'!T241+'Management '!T241)</f>
        <v>0</v>
      </c>
      <c r="U241" s="56">
        <f t="shared" si="130"/>
        <v>0</v>
      </c>
      <c r="V241" s="16"/>
      <c r="W241" s="55">
        <f>SUM('Research Area'!W241+'Research Cyberinfrastructure'!W241+'EA &amp; Seed Funding'!W241+'Partnerships &amp; Collaborations'!W241+'Broadening Participation Divers'!W241+'Education Workforce Development'!W241+'Communications &amp; Disseminations'!W241+'Evaluation and Assessment '!W241+'Sustainability Plan'!W241+'Management '!W241)</f>
        <v>0</v>
      </c>
      <c r="X241" s="56">
        <f>SUM('Research Area'!X241+'Research Cyberinfrastructure'!X241+'EA &amp; Seed Funding'!X241+'Partnerships &amp; Collaborations'!X241+'Broadening Participation Divers'!X241+'Education Workforce Development'!X241+'Communications &amp; Disseminations'!X241+'Evaluation and Assessment '!X241+'Sustainability Plan'!X241+'Management '!X241)</f>
        <v>0</v>
      </c>
      <c r="Y241" s="56">
        <f t="shared" si="131"/>
        <v>0</v>
      </c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</row>
    <row r="242" spans="1:77" x14ac:dyDescent="0.25">
      <c r="A242" s="17"/>
      <c r="B242" s="17"/>
      <c r="C242" s="124">
        <f>SUM('Research Area'!C242+'Research Cyberinfrastructure'!C242+'EA &amp; Seed Funding'!C242+'Partnerships &amp; Collaborations'!C242+'Broadening Participation Divers'!C242+'Education Workforce Development'!C242+'Communications &amp; Disseminations'!C242+'Evaluation and Assessment '!C242+'Sustainability Plan'!C242+'Management '!C242)</f>
        <v>0</v>
      </c>
      <c r="D242" s="56">
        <f>SUM('Research Area'!D242+'Research Cyberinfrastructure'!D242+'EA &amp; Seed Funding'!D242+'Partnerships &amp; Collaborations'!D242+'Broadening Participation Divers'!D242+'Education Workforce Development'!D242+'Communications &amp; Disseminations'!D242+'Evaluation and Assessment '!D242+'Sustainability Plan'!D242+'Management '!D242)</f>
        <v>0</v>
      </c>
      <c r="E242" s="56">
        <f t="shared" si="126"/>
        <v>0</v>
      </c>
      <c r="F242" s="15"/>
      <c r="G242" s="55">
        <f>SUM('Research Area'!G242+'Research Cyberinfrastructure'!G242+'EA &amp; Seed Funding'!G242+'Partnerships &amp; Collaborations'!G242+'Broadening Participation Divers'!G242+'Education Workforce Development'!G242+'Communications &amp; Disseminations'!G242+'Evaluation and Assessment '!G242+'Sustainability Plan'!G242+'Management '!G242)</f>
        <v>0</v>
      </c>
      <c r="H242" s="56">
        <f>SUM('Research Area'!H242+'Research Cyberinfrastructure'!H242+'EA &amp; Seed Funding'!H242+'Partnerships &amp; Collaborations'!H242+'Broadening Participation Divers'!H242+'Education Workforce Development'!H242+'Communications &amp; Disseminations'!H242+'Evaluation and Assessment '!H242+'Sustainability Plan'!H242+'Management '!H242)</f>
        <v>0</v>
      </c>
      <c r="I242" s="56">
        <f t="shared" si="127"/>
        <v>0</v>
      </c>
      <c r="J242" s="15"/>
      <c r="K242" s="55">
        <f>SUM('Research Area'!K242+'Research Cyberinfrastructure'!K242+'EA &amp; Seed Funding'!K242+'Partnerships &amp; Collaborations'!K242+'Broadening Participation Divers'!K242+'Education Workforce Development'!K242+'Communications &amp; Disseminations'!K242+'Evaluation and Assessment '!K242+'Sustainability Plan'!K242+'Management '!K242)</f>
        <v>0</v>
      </c>
      <c r="L242" s="56">
        <f>SUM('Research Area'!L242+'Research Cyberinfrastructure'!L242+'EA &amp; Seed Funding'!L242+'Partnerships &amp; Collaborations'!L242+'Broadening Participation Divers'!L242+'Education Workforce Development'!L242+'Communications &amp; Disseminations'!L242+'Evaluation and Assessment '!L242+'Sustainability Plan'!L242+'Management '!L242)</f>
        <v>0</v>
      </c>
      <c r="M242" s="56">
        <f t="shared" si="128"/>
        <v>0</v>
      </c>
      <c r="N242" s="15"/>
      <c r="O242" s="55">
        <f>SUM('Research Area'!O242+'Research Cyberinfrastructure'!O242+'EA &amp; Seed Funding'!O242+'Partnerships &amp; Collaborations'!O242+'Broadening Participation Divers'!O242+'Education Workforce Development'!O242+'Communications &amp; Disseminations'!O242+'Evaluation and Assessment '!O242+'Sustainability Plan'!O242+'Management '!O242)</f>
        <v>0</v>
      </c>
      <c r="P242" s="56">
        <f>SUM('Research Area'!P242+'Research Cyberinfrastructure'!P242+'EA &amp; Seed Funding'!P242+'Partnerships &amp; Collaborations'!P242+'Broadening Participation Divers'!P242+'Education Workforce Development'!P242+'Communications &amp; Disseminations'!P242+'Evaluation and Assessment '!P242+'Sustainability Plan'!P242+'Management '!P242)</f>
        <v>0</v>
      </c>
      <c r="Q242" s="56">
        <f t="shared" si="129"/>
        <v>0</v>
      </c>
      <c r="R242" s="15"/>
      <c r="S242" s="55">
        <f>SUM('Research Area'!S242+'Research Cyberinfrastructure'!S242+'EA &amp; Seed Funding'!S242+'Partnerships &amp; Collaborations'!S242+'Broadening Participation Divers'!S242+'Education Workforce Development'!S242+'Communications &amp; Disseminations'!S242+'Evaluation and Assessment '!S242+'Sustainability Plan'!S242+'Management '!S242)</f>
        <v>0</v>
      </c>
      <c r="T242" s="56">
        <f>SUM('Research Area'!T242+'Research Cyberinfrastructure'!T242+'EA &amp; Seed Funding'!T242+'Partnerships &amp; Collaborations'!T242+'Broadening Participation Divers'!T242+'Education Workforce Development'!T242+'Communications &amp; Disseminations'!T242+'Evaluation and Assessment '!T242+'Sustainability Plan'!T242+'Management '!T242)</f>
        <v>0</v>
      </c>
      <c r="U242" s="56">
        <f t="shared" si="130"/>
        <v>0</v>
      </c>
      <c r="V242" s="16"/>
      <c r="W242" s="55">
        <f>SUM('Research Area'!W242+'Research Cyberinfrastructure'!W242+'EA &amp; Seed Funding'!W242+'Partnerships &amp; Collaborations'!W242+'Broadening Participation Divers'!W242+'Education Workforce Development'!W242+'Communications &amp; Disseminations'!W242+'Evaluation and Assessment '!W242+'Sustainability Plan'!W242+'Management '!W242)</f>
        <v>0</v>
      </c>
      <c r="X242" s="56">
        <f>SUM('Research Area'!X242+'Research Cyberinfrastructure'!X242+'EA &amp; Seed Funding'!X242+'Partnerships &amp; Collaborations'!X242+'Broadening Participation Divers'!X242+'Education Workforce Development'!X242+'Communications &amp; Disseminations'!X242+'Evaluation and Assessment '!X242+'Sustainability Plan'!X242+'Management '!X242)</f>
        <v>0</v>
      </c>
      <c r="Y242" s="56">
        <f t="shared" si="131"/>
        <v>0</v>
      </c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</row>
    <row r="243" spans="1:77" x14ac:dyDescent="0.25">
      <c r="A243" s="17"/>
      <c r="B243" s="17"/>
      <c r="C243" s="124">
        <f>SUM('Research Area'!C243+'Research Cyberinfrastructure'!C243+'EA &amp; Seed Funding'!C243+'Partnerships &amp; Collaborations'!C243+'Broadening Participation Divers'!C243+'Education Workforce Development'!C243+'Communications &amp; Disseminations'!C243+'Evaluation and Assessment '!C243+'Sustainability Plan'!C243+'Management '!C243)</f>
        <v>0</v>
      </c>
      <c r="D243" s="56">
        <f>SUM('Research Area'!D243+'Research Cyberinfrastructure'!D243+'EA &amp; Seed Funding'!D243+'Partnerships &amp; Collaborations'!D243+'Broadening Participation Divers'!D243+'Education Workforce Development'!D243+'Communications &amp; Disseminations'!D243+'Evaluation and Assessment '!D243+'Sustainability Plan'!D243+'Management '!D243)</f>
        <v>0</v>
      </c>
      <c r="E243" s="56">
        <f t="shared" si="126"/>
        <v>0</v>
      </c>
      <c r="F243" s="15"/>
      <c r="G243" s="55">
        <f>SUM('Research Area'!G243+'Research Cyberinfrastructure'!G243+'EA &amp; Seed Funding'!G243+'Partnerships &amp; Collaborations'!G243+'Broadening Participation Divers'!G243+'Education Workforce Development'!G243+'Communications &amp; Disseminations'!G243+'Evaluation and Assessment '!G243+'Sustainability Plan'!G243+'Management '!G243)</f>
        <v>0</v>
      </c>
      <c r="H243" s="56">
        <f>SUM('Research Area'!H243+'Research Cyberinfrastructure'!H243+'EA &amp; Seed Funding'!H243+'Partnerships &amp; Collaborations'!H243+'Broadening Participation Divers'!H243+'Education Workforce Development'!H243+'Communications &amp; Disseminations'!H243+'Evaluation and Assessment '!H243+'Sustainability Plan'!H243+'Management '!H243)</f>
        <v>0</v>
      </c>
      <c r="I243" s="56">
        <f t="shared" si="127"/>
        <v>0</v>
      </c>
      <c r="J243" s="15"/>
      <c r="K243" s="55">
        <f>SUM('Research Area'!K243+'Research Cyberinfrastructure'!K243+'EA &amp; Seed Funding'!K243+'Partnerships &amp; Collaborations'!K243+'Broadening Participation Divers'!K243+'Education Workforce Development'!K243+'Communications &amp; Disseminations'!K243+'Evaluation and Assessment '!K243+'Sustainability Plan'!K243+'Management '!K243)</f>
        <v>0</v>
      </c>
      <c r="L243" s="56">
        <f>SUM('Research Area'!L243+'Research Cyberinfrastructure'!L243+'EA &amp; Seed Funding'!L243+'Partnerships &amp; Collaborations'!L243+'Broadening Participation Divers'!L243+'Education Workforce Development'!L243+'Communications &amp; Disseminations'!L243+'Evaluation and Assessment '!L243+'Sustainability Plan'!L243+'Management '!L243)</f>
        <v>0</v>
      </c>
      <c r="M243" s="56">
        <f t="shared" si="128"/>
        <v>0</v>
      </c>
      <c r="N243" s="15"/>
      <c r="O243" s="55">
        <f>SUM('Research Area'!O243+'Research Cyberinfrastructure'!O243+'EA &amp; Seed Funding'!O243+'Partnerships &amp; Collaborations'!O243+'Broadening Participation Divers'!O243+'Education Workforce Development'!O243+'Communications &amp; Disseminations'!O243+'Evaluation and Assessment '!O243+'Sustainability Plan'!O243+'Management '!O243)</f>
        <v>0</v>
      </c>
      <c r="P243" s="56">
        <f>SUM('Research Area'!P243+'Research Cyberinfrastructure'!P243+'EA &amp; Seed Funding'!P243+'Partnerships &amp; Collaborations'!P243+'Broadening Participation Divers'!P243+'Education Workforce Development'!P243+'Communications &amp; Disseminations'!P243+'Evaluation and Assessment '!P243+'Sustainability Plan'!P243+'Management '!P243)</f>
        <v>0</v>
      </c>
      <c r="Q243" s="56">
        <f t="shared" si="129"/>
        <v>0</v>
      </c>
      <c r="R243" s="15"/>
      <c r="S243" s="55">
        <f>SUM('Research Area'!S243+'Research Cyberinfrastructure'!S243+'EA &amp; Seed Funding'!S243+'Partnerships &amp; Collaborations'!S243+'Broadening Participation Divers'!S243+'Education Workforce Development'!S243+'Communications &amp; Disseminations'!S243+'Evaluation and Assessment '!S243+'Sustainability Plan'!S243+'Management '!S243)</f>
        <v>0</v>
      </c>
      <c r="T243" s="56">
        <f>SUM('Research Area'!T243+'Research Cyberinfrastructure'!T243+'EA &amp; Seed Funding'!T243+'Partnerships &amp; Collaborations'!T243+'Broadening Participation Divers'!T243+'Education Workforce Development'!T243+'Communications &amp; Disseminations'!T243+'Evaluation and Assessment '!T243+'Sustainability Plan'!T243+'Management '!T243)</f>
        <v>0</v>
      </c>
      <c r="U243" s="56">
        <f t="shared" si="130"/>
        <v>0</v>
      </c>
      <c r="V243" s="16"/>
      <c r="W243" s="55">
        <f>SUM('Research Area'!W243+'Research Cyberinfrastructure'!W243+'EA &amp; Seed Funding'!W243+'Partnerships &amp; Collaborations'!W243+'Broadening Participation Divers'!W243+'Education Workforce Development'!W243+'Communications &amp; Disseminations'!W243+'Evaluation and Assessment '!W243+'Sustainability Plan'!W243+'Management '!W243)</f>
        <v>0</v>
      </c>
      <c r="X243" s="56">
        <f>SUM('Research Area'!X243+'Research Cyberinfrastructure'!X243+'EA &amp; Seed Funding'!X243+'Partnerships &amp; Collaborations'!X243+'Broadening Participation Divers'!X243+'Education Workforce Development'!X243+'Communications &amp; Disseminations'!X243+'Evaluation and Assessment '!X243+'Sustainability Plan'!X243+'Management '!X243)</f>
        <v>0</v>
      </c>
      <c r="Y243" s="56">
        <f t="shared" si="131"/>
        <v>0</v>
      </c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</row>
    <row r="244" spans="1:77" x14ac:dyDescent="0.25">
      <c r="A244" s="17"/>
      <c r="B244" s="17"/>
      <c r="C244" s="124">
        <f>SUM('Research Area'!C244+'Research Cyberinfrastructure'!C244+'EA &amp; Seed Funding'!C244+'Partnerships &amp; Collaborations'!C244+'Broadening Participation Divers'!C244+'Education Workforce Development'!C244+'Communications &amp; Disseminations'!C244+'Evaluation and Assessment '!C244+'Sustainability Plan'!C244+'Management '!C244)</f>
        <v>0</v>
      </c>
      <c r="D244" s="56">
        <f>SUM('Research Area'!D244+'Research Cyberinfrastructure'!D244+'EA &amp; Seed Funding'!D244+'Partnerships &amp; Collaborations'!D244+'Broadening Participation Divers'!D244+'Education Workforce Development'!D244+'Communications &amp; Disseminations'!D244+'Evaluation and Assessment '!D244+'Sustainability Plan'!D244+'Management '!D244)</f>
        <v>0</v>
      </c>
      <c r="E244" s="56">
        <f t="shared" si="126"/>
        <v>0</v>
      </c>
      <c r="F244" s="15"/>
      <c r="G244" s="55">
        <f>SUM('Research Area'!G244+'Research Cyberinfrastructure'!G244+'EA &amp; Seed Funding'!G244+'Partnerships &amp; Collaborations'!G244+'Broadening Participation Divers'!G244+'Education Workforce Development'!G244+'Communications &amp; Disseminations'!G244+'Evaluation and Assessment '!G244+'Sustainability Plan'!G244+'Management '!G244)</f>
        <v>0</v>
      </c>
      <c r="H244" s="56">
        <f>SUM('Research Area'!H244+'Research Cyberinfrastructure'!H244+'EA &amp; Seed Funding'!H244+'Partnerships &amp; Collaborations'!H244+'Broadening Participation Divers'!H244+'Education Workforce Development'!H244+'Communications &amp; Disseminations'!H244+'Evaluation and Assessment '!H244+'Sustainability Plan'!H244+'Management '!H244)</f>
        <v>0</v>
      </c>
      <c r="I244" s="56">
        <f t="shared" si="127"/>
        <v>0</v>
      </c>
      <c r="J244" s="15"/>
      <c r="K244" s="55">
        <f>SUM('Research Area'!K244+'Research Cyberinfrastructure'!K244+'EA &amp; Seed Funding'!K244+'Partnerships &amp; Collaborations'!K244+'Broadening Participation Divers'!K244+'Education Workforce Development'!K244+'Communications &amp; Disseminations'!K244+'Evaluation and Assessment '!K244+'Sustainability Plan'!K244+'Management '!K244)</f>
        <v>0</v>
      </c>
      <c r="L244" s="56">
        <f>SUM('Research Area'!L244+'Research Cyberinfrastructure'!L244+'EA &amp; Seed Funding'!L244+'Partnerships &amp; Collaborations'!L244+'Broadening Participation Divers'!L244+'Education Workforce Development'!L244+'Communications &amp; Disseminations'!L244+'Evaluation and Assessment '!L244+'Sustainability Plan'!L244+'Management '!L244)</f>
        <v>0</v>
      </c>
      <c r="M244" s="56">
        <f t="shared" si="128"/>
        <v>0</v>
      </c>
      <c r="N244" s="15"/>
      <c r="O244" s="55">
        <f>SUM('Research Area'!O244+'Research Cyberinfrastructure'!O244+'EA &amp; Seed Funding'!O244+'Partnerships &amp; Collaborations'!O244+'Broadening Participation Divers'!O244+'Education Workforce Development'!O244+'Communications &amp; Disseminations'!O244+'Evaluation and Assessment '!O244+'Sustainability Plan'!O244+'Management '!O244)</f>
        <v>0</v>
      </c>
      <c r="P244" s="56">
        <f>SUM('Research Area'!P244+'Research Cyberinfrastructure'!P244+'EA &amp; Seed Funding'!P244+'Partnerships &amp; Collaborations'!P244+'Broadening Participation Divers'!P244+'Education Workforce Development'!P244+'Communications &amp; Disseminations'!P244+'Evaluation and Assessment '!P244+'Sustainability Plan'!P244+'Management '!P244)</f>
        <v>0</v>
      </c>
      <c r="Q244" s="56">
        <f t="shared" si="129"/>
        <v>0</v>
      </c>
      <c r="R244" s="15"/>
      <c r="S244" s="55">
        <f>SUM('Research Area'!S244+'Research Cyberinfrastructure'!S244+'EA &amp; Seed Funding'!S244+'Partnerships &amp; Collaborations'!S244+'Broadening Participation Divers'!S244+'Education Workforce Development'!S244+'Communications &amp; Disseminations'!S244+'Evaluation and Assessment '!S244+'Sustainability Plan'!S244+'Management '!S244)</f>
        <v>0</v>
      </c>
      <c r="T244" s="56">
        <f>SUM('Research Area'!T244+'Research Cyberinfrastructure'!T244+'EA &amp; Seed Funding'!T244+'Partnerships &amp; Collaborations'!T244+'Broadening Participation Divers'!T244+'Education Workforce Development'!T244+'Communications &amp; Disseminations'!T244+'Evaluation and Assessment '!T244+'Sustainability Plan'!T244+'Management '!T244)</f>
        <v>0</v>
      </c>
      <c r="U244" s="56">
        <f t="shared" si="130"/>
        <v>0</v>
      </c>
      <c r="V244" s="16"/>
      <c r="W244" s="55">
        <f>SUM('Research Area'!W244+'Research Cyberinfrastructure'!W244+'EA &amp; Seed Funding'!W244+'Partnerships &amp; Collaborations'!W244+'Broadening Participation Divers'!W244+'Education Workforce Development'!W244+'Communications &amp; Disseminations'!W244+'Evaluation and Assessment '!W244+'Sustainability Plan'!W244+'Management '!W244)</f>
        <v>0</v>
      </c>
      <c r="X244" s="56">
        <f>SUM('Research Area'!X244+'Research Cyberinfrastructure'!X244+'EA &amp; Seed Funding'!X244+'Partnerships &amp; Collaborations'!X244+'Broadening Participation Divers'!X244+'Education Workforce Development'!X244+'Communications &amp; Disseminations'!X244+'Evaluation and Assessment '!X244+'Sustainability Plan'!X244+'Management '!X244)</f>
        <v>0</v>
      </c>
      <c r="Y244" s="56">
        <f t="shared" si="131"/>
        <v>0</v>
      </c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</row>
    <row r="245" spans="1:77" s="83" customFormat="1" x14ac:dyDescent="0.25">
      <c r="A245" s="78"/>
      <c r="B245" s="78" t="s">
        <v>9</v>
      </c>
      <c r="C245" s="232">
        <f>SUM(C233:C244)</f>
        <v>15000</v>
      </c>
      <c r="D245" s="130">
        <f>SUM(D233:D244)</f>
        <v>0</v>
      </c>
      <c r="E245" s="130">
        <f>SUM(E233:E244)</f>
        <v>15000</v>
      </c>
      <c r="F245" s="81"/>
      <c r="G245" s="126">
        <f>SUM(G233:G244)</f>
        <v>125500</v>
      </c>
      <c r="H245" s="130">
        <f>SUM(H233:H244)</f>
        <v>20021</v>
      </c>
      <c r="I245" s="130">
        <f>SUM(I233:I244)</f>
        <v>145521</v>
      </c>
      <c r="J245" s="81"/>
      <c r="K245" s="126">
        <f>SUM(K233:K244)</f>
        <v>43900</v>
      </c>
      <c r="L245" s="130">
        <f>SUM(L233:L244)</f>
        <v>20021</v>
      </c>
      <c r="M245" s="130">
        <f>SUM(M233:M244)</f>
        <v>63921</v>
      </c>
      <c r="N245" s="81"/>
      <c r="O245" s="126">
        <f>SUM(O233:O244)</f>
        <v>101500</v>
      </c>
      <c r="P245" s="130">
        <f>SUM(P233:P244)</f>
        <v>20021</v>
      </c>
      <c r="Q245" s="130">
        <f>SUM(Q233:Q244)</f>
        <v>121521</v>
      </c>
      <c r="R245" s="81"/>
      <c r="S245" s="126">
        <f>SUM(S233:S244)</f>
        <v>23000</v>
      </c>
      <c r="T245" s="130">
        <f>SUM(T233:T244)</f>
        <v>0</v>
      </c>
      <c r="U245" s="130">
        <f>SUM(U233:U244)</f>
        <v>23000</v>
      </c>
      <c r="V245" s="82"/>
      <c r="W245" s="126">
        <f>SUM(W233:W244)</f>
        <v>308900</v>
      </c>
      <c r="X245" s="130">
        <f>SUM(X233:X244)</f>
        <v>60063</v>
      </c>
      <c r="Y245" s="130">
        <f>SUM(Y233:Y244)</f>
        <v>368963</v>
      </c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</row>
    <row r="246" spans="1:77" s="36" customFormat="1" x14ac:dyDescent="0.25">
      <c r="A246" s="109" t="s">
        <v>33</v>
      </c>
      <c r="C246" s="210">
        <f>SUM(C205+C217+C225+C231+C245)</f>
        <v>236903.36720685297</v>
      </c>
      <c r="D246" s="210">
        <f t="shared" ref="D246:Y246" si="132">SUM(D205+D217+D225+D231+D245)</f>
        <v>56206.75</v>
      </c>
      <c r="E246" s="210">
        <f t="shared" si="132"/>
        <v>293110.117206853</v>
      </c>
      <c r="F246" s="111" t="e">
        <f t="shared" si="132"/>
        <v>#REF!</v>
      </c>
      <c r="G246" s="111">
        <f>SUM(G205+G217+G225+G231+G245)-1.4</f>
        <v>1008095.9009053664</v>
      </c>
      <c r="H246" s="111">
        <f>SUM(H205+H217+H225+H231+H245)</f>
        <v>78153.321075</v>
      </c>
      <c r="I246" s="111">
        <f t="shared" si="132"/>
        <v>1086250.6219803663</v>
      </c>
      <c r="J246" s="111" t="e">
        <f t="shared" si="132"/>
        <v>#REF!</v>
      </c>
      <c r="K246" s="111">
        <f t="shared" si="132"/>
        <v>788650.71079114941</v>
      </c>
      <c r="L246" s="111">
        <f t="shared" si="132"/>
        <v>74246.887539460004</v>
      </c>
      <c r="M246" s="111">
        <f t="shared" si="132"/>
        <v>862897.59833060938</v>
      </c>
      <c r="N246" s="111" t="e">
        <f t="shared" si="132"/>
        <v>#REF!</v>
      </c>
      <c r="O246" s="111">
        <f t="shared" si="132"/>
        <v>693351.71206881292</v>
      </c>
      <c r="P246" s="111">
        <f t="shared" si="132"/>
        <v>76142.342550613117</v>
      </c>
      <c r="Q246" s="111">
        <f t="shared" si="132"/>
        <v>769494.05461942602</v>
      </c>
      <c r="R246" s="111" t="e">
        <f t="shared" si="132"/>
        <v>#REF!</v>
      </c>
      <c r="S246" s="111">
        <f t="shared" si="132"/>
        <v>451225.14194894402</v>
      </c>
      <c r="T246" s="111">
        <f t="shared" si="132"/>
        <v>58098.793325745457</v>
      </c>
      <c r="U246" s="111">
        <f t="shared" si="132"/>
        <v>509323.93527468952</v>
      </c>
      <c r="V246" s="111" t="e">
        <f t="shared" si="132"/>
        <v>#REF!</v>
      </c>
      <c r="W246" s="111">
        <f t="shared" si="132"/>
        <v>3178228.2329211254</v>
      </c>
      <c r="X246" s="111">
        <f t="shared" si="132"/>
        <v>342848.09449081856</v>
      </c>
      <c r="Y246" s="111">
        <f t="shared" si="132"/>
        <v>3521076.327411944</v>
      </c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</row>
    <row r="247" spans="1:77" s="36" customFormat="1" x14ac:dyDescent="0.25">
      <c r="A247" s="109" t="s">
        <v>34</v>
      </c>
      <c r="B247" s="216"/>
      <c r="C247" s="210">
        <f>(C205+C225+C245)*0.42</f>
        <v>99499.414226878245</v>
      </c>
      <c r="D247" s="210">
        <v>0</v>
      </c>
      <c r="E247" s="210">
        <f>C247</f>
        <v>99499.414226878245</v>
      </c>
      <c r="F247" s="111" t="e">
        <f>F196*0.47</f>
        <v>#REF!</v>
      </c>
      <c r="G247" s="111">
        <f>((G205+G225+G245)*0.42)</f>
        <v>387169.94018025388</v>
      </c>
      <c r="H247" s="111">
        <v>0</v>
      </c>
      <c r="I247" s="111">
        <f>G247</f>
        <v>387169.94018025388</v>
      </c>
      <c r="J247" s="111" t="e">
        <f>J196*0.47</f>
        <v>#REF!</v>
      </c>
      <c r="K247" s="111">
        <f>(K205+K225+K245)*0.42</f>
        <v>293576.49102228275</v>
      </c>
      <c r="L247" s="111">
        <v>0</v>
      </c>
      <c r="M247" s="111">
        <f>K247</f>
        <v>293576.49102228275</v>
      </c>
      <c r="N247" s="111" t="e">
        <f>N196*0.47</f>
        <v>#REF!</v>
      </c>
      <c r="O247" s="111">
        <f>((O205+O225+O245)*0.42)</f>
        <v>252193.07118340142</v>
      </c>
      <c r="P247" s="111">
        <v>0</v>
      </c>
      <c r="Q247" s="111">
        <f>O247</f>
        <v>252193.07118340142</v>
      </c>
      <c r="R247" s="111" t="e">
        <f>R196*0.47</f>
        <v>#REF!</v>
      </c>
      <c r="S247" s="111">
        <f>(S205+S225+S245)*0.42</f>
        <v>155062.22617628149</v>
      </c>
      <c r="T247" s="111">
        <v>0</v>
      </c>
      <c r="U247" s="111">
        <f>S247</f>
        <v>155062.22617628149</v>
      </c>
      <c r="V247" s="111" t="e">
        <f>V196*0.47</f>
        <v>#REF!</v>
      </c>
      <c r="W247" s="111">
        <f>(W205+W225+W245)*0.42</f>
        <v>1187501.1427890977</v>
      </c>
      <c r="X247" s="111">
        <v>0</v>
      </c>
      <c r="Y247" s="111">
        <f>W247</f>
        <v>1187501.1427890977</v>
      </c>
      <c r="Z247" s="27" t="s">
        <v>57</v>
      </c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</row>
    <row r="248" spans="1:77" s="36" customFormat="1" x14ac:dyDescent="0.25">
      <c r="A248" s="109" t="s">
        <v>35</v>
      </c>
      <c r="C248" s="210">
        <f>SUM(C246:C247)</f>
        <v>336402.7814337312</v>
      </c>
      <c r="D248" s="210">
        <f t="shared" ref="D248:Y248" si="133">SUM(D246:D247)</f>
        <v>56206.75</v>
      </c>
      <c r="E248" s="210">
        <f t="shared" si="133"/>
        <v>392609.53143373126</v>
      </c>
      <c r="F248" s="111" t="e">
        <f t="shared" si="133"/>
        <v>#REF!</v>
      </c>
      <c r="G248" s="111">
        <f t="shared" si="133"/>
        <v>1395265.8410856202</v>
      </c>
      <c r="H248" s="111">
        <f t="shared" si="133"/>
        <v>78153.321075</v>
      </c>
      <c r="I248" s="111">
        <f t="shared" si="133"/>
        <v>1473420.5621606202</v>
      </c>
      <c r="J248" s="111" t="e">
        <f t="shared" si="133"/>
        <v>#REF!</v>
      </c>
      <c r="K248" s="111">
        <f t="shared" si="133"/>
        <v>1082227.2018134322</v>
      </c>
      <c r="L248" s="111">
        <f t="shared" si="133"/>
        <v>74246.887539460004</v>
      </c>
      <c r="M248" s="111">
        <f t="shared" si="133"/>
        <v>1156474.0893528922</v>
      </c>
      <c r="N248" s="111" t="e">
        <f t="shared" si="133"/>
        <v>#REF!</v>
      </c>
      <c r="O248" s="111">
        <f t="shared" si="133"/>
        <v>945544.78325221431</v>
      </c>
      <c r="P248" s="111">
        <f t="shared" si="133"/>
        <v>76142.342550613117</v>
      </c>
      <c r="Q248" s="111">
        <f t="shared" si="133"/>
        <v>1021687.1258028274</v>
      </c>
      <c r="R248" s="111" t="e">
        <f t="shared" si="133"/>
        <v>#REF!</v>
      </c>
      <c r="S248" s="111">
        <f t="shared" si="133"/>
        <v>606287.36812522553</v>
      </c>
      <c r="T248" s="111">
        <f t="shared" si="133"/>
        <v>58098.793325745457</v>
      </c>
      <c r="U248" s="111">
        <f t="shared" si="133"/>
        <v>664386.16145097103</v>
      </c>
      <c r="V248" s="111" t="e">
        <f t="shared" si="133"/>
        <v>#REF!</v>
      </c>
      <c r="W248" s="111">
        <f>SUM(W246:W247)-0.2</f>
        <v>4365729.1757102227</v>
      </c>
      <c r="X248" s="111">
        <f t="shared" si="133"/>
        <v>342848.09449081856</v>
      </c>
      <c r="Y248" s="111">
        <f t="shared" si="133"/>
        <v>4708577.4702010415</v>
      </c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</row>
    <row r="249" spans="1:77" s="112" customFormat="1" x14ac:dyDescent="0.25">
      <c r="C249" s="113">
        <v>631229</v>
      </c>
      <c r="D249" s="113">
        <v>178822</v>
      </c>
      <c r="E249" s="113"/>
      <c r="F249" s="113"/>
      <c r="G249" s="113">
        <v>884630</v>
      </c>
      <c r="H249" s="113">
        <v>191352</v>
      </c>
      <c r="I249" s="113"/>
      <c r="J249" s="113"/>
      <c r="K249" s="113">
        <v>899361</v>
      </c>
      <c r="L249" s="112">
        <v>193039</v>
      </c>
      <c r="M249" s="113"/>
      <c r="N249" s="113"/>
      <c r="O249" s="113">
        <v>661898</v>
      </c>
      <c r="P249" s="112">
        <v>200301</v>
      </c>
      <c r="Q249" s="113"/>
      <c r="R249" s="113"/>
      <c r="S249" s="113">
        <v>463799</v>
      </c>
      <c r="T249" s="112">
        <v>183802</v>
      </c>
      <c r="U249" s="113"/>
      <c r="V249" s="114"/>
      <c r="W249" s="113">
        <v>3540917</v>
      </c>
      <c r="X249" s="224">
        <f>D249+H249+L249+P249+T249</f>
        <v>947316</v>
      </c>
    </row>
    <row r="250" spans="1:77" s="99" customFormat="1" ht="21" x14ac:dyDescent="0.4">
      <c r="A250" s="324" t="s">
        <v>143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  <c r="BJ250" s="98"/>
      <c r="BK250" s="98"/>
      <c r="BL250" s="98"/>
      <c r="BM250" s="98"/>
      <c r="BN250" s="98"/>
      <c r="BO250" s="98"/>
      <c r="BP250" s="98"/>
      <c r="BQ250" s="98"/>
      <c r="BR250" s="98"/>
      <c r="BS250" s="98"/>
      <c r="BT250" s="98"/>
      <c r="BU250" s="98"/>
      <c r="BV250" s="98"/>
      <c r="BW250" s="98"/>
      <c r="BX250" s="98"/>
      <c r="BY250" s="98"/>
    </row>
    <row r="251" spans="1:77" s="77" customFormat="1" x14ac:dyDescent="0.25">
      <c r="A251" s="74" t="s">
        <v>5</v>
      </c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5"/>
      <c r="W251" s="74"/>
      <c r="X251" s="74"/>
      <c r="Y251" s="7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</row>
    <row r="252" spans="1:77" s="61" customFormat="1" x14ac:dyDescent="0.25">
      <c r="A252" s="53" t="s">
        <v>57</v>
      </c>
      <c r="B252" s="61" t="s">
        <v>57</v>
      </c>
      <c r="C252" s="55">
        <f>SUM('Research Area'!C252+'Education Workforce Development'!C252+'Research Cyberinfrastructure'!C252+'EA &amp; Seed Funding'!C252+'Broadening Participation Divers'!C252+'Communications &amp; Disseminations'!C252+'Partnerships &amp; Collaborations'!C252+'Sustainability Plan'!C252+'Management '!C252+'Evaluation and Assessment '!C252)</f>
        <v>6748.56</v>
      </c>
      <c r="D252" s="56">
        <f>SUM('Research Area'!D252+'Research Cyberinfrastructure'!D252+'EA &amp; Seed Funding'!D252+'Partnerships &amp; Collaborations'!D252+'Broadening Participation Divers'!D252+'Education Workforce Development'!D252+'Communications &amp; Disseminations'!D252+'Evaluation and Assessment '!D252+'Sustainability Plan'!D252+'Management '!D252)</f>
        <v>0</v>
      </c>
      <c r="E252" s="57">
        <f t="shared" ref="E252:E255" si="134">SUM(C252:D252)</f>
        <v>6748.56</v>
      </c>
      <c r="F252" s="58"/>
      <c r="G252" s="55">
        <f>SUM('Research Area'!G252+'Education Workforce Development'!G252+'Research Cyberinfrastructure'!G252+'EA &amp; Seed Funding'!G252+'Broadening Participation Divers'!G252+'Communications &amp; Disseminations'!G252+'Partnerships &amp; Collaborations'!G252+'Sustainability Plan'!G252+'Management '!G252+'Evaluation and Assessment '!G252)</f>
        <v>6951.0168000000003</v>
      </c>
      <c r="H252" s="56">
        <f>SUM('Research Area'!H252+'Research Cyberinfrastructure'!H252+'EA &amp; Seed Funding'!H252+'Partnerships &amp; Collaborations'!H252+'Broadening Participation Divers'!H252+'Education Workforce Development'!H252+'Communications &amp; Disseminations'!H252+'Evaluation and Assessment '!H252+'Sustainability Plan'!H252+'Management '!H252)</f>
        <v>0</v>
      </c>
      <c r="I252" s="57">
        <f t="shared" ref="I252:I255" si="135">SUM(G252:H252)</f>
        <v>6951.0168000000003</v>
      </c>
      <c r="J252" s="58"/>
      <c r="K252" s="55">
        <f>SUM('Research Area'!K252+'Research Cyberinfrastructure'!K252+'EA &amp; Seed Funding'!K252+'Partnerships &amp; Collaborations'!K252+'Broadening Participation Divers'!K252+'Education Workforce Development'!K252+'Communications &amp; Disseminations'!K252+'Evaluation and Assessment '!K252+'Sustainability Plan'!K252+'Management '!K252)</f>
        <v>7159.5473040000006</v>
      </c>
      <c r="L252" s="56">
        <f>SUM('Research Area'!L252+'Research Cyberinfrastructure'!L252+'EA &amp; Seed Funding'!L252+'Partnerships &amp; Collaborations'!L252+'Broadening Participation Divers'!L252+'Education Workforce Development'!L252+'Communications &amp; Disseminations'!L252+'Evaluation and Assessment '!L252+'Sustainability Plan'!L252+'Management '!L252)</f>
        <v>0</v>
      </c>
      <c r="M252" s="57">
        <f t="shared" ref="M252:M255" si="136">SUM(K252:L252)</f>
        <v>7159.5473040000006</v>
      </c>
      <c r="N252" s="58"/>
      <c r="O252" s="55">
        <f>SUM('Research Area'!O252+'Research Cyberinfrastructure'!O252+'EA &amp; Seed Funding'!O252+'Partnerships &amp; Collaborations'!O252+'Broadening Participation Divers'!O252+'Education Workforce Development'!O252+'Communications &amp; Disseminations'!O252+'Evaluation and Assessment '!O252+'Sustainability Plan'!O252+'Management '!O252)</f>
        <v>7374.3337231200012</v>
      </c>
      <c r="P252" s="56">
        <f>SUM('Research Area'!P252+'Research Cyberinfrastructure'!P252+'EA &amp; Seed Funding'!P252+'Partnerships &amp; Collaborations'!P252+'Broadening Participation Divers'!P252+'Education Workforce Development'!P252+'Communications &amp; Disseminations'!P252+'Evaluation and Assessment '!P252+'Sustainability Plan'!P252+'Management '!P252)</f>
        <v>0</v>
      </c>
      <c r="Q252" s="57">
        <f t="shared" ref="Q252:Q255" si="137">SUM(O252:P252)</f>
        <v>7374.3337231200012</v>
      </c>
      <c r="R252" s="58"/>
      <c r="S252" s="55">
        <f>SUM('Research Area'!S252+'Research Cyberinfrastructure'!S252+'EA &amp; Seed Funding'!S252+'Partnerships &amp; Collaborations'!S252+'Broadening Participation Divers'!S252+'Education Workforce Development'!S252+'Communications &amp; Disseminations'!S252+'Evaluation and Assessment '!S252+'Sustainability Plan'!S252+'Management '!S252)</f>
        <v>7595.5637348136015</v>
      </c>
      <c r="T252" s="56">
        <f>SUM('Research Area'!T252+'Research Cyberinfrastructure'!T252+'EA &amp; Seed Funding'!T252+'Partnerships &amp; Collaborations'!T252+'Broadening Participation Divers'!T252+'Education Workforce Development'!T252+'Communications &amp; Disseminations'!T252+'Evaluation and Assessment '!T252+'Sustainability Plan'!T252+'Management '!T252)</f>
        <v>0</v>
      </c>
      <c r="U252" s="57">
        <f t="shared" ref="U252:U255" si="138">SUM(S252:T252)</f>
        <v>7595.5637348136015</v>
      </c>
      <c r="V252" s="59"/>
      <c r="W252" s="55">
        <f>SUM('Research Area'!W252+'Research Cyberinfrastructure'!W252+'EA &amp; Seed Funding'!W252+'Partnerships &amp; Collaborations'!W252+'Broadening Participation Divers'!W252+'Education Workforce Development'!W252+'Communications &amp; Disseminations'!W252+'Evaluation and Assessment '!W252+'Sustainability Plan'!W252+'Management '!W252)</f>
        <v>35829.021561933609</v>
      </c>
      <c r="X252" s="56">
        <f>SUM('Research Area'!X252+'Research Cyberinfrastructure'!X252+'EA &amp; Seed Funding'!X252+'Partnerships &amp; Collaborations'!X252+'Broadening Participation Divers'!X252+'Education Workforce Development'!X252+'Communications &amp; Disseminations'!X252+'Evaluation and Assessment '!X252+'Sustainability Plan'!X252+'Management '!X252)</f>
        <v>0</v>
      </c>
      <c r="Y252" s="60">
        <f t="shared" ref="X252:Y256" si="139">E252+I252+M252+Q252+U252</f>
        <v>35829.021561933609</v>
      </c>
    </row>
    <row r="253" spans="1:77" s="61" customFormat="1" x14ac:dyDescent="0.25">
      <c r="A253" s="53" t="s">
        <v>57</v>
      </c>
      <c r="B253" s="169" t="s">
        <v>57</v>
      </c>
      <c r="C253" s="172">
        <f>SUM('Research Area'!C253+'Education Workforce Development'!C253+'Research Cyberinfrastructure'!C253+'EA &amp; Seed Funding'!C253+'Broadening Participation Divers'!C253+'Communications &amp; Disseminations'!C253+'Partnerships &amp; Collaborations'!C253+'Sustainability Plan'!C253+'Management '!C253+'Evaluation and Assessment '!C253)</f>
        <v>0</v>
      </c>
      <c r="D253" s="56">
        <f>SUM('Research Area'!D253+'Research Cyberinfrastructure'!D253+'EA &amp; Seed Funding'!D253+'Partnerships &amp; Collaborations'!D253+'Broadening Participation Divers'!D253+'Education Workforce Development'!D253+'Communications &amp; Disseminations'!D253+'Evaluation and Assessment '!D253+'Sustainability Plan'!D253+'Management '!D253)</f>
        <v>0</v>
      </c>
      <c r="E253" s="173">
        <f t="shared" si="134"/>
        <v>0</v>
      </c>
      <c r="F253" s="175"/>
      <c r="G253" s="55">
        <f>SUM('Research Area'!G253+'Research Cyberinfrastructure'!G253+'EA &amp; Seed Funding'!G253+'Partnerships &amp; Collaborations'!G253+'Broadening Participation Divers'!G253+'Education Workforce Development'!G253+'Communications &amp; Disseminations'!G253+'Evaluation and Assessment '!G253+'Sustainability Plan'!G253+'Management '!G253)</f>
        <v>0</v>
      </c>
      <c r="H253" s="56">
        <f>SUM('Research Area'!H253+'Research Cyberinfrastructure'!H253+'EA &amp; Seed Funding'!H253+'Partnerships &amp; Collaborations'!H253+'Broadening Participation Divers'!H253+'Education Workforce Development'!H253+'Communications &amp; Disseminations'!H253+'Evaluation and Assessment '!H253+'Sustainability Plan'!H253+'Management '!H253)</f>
        <v>0</v>
      </c>
      <c r="I253" s="173">
        <f t="shared" si="135"/>
        <v>0</v>
      </c>
      <c r="J253" s="175"/>
      <c r="K253" s="55">
        <f>SUM('Research Area'!K253+'Research Cyberinfrastructure'!K253+'EA &amp; Seed Funding'!K253+'Partnerships &amp; Collaborations'!K253+'Broadening Participation Divers'!K253+'Education Workforce Development'!K253+'Communications &amp; Disseminations'!K253+'Evaluation and Assessment '!K253+'Sustainability Plan'!K253+'Management '!K253)</f>
        <v>0</v>
      </c>
      <c r="L253" s="56">
        <f>SUM('Research Area'!L253+'Research Cyberinfrastructure'!L253+'EA &amp; Seed Funding'!L253+'Partnerships &amp; Collaborations'!L253+'Broadening Participation Divers'!L253+'Education Workforce Development'!L253+'Communications &amp; Disseminations'!L253+'Evaluation and Assessment '!L253+'Sustainability Plan'!L253+'Management '!L253)</f>
        <v>0</v>
      </c>
      <c r="M253" s="173">
        <f t="shared" si="136"/>
        <v>0</v>
      </c>
      <c r="N253" s="175"/>
      <c r="O253" s="55">
        <f>SUM('Research Area'!O253+'Research Cyberinfrastructure'!O253+'EA &amp; Seed Funding'!O253+'Partnerships &amp; Collaborations'!O253+'Broadening Participation Divers'!O253+'Education Workforce Development'!O253+'Communications &amp; Disseminations'!O253+'Evaluation and Assessment '!O253+'Sustainability Plan'!O253+'Management '!O253)</f>
        <v>0</v>
      </c>
      <c r="P253" s="56">
        <f>SUM('Research Area'!P253+'Research Cyberinfrastructure'!P253+'EA &amp; Seed Funding'!P253+'Partnerships &amp; Collaborations'!P253+'Broadening Participation Divers'!P253+'Education Workforce Development'!P253+'Communications &amp; Disseminations'!P253+'Evaluation and Assessment '!P253+'Sustainability Plan'!P253+'Management '!P253)</f>
        <v>0</v>
      </c>
      <c r="Q253" s="173">
        <f t="shared" si="137"/>
        <v>0</v>
      </c>
      <c r="R253" s="175"/>
      <c r="S253" s="55">
        <f>SUM('Research Area'!S253+'Research Cyberinfrastructure'!S253+'EA &amp; Seed Funding'!S253+'Partnerships &amp; Collaborations'!S253+'Broadening Participation Divers'!S253+'Education Workforce Development'!S253+'Communications &amp; Disseminations'!S253+'Evaluation and Assessment '!S253+'Sustainability Plan'!S253+'Management '!S253)</f>
        <v>0</v>
      </c>
      <c r="T253" s="56">
        <f>SUM('Research Area'!T253+'Research Cyberinfrastructure'!T253+'EA &amp; Seed Funding'!T253+'Partnerships &amp; Collaborations'!T253+'Broadening Participation Divers'!T253+'Education Workforce Development'!T253+'Communications &amp; Disseminations'!T253+'Evaluation and Assessment '!T253+'Sustainability Plan'!T253+'Management '!T253)</f>
        <v>0</v>
      </c>
      <c r="U253" s="173">
        <f t="shared" si="138"/>
        <v>0</v>
      </c>
      <c r="V253" s="176"/>
      <c r="W253" s="55">
        <f>SUM('Research Area'!W253+'Research Cyberinfrastructure'!W253+'EA &amp; Seed Funding'!W253+'Partnerships &amp; Collaborations'!W253+'Broadening Participation Divers'!W253+'Education Workforce Development'!W253+'Communications &amp; Disseminations'!W253+'Evaluation and Assessment '!W253+'Sustainability Plan'!W253+'Management '!W253)</f>
        <v>0</v>
      </c>
      <c r="X253" s="56">
        <f>SUM('Research Area'!X253+'Research Cyberinfrastructure'!X253+'EA &amp; Seed Funding'!X253+'Partnerships &amp; Collaborations'!X253+'Broadening Participation Divers'!X253+'Education Workforce Development'!X253+'Communications &amp; Disseminations'!X253+'Evaluation and Assessment '!X253+'Sustainability Plan'!X253+'Management '!X253)</f>
        <v>0</v>
      </c>
      <c r="Y253" s="177">
        <f t="shared" si="139"/>
        <v>0</v>
      </c>
    </row>
    <row r="254" spans="1:77" s="61" customFormat="1" x14ac:dyDescent="0.25">
      <c r="A254" s="53" t="s">
        <v>57</v>
      </c>
      <c r="B254" s="169" t="s">
        <v>57</v>
      </c>
      <c r="C254" s="172">
        <f>SUM('Research Area'!C254+'Education Workforce Development'!C254+'Research Cyberinfrastructure'!C254+'EA &amp; Seed Funding'!C254+'Broadening Participation Divers'!C254+'Communications &amp; Disseminations'!C254+'Partnerships &amp; Collaborations'!C254+'Sustainability Plan'!C254+'Management '!C254+'Evaluation and Assessment '!C254)</f>
        <v>0</v>
      </c>
      <c r="D254" s="56">
        <f>SUM('Research Area'!D254+'Research Cyberinfrastructure'!D254+'EA &amp; Seed Funding'!D254+'Partnerships &amp; Collaborations'!D254+'Broadening Participation Divers'!D254+'Education Workforce Development'!D254+'Communications &amp; Disseminations'!D254+'Evaluation and Assessment '!D254+'Sustainability Plan'!D254+'Management '!D254)</f>
        <v>0</v>
      </c>
      <c r="E254" s="173">
        <f t="shared" si="134"/>
        <v>0</v>
      </c>
      <c r="F254" s="175"/>
      <c r="G254" s="55">
        <f>SUM('Research Area'!G254+'Research Cyberinfrastructure'!G254+'EA &amp; Seed Funding'!G254+'Partnerships &amp; Collaborations'!G254+'Broadening Participation Divers'!G254+'Education Workforce Development'!G254+'Communications &amp; Disseminations'!G254+'Evaluation and Assessment '!G254+'Sustainability Plan'!G254+'Management '!G254)</f>
        <v>0</v>
      </c>
      <c r="H254" s="56">
        <f>SUM('Research Area'!H254+'Research Cyberinfrastructure'!H254+'EA &amp; Seed Funding'!H254+'Partnerships &amp; Collaborations'!H254+'Broadening Participation Divers'!H254+'Education Workforce Development'!H254+'Communications &amp; Disseminations'!H254+'Evaluation and Assessment '!H254+'Sustainability Plan'!H254+'Management '!H254)</f>
        <v>0</v>
      </c>
      <c r="I254" s="173">
        <f t="shared" si="135"/>
        <v>0</v>
      </c>
      <c r="J254" s="175"/>
      <c r="K254" s="55">
        <f>SUM('Research Area'!K254+'Research Cyberinfrastructure'!K254+'EA &amp; Seed Funding'!K254+'Partnerships &amp; Collaborations'!K254+'Broadening Participation Divers'!K254+'Education Workforce Development'!K254+'Communications &amp; Disseminations'!K254+'Evaluation and Assessment '!K254+'Sustainability Plan'!K254+'Management '!K254)</f>
        <v>0</v>
      </c>
      <c r="L254" s="56">
        <f>SUM('Research Area'!L254+'Research Cyberinfrastructure'!L254+'EA &amp; Seed Funding'!L254+'Partnerships &amp; Collaborations'!L254+'Broadening Participation Divers'!L254+'Education Workforce Development'!L254+'Communications &amp; Disseminations'!L254+'Evaluation and Assessment '!L254+'Sustainability Plan'!L254+'Management '!L254)</f>
        <v>0</v>
      </c>
      <c r="M254" s="173">
        <f t="shared" si="136"/>
        <v>0</v>
      </c>
      <c r="N254" s="175"/>
      <c r="O254" s="55">
        <f>SUM('Research Area'!O254+'Research Cyberinfrastructure'!O254+'EA &amp; Seed Funding'!O254+'Partnerships &amp; Collaborations'!O254+'Broadening Participation Divers'!O254+'Education Workforce Development'!O254+'Communications &amp; Disseminations'!O254+'Evaluation and Assessment '!O254+'Sustainability Plan'!O254+'Management '!O254)</f>
        <v>0</v>
      </c>
      <c r="P254" s="56">
        <f>SUM('Research Area'!P254+'Research Cyberinfrastructure'!P254+'EA &amp; Seed Funding'!P254+'Partnerships &amp; Collaborations'!P254+'Broadening Participation Divers'!P254+'Education Workforce Development'!P254+'Communications &amp; Disseminations'!P254+'Evaluation and Assessment '!P254+'Sustainability Plan'!P254+'Management '!P254)</f>
        <v>0</v>
      </c>
      <c r="Q254" s="173">
        <f t="shared" si="137"/>
        <v>0</v>
      </c>
      <c r="R254" s="175"/>
      <c r="S254" s="55">
        <f>SUM('Research Area'!S254+'Research Cyberinfrastructure'!S254+'EA &amp; Seed Funding'!S254+'Partnerships &amp; Collaborations'!S254+'Broadening Participation Divers'!S254+'Education Workforce Development'!S254+'Communications &amp; Disseminations'!S254+'Evaluation and Assessment '!S254+'Sustainability Plan'!S254+'Management '!S254)</f>
        <v>0</v>
      </c>
      <c r="T254" s="56">
        <f>SUM('Research Area'!T254+'Research Cyberinfrastructure'!T254+'EA &amp; Seed Funding'!T254+'Partnerships &amp; Collaborations'!T254+'Broadening Participation Divers'!T254+'Education Workforce Development'!T254+'Communications &amp; Disseminations'!T254+'Evaluation and Assessment '!T254+'Sustainability Plan'!T254+'Management '!T254)</f>
        <v>0</v>
      </c>
      <c r="U254" s="173">
        <f t="shared" si="138"/>
        <v>0</v>
      </c>
      <c r="V254" s="176"/>
      <c r="W254" s="55">
        <f>SUM('Research Area'!W254+'Research Cyberinfrastructure'!W254+'EA &amp; Seed Funding'!W254+'Partnerships &amp; Collaborations'!W254+'Broadening Participation Divers'!W254+'Education Workforce Development'!W254+'Communications &amp; Disseminations'!W254+'Evaluation and Assessment '!W254+'Sustainability Plan'!W254+'Management '!W254)</f>
        <v>0</v>
      </c>
      <c r="X254" s="56">
        <f>SUM('Research Area'!X254+'Research Cyberinfrastructure'!X254+'EA &amp; Seed Funding'!X254+'Partnerships &amp; Collaborations'!X254+'Broadening Participation Divers'!X254+'Education Workforce Development'!X254+'Communications &amp; Disseminations'!X254+'Evaluation and Assessment '!X254+'Sustainability Plan'!X254+'Management '!X254)</f>
        <v>0</v>
      </c>
      <c r="Y254" s="177">
        <f t="shared" si="139"/>
        <v>0</v>
      </c>
    </row>
    <row r="255" spans="1:77" s="61" customFormat="1" x14ac:dyDescent="0.25">
      <c r="A255" s="52"/>
      <c r="B255" s="169" t="s">
        <v>57</v>
      </c>
      <c r="C255" s="172">
        <f>SUM('Research Area'!C255+'Education Workforce Development'!C255+'Research Cyberinfrastructure'!C255+'EA &amp; Seed Funding'!C255+'Broadening Participation Divers'!C255+'Communications &amp; Disseminations'!C255+'Partnerships &amp; Collaborations'!C255+'Sustainability Plan'!C255+'Management '!C255+'Evaluation and Assessment '!C255)</f>
        <v>0</v>
      </c>
      <c r="D255" s="56">
        <f>SUM('Research Area'!D255+'Research Cyberinfrastructure'!D255+'EA &amp; Seed Funding'!D255+'Partnerships &amp; Collaborations'!D255+'Broadening Participation Divers'!D255+'Education Workforce Development'!D255+'Communications &amp; Disseminations'!D255+'Evaluation and Assessment '!D255+'Sustainability Plan'!D255+'Management '!D255)</f>
        <v>0</v>
      </c>
      <c r="E255" s="173">
        <f t="shared" si="134"/>
        <v>0</v>
      </c>
      <c r="F255" s="175"/>
      <c r="G255" s="55">
        <f>SUM('Research Area'!G255+'Research Cyberinfrastructure'!G255+'EA &amp; Seed Funding'!G255+'Partnerships &amp; Collaborations'!G255+'Broadening Participation Divers'!G255+'Education Workforce Development'!G255+'Communications &amp; Disseminations'!G255+'Evaluation and Assessment '!G255+'Sustainability Plan'!G255+'Management '!G255)</f>
        <v>0</v>
      </c>
      <c r="H255" s="56">
        <f>SUM('Research Area'!H255+'Research Cyberinfrastructure'!H255+'EA &amp; Seed Funding'!H255+'Partnerships &amp; Collaborations'!H255+'Broadening Participation Divers'!H255+'Education Workforce Development'!H255+'Communications &amp; Disseminations'!H255+'Evaluation and Assessment '!H255+'Sustainability Plan'!H255+'Management '!H255)</f>
        <v>0</v>
      </c>
      <c r="I255" s="173">
        <f t="shared" si="135"/>
        <v>0</v>
      </c>
      <c r="J255" s="175"/>
      <c r="K255" s="55">
        <f>SUM('Research Area'!K255+'Research Cyberinfrastructure'!K255+'EA &amp; Seed Funding'!K255+'Partnerships &amp; Collaborations'!K255+'Broadening Participation Divers'!K255+'Education Workforce Development'!K255+'Communications &amp; Disseminations'!K255+'Evaluation and Assessment '!K255+'Sustainability Plan'!K255+'Management '!K255)</f>
        <v>0</v>
      </c>
      <c r="L255" s="56">
        <f>SUM('Research Area'!L255+'Research Cyberinfrastructure'!L255+'EA &amp; Seed Funding'!L255+'Partnerships &amp; Collaborations'!L255+'Broadening Participation Divers'!L255+'Education Workforce Development'!L255+'Communications &amp; Disseminations'!L255+'Evaluation and Assessment '!L255+'Sustainability Plan'!L255+'Management '!L255)</f>
        <v>0</v>
      </c>
      <c r="M255" s="173">
        <f t="shared" si="136"/>
        <v>0</v>
      </c>
      <c r="N255" s="175"/>
      <c r="O255" s="55">
        <f>SUM('Research Area'!O255+'Research Cyberinfrastructure'!O255+'EA &amp; Seed Funding'!O255+'Partnerships &amp; Collaborations'!O255+'Broadening Participation Divers'!O255+'Education Workforce Development'!O255+'Communications &amp; Disseminations'!O255+'Evaluation and Assessment '!O255+'Sustainability Plan'!O255+'Management '!O255)</f>
        <v>0</v>
      </c>
      <c r="P255" s="56">
        <f>SUM('Research Area'!P255+'Research Cyberinfrastructure'!P255+'EA &amp; Seed Funding'!P255+'Partnerships &amp; Collaborations'!P255+'Broadening Participation Divers'!P255+'Education Workforce Development'!P255+'Communications &amp; Disseminations'!P255+'Evaluation and Assessment '!P255+'Sustainability Plan'!P255+'Management '!P255)</f>
        <v>0</v>
      </c>
      <c r="Q255" s="173">
        <f t="shared" si="137"/>
        <v>0</v>
      </c>
      <c r="R255" s="175"/>
      <c r="S255" s="55">
        <f>SUM('Research Area'!S255+'Research Cyberinfrastructure'!S255+'EA &amp; Seed Funding'!S255+'Partnerships &amp; Collaborations'!S255+'Broadening Participation Divers'!S255+'Education Workforce Development'!S255+'Communications &amp; Disseminations'!S255+'Evaluation and Assessment '!S255+'Sustainability Plan'!S255+'Management '!S255)</f>
        <v>0</v>
      </c>
      <c r="T255" s="56">
        <f>SUM('Research Area'!T255+'Research Cyberinfrastructure'!T255+'EA &amp; Seed Funding'!T255+'Partnerships &amp; Collaborations'!T255+'Broadening Participation Divers'!T255+'Education Workforce Development'!T255+'Communications &amp; Disseminations'!T255+'Evaluation and Assessment '!T255+'Sustainability Plan'!T255+'Management '!T255)</f>
        <v>0</v>
      </c>
      <c r="U255" s="173">
        <f t="shared" si="138"/>
        <v>0</v>
      </c>
      <c r="V255" s="176"/>
      <c r="W255" s="55">
        <f>SUM('Research Area'!W255+'Research Cyberinfrastructure'!W255+'EA &amp; Seed Funding'!W255+'Partnerships &amp; Collaborations'!W255+'Broadening Participation Divers'!W255+'Education Workforce Development'!W255+'Communications &amp; Disseminations'!W255+'Evaluation and Assessment '!W255+'Sustainability Plan'!W255+'Management '!W255)</f>
        <v>0</v>
      </c>
      <c r="X255" s="56">
        <f>SUM('Research Area'!X255+'Research Cyberinfrastructure'!X255+'EA &amp; Seed Funding'!X255+'Partnerships &amp; Collaborations'!X255+'Broadening Participation Divers'!X255+'Education Workforce Development'!X255+'Communications &amp; Disseminations'!X255+'Evaluation and Assessment '!X255+'Sustainability Plan'!X255+'Management '!X255)</f>
        <v>0</v>
      </c>
      <c r="Y255" s="177">
        <f t="shared" si="139"/>
        <v>0</v>
      </c>
    </row>
    <row r="256" spans="1:77" s="83" customFormat="1" x14ac:dyDescent="0.25">
      <c r="A256" s="78"/>
      <c r="B256" s="78" t="s">
        <v>9</v>
      </c>
      <c r="C256" s="228">
        <f>SUM(C252:C255)</f>
        <v>6748.56</v>
      </c>
      <c r="D256" s="125">
        <f>SUM(D252:D255)</f>
        <v>0</v>
      </c>
      <c r="E256" s="125">
        <f>SUM(E252:E255)</f>
        <v>6748.56</v>
      </c>
      <c r="F256" s="81"/>
      <c r="G256" s="79">
        <f>SUM(G252:G255)</f>
        <v>6951.0168000000003</v>
      </c>
      <c r="H256" s="80">
        <f>SUM(H252:H255)</f>
        <v>0</v>
      </c>
      <c r="I256" s="80">
        <f>SUM(I252:I255)</f>
        <v>6951.0168000000003</v>
      </c>
      <c r="J256" s="81"/>
      <c r="K256" s="79">
        <f>SUM(K252:K255)</f>
        <v>7159.5473040000006</v>
      </c>
      <c r="L256" s="80">
        <f>SUM(L252:L255)</f>
        <v>0</v>
      </c>
      <c r="M256" s="80">
        <f>SUM(M252:M255)</f>
        <v>7159.5473040000006</v>
      </c>
      <c r="N256" s="81"/>
      <c r="O256" s="79">
        <f>SUM(O252:O255)</f>
        <v>7374.3337231200012</v>
      </c>
      <c r="P256" s="80">
        <f>SUM(P252:P255)</f>
        <v>0</v>
      </c>
      <c r="Q256" s="80">
        <f>SUM(Q252:Q255)</f>
        <v>7374.3337231200012</v>
      </c>
      <c r="R256" s="81"/>
      <c r="S256" s="79">
        <f>SUM(S252:S255)</f>
        <v>7595.5637348136015</v>
      </c>
      <c r="T256" s="80">
        <f>SUM(T252:T255)</f>
        <v>0</v>
      </c>
      <c r="U256" s="80">
        <f>SUM(U252:U255)</f>
        <v>7595.5637348136015</v>
      </c>
      <c r="V256" s="82"/>
      <c r="W256" s="228">
        <f t="shared" ref="W256" si="140">C256+G256+K256+O256+S256</f>
        <v>35829.021561933609</v>
      </c>
      <c r="X256" s="80">
        <f t="shared" si="139"/>
        <v>0</v>
      </c>
      <c r="Y256" s="80">
        <f t="shared" si="139"/>
        <v>35829.021561933609</v>
      </c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</row>
    <row r="257" spans="1:77" s="77" customFormat="1" x14ac:dyDescent="0.25">
      <c r="A257" s="74" t="s">
        <v>12</v>
      </c>
      <c r="B257" s="74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9"/>
      <c r="W257" s="58"/>
      <c r="X257" s="58"/>
      <c r="Y257" s="129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</row>
    <row r="258" spans="1:77" s="61" customFormat="1" x14ac:dyDescent="0.25">
      <c r="B258" s="61" t="s">
        <v>57</v>
      </c>
      <c r="C258" s="172">
        <f>SUM('Research Area'!C258+'Education Workforce Development'!C258+'Research Cyberinfrastructure'!C258+'EA &amp; Seed Funding'!C258+'Broadening Participation Divers'!C258+'Communications &amp; Disseminations'!C258+'Partnerships &amp; Collaborations'!C258+'Sustainability Plan'!C258+'Management '!C258+'Evaluation and Assessment '!C258)</f>
        <v>0</v>
      </c>
      <c r="D258" s="56">
        <f>SUM('Research Area'!D258+'Research Cyberinfrastructure'!D258+'EA &amp; Seed Funding'!D258+'Partnerships &amp; Collaborations'!D258+'Broadening Participation Divers'!D258+'Education Workforce Development'!D258+'Communications &amp; Disseminations'!D258+'Evaluation and Assessment '!D258+'Sustainability Plan'!D258+'Management '!D258)</f>
        <v>0</v>
      </c>
      <c r="E258" s="56">
        <f>SUM(C258:D258)</f>
        <v>0</v>
      </c>
      <c r="F258" s="58"/>
      <c r="G258" s="172">
        <f>SUM('Research Area'!G258+'Education Workforce Development'!G258+'Research Cyberinfrastructure'!G258+'EA &amp; Seed Funding'!G258+'Broadening Participation Divers'!G258+'Communications &amp; Disseminations'!G258+'Partnerships &amp; Collaborations'!G258+'Sustainability Plan'!G258+'Management '!G258+'Evaluation and Assessment '!G258)</f>
        <v>0</v>
      </c>
      <c r="H258" s="56">
        <f>SUM('Research Area'!H258+'Research Cyberinfrastructure'!H258+'EA &amp; Seed Funding'!H258+'Partnerships &amp; Collaborations'!H258+'Broadening Participation Divers'!H258+'Education Workforce Development'!H258+'Communications &amp; Disseminations'!H258+'Evaluation and Assessment '!H258+'Sustainability Plan'!H258+'Management '!H258)</f>
        <v>0</v>
      </c>
      <c r="I258" s="57">
        <f>SUM(G258:H258)</f>
        <v>0</v>
      </c>
      <c r="J258" s="58"/>
      <c r="K258" s="172">
        <f>SUM('Research Area'!K258+'Education Workforce Development'!K258+'Research Cyberinfrastructure'!K258+'EA &amp; Seed Funding'!K258+'Broadening Participation Divers'!K258+'Communications &amp; Disseminations'!K258+'Partnerships &amp; Collaborations'!K258+'Sustainability Plan'!K258+'Management '!K258+'Evaluation and Assessment '!K258)</f>
        <v>0</v>
      </c>
      <c r="L258" s="56">
        <f>SUM('Research Area'!L258+'Research Cyberinfrastructure'!L258+'EA &amp; Seed Funding'!L258+'Partnerships &amp; Collaborations'!L258+'Broadening Participation Divers'!L258+'Education Workforce Development'!L258+'Communications &amp; Disseminations'!L258+'Evaluation and Assessment '!L258+'Sustainability Plan'!L258+'Management '!L258)</f>
        <v>0</v>
      </c>
      <c r="M258" s="57">
        <f>SUM(K258:L258)</f>
        <v>0</v>
      </c>
      <c r="N258" s="58"/>
      <c r="O258" s="172">
        <f>SUM('Research Area'!O258+'Education Workforce Development'!O258+'Research Cyberinfrastructure'!O258+'EA &amp; Seed Funding'!O258+'Broadening Participation Divers'!O258+'Communications &amp; Disseminations'!O258+'Partnerships &amp; Collaborations'!O258+'Sustainability Plan'!O258+'Management '!O258+'Evaluation and Assessment '!O258)</f>
        <v>0</v>
      </c>
      <c r="P258" s="56">
        <f>SUM('Research Area'!P258+'Research Cyberinfrastructure'!P258+'EA &amp; Seed Funding'!P258+'Partnerships &amp; Collaborations'!P258+'Broadening Participation Divers'!P258+'Education Workforce Development'!P258+'Communications &amp; Disseminations'!P258+'Evaluation and Assessment '!P258+'Sustainability Plan'!P258+'Management '!P258)</f>
        <v>0</v>
      </c>
      <c r="Q258" s="57">
        <f>SUM(O258:P258)</f>
        <v>0</v>
      </c>
      <c r="R258" s="58"/>
      <c r="S258" s="172">
        <f>SUM('Research Area'!S258+'Education Workforce Development'!S258+'Research Cyberinfrastructure'!S258+'EA &amp; Seed Funding'!S258+'Broadening Participation Divers'!S258+'Communications &amp; Disseminations'!S258+'Partnerships &amp; Collaborations'!S258+'Sustainability Plan'!S258+'Management '!S258+'Evaluation and Assessment '!S258)</f>
        <v>0</v>
      </c>
      <c r="T258" s="56">
        <f>SUM('Research Area'!T258+'Research Cyberinfrastructure'!T258+'EA &amp; Seed Funding'!T258+'Partnerships &amp; Collaborations'!T258+'Broadening Participation Divers'!T258+'Education Workforce Development'!T258+'Communications &amp; Disseminations'!T258+'Evaluation and Assessment '!T258+'Sustainability Plan'!T258+'Management '!T258)</f>
        <v>0</v>
      </c>
      <c r="U258" s="57">
        <f>SUM(S258:T258)</f>
        <v>0</v>
      </c>
      <c r="V258" s="59"/>
      <c r="W258" s="124">
        <f>C258+G258+K258+O258+S258</f>
        <v>0</v>
      </c>
      <c r="X258" s="57">
        <f t="shared" ref="W258:Y262" si="141">D258+H258+L258+P258+T258</f>
        <v>0</v>
      </c>
      <c r="Y258" s="57">
        <f t="shared" ref="Y258:Y261" si="142">SUM(W258:X258)</f>
        <v>0</v>
      </c>
      <c r="AA258" s="202" t="s">
        <v>57</v>
      </c>
    </row>
    <row r="259" spans="1:77" s="61" customFormat="1" x14ac:dyDescent="0.25">
      <c r="A259" s="203"/>
      <c r="B259" s="61" t="s">
        <v>57</v>
      </c>
      <c r="C259" s="172">
        <f>SUM('Research Area'!C259+'Education Workforce Development'!C259+'Research Cyberinfrastructure'!C259+'EA &amp; Seed Funding'!C259+'Broadening Participation Divers'!C259+'Communications &amp; Disseminations'!C259+'Partnerships &amp; Collaborations'!C259+'Sustainability Plan'!C259+'Management '!C259+'Evaluation and Assessment '!C259)</f>
        <v>0</v>
      </c>
      <c r="D259" s="56">
        <f>SUM('Research Area'!D259+'Research Cyberinfrastructure'!D259+'EA &amp; Seed Funding'!D259+'Partnerships &amp; Collaborations'!D259+'Broadening Participation Divers'!D259+'Education Workforce Development'!D259+'Communications &amp; Disseminations'!D259+'Evaluation and Assessment '!D259+'Sustainability Plan'!D259+'Management '!D259)</f>
        <v>0</v>
      </c>
      <c r="E259" s="56">
        <f t="shared" ref="E259:E261" si="143">SUM(C259:D259)</f>
        <v>0</v>
      </c>
      <c r="F259" s="58"/>
      <c r="G259" s="172">
        <f>SUM('Research Area'!G259+'Education Workforce Development'!G259+'Research Cyberinfrastructure'!G259+'EA &amp; Seed Funding'!G259+'Broadening Participation Divers'!G259+'Communications &amp; Disseminations'!G259+'Partnerships &amp; Collaborations'!G259+'Sustainability Plan'!G259+'Management '!G259+'Evaluation and Assessment '!G259)</f>
        <v>0</v>
      </c>
      <c r="H259" s="56">
        <f>SUM('Research Area'!H259+'Research Cyberinfrastructure'!H259+'EA &amp; Seed Funding'!H259+'Partnerships &amp; Collaborations'!H259+'Broadening Participation Divers'!H259+'Education Workforce Development'!H259+'Communications &amp; Disseminations'!H259+'Evaluation and Assessment '!H259+'Sustainability Plan'!H259+'Management '!H259)</f>
        <v>0</v>
      </c>
      <c r="I259" s="57">
        <f t="shared" ref="I259:I261" si="144">SUM(G259:H259)</f>
        <v>0</v>
      </c>
      <c r="J259" s="58"/>
      <c r="K259" s="172">
        <f>SUM('Research Area'!K259+'Education Workforce Development'!K259+'Research Cyberinfrastructure'!K259+'EA &amp; Seed Funding'!K259+'Broadening Participation Divers'!K259+'Communications &amp; Disseminations'!K259+'Partnerships &amp; Collaborations'!K259+'Sustainability Plan'!K259+'Management '!K259+'Evaluation and Assessment '!K259)</f>
        <v>0</v>
      </c>
      <c r="L259" s="56">
        <f>SUM('Research Area'!L259+'Research Cyberinfrastructure'!L259+'EA &amp; Seed Funding'!L259+'Partnerships &amp; Collaborations'!L259+'Broadening Participation Divers'!L259+'Education Workforce Development'!L259+'Communications &amp; Disseminations'!L259+'Evaluation and Assessment '!L259+'Sustainability Plan'!L259+'Management '!L259)</f>
        <v>0</v>
      </c>
      <c r="M259" s="57">
        <f t="shared" ref="M259:M261" si="145">SUM(K259:L259)</f>
        <v>0</v>
      </c>
      <c r="N259" s="58"/>
      <c r="O259" s="172">
        <f>SUM('Research Area'!O259+'Education Workforce Development'!O259+'Research Cyberinfrastructure'!O259+'EA &amp; Seed Funding'!O259+'Broadening Participation Divers'!O259+'Communications &amp; Disseminations'!O259+'Partnerships &amp; Collaborations'!O259+'Sustainability Plan'!O259+'Management '!O259+'Evaluation and Assessment '!O259)</f>
        <v>0</v>
      </c>
      <c r="P259" s="56">
        <f>SUM('Research Area'!P259+'Research Cyberinfrastructure'!P259+'EA &amp; Seed Funding'!P259+'Partnerships &amp; Collaborations'!P259+'Broadening Participation Divers'!P259+'Education Workforce Development'!P259+'Communications &amp; Disseminations'!P259+'Evaluation and Assessment '!P259+'Sustainability Plan'!P259+'Management '!P259)</f>
        <v>0</v>
      </c>
      <c r="Q259" s="57">
        <f t="shared" ref="Q259:Q261" si="146">SUM(O259:P259)</f>
        <v>0</v>
      </c>
      <c r="R259" s="58"/>
      <c r="S259" s="172">
        <f>SUM('Research Area'!S259+'Education Workforce Development'!S259+'Research Cyberinfrastructure'!S259+'EA &amp; Seed Funding'!S259+'Broadening Participation Divers'!S259+'Communications &amp; Disseminations'!S259+'Partnerships &amp; Collaborations'!S259+'Sustainability Plan'!S259+'Management '!S259+'Evaluation and Assessment '!S259)</f>
        <v>0</v>
      </c>
      <c r="T259" s="56">
        <f>SUM('Research Area'!T259+'Research Cyberinfrastructure'!T259+'EA &amp; Seed Funding'!T259+'Partnerships &amp; Collaborations'!T259+'Broadening Participation Divers'!T259+'Education Workforce Development'!T259+'Communications &amp; Disseminations'!T259+'Evaluation and Assessment '!T259+'Sustainability Plan'!T259+'Management '!T259)</f>
        <v>0</v>
      </c>
      <c r="U259" s="57">
        <f t="shared" ref="U259:U261" si="147">SUM(S259:T259)</f>
        <v>0</v>
      </c>
      <c r="V259" s="59"/>
      <c r="W259" s="124">
        <f t="shared" si="141"/>
        <v>0</v>
      </c>
      <c r="X259" s="57">
        <f t="shared" si="141"/>
        <v>0</v>
      </c>
      <c r="Y259" s="57">
        <f t="shared" si="142"/>
        <v>0</v>
      </c>
    </row>
    <row r="260" spans="1:77" s="169" customFormat="1" x14ac:dyDescent="0.25">
      <c r="B260" s="61" t="s">
        <v>57</v>
      </c>
      <c r="C260" s="172">
        <f>SUM('Research Area'!C260+'Education Workforce Development'!C260+'Research Cyberinfrastructure'!C260+'EA &amp; Seed Funding'!C260+'Broadening Participation Divers'!C260+'Communications &amp; Disseminations'!C260+'Partnerships &amp; Collaborations'!C260+'Sustainability Plan'!C260+'Management '!C260+'Evaluation and Assessment '!C260)</f>
        <v>0</v>
      </c>
      <c r="D260" s="56">
        <f>SUM('Research Area'!D260+'Research Cyberinfrastructure'!D260+'EA &amp; Seed Funding'!D260+'Partnerships &amp; Collaborations'!D260+'Broadening Participation Divers'!D260+'Education Workforce Development'!D260+'Communications &amp; Disseminations'!D260+'Evaluation and Assessment '!D260+'Sustainability Plan'!D260+'Management '!D260)</f>
        <v>0</v>
      </c>
      <c r="E260" s="56">
        <f t="shared" si="143"/>
        <v>0</v>
      </c>
      <c r="F260" s="58"/>
      <c r="G260" s="172">
        <f>SUM('Research Area'!G260+'Education Workforce Development'!G260+'Research Cyberinfrastructure'!G260+'EA &amp; Seed Funding'!G260+'Broadening Participation Divers'!G260+'Communications &amp; Disseminations'!G260+'Partnerships &amp; Collaborations'!G260+'Sustainability Plan'!G260+'Management '!G260+'Evaluation and Assessment '!G260)</f>
        <v>0</v>
      </c>
      <c r="H260" s="56">
        <f>SUM('Research Area'!H260+'Research Cyberinfrastructure'!H260+'EA &amp; Seed Funding'!H260+'Partnerships &amp; Collaborations'!H260+'Broadening Participation Divers'!H260+'Education Workforce Development'!H260+'Communications &amp; Disseminations'!H260+'Evaluation and Assessment '!H260+'Sustainability Plan'!H260+'Management '!H260)</f>
        <v>0</v>
      </c>
      <c r="I260" s="57">
        <f t="shared" si="144"/>
        <v>0</v>
      </c>
      <c r="J260" s="58"/>
      <c r="K260" s="172">
        <f>SUM('Research Area'!K260+'Education Workforce Development'!K260+'Research Cyberinfrastructure'!K260+'EA &amp; Seed Funding'!K260+'Broadening Participation Divers'!K260+'Communications &amp; Disseminations'!K260+'Partnerships &amp; Collaborations'!K260+'Sustainability Plan'!K260+'Management '!K260+'Evaluation and Assessment '!K260)</f>
        <v>0</v>
      </c>
      <c r="L260" s="56">
        <f>SUM('Research Area'!L260+'Research Cyberinfrastructure'!L260+'EA &amp; Seed Funding'!L260+'Partnerships &amp; Collaborations'!L260+'Broadening Participation Divers'!L260+'Education Workforce Development'!L260+'Communications &amp; Disseminations'!L260+'Evaluation and Assessment '!L260+'Sustainability Plan'!L260+'Management '!L260)</f>
        <v>0</v>
      </c>
      <c r="M260" s="57">
        <f t="shared" si="145"/>
        <v>0</v>
      </c>
      <c r="N260" s="58"/>
      <c r="O260" s="172">
        <f>SUM('Research Area'!O260+'Education Workforce Development'!O260+'Research Cyberinfrastructure'!O260+'EA &amp; Seed Funding'!O260+'Broadening Participation Divers'!O260+'Communications &amp; Disseminations'!O260+'Partnerships &amp; Collaborations'!O260+'Sustainability Plan'!O260+'Management '!O260+'Evaluation and Assessment '!O260)</f>
        <v>0</v>
      </c>
      <c r="P260" s="56">
        <f>SUM('Research Area'!P260+'Research Cyberinfrastructure'!P260+'EA &amp; Seed Funding'!P260+'Partnerships &amp; Collaborations'!P260+'Broadening Participation Divers'!P260+'Education Workforce Development'!P260+'Communications &amp; Disseminations'!P260+'Evaluation and Assessment '!P260+'Sustainability Plan'!P260+'Management '!P260)</f>
        <v>0</v>
      </c>
      <c r="Q260" s="57">
        <f t="shared" si="146"/>
        <v>0</v>
      </c>
      <c r="R260" s="58"/>
      <c r="S260" s="172">
        <f>SUM('Research Area'!S260+'Education Workforce Development'!S260+'Research Cyberinfrastructure'!S260+'EA &amp; Seed Funding'!S260+'Broadening Participation Divers'!S260+'Communications &amp; Disseminations'!S260+'Partnerships &amp; Collaborations'!S260+'Sustainability Plan'!S260+'Management '!S260+'Evaluation and Assessment '!S260)</f>
        <v>0</v>
      </c>
      <c r="T260" s="56">
        <f>SUM('Research Area'!T260+'Research Cyberinfrastructure'!T260+'EA &amp; Seed Funding'!T260+'Partnerships &amp; Collaborations'!T260+'Broadening Participation Divers'!T260+'Education Workforce Development'!T260+'Communications &amp; Disseminations'!T260+'Evaluation and Assessment '!T260+'Sustainability Plan'!T260+'Management '!T260)</f>
        <v>0</v>
      </c>
      <c r="U260" s="57">
        <f t="shared" si="147"/>
        <v>0</v>
      </c>
      <c r="V260" s="59"/>
      <c r="W260" s="124">
        <f t="shared" si="141"/>
        <v>0</v>
      </c>
      <c r="X260" s="57">
        <f t="shared" si="141"/>
        <v>0</v>
      </c>
      <c r="Y260" s="57">
        <f t="shared" si="142"/>
        <v>0</v>
      </c>
    </row>
    <row r="261" spans="1:77" s="61" customFormat="1" x14ac:dyDescent="0.25">
      <c r="A261" s="54" t="s">
        <v>57</v>
      </c>
      <c r="B261" s="54" t="s">
        <v>57</v>
      </c>
      <c r="C261" s="172">
        <f>SUM('Research Area'!C261+'Education Workforce Development'!C261+'Research Cyberinfrastructure'!C261+'EA &amp; Seed Funding'!C261+'Broadening Participation Divers'!C261+'Communications &amp; Disseminations'!C261+'Partnerships &amp; Collaborations'!C261+'Sustainability Plan'!C261+'Management '!C261+'Evaluation and Assessment '!C261)</f>
        <v>0</v>
      </c>
      <c r="D261" s="56">
        <f>SUM('Research Area'!D261+'Research Cyberinfrastructure'!D261+'EA &amp; Seed Funding'!D261+'Partnerships &amp; Collaborations'!D261+'Broadening Participation Divers'!D261+'Education Workforce Development'!D261+'Communications &amp; Disseminations'!D261+'Evaluation and Assessment '!D261+'Sustainability Plan'!D261+'Management '!D261)</f>
        <v>0</v>
      </c>
      <c r="E261" s="56">
        <f t="shared" si="143"/>
        <v>0</v>
      </c>
      <c r="F261" s="58"/>
      <c r="G261" s="172">
        <f>SUM('Research Area'!G261+'Education Workforce Development'!G261+'Research Cyberinfrastructure'!G261+'EA &amp; Seed Funding'!G261+'Broadening Participation Divers'!G261+'Communications &amp; Disseminations'!G261+'Partnerships &amp; Collaborations'!G261+'Sustainability Plan'!G261+'Management '!G261+'Evaluation and Assessment '!G261)</f>
        <v>0</v>
      </c>
      <c r="H261" s="56">
        <f>SUM('Research Area'!H261+'Research Cyberinfrastructure'!H261+'EA &amp; Seed Funding'!H261+'Partnerships &amp; Collaborations'!H261+'Broadening Participation Divers'!H261+'Education Workforce Development'!H261+'Communications &amp; Disseminations'!H261+'Evaluation and Assessment '!H261+'Sustainability Plan'!H261+'Management '!H261)</f>
        <v>0</v>
      </c>
      <c r="I261" s="57">
        <f t="shared" si="144"/>
        <v>0</v>
      </c>
      <c r="J261" s="58"/>
      <c r="K261" s="172">
        <f>SUM('Research Area'!K261+'Education Workforce Development'!K261+'Research Cyberinfrastructure'!K261+'EA &amp; Seed Funding'!K261+'Broadening Participation Divers'!K261+'Communications &amp; Disseminations'!K261+'Partnerships &amp; Collaborations'!K261+'Sustainability Plan'!K261+'Management '!K261+'Evaluation and Assessment '!K261)</f>
        <v>0</v>
      </c>
      <c r="L261" s="56">
        <f>SUM('Research Area'!L261+'Research Cyberinfrastructure'!L261+'EA &amp; Seed Funding'!L261+'Partnerships &amp; Collaborations'!L261+'Broadening Participation Divers'!L261+'Education Workforce Development'!L261+'Communications &amp; Disseminations'!L261+'Evaluation and Assessment '!L261+'Sustainability Plan'!L261+'Management '!L261)</f>
        <v>0</v>
      </c>
      <c r="M261" s="57">
        <f t="shared" si="145"/>
        <v>0</v>
      </c>
      <c r="N261" s="58"/>
      <c r="O261" s="172">
        <f>SUM('Research Area'!O261+'Education Workforce Development'!O261+'Research Cyberinfrastructure'!O261+'EA &amp; Seed Funding'!O261+'Broadening Participation Divers'!O261+'Communications &amp; Disseminations'!O261+'Partnerships &amp; Collaborations'!O261+'Sustainability Plan'!O261+'Management '!O261+'Evaluation and Assessment '!O261)</f>
        <v>0</v>
      </c>
      <c r="P261" s="56">
        <f>SUM('Research Area'!P261+'Research Cyberinfrastructure'!P261+'EA &amp; Seed Funding'!P261+'Partnerships &amp; Collaborations'!P261+'Broadening Participation Divers'!P261+'Education Workforce Development'!P261+'Communications &amp; Disseminations'!P261+'Evaluation and Assessment '!P261+'Sustainability Plan'!P261+'Management '!P261)</f>
        <v>0</v>
      </c>
      <c r="Q261" s="57">
        <f t="shared" si="146"/>
        <v>0</v>
      </c>
      <c r="R261" s="58"/>
      <c r="S261" s="172">
        <f>SUM('Research Area'!S261+'Education Workforce Development'!S261+'Research Cyberinfrastructure'!S261+'EA &amp; Seed Funding'!S261+'Broadening Participation Divers'!S261+'Communications &amp; Disseminations'!S261+'Partnerships &amp; Collaborations'!S261+'Sustainability Plan'!S261+'Management '!S261+'Evaluation and Assessment '!S261)</f>
        <v>0</v>
      </c>
      <c r="T261" s="56">
        <f>SUM('Research Area'!T261+'Research Cyberinfrastructure'!T261+'EA &amp; Seed Funding'!T261+'Partnerships &amp; Collaborations'!T261+'Broadening Participation Divers'!T261+'Education Workforce Development'!T261+'Communications &amp; Disseminations'!T261+'Evaluation and Assessment '!T261+'Sustainability Plan'!T261+'Management '!T261)</f>
        <v>0</v>
      </c>
      <c r="U261" s="57">
        <f t="shared" si="147"/>
        <v>0</v>
      </c>
      <c r="V261" s="59"/>
      <c r="W261" s="124">
        <f t="shared" si="141"/>
        <v>0</v>
      </c>
      <c r="X261" s="57">
        <f t="shared" si="141"/>
        <v>0</v>
      </c>
      <c r="Y261" s="57">
        <f t="shared" si="142"/>
        <v>0</v>
      </c>
    </row>
    <row r="262" spans="1:77" s="83" customFormat="1" x14ac:dyDescent="0.25">
      <c r="A262" s="78"/>
      <c r="B262" s="78" t="s">
        <v>9</v>
      </c>
      <c r="C262" s="228">
        <f>SUM(C258:C261)</f>
        <v>0</v>
      </c>
      <c r="D262" s="125">
        <f>SUM(D258:D261)</f>
        <v>0</v>
      </c>
      <c r="E262" s="125">
        <f>SUM(E258:E261)</f>
        <v>0</v>
      </c>
      <c r="F262" s="81"/>
      <c r="G262" s="79">
        <f>SUM(G258:G261)</f>
        <v>0</v>
      </c>
      <c r="H262" s="80">
        <f>SUM(H258:H261)</f>
        <v>0</v>
      </c>
      <c r="I262" s="80">
        <f>SUM(I258:I261)</f>
        <v>0</v>
      </c>
      <c r="J262" s="81"/>
      <c r="K262" s="79">
        <f>SUM(K258:K261)</f>
        <v>0</v>
      </c>
      <c r="L262" s="80">
        <f>SUM(L258:L261)</f>
        <v>0</v>
      </c>
      <c r="M262" s="80">
        <f>SUM(M258:M261)</f>
        <v>0</v>
      </c>
      <c r="N262" s="81"/>
      <c r="O262" s="79">
        <f>SUM(O258:O261)</f>
        <v>0</v>
      </c>
      <c r="P262" s="80">
        <f>SUM(P258:P261)</f>
        <v>0</v>
      </c>
      <c r="Q262" s="80">
        <f>SUM(Q258:Q261)</f>
        <v>0</v>
      </c>
      <c r="R262" s="81"/>
      <c r="S262" s="79">
        <f>SUM(S258:S261)</f>
        <v>0</v>
      </c>
      <c r="T262" s="80">
        <f>SUM(T258:T261)</f>
        <v>0</v>
      </c>
      <c r="U262" s="80">
        <f>SUM(U258:U261)</f>
        <v>0</v>
      </c>
      <c r="V262" s="82"/>
      <c r="W262" s="228">
        <f t="shared" si="141"/>
        <v>0</v>
      </c>
      <c r="X262" s="80">
        <f t="shared" si="141"/>
        <v>0</v>
      </c>
      <c r="Y262" s="80">
        <f t="shared" si="141"/>
        <v>0</v>
      </c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</row>
    <row r="263" spans="1:77" s="109" customFormat="1" x14ac:dyDescent="0.25">
      <c r="A263" s="241" t="s">
        <v>16</v>
      </c>
      <c r="B263" s="241"/>
      <c r="C263" s="242">
        <f t="shared" ref="C263:X263" si="148">C262+C256</f>
        <v>6748.56</v>
      </c>
      <c r="D263" s="242">
        <f t="shared" si="148"/>
        <v>0</v>
      </c>
      <c r="E263" s="242">
        <f t="shared" si="148"/>
        <v>6748.56</v>
      </c>
      <c r="F263" s="242">
        <f t="shared" si="148"/>
        <v>0</v>
      </c>
      <c r="G263" s="242">
        <f t="shared" si="148"/>
        <v>6951.0168000000003</v>
      </c>
      <c r="H263" s="242">
        <f t="shared" si="148"/>
        <v>0</v>
      </c>
      <c r="I263" s="242">
        <f t="shared" si="148"/>
        <v>6951.0168000000003</v>
      </c>
      <c r="J263" s="242">
        <f t="shared" si="148"/>
        <v>0</v>
      </c>
      <c r="K263" s="242">
        <f t="shared" si="148"/>
        <v>7159.5473040000006</v>
      </c>
      <c r="L263" s="242">
        <f t="shared" si="148"/>
        <v>0</v>
      </c>
      <c r="M263" s="242">
        <f t="shared" si="148"/>
        <v>7159.5473040000006</v>
      </c>
      <c r="N263" s="242">
        <f t="shared" si="148"/>
        <v>0</v>
      </c>
      <c r="O263" s="242">
        <f t="shared" si="148"/>
        <v>7374.3337231200012</v>
      </c>
      <c r="P263" s="242">
        <f t="shared" si="148"/>
        <v>0</v>
      </c>
      <c r="Q263" s="242">
        <f t="shared" si="148"/>
        <v>7374.3337231200012</v>
      </c>
      <c r="R263" s="242">
        <f t="shared" si="148"/>
        <v>0</v>
      </c>
      <c r="S263" s="242">
        <f t="shared" si="148"/>
        <v>7595.5637348136015</v>
      </c>
      <c r="T263" s="242">
        <f t="shared" si="148"/>
        <v>0</v>
      </c>
      <c r="U263" s="242">
        <f t="shared" si="148"/>
        <v>7595.5637348136015</v>
      </c>
      <c r="V263" s="242">
        <f t="shared" si="148"/>
        <v>0</v>
      </c>
      <c r="W263" s="242">
        <f t="shared" si="148"/>
        <v>35829.021561933609</v>
      </c>
      <c r="X263" s="242">
        <f t="shared" si="148"/>
        <v>0</v>
      </c>
      <c r="Y263" s="243">
        <f>E263+I263+M263+Q263+U263</f>
        <v>35829.021561933609</v>
      </c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</row>
    <row r="264" spans="1:77" s="77" customFormat="1" x14ac:dyDescent="0.25">
      <c r="A264" s="74" t="s">
        <v>6</v>
      </c>
      <c r="B264" s="74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9"/>
      <c r="W264" s="58"/>
      <c r="X264" s="58"/>
      <c r="Y264" s="129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</row>
    <row r="265" spans="1:77" s="61" customFormat="1" x14ac:dyDescent="0.25">
      <c r="A265" s="50"/>
      <c r="B265" s="52" t="s">
        <v>57</v>
      </c>
      <c r="C265" s="172">
        <f>SUM('Research Area'!C265+'Education Workforce Development'!C265+'Research Cyberinfrastructure'!C265+'EA &amp; Seed Funding'!C265+'Broadening Participation Divers'!C265+'Communications &amp; Disseminations'!C265+'Partnerships &amp; Collaborations'!C265+'Sustainability Plan'!C265+'Management '!C265+'Evaluation and Assessment '!C265)</f>
        <v>0</v>
      </c>
      <c r="D265" s="56">
        <f>SUM('Research Area'!D265+'Research Cyberinfrastructure'!D265+'EA &amp; Seed Funding'!D265+'Partnerships &amp; Collaborations'!D265+'Broadening Participation Divers'!D265+'Education Workforce Development'!D265+'Communications &amp; Disseminations'!D265+'Evaluation and Assessment '!D265+'Sustainability Plan'!D265+'Management '!D265)</f>
        <v>0</v>
      </c>
      <c r="E265" s="56">
        <f t="shared" ref="E265:E267" si="149">SUM(C265:D265)</f>
        <v>0</v>
      </c>
      <c r="F265" s="58"/>
      <c r="G265" s="172">
        <f>SUM('Research Area'!G265+'Education Workforce Development'!G265+'Research Cyberinfrastructure'!G265+'EA &amp; Seed Funding'!G265+'Broadening Participation Divers'!G265+'Communications &amp; Disseminations'!G265+'Partnerships &amp; Collaborations'!G265+'Sustainability Plan'!G265+'Management '!G265+'Evaluation and Assessment '!G265)</f>
        <v>0</v>
      </c>
      <c r="H265" s="56">
        <f>SUM('Research Area'!H265+'Research Cyberinfrastructure'!H265+'EA &amp; Seed Funding'!H265+'Partnerships &amp; Collaborations'!H265+'Broadening Participation Divers'!H265+'Education Workforce Development'!H265+'Communications &amp; Disseminations'!H265+'Evaluation and Assessment '!H265+'Sustainability Plan'!H265+'Management '!H265)</f>
        <v>0</v>
      </c>
      <c r="I265" s="57">
        <f t="shared" ref="I265:I267" si="150">SUM(G265:H265)</f>
        <v>0</v>
      </c>
      <c r="J265" s="58"/>
      <c r="K265" s="172">
        <f>SUM('Research Area'!K265+'Education Workforce Development'!K265+'Research Cyberinfrastructure'!K265+'EA &amp; Seed Funding'!K265+'Broadening Participation Divers'!K265+'Communications &amp; Disseminations'!K265+'Partnerships &amp; Collaborations'!K265+'Sustainability Plan'!K265+'Management '!K265+'Evaluation and Assessment '!K265)</f>
        <v>0</v>
      </c>
      <c r="L265" s="56">
        <f>SUM('Research Area'!L265+'Research Cyberinfrastructure'!L265+'EA &amp; Seed Funding'!L265+'Partnerships &amp; Collaborations'!L265+'Broadening Participation Divers'!L265+'Education Workforce Development'!L265+'Communications &amp; Disseminations'!L265+'Evaluation and Assessment '!L265+'Sustainability Plan'!L265+'Management '!L265)</f>
        <v>0</v>
      </c>
      <c r="M265" s="57">
        <f t="shared" ref="M265:M267" si="151">SUM(K265:L265)</f>
        <v>0</v>
      </c>
      <c r="N265" s="58"/>
      <c r="O265" s="172">
        <f>SUM('Research Area'!O265+'Education Workforce Development'!O265+'Research Cyberinfrastructure'!O265+'EA &amp; Seed Funding'!O265+'Broadening Participation Divers'!O265+'Communications &amp; Disseminations'!O265+'Partnerships &amp; Collaborations'!O265+'Sustainability Plan'!O265+'Management '!O265+'Evaluation and Assessment '!O265)</f>
        <v>0</v>
      </c>
      <c r="P265" s="56">
        <f>SUM('Research Area'!P265+'Research Cyberinfrastructure'!P265+'EA &amp; Seed Funding'!P265+'Partnerships &amp; Collaborations'!P265+'Broadening Participation Divers'!P265+'Education Workforce Development'!P265+'Communications &amp; Disseminations'!P265+'Evaluation and Assessment '!P265+'Sustainability Plan'!P265+'Management '!P265)</f>
        <v>0</v>
      </c>
      <c r="Q265" s="57">
        <f t="shared" ref="Q265:Q267" si="152">SUM(O265:P265)</f>
        <v>0</v>
      </c>
      <c r="R265" s="58"/>
      <c r="S265" s="172">
        <f>SUM('Research Area'!S265+'Education Workforce Development'!S265+'Research Cyberinfrastructure'!S265+'EA &amp; Seed Funding'!S265+'Broadening Participation Divers'!S265+'Communications &amp; Disseminations'!S265+'Partnerships &amp; Collaborations'!S265+'Sustainability Plan'!S265+'Management '!S265+'Evaluation and Assessment '!S265)</f>
        <v>0</v>
      </c>
      <c r="T265" s="56">
        <f>SUM('Research Area'!T265+'Research Cyberinfrastructure'!T265+'EA &amp; Seed Funding'!T265+'Partnerships &amp; Collaborations'!T265+'Broadening Participation Divers'!T265+'Education Workforce Development'!T265+'Communications &amp; Disseminations'!T265+'Evaluation and Assessment '!T265+'Sustainability Plan'!T265+'Management '!T265)</f>
        <v>0</v>
      </c>
      <c r="U265" s="57">
        <f t="shared" ref="U265:U267" si="153">SUM(S265:T265)</f>
        <v>0</v>
      </c>
      <c r="V265" s="59"/>
      <c r="W265" s="124">
        <f t="shared" ref="W265:Y268" si="154">C265+G265+K265+O265+S265</f>
        <v>0</v>
      </c>
      <c r="X265" s="57">
        <f t="shared" si="154"/>
        <v>0</v>
      </c>
      <c r="Y265" s="84">
        <f t="shared" si="154"/>
        <v>0</v>
      </c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</row>
    <row r="266" spans="1:77" s="61" customFormat="1" x14ac:dyDescent="0.25">
      <c r="A266" s="50">
        <v>0.54779999999999995</v>
      </c>
      <c r="B266" s="52" t="s">
        <v>109</v>
      </c>
      <c r="C266" s="55">
        <f>SUM('Research Area'!C266+'Education Workforce Development'!C266+'Research Cyberinfrastructure'!C266+'EA &amp; Seed Funding'!C266+'Broadening Participation Divers'!C266+'Communications &amp; Disseminations'!C266+'Partnerships &amp; Collaborations'!C266+'Sustainability Plan'!C266+'Management '!C266+'Evaluation and Assessment '!C266)</f>
        <v>3807.7670030400004</v>
      </c>
      <c r="D266" s="56">
        <f>SUM('Research Area'!D266+'Research Cyberinfrastructure'!D266+'EA &amp; Seed Funding'!D266+'Partnerships &amp; Collaborations'!D266+'Broadening Participation Divers'!D266+'Education Workforce Development'!D266+'Communications &amp; Disseminations'!D266+'Evaluation and Assessment '!D266+'Sustainability Plan'!D266+'Management '!D266)</f>
        <v>0</v>
      </c>
      <c r="E266" s="56">
        <f t="shared" si="149"/>
        <v>3807.7670030400004</v>
      </c>
      <c r="F266" s="58"/>
      <c r="G266" s="55">
        <f>SUM('Research Area'!G266+'Education Workforce Development'!G266+'Research Cyberinfrastructure'!G266+'EA &amp; Seed Funding'!G266+'Broadening Participation Divers'!G266+'Communications &amp; Disseminations'!G266+'Partnerships &amp; Collaborations'!G266+'Sustainability Plan'!G266+'Management '!G266+'Evaluation and Assessment '!G266)</f>
        <v>4039.660013525136</v>
      </c>
      <c r="H266" s="56">
        <f>SUM('Research Area'!H266+'Research Cyberinfrastructure'!H266+'EA &amp; Seed Funding'!H266+'Partnerships &amp; Collaborations'!H266+'Broadening Participation Divers'!H266+'Education Workforce Development'!H266+'Communications &amp; Disseminations'!H266+'Evaluation and Assessment '!H266+'Sustainability Plan'!H266+'Management '!H266)</f>
        <v>0</v>
      </c>
      <c r="I266" s="57">
        <f t="shared" si="150"/>
        <v>4039.660013525136</v>
      </c>
      <c r="J266" s="58"/>
      <c r="K266" s="55">
        <f>SUM('Research Area'!K266+'Education Workforce Development'!K266+'Research Cyberinfrastructure'!K266+'EA &amp; Seed Funding'!K266+'Broadening Participation Divers'!K266+'Communications &amp; Disseminations'!K266+'Partnerships &amp; Collaborations'!K266+'Sustainability Plan'!K266+'Management '!K266+'Evaluation and Assessment '!K266)</f>
        <v>0</v>
      </c>
      <c r="L266" s="56">
        <f>SUM('Research Area'!L266+'Research Cyberinfrastructure'!L266+'EA &amp; Seed Funding'!L266+'Partnerships &amp; Collaborations'!L266+'Broadening Participation Divers'!L266+'Education Workforce Development'!L266+'Communications &amp; Disseminations'!L266+'Evaluation and Assessment '!L266+'Sustainability Plan'!L266+'Management '!L266)</f>
        <v>0</v>
      </c>
      <c r="M266" s="57">
        <f t="shared" si="151"/>
        <v>0</v>
      </c>
      <c r="N266" s="58"/>
      <c r="O266" s="55">
        <f>SUM('Research Area'!O266+'Education Workforce Development'!O266+'Research Cyberinfrastructure'!O266+'EA &amp; Seed Funding'!O266+'Broadening Participation Divers'!O266+'Communications &amp; Disseminations'!O266+'Partnerships &amp; Collaborations'!O266+'Sustainability Plan'!O266+'Management '!O266+'Evaluation and Assessment '!O266)</f>
        <v>0</v>
      </c>
      <c r="P266" s="56">
        <f>SUM('Research Area'!P266+'Research Cyberinfrastructure'!P266+'EA &amp; Seed Funding'!P266+'Partnerships &amp; Collaborations'!P266+'Broadening Participation Divers'!P266+'Education Workforce Development'!P266+'Communications &amp; Disseminations'!P266+'Evaluation and Assessment '!P266+'Sustainability Plan'!P266+'Management '!P266)</f>
        <v>0</v>
      </c>
      <c r="Q266" s="57">
        <f t="shared" si="152"/>
        <v>0</v>
      </c>
      <c r="R266" s="58"/>
      <c r="S266" s="55">
        <f>SUM('Research Area'!S266+'Education Workforce Development'!S266+'Research Cyberinfrastructure'!S266+'EA &amp; Seed Funding'!S266+'Broadening Participation Divers'!S266+'Communications &amp; Disseminations'!S266+'Partnerships &amp; Collaborations'!S266+'Sustainability Plan'!S266+'Management '!S266+'Evaluation and Assessment '!S266)</f>
        <v>0</v>
      </c>
      <c r="T266" s="56">
        <f>SUM('Research Area'!T266+'Research Cyberinfrastructure'!T266+'EA &amp; Seed Funding'!T266+'Partnerships &amp; Collaborations'!T266+'Broadening Participation Divers'!T266+'Education Workforce Development'!T266+'Communications &amp; Disseminations'!T266+'Evaluation and Assessment '!T266+'Sustainability Plan'!T266+'Management '!T266)</f>
        <v>0</v>
      </c>
      <c r="U266" s="57">
        <f t="shared" si="153"/>
        <v>0</v>
      </c>
      <c r="V266" s="59"/>
      <c r="W266" s="124">
        <f t="shared" si="154"/>
        <v>7847.427016565136</v>
      </c>
      <c r="X266" s="57">
        <f t="shared" si="154"/>
        <v>0</v>
      </c>
      <c r="Y266" s="84">
        <f t="shared" si="154"/>
        <v>7847.427016565136</v>
      </c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</row>
    <row r="267" spans="1:77" s="61" customFormat="1" x14ac:dyDescent="0.25">
      <c r="A267" s="52"/>
      <c r="B267" s="52"/>
      <c r="C267" s="172">
        <f>SUM('Research Area'!C267+'Education Workforce Development'!C267+'Research Cyberinfrastructure'!C267+'EA &amp; Seed Funding'!C267+'Broadening Participation Divers'!C267+'Communications &amp; Disseminations'!C267+'Partnerships &amp; Collaborations'!C267+'Sustainability Plan'!C267+'Management '!C267+'Evaluation and Assessment '!C267)</f>
        <v>0</v>
      </c>
      <c r="D267" s="56">
        <f>SUM('Research Area'!D267+'Research Cyberinfrastructure'!D267+'EA &amp; Seed Funding'!D267+'Partnerships &amp; Collaborations'!D267+'Broadening Participation Divers'!D267+'Education Workforce Development'!D267+'Communications &amp; Disseminations'!D267+'Evaluation and Assessment '!D267+'Sustainability Plan'!D267+'Management '!D267)</f>
        <v>0</v>
      </c>
      <c r="E267" s="56">
        <f t="shared" si="149"/>
        <v>0</v>
      </c>
      <c r="F267" s="58"/>
      <c r="G267" s="172">
        <f>SUM('Research Area'!G267+'Education Workforce Development'!G267+'Research Cyberinfrastructure'!G267+'EA &amp; Seed Funding'!G267+'Broadening Participation Divers'!G267+'Communications &amp; Disseminations'!G267+'Partnerships &amp; Collaborations'!G267+'Sustainability Plan'!G267+'Management '!G267+'Evaluation and Assessment '!G267)</f>
        <v>0</v>
      </c>
      <c r="H267" s="56">
        <f>SUM('Research Area'!H267+'Research Cyberinfrastructure'!H267+'EA &amp; Seed Funding'!H267+'Partnerships &amp; Collaborations'!H267+'Broadening Participation Divers'!H267+'Education Workforce Development'!H267+'Communications &amp; Disseminations'!H267+'Evaluation and Assessment '!H267+'Sustainability Plan'!H267+'Management '!H267)</f>
        <v>0</v>
      </c>
      <c r="I267" s="57">
        <f t="shared" si="150"/>
        <v>0</v>
      </c>
      <c r="J267" s="58"/>
      <c r="K267" s="172">
        <f>SUM('Research Area'!K267+'Education Workforce Development'!K267+'Research Cyberinfrastructure'!K267+'EA &amp; Seed Funding'!K267+'Broadening Participation Divers'!K267+'Communications &amp; Disseminations'!K267+'Partnerships &amp; Collaborations'!K267+'Sustainability Plan'!K267+'Management '!K267+'Evaluation and Assessment '!K267)</f>
        <v>4285.6753083488175</v>
      </c>
      <c r="L267" s="56">
        <f>SUM('Research Area'!L267+'Research Cyberinfrastructure'!L267+'EA &amp; Seed Funding'!L267+'Partnerships &amp; Collaborations'!L267+'Broadening Participation Divers'!L267+'Education Workforce Development'!L267+'Communications &amp; Disseminations'!L267+'Evaluation and Assessment '!L267+'Sustainability Plan'!L267+'Management '!L267)</f>
        <v>0</v>
      </c>
      <c r="M267" s="57">
        <f t="shared" si="151"/>
        <v>4285.6753083488175</v>
      </c>
      <c r="N267" s="58"/>
      <c r="O267" s="172">
        <f>SUM('Research Area'!O267+'Education Workforce Development'!O267+'Research Cyberinfrastructure'!O267+'EA &amp; Seed Funding'!O267+'Broadening Participation Divers'!O267+'Communications &amp; Disseminations'!O267+'Partnerships &amp; Collaborations'!O267+'Sustainability Plan'!O267+'Management '!O267+'Evaluation and Assessment '!O267)</f>
        <v>4546.6729346272614</v>
      </c>
      <c r="P267" s="56">
        <f>SUM('Research Area'!P267+'Research Cyberinfrastructure'!P267+'EA &amp; Seed Funding'!P267+'Partnerships &amp; Collaborations'!P267+'Broadening Participation Divers'!P267+'Education Workforce Development'!P267+'Communications &amp; Disseminations'!P267+'Evaluation and Assessment '!P267+'Sustainability Plan'!P267+'Management '!P267)</f>
        <v>0</v>
      </c>
      <c r="Q267" s="57">
        <f t="shared" si="152"/>
        <v>4546.6729346272614</v>
      </c>
      <c r="R267" s="58"/>
      <c r="S267" s="172">
        <f>SUM('Research Area'!S267+'Education Workforce Development'!S267+'Research Cyberinfrastructure'!S267+'EA &amp; Seed Funding'!S267+'Broadening Participation Divers'!S267+'Communications &amp; Disseminations'!S267+'Partnerships &amp; Collaborations'!S267+'Sustainability Plan'!S267+'Management '!S267+'Evaluation and Assessment '!S267)</f>
        <v>4823.565316346062</v>
      </c>
      <c r="T267" s="56">
        <f>SUM('Research Area'!T267+'Research Cyberinfrastructure'!T267+'EA &amp; Seed Funding'!T267+'Partnerships &amp; Collaborations'!T267+'Broadening Participation Divers'!T267+'Education Workforce Development'!T267+'Communications &amp; Disseminations'!T267+'Evaluation and Assessment '!T267+'Sustainability Plan'!T267+'Management '!T267)</f>
        <v>0</v>
      </c>
      <c r="U267" s="57">
        <f t="shared" si="153"/>
        <v>4823.565316346062</v>
      </c>
      <c r="V267" s="59"/>
      <c r="W267" s="124">
        <f t="shared" si="154"/>
        <v>13655.91355932214</v>
      </c>
      <c r="X267" s="57">
        <f t="shared" si="154"/>
        <v>0</v>
      </c>
      <c r="Y267" s="84">
        <f t="shared" si="154"/>
        <v>13655.91355932214</v>
      </c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</row>
    <row r="268" spans="1:77" s="83" customFormat="1" x14ac:dyDescent="0.25">
      <c r="A268" s="78"/>
      <c r="B268" s="78" t="s">
        <v>9</v>
      </c>
      <c r="C268" s="228">
        <f>SUM(C265:C267)</f>
        <v>3807.7670030400004</v>
      </c>
      <c r="D268" s="125">
        <f>SUM(D265:D267)</f>
        <v>0</v>
      </c>
      <c r="E268" s="125">
        <f>SUM(E265:E267)</f>
        <v>3807.7670030400004</v>
      </c>
      <c r="F268" s="81"/>
      <c r="G268" s="79">
        <f>SUM(G265:G267)</f>
        <v>4039.660013525136</v>
      </c>
      <c r="H268" s="80">
        <f>SUM(H265:H267)</f>
        <v>0</v>
      </c>
      <c r="I268" s="80">
        <f>SUM(I265:I267)</f>
        <v>4039.660013525136</v>
      </c>
      <c r="J268" s="81"/>
      <c r="K268" s="79">
        <f>SUM(K265:K267)</f>
        <v>4285.6753083488175</v>
      </c>
      <c r="L268" s="80">
        <f>SUM(L265:L267)</f>
        <v>0</v>
      </c>
      <c r="M268" s="80">
        <f>SUM(M265:M267)</f>
        <v>4285.6753083488175</v>
      </c>
      <c r="N268" s="81"/>
      <c r="O268" s="79">
        <f>SUM(O265:O267)</f>
        <v>4546.6729346272614</v>
      </c>
      <c r="P268" s="80">
        <f>SUM(P265:P267)</f>
        <v>0</v>
      </c>
      <c r="Q268" s="80">
        <f>SUM(Q265:Q267)</f>
        <v>4546.6729346272614</v>
      </c>
      <c r="R268" s="81"/>
      <c r="S268" s="79">
        <f>SUM(S265:S267)</f>
        <v>4823.565316346062</v>
      </c>
      <c r="T268" s="80">
        <f>SUM(T265:T267)</f>
        <v>0</v>
      </c>
      <c r="U268" s="80">
        <f>SUM(U265:U267)</f>
        <v>4823.565316346062</v>
      </c>
      <c r="V268" s="82"/>
      <c r="W268" s="228">
        <f t="shared" si="154"/>
        <v>21503.34057588728</v>
      </c>
      <c r="X268" s="80">
        <f t="shared" si="154"/>
        <v>0</v>
      </c>
      <c r="Y268" s="80">
        <f t="shared" si="154"/>
        <v>21503.34057588728</v>
      </c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</row>
    <row r="269" spans="1:77" s="110" customFormat="1" x14ac:dyDescent="0.25">
      <c r="A269" s="241" t="s">
        <v>17</v>
      </c>
      <c r="B269" s="241"/>
      <c r="C269" s="242">
        <f t="shared" ref="C269:Y269" si="155">C268+C263</f>
        <v>10556.327003040002</v>
      </c>
      <c r="D269" s="242">
        <f t="shared" si="155"/>
        <v>0</v>
      </c>
      <c r="E269" s="242">
        <f t="shared" si="155"/>
        <v>10556.327003040002</v>
      </c>
      <c r="F269" s="242">
        <f t="shared" si="155"/>
        <v>0</v>
      </c>
      <c r="G269" s="242">
        <f t="shared" si="155"/>
        <v>10990.676813525137</v>
      </c>
      <c r="H269" s="242">
        <f t="shared" si="155"/>
        <v>0</v>
      </c>
      <c r="I269" s="242">
        <f t="shared" si="155"/>
        <v>10990.676813525137</v>
      </c>
      <c r="J269" s="242">
        <f t="shared" si="155"/>
        <v>0</v>
      </c>
      <c r="K269" s="242">
        <f t="shared" si="155"/>
        <v>11445.222612348818</v>
      </c>
      <c r="L269" s="242">
        <f t="shared" si="155"/>
        <v>0</v>
      </c>
      <c r="M269" s="242">
        <f t="shared" si="155"/>
        <v>11445.222612348818</v>
      </c>
      <c r="N269" s="242">
        <f t="shared" si="155"/>
        <v>0</v>
      </c>
      <c r="O269" s="242">
        <f t="shared" si="155"/>
        <v>11921.006657747263</v>
      </c>
      <c r="P269" s="242">
        <f t="shared" si="155"/>
        <v>0</v>
      </c>
      <c r="Q269" s="242">
        <f t="shared" si="155"/>
        <v>11921.006657747263</v>
      </c>
      <c r="R269" s="242">
        <f t="shared" si="155"/>
        <v>0</v>
      </c>
      <c r="S269" s="242">
        <f t="shared" si="155"/>
        <v>12419.129051159664</v>
      </c>
      <c r="T269" s="242">
        <f t="shared" si="155"/>
        <v>0</v>
      </c>
      <c r="U269" s="242">
        <f t="shared" si="155"/>
        <v>12419.129051159664</v>
      </c>
      <c r="V269" s="242">
        <f t="shared" si="155"/>
        <v>0</v>
      </c>
      <c r="W269" s="242">
        <f t="shared" si="155"/>
        <v>57332.362137820892</v>
      </c>
      <c r="X269" s="242">
        <f t="shared" si="155"/>
        <v>0</v>
      </c>
      <c r="Y269" s="242">
        <f t="shared" si="155"/>
        <v>57332.362137820892</v>
      </c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</row>
    <row r="270" spans="1:77" s="77" customFormat="1" x14ac:dyDescent="0.25">
      <c r="A270" s="74" t="s">
        <v>18</v>
      </c>
      <c r="B270" s="127"/>
      <c r="C270" s="128"/>
      <c r="D270" s="128"/>
      <c r="E270" s="58"/>
      <c r="F270" s="128"/>
      <c r="G270" s="128"/>
      <c r="H270" s="128"/>
      <c r="I270" s="58"/>
      <c r="J270" s="128"/>
      <c r="K270" s="128"/>
      <c r="L270" s="58"/>
      <c r="M270" s="58"/>
      <c r="N270" s="128"/>
      <c r="O270" s="128"/>
      <c r="P270" s="58"/>
      <c r="Q270" s="58"/>
      <c r="R270" s="128"/>
      <c r="S270" s="128"/>
      <c r="T270" s="58"/>
      <c r="U270" s="58"/>
      <c r="V270" s="59"/>
      <c r="W270" s="58"/>
      <c r="X270" s="58"/>
      <c r="Y270" s="129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</row>
    <row r="271" spans="1:77" s="61" customFormat="1" x14ac:dyDescent="0.25">
      <c r="A271" s="52"/>
      <c r="B271" s="61" t="s">
        <v>57</v>
      </c>
      <c r="C271" s="172">
        <f>SUM('Research Area'!C271+'Education Workforce Development'!C271+'Research Cyberinfrastructure'!C271+'EA &amp; Seed Funding'!C271+'Broadening Participation Divers'!C271+'Communications &amp; Disseminations'!C271+'Partnerships &amp; Collaborations'!C271+'Sustainability Plan'!C271+'Management '!C271+'Evaluation and Assessment '!C271)</f>
        <v>0</v>
      </c>
      <c r="D271" s="56">
        <f>SUM('Research Area'!D271+'Research Cyberinfrastructure'!D271+'EA &amp; Seed Funding'!D271+'Partnerships &amp; Collaborations'!D271+'Broadening Participation Divers'!D271+'Education Workforce Development'!D271+'Communications &amp; Disseminations'!D271+'Evaluation and Assessment '!D271+'Sustainability Plan'!D271+'Management '!D271)</f>
        <v>0</v>
      </c>
      <c r="E271" s="56">
        <f t="shared" ref="E271:E273" si="156">SUM(C271:D271)</f>
        <v>0</v>
      </c>
      <c r="F271" s="58"/>
      <c r="G271" s="172">
        <f>SUM('Research Area'!G271+'Education Workforce Development'!G271+'Research Cyberinfrastructure'!G271+'EA &amp; Seed Funding'!G271+'Broadening Participation Divers'!G271+'Communications &amp; Disseminations'!G271+'Partnerships &amp; Collaborations'!G271+'Sustainability Plan'!G271+'Management '!G271+'Evaluation and Assessment '!G271)</f>
        <v>0</v>
      </c>
      <c r="H271" s="56">
        <f>SUM('Research Area'!H271+'Research Cyberinfrastructure'!H271+'EA &amp; Seed Funding'!H271+'Partnerships &amp; Collaborations'!H271+'Broadening Participation Divers'!H271+'Education Workforce Development'!H271+'Communications &amp; Disseminations'!H271+'Evaluation and Assessment '!H271+'Sustainability Plan'!H271+'Management '!H271)</f>
        <v>0</v>
      </c>
      <c r="I271" s="57">
        <f t="shared" ref="I271:I273" si="157">SUM(G271:H271)</f>
        <v>0</v>
      </c>
      <c r="J271" s="58"/>
      <c r="K271" s="172">
        <f>SUM('Research Area'!K271+'Education Workforce Development'!K271+'Research Cyberinfrastructure'!K271+'EA &amp; Seed Funding'!K271+'Broadening Participation Divers'!K271+'Communications &amp; Disseminations'!K271+'Partnerships &amp; Collaborations'!K271+'Sustainability Plan'!K271+'Management '!K271+'Evaluation and Assessment '!K271)</f>
        <v>0</v>
      </c>
      <c r="L271" s="56">
        <f>SUM('Research Area'!L271+'Research Cyberinfrastructure'!L271+'EA &amp; Seed Funding'!L271+'Partnerships &amp; Collaborations'!L271+'Broadening Participation Divers'!L271+'Education Workforce Development'!L271+'Communications &amp; Disseminations'!L271+'Evaluation and Assessment '!L271+'Sustainability Plan'!L271+'Management '!L271)</f>
        <v>0</v>
      </c>
      <c r="M271" s="57">
        <f t="shared" ref="M271:M273" si="158">SUM(K271:L271)</f>
        <v>0</v>
      </c>
      <c r="N271" s="58"/>
      <c r="O271" s="172">
        <f>SUM('Research Area'!O271+'Education Workforce Development'!O271+'Research Cyberinfrastructure'!O271+'EA &amp; Seed Funding'!O271+'Broadening Participation Divers'!O271+'Communications &amp; Disseminations'!O271+'Partnerships &amp; Collaborations'!O271+'Sustainability Plan'!O271+'Management '!O271+'Evaluation and Assessment '!O271)</f>
        <v>0</v>
      </c>
      <c r="P271" s="56">
        <f>SUM('Research Area'!P271+'Research Cyberinfrastructure'!P271+'EA &amp; Seed Funding'!P271+'Partnerships &amp; Collaborations'!P271+'Broadening Participation Divers'!P271+'Education Workforce Development'!P271+'Communications &amp; Disseminations'!P271+'Evaluation and Assessment '!P271+'Sustainability Plan'!P271+'Management '!P271)</f>
        <v>0</v>
      </c>
      <c r="Q271" s="57">
        <f t="shared" ref="Q271:Q273" si="159">SUM(O271:P271)</f>
        <v>0</v>
      </c>
      <c r="R271" s="58"/>
      <c r="S271" s="172">
        <f>SUM('Research Area'!S271+'Education Workforce Development'!S271+'Research Cyberinfrastructure'!S271+'EA &amp; Seed Funding'!S271+'Broadening Participation Divers'!S271+'Communications &amp; Disseminations'!S271+'Partnerships &amp; Collaborations'!S271+'Sustainability Plan'!S271+'Management '!S271+'Evaluation and Assessment '!S271)</f>
        <v>0</v>
      </c>
      <c r="T271" s="56">
        <f>SUM('Research Area'!T271+'Research Cyberinfrastructure'!T271+'EA &amp; Seed Funding'!T271+'Partnerships &amp; Collaborations'!T271+'Broadening Participation Divers'!T271+'Education Workforce Development'!T271+'Communications &amp; Disseminations'!T271+'Evaluation and Assessment '!T271+'Sustainability Plan'!T271+'Management '!T271)</f>
        <v>0</v>
      </c>
      <c r="U271" s="57">
        <f t="shared" ref="U271:U273" si="160">SUM(S271:T271)</f>
        <v>0</v>
      </c>
      <c r="V271" s="59"/>
      <c r="W271" s="124">
        <f t="shared" ref="W271:Y274" si="161">C271+G271+K271+O271+S271</f>
        <v>0</v>
      </c>
      <c r="X271" s="57">
        <f t="shared" si="161"/>
        <v>0</v>
      </c>
      <c r="Y271" s="84">
        <f t="shared" si="161"/>
        <v>0</v>
      </c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</row>
    <row r="272" spans="1:77" s="61" customFormat="1" x14ac:dyDescent="0.25">
      <c r="A272" s="52"/>
      <c r="B272" s="61" t="s">
        <v>57</v>
      </c>
      <c r="C272" s="172">
        <f>SUM('Research Area'!C272+'Education Workforce Development'!C272+'Research Cyberinfrastructure'!C272+'EA &amp; Seed Funding'!C272+'Broadening Participation Divers'!C272+'Communications &amp; Disseminations'!C272+'Partnerships &amp; Collaborations'!C272+'Sustainability Plan'!C272+'Management '!C272+'Evaluation and Assessment '!C272)</f>
        <v>0</v>
      </c>
      <c r="D272" s="56">
        <f>SUM('Research Area'!D272+'Research Cyberinfrastructure'!D272+'EA &amp; Seed Funding'!D272+'Partnerships &amp; Collaborations'!D272+'Broadening Participation Divers'!D272+'Education Workforce Development'!D272+'Communications &amp; Disseminations'!D272+'Evaluation and Assessment '!D272+'Sustainability Plan'!D272+'Management '!D272)</f>
        <v>0</v>
      </c>
      <c r="E272" s="56">
        <f t="shared" si="156"/>
        <v>0</v>
      </c>
      <c r="F272" s="58"/>
      <c r="G272" s="172">
        <f>SUM('Research Area'!G272+'Education Workforce Development'!G272+'Research Cyberinfrastructure'!G272+'EA &amp; Seed Funding'!G272+'Broadening Participation Divers'!G272+'Communications &amp; Disseminations'!G272+'Partnerships &amp; Collaborations'!G272+'Sustainability Plan'!G272+'Management '!G272+'Evaluation and Assessment '!G272)</f>
        <v>0</v>
      </c>
      <c r="H272" s="56">
        <f>SUM('Research Area'!H272+'Research Cyberinfrastructure'!H272+'EA &amp; Seed Funding'!H272+'Partnerships &amp; Collaborations'!H272+'Broadening Participation Divers'!H272+'Education Workforce Development'!H272+'Communications &amp; Disseminations'!H272+'Evaluation and Assessment '!H272+'Sustainability Plan'!H272+'Management '!H272)</f>
        <v>0</v>
      </c>
      <c r="I272" s="57">
        <f t="shared" si="157"/>
        <v>0</v>
      </c>
      <c r="J272" s="58"/>
      <c r="K272" s="172">
        <f>SUM('Research Area'!K272+'Education Workforce Development'!K272+'Research Cyberinfrastructure'!K272+'EA &amp; Seed Funding'!K272+'Broadening Participation Divers'!K272+'Communications &amp; Disseminations'!K272+'Partnerships &amp; Collaborations'!K272+'Sustainability Plan'!K272+'Management '!K272+'Evaluation and Assessment '!K272)</f>
        <v>0</v>
      </c>
      <c r="L272" s="56">
        <f>SUM('Research Area'!L272+'Research Cyberinfrastructure'!L272+'EA &amp; Seed Funding'!L272+'Partnerships &amp; Collaborations'!L272+'Broadening Participation Divers'!L272+'Education Workforce Development'!L272+'Communications &amp; Disseminations'!L272+'Evaluation and Assessment '!L272+'Sustainability Plan'!L272+'Management '!L272)</f>
        <v>0</v>
      </c>
      <c r="M272" s="57">
        <f t="shared" si="158"/>
        <v>0</v>
      </c>
      <c r="N272" s="58"/>
      <c r="O272" s="172">
        <f>SUM('Research Area'!O272+'Education Workforce Development'!O272+'Research Cyberinfrastructure'!O272+'EA &amp; Seed Funding'!O272+'Broadening Participation Divers'!O272+'Communications &amp; Disseminations'!O272+'Partnerships &amp; Collaborations'!O272+'Sustainability Plan'!O272+'Management '!O272+'Evaluation and Assessment '!O272)</f>
        <v>0</v>
      </c>
      <c r="P272" s="56">
        <f>SUM('Research Area'!P272+'Research Cyberinfrastructure'!P272+'EA &amp; Seed Funding'!P272+'Partnerships &amp; Collaborations'!P272+'Broadening Participation Divers'!P272+'Education Workforce Development'!P272+'Communications &amp; Disseminations'!P272+'Evaluation and Assessment '!P272+'Sustainability Plan'!P272+'Management '!P272)</f>
        <v>0</v>
      </c>
      <c r="Q272" s="57">
        <f t="shared" si="159"/>
        <v>0</v>
      </c>
      <c r="R272" s="58"/>
      <c r="S272" s="172">
        <f>SUM('Research Area'!S272+'Education Workforce Development'!S272+'Research Cyberinfrastructure'!S272+'EA &amp; Seed Funding'!S272+'Broadening Participation Divers'!S272+'Communications &amp; Disseminations'!S272+'Partnerships &amp; Collaborations'!S272+'Sustainability Plan'!S272+'Management '!S272+'Evaluation and Assessment '!S272)</f>
        <v>0</v>
      </c>
      <c r="T272" s="56">
        <f>SUM('Research Area'!T272+'Research Cyberinfrastructure'!T272+'EA &amp; Seed Funding'!T272+'Partnerships &amp; Collaborations'!T272+'Broadening Participation Divers'!T272+'Education Workforce Development'!T272+'Communications &amp; Disseminations'!T272+'Evaluation and Assessment '!T272+'Sustainability Plan'!T272+'Management '!T272)</f>
        <v>0</v>
      </c>
      <c r="U272" s="57">
        <f t="shared" si="160"/>
        <v>0</v>
      </c>
      <c r="V272" s="59"/>
      <c r="W272" s="124">
        <f t="shared" si="161"/>
        <v>0</v>
      </c>
      <c r="X272" s="57">
        <f t="shared" si="161"/>
        <v>0</v>
      </c>
      <c r="Y272" s="84">
        <f t="shared" si="161"/>
        <v>0</v>
      </c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</row>
    <row r="273" spans="1:77" s="61" customFormat="1" x14ac:dyDescent="0.25">
      <c r="A273" s="204" t="s">
        <v>57</v>
      </c>
      <c r="B273" s="61" t="s">
        <v>57</v>
      </c>
      <c r="C273" s="172">
        <f>SUM('Research Area'!C273+'Education Workforce Development'!C273+'Research Cyberinfrastructure'!C273+'EA &amp; Seed Funding'!C273+'Broadening Participation Divers'!C273+'Communications &amp; Disseminations'!C273+'Partnerships &amp; Collaborations'!C273+'Sustainability Plan'!C273+'Management '!C273+'Evaluation and Assessment '!C273)</f>
        <v>0</v>
      </c>
      <c r="D273" s="56">
        <f>SUM('Research Area'!D273+'Research Cyberinfrastructure'!D273+'EA &amp; Seed Funding'!D273+'Partnerships &amp; Collaborations'!D273+'Broadening Participation Divers'!D273+'Education Workforce Development'!D273+'Communications &amp; Disseminations'!D273+'Evaluation and Assessment '!D273+'Sustainability Plan'!D273+'Management '!D273)</f>
        <v>0</v>
      </c>
      <c r="E273" s="56">
        <f t="shared" si="156"/>
        <v>0</v>
      </c>
      <c r="F273" s="58"/>
      <c r="G273" s="172">
        <f>SUM('Research Area'!G273+'Education Workforce Development'!G273+'Research Cyberinfrastructure'!G273+'EA &amp; Seed Funding'!G273+'Broadening Participation Divers'!G273+'Communications &amp; Disseminations'!G273+'Partnerships &amp; Collaborations'!G273+'Sustainability Plan'!G273+'Management '!G273+'Evaluation and Assessment '!G273)</f>
        <v>0</v>
      </c>
      <c r="H273" s="56">
        <f>SUM('Research Area'!H273+'Research Cyberinfrastructure'!H273+'EA &amp; Seed Funding'!H273+'Partnerships &amp; Collaborations'!H273+'Broadening Participation Divers'!H273+'Education Workforce Development'!H273+'Communications &amp; Disseminations'!H273+'Evaluation and Assessment '!H273+'Sustainability Plan'!H273+'Management '!H273)</f>
        <v>0</v>
      </c>
      <c r="I273" s="57">
        <f t="shared" si="157"/>
        <v>0</v>
      </c>
      <c r="J273" s="58"/>
      <c r="K273" s="172">
        <f>SUM('Research Area'!K273+'Education Workforce Development'!K273+'Research Cyberinfrastructure'!K273+'EA &amp; Seed Funding'!K273+'Broadening Participation Divers'!K273+'Communications &amp; Disseminations'!K273+'Partnerships &amp; Collaborations'!K273+'Sustainability Plan'!K273+'Management '!K273+'Evaluation and Assessment '!K273)</f>
        <v>0</v>
      </c>
      <c r="L273" s="56">
        <f>SUM('Research Area'!L273+'Research Cyberinfrastructure'!L273+'EA &amp; Seed Funding'!L273+'Partnerships &amp; Collaborations'!L273+'Broadening Participation Divers'!L273+'Education Workforce Development'!L273+'Communications &amp; Disseminations'!L273+'Evaluation and Assessment '!L273+'Sustainability Plan'!L273+'Management '!L273)</f>
        <v>0</v>
      </c>
      <c r="M273" s="57">
        <f t="shared" si="158"/>
        <v>0</v>
      </c>
      <c r="N273" s="58"/>
      <c r="O273" s="172">
        <f>SUM('Research Area'!O273+'Education Workforce Development'!O273+'Research Cyberinfrastructure'!O273+'EA &amp; Seed Funding'!O273+'Broadening Participation Divers'!O273+'Communications &amp; Disseminations'!O273+'Partnerships &amp; Collaborations'!O273+'Sustainability Plan'!O273+'Management '!O273+'Evaluation and Assessment '!O273)</f>
        <v>0</v>
      </c>
      <c r="P273" s="56">
        <f>SUM('Research Area'!P273+'Research Cyberinfrastructure'!P273+'EA &amp; Seed Funding'!P273+'Partnerships &amp; Collaborations'!P273+'Broadening Participation Divers'!P273+'Education Workforce Development'!P273+'Communications &amp; Disseminations'!P273+'Evaluation and Assessment '!P273+'Sustainability Plan'!P273+'Management '!P273)</f>
        <v>0</v>
      </c>
      <c r="Q273" s="57">
        <f t="shared" si="159"/>
        <v>0</v>
      </c>
      <c r="R273" s="58"/>
      <c r="S273" s="172">
        <f>SUM('Research Area'!S273+'Education Workforce Development'!S273+'Research Cyberinfrastructure'!S273+'EA &amp; Seed Funding'!S273+'Broadening Participation Divers'!S273+'Communications &amp; Disseminations'!S273+'Partnerships &amp; Collaborations'!S273+'Sustainability Plan'!S273+'Management '!S273+'Evaluation and Assessment '!S273)</f>
        <v>0</v>
      </c>
      <c r="T273" s="56">
        <f>SUM('Research Area'!T273+'Research Cyberinfrastructure'!T273+'EA &amp; Seed Funding'!T273+'Partnerships &amp; Collaborations'!T273+'Broadening Participation Divers'!T273+'Education Workforce Development'!T273+'Communications &amp; Disseminations'!T273+'Evaluation and Assessment '!T273+'Sustainability Plan'!T273+'Management '!T273)</f>
        <v>0</v>
      </c>
      <c r="U273" s="57">
        <f t="shared" si="160"/>
        <v>0</v>
      </c>
      <c r="V273" s="59"/>
      <c r="W273" s="124">
        <f t="shared" si="161"/>
        <v>0</v>
      </c>
      <c r="X273" s="57">
        <f t="shared" si="161"/>
        <v>0</v>
      </c>
      <c r="Y273" s="84">
        <f t="shared" si="161"/>
        <v>0</v>
      </c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</row>
    <row r="274" spans="1:77" s="83" customFormat="1" x14ac:dyDescent="0.25">
      <c r="A274" s="78"/>
      <c r="B274" s="78" t="s">
        <v>9</v>
      </c>
      <c r="C274" s="228">
        <f>SUM(C271:C273)</f>
        <v>0</v>
      </c>
      <c r="D274" s="125">
        <f>SUM(D271:D273)</f>
        <v>0</v>
      </c>
      <c r="E274" s="125">
        <f>SUM(E271:E273)</f>
        <v>0</v>
      </c>
      <c r="F274" s="81"/>
      <c r="G274" s="79">
        <f>SUM(G271:G273)</f>
        <v>0</v>
      </c>
      <c r="H274" s="125">
        <f>SUM(H271:H273)</f>
        <v>0</v>
      </c>
      <c r="I274" s="125">
        <f>SUM(I271:I273)</f>
        <v>0</v>
      </c>
      <c r="J274" s="81"/>
      <c r="K274" s="79">
        <f>SUM(K271:K273)</f>
        <v>0</v>
      </c>
      <c r="L274" s="80">
        <f>SUM(L271:L273)</f>
        <v>0</v>
      </c>
      <c r="M274" s="80">
        <f>SUM(M271:M273)</f>
        <v>0</v>
      </c>
      <c r="N274" s="81"/>
      <c r="O274" s="79">
        <f>SUM(O271:O273)</f>
        <v>0</v>
      </c>
      <c r="P274" s="80">
        <f>SUM(P271:P273)</f>
        <v>0</v>
      </c>
      <c r="Q274" s="80">
        <f>SUM(Q271:Q273)</f>
        <v>0</v>
      </c>
      <c r="R274" s="81"/>
      <c r="S274" s="79">
        <f>SUM(S271:S273)</f>
        <v>0</v>
      </c>
      <c r="T274" s="80">
        <f>SUM(T271:T273)</f>
        <v>0</v>
      </c>
      <c r="U274" s="80">
        <f>SUM(U271:U273)</f>
        <v>0</v>
      </c>
      <c r="V274" s="82"/>
      <c r="W274" s="228">
        <f t="shared" si="161"/>
        <v>0</v>
      </c>
      <c r="X274" s="80">
        <f t="shared" si="161"/>
        <v>0</v>
      </c>
      <c r="Y274" s="80">
        <f t="shared" si="161"/>
        <v>0</v>
      </c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</row>
    <row r="275" spans="1:77" s="77" customFormat="1" x14ac:dyDescent="0.25">
      <c r="A275" s="74" t="s">
        <v>7</v>
      </c>
      <c r="B275" s="74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9"/>
      <c r="W275" s="58"/>
      <c r="X275" s="58"/>
      <c r="Y275" s="129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</row>
    <row r="276" spans="1:77" s="61" customFormat="1" x14ac:dyDescent="0.25">
      <c r="A276" s="54"/>
      <c r="B276" s="52" t="s">
        <v>191</v>
      </c>
      <c r="C276" s="55">
        <f>SUM('Research Area'!C276+'Education Workforce Development'!C276+'Research Cyberinfrastructure'!C276+'EA &amp; Seed Funding'!C276+'Broadening Participation Divers'!C276+'Communications &amp; Disseminations'!C276+'Partnerships &amp; Collaborations'!C276+'Sustainability Plan'!C276+'Management '!C276+'Evaluation and Assessment '!C276)</f>
        <v>2000</v>
      </c>
      <c r="D276" s="56">
        <f>SUM('Research Area'!D276+'Research Cyberinfrastructure'!D276+'EA &amp; Seed Funding'!D276+'Partnerships &amp; Collaborations'!D276+'Broadening Participation Divers'!D276+'Education Workforce Development'!D276+'Communications &amp; Disseminations'!D276+'Evaluation and Assessment '!D276+'Sustainability Plan'!D276+'Management '!D276)</f>
        <v>0</v>
      </c>
      <c r="E276" s="56">
        <f t="shared" ref="E276:E278" si="162">SUM(C276:D276)</f>
        <v>2000</v>
      </c>
      <c r="F276" s="58"/>
      <c r="G276" s="55">
        <f>SUM('Research Area'!G276+'Education Workforce Development'!G276+'Research Cyberinfrastructure'!G276+'EA &amp; Seed Funding'!G276+'Broadening Participation Divers'!G276+'Communications &amp; Disseminations'!G276+'Partnerships &amp; Collaborations'!G276+'Sustainability Plan'!G276+'Management '!G276+'Evaluation and Assessment '!G276)</f>
        <v>2000</v>
      </c>
      <c r="H276" s="56">
        <f>SUM('Research Area'!H276+'Research Cyberinfrastructure'!H276+'EA &amp; Seed Funding'!H276+'Partnerships &amp; Collaborations'!H276+'Broadening Participation Divers'!H276+'Education Workforce Development'!H276+'Communications &amp; Disseminations'!H276+'Evaluation and Assessment '!H276+'Sustainability Plan'!H276+'Management '!H276)</f>
        <v>0</v>
      </c>
      <c r="I276" s="57">
        <f t="shared" ref="I276:I278" si="163">SUM(G276:H276)</f>
        <v>2000</v>
      </c>
      <c r="J276" s="58"/>
      <c r="K276" s="55">
        <f>SUM('Research Area'!K276+'Education Workforce Development'!K276+'Research Cyberinfrastructure'!K276+'EA &amp; Seed Funding'!K276+'Broadening Participation Divers'!K276+'Communications &amp; Disseminations'!K276+'Partnerships &amp; Collaborations'!K276+'Sustainability Plan'!K276+'Management '!K276+'Evaluation and Assessment '!K276)</f>
        <v>2000</v>
      </c>
      <c r="L276" s="56">
        <f>SUM('Research Area'!L276+'Research Cyberinfrastructure'!L276+'EA &amp; Seed Funding'!L276+'Partnerships &amp; Collaborations'!L276+'Broadening Participation Divers'!L276+'Education Workforce Development'!L276+'Communications &amp; Disseminations'!L276+'Evaluation and Assessment '!L276+'Sustainability Plan'!L276+'Management '!L276)</f>
        <v>0</v>
      </c>
      <c r="M276" s="57">
        <f t="shared" ref="M276:M278" si="164">SUM(K276:L276)</f>
        <v>2000</v>
      </c>
      <c r="N276" s="58"/>
      <c r="O276" s="55">
        <f>SUM('Research Area'!O276+'Education Workforce Development'!O276+'Research Cyberinfrastructure'!O276+'EA &amp; Seed Funding'!O276+'Broadening Participation Divers'!O276+'Communications &amp; Disseminations'!O276+'Partnerships &amp; Collaborations'!O276+'Sustainability Plan'!O276+'Management '!O276+'Evaluation and Assessment '!O276)</f>
        <v>2000</v>
      </c>
      <c r="P276" s="56">
        <f>SUM('Research Area'!P276+'Research Cyberinfrastructure'!P276+'EA &amp; Seed Funding'!P276+'Partnerships &amp; Collaborations'!P276+'Broadening Participation Divers'!P276+'Education Workforce Development'!P276+'Communications &amp; Disseminations'!P276+'Evaluation and Assessment '!P276+'Sustainability Plan'!P276+'Management '!P276)</f>
        <v>0</v>
      </c>
      <c r="Q276" s="57">
        <f t="shared" ref="Q276:Q278" si="165">SUM(O276:P276)</f>
        <v>2000</v>
      </c>
      <c r="R276" s="58"/>
      <c r="S276" s="55">
        <f>SUM('Research Area'!S276+'Education Workforce Development'!S276+'Research Cyberinfrastructure'!S276+'EA &amp; Seed Funding'!S276+'Broadening Participation Divers'!S276+'Communications &amp; Disseminations'!S276+'Partnerships &amp; Collaborations'!S276+'Sustainability Plan'!S276+'Management '!S276+'Evaluation and Assessment '!S276)</f>
        <v>2000</v>
      </c>
      <c r="T276" s="56">
        <f>SUM('Research Area'!T276+'Research Cyberinfrastructure'!T276+'EA &amp; Seed Funding'!T276+'Partnerships &amp; Collaborations'!T276+'Broadening Participation Divers'!T276+'Education Workforce Development'!T276+'Communications &amp; Disseminations'!T276+'Evaluation and Assessment '!T276+'Sustainability Plan'!T276+'Management '!T276)</f>
        <v>0</v>
      </c>
      <c r="U276" s="57">
        <f t="shared" ref="U276:U278" si="166">SUM(S276:T276)</f>
        <v>2000</v>
      </c>
      <c r="V276" s="59"/>
      <c r="W276" s="124">
        <f t="shared" ref="W276:Y279" si="167">C276+G276+K276+O276+S276</f>
        <v>10000</v>
      </c>
      <c r="X276" s="57">
        <f t="shared" si="167"/>
        <v>0</v>
      </c>
      <c r="Y276" s="84">
        <f t="shared" si="167"/>
        <v>10000</v>
      </c>
    </row>
    <row r="277" spans="1:77" s="61" customFormat="1" x14ac:dyDescent="0.25">
      <c r="A277" s="203"/>
      <c r="B277" s="52" t="s">
        <v>57</v>
      </c>
      <c r="C277" s="172">
        <f>SUM('Research Area'!C277+'Education Workforce Development'!C277+'Research Cyberinfrastructure'!C277+'EA &amp; Seed Funding'!C277+'Broadening Participation Divers'!C277+'Communications &amp; Disseminations'!C277+'Partnerships &amp; Collaborations'!C277+'Sustainability Plan'!C277+'Management '!C277+'Evaluation and Assessment '!C277)</f>
        <v>1000</v>
      </c>
      <c r="D277" s="56">
        <f>SUM('Research Area'!D277+'Research Cyberinfrastructure'!D277+'EA &amp; Seed Funding'!D277+'Partnerships &amp; Collaborations'!D277+'Broadening Participation Divers'!D277+'Education Workforce Development'!D277+'Communications &amp; Disseminations'!D277+'Evaluation and Assessment '!D277+'Sustainability Plan'!D277+'Management '!D277)</f>
        <v>0</v>
      </c>
      <c r="E277" s="56">
        <f t="shared" si="162"/>
        <v>1000</v>
      </c>
      <c r="F277" s="58"/>
      <c r="G277" s="172">
        <f>SUM('Research Area'!G277+'Education Workforce Development'!G277+'Research Cyberinfrastructure'!G277+'EA &amp; Seed Funding'!G277+'Broadening Participation Divers'!G277+'Communications &amp; Disseminations'!G277+'Partnerships &amp; Collaborations'!G277+'Sustainability Plan'!G277+'Management '!G277+'Evaluation and Assessment '!G277)</f>
        <v>1000</v>
      </c>
      <c r="H277" s="56">
        <f>SUM('Research Area'!H277+'Research Cyberinfrastructure'!H277+'EA &amp; Seed Funding'!H277+'Partnerships &amp; Collaborations'!H277+'Broadening Participation Divers'!H277+'Education Workforce Development'!H277+'Communications &amp; Disseminations'!H277+'Evaluation and Assessment '!H277+'Sustainability Plan'!H277+'Management '!H277)</f>
        <v>0</v>
      </c>
      <c r="I277" s="57">
        <f t="shared" si="163"/>
        <v>1000</v>
      </c>
      <c r="J277" s="58"/>
      <c r="K277" s="172">
        <f>SUM('Research Area'!K277+'Education Workforce Development'!K277+'Research Cyberinfrastructure'!K277+'EA &amp; Seed Funding'!K277+'Broadening Participation Divers'!K277+'Communications &amp; Disseminations'!K277+'Partnerships &amp; Collaborations'!K277+'Sustainability Plan'!K277+'Management '!K277+'Evaluation and Assessment '!K277)</f>
        <v>1000</v>
      </c>
      <c r="L277" s="56">
        <f>SUM('Research Area'!L277+'Research Cyberinfrastructure'!L277+'EA &amp; Seed Funding'!L277+'Partnerships &amp; Collaborations'!L277+'Broadening Participation Divers'!L277+'Education Workforce Development'!L277+'Communications &amp; Disseminations'!L277+'Evaluation and Assessment '!L277+'Sustainability Plan'!L277+'Management '!L277)</f>
        <v>0</v>
      </c>
      <c r="M277" s="57">
        <f t="shared" si="164"/>
        <v>1000</v>
      </c>
      <c r="N277" s="58"/>
      <c r="O277" s="172">
        <f>SUM('Research Area'!O277+'Education Workforce Development'!O277+'Research Cyberinfrastructure'!O277+'EA &amp; Seed Funding'!O277+'Broadening Participation Divers'!O277+'Communications &amp; Disseminations'!O277+'Partnerships &amp; Collaborations'!O277+'Sustainability Plan'!O277+'Management '!O277+'Evaluation and Assessment '!O277)</f>
        <v>1000</v>
      </c>
      <c r="P277" s="56">
        <f>SUM('Research Area'!P277+'Research Cyberinfrastructure'!P277+'EA &amp; Seed Funding'!P277+'Partnerships &amp; Collaborations'!P277+'Broadening Participation Divers'!P277+'Education Workforce Development'!P277+'Communications &amp; Disseminations'!P277+'Evaluation and Assessment '!P277+'Sustainability Plan'!P277+'Management '!P277)</f>
        <v>0</v>
      </c>
      <c r="Q277" s="57">
        <f t="shared" si="165"/>
        <v>1000</v>
      </c>
      <c r="R277" s="58"/>
      <c r="S277" s="172">
        <f>SUM('Research Area'!S277+'Education Workforce Development'!S277+'Research Cyberinfrastructure'!S277+'EA &amp; Seed Funding'!S277+'Broadening Participation Divers'!S277+'Communications &amp; Disseminations'!S277+'Partnerships &amp; Collaborations'!S277+'Sustainability Plan'!S277+'Management '!S277+'Evaluation and Assessment '!S277)</f>
        <v>1000</v>
      </c>
      <c r="T277" s="56">
        <f>SUM('Research Area'!T277+'Research Cyberinfrastructure'!T277+'EA &amp; Seed Funding'!T277+'Partnerships &amp; Collaborations'!T277+'Broadening Participation Divers'!T277+'Education Workforce Development'!T277+'Communications &amp; Disseminations'!T277+'Evaluation and Assessment '!T277+'Sustainability Plan'!T277+'Management '!T277)</f>
        <v>0</v>
      </c>
      <c r="U277" s="57">
        <f t="shared" si="166"/>
        <v>1000</v>
      </c>
      <c r="V277" s="59"/>
      <c r="W277" s="124">
        <f t="shared" si="167"/>
        <v>5000</v>
      </c>
      <c r="X277" s="57">
        <f t="shared" si="167"/>
        <v>0</v>
      </c>
      <c r="Y277" s="84">
        <f t="shared" si="167"/>
        <v>5000</v>
      </c>
    </row>
    <row r="278" spans="1:77" s="61" customFormat="1" x14ac:dyDescent="0.25">
      <c r="A278" s="52"/>
      <c r="B278" s="52"/>
      <c r="C278" s="172">
        <f>SUM('Research Area'!C278+'Education Workforce Development'!C278+'Research Cyberinfrastructure'!C278+'EA &amp; Seed Funding'!C278+'Broadening Participation Divers'!C278+'Communications &amp; Disseminations'!C278+'Partnerships &amp; Collaborations'!C278+'Sustainability Plan'!C278+'Management '!C278+'Evaluation and Assessment '!C278)</f>
        <v>0</v>
      </c>
      <c r="D278" s="56">
        <f>SUM('Research Area'!D278+'Research Cyberinfrastructure'!D278+'EA &amp; Seed Funding'!D278+'Partnerships &amp; Collaborations'!D278+'Broadening Participation Divers'!D278+'Education Workforce Development'!D278+'Communications &amp; Disseminations'!D278+'Evaluation and Assessment '!D278+'Sustainability Plan'!D278+'Management '!D278)</f>
        <v>0</v>
      </c>
      <c r="E278" s="56">
        <f t="shared" si="162"/>
        <v>0</v>
      </c>
      <c r="F278" s="58"/>
      <c r="G278" s="172">
        <f>SUM('Research Area'!G278+'Education Workforce Development'!G278+'Research Cyberinfrastructure'!G278+'EA &amp; Seed Funding'!G278+'Broadening Participation Divers'!G278+'Communications &amp; Disseminations'!G278+'Partnerships &amp; Collaborations'!G278+'Sustainability Plan'!G278+'Management '!G278+'Evaluation and Assessment '!G278)</f>
        <v>0</v>
      </c>
      <c r="H278" s="56">
        <f>SUM('Research Area'!H278+'Research Cyberinfrastructure'!H278+'EA &amp; Seed Funding'!H278+'Partnerships &amp; Collaborations'!H278+'Broadening Participation Divers'!H278+'Education Workforce Development'!H278+'Communications &amp; Disseminations'!H278+'Evaluation and Assessment '!H278+'Sustainability Plan'!H278+'Management '!H278)</f>
        <v>0</v>
      </c>
      <c r="I278" s="57">
        <f t="shared" si="163"/>
        <v>0</v>
      </c>
      <c r="J278" s="58"/>
      <c r="K278" s="172">
        <f>SUM('Research Area'!K278+'Education Workforce Development'!K278+'Research Cyberinfrastructure'!K278+'EA &amp; Seed Funding'!K278+'Broadening Participation Divers'!K278+'Communications &amp; Disseminations'!K278+'Partnerships &amp; Collaborations'!K278+'Sustainability Plan'!K278+'Management '!K278+'Evaluation and Assessment '!K278)</f>
        <v>0</v>
      </c>
      <c r="L278" s="56">
        <f>SUM('Research Area'!L278+'Research Cyberinfrastructure'!L278+'EA &amp; Seed Funding'!L278+'Partnerships &amp; Collaborations'!L278+'Broadening Participation Divers'!L278+'Education Workforce Development'!L278+'Communications &amp; Disseminations'!L278+'Evaluation and Assessment '!L278+'Sustainability Plan'!L278+'Management '!L278)</f>
        <v>0</v>
      </c>
      <c r="M278" s="57">
        <f t="shared" si="164"/>
        <v>0</v>
      </c>
      <c r="N278" s="58"/>
      <c r="O278" s="172">
        <f>SUM('Research Area'!O278+'Education Workforce Development'!O278+'Research Cyberinfrastructure'!O278+'EA &amp; Seed Funding'!O278+'Broadening Participation Divers'!O278+'Communications &amp; Disseminations'!O278+'Partnerships &amp; Collaborations'!O278+'Sustainability Plan'!O278+'Management '!O278+'Evaluation and Assessment '!O278)</f>
        <v>0</v>
      </c>
      <c r="P278" s="56">
        <f>SUM('Research Area'!P278+'Research Cyberinfrastructure'!P278+'EA &amp; Seed Funding'!P278+'Partnerships &amp; Collaborations'!P278+'Broadening Participation Divers'!P278+'Education Workforce Development'!P278+'Communications &amp; Disseminations'!P278+'Evaluation and Assessment '!P278+'Sustainability Plan'!P278+'Management '!P278)</f>
        <v>0</v>
      </c>
      <c r="Q278" s="57">
        <f t="shared" si="165"/>
        <v>0</v>
      </c>
      <c r="R278" s="58"/>
      <c r="S278" s="172">
        <f>SUM('Research Area'!S278+'Education Workforce Development'!S278+'Research Cyberinfrastructure'!S278+'EA &amp; Seed Funding'!S278+'Broadening Participation Divers'!S278+'Communications &amp; Disseminations'!S278+'Partnerships &amp; Collaborations'!S278+'Sustainability Plan'!S278+'Management '!S278+'Evaluation and Assessment '!S278)</f>
        <v>0</v>
      </c>
      <c r="T278" s="56">
        <f>SUM('Research Area'!T278+'Research Cyberinfrastructure'!T278+'EA &amp; Seed Funding'!T278+'Partnerships &amp; Collaborations'!T278+'Broadening Participation Divers'!T278+'Education Workforce Development'!T278+'Communications &amp; Disseminations'!T278+'Evaluation and Assessment '!T278+'Sustainability Plan'!T278+'Management '!T278)</f>
        <v>0</v>
      </c>
      <c r="U278" s="57">
        <f t="shared" si="166"/>
        <v>0</v>
      </c>
      <c r="V278" s="59"/>
      <c r="W278" s="124">
        <f t="shared" si="167"/>
        <v>0</v>
      </c>
      <c r="X278" s="57">
        <f t="shared" si="167"/>
        <v>0</v>
      </c>
      <c r="Y278" s="84">
        <f t="shared" si="167"/>
        <v>0</v>
      </c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</row>
    <row r="279" spans="1:77" s="83" customFormat="1" x14ac:dyDescent="0.25">
      <c r="A279" s="78"/>
      <c r="B279" s="78" t="s">
        <v>9</v>
      </c>
      <c r="C279" s="228">
        <f>SUM(C276:C278)</f>
        <v>3000</v>
      </c>
      <c r="D279" s="125">
        <f>SUM(D276:D278)</f>
        <v>0</v>
      </c>
      <c r="E279" s="125">
        <f>SUM(E276:E278)</f>
        <v>3000</v>
      </c>
      <c r="F279" s="81"/>
      <c r="G279" s="79">
        <f>SUM(G276:G278)</f>
        <v>3000</v>
      </c>
      <c r="H279" s="80">
        <f>SUM(H276:H278)</f>
        <v>0</v>
      </c>
      <c r="I279" s="80">
        <f>SUM(I276:I278)</f>
        <v>3000</v>
      </c>
      <c r="J279" s="81"/>
      <c r="K279" s="79">
        <f>SUM(K276:K278)</f>
        <v>3000</v>
      </c>
      <c r="L279" s="80">
        <f>SUM(L276:L278)</f>
        <v>0</v>
      </c>
      <c r="M279" s="80">
        <f>SUM(M276:M278)</f>
        <v>3000</v>
      </c>
      <c r="N279" s="81"/>
      <c r="O279" s="79">
        <f>SUM(O276:O278)</f>
        <v>3000</v>
      </c>
      <c r="P279" s="80">
        <f>SUM(P276:P278)</f>
        <v>0</v>
      </c>
      <c r="Q279" s="80">
        <f>SUM(Q276:Q278)</f>
        <v>3000</v>
      </c>
      <c r="R279" s="81"/>
      <c r="S279" s="79">
        <f>SUM(S276:S278)</f>
        <v>3000</v>
      </c>
      <c r="T279" s="80">
        <f>SUM(T276:T278)</f>
        <v>0</v>
      </c>
      <c r="U279" s="80">
        <f>SUM(U276:U278)</f>
        <v>3000</v>
      </c>
      <c r="V279" s="82"/>
      <c r="W279" s="228">
        <f t="shared" si="167"/>
        <v>15000</v>
      </c>
      <c r="X279" s="80">
        <f t="shared" si="167"/>
        <v>0</v>
      </c>
      <c r="Y279" s="80">
        <f t="shared" si="167"/>
        <v>15000</v>
      </c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</row>
    <row r="280" spans="1:77" s="77" customFormat="1" x14ac:dyDescent="0.25">
      <c r="A280" s="74" t="s">
        <v>82</v>
      </c>
      <c r="B280" s="74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9"/>
      <c r="W280" s="58"/>
      <c r="X280" s="58"/>
      <c r="Y280" s="129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</row>
    <row r="281" spans="1:77" s="77" customFormat="1" x14ac:dyDescent="0.25">
      <c r="A281" s="54"/>
      <c r="B281" s="54"/>
      <c r="C281" s="172">
        <f>SUM('Research Area'!C281+'Education Workforce Development'!C281+'Research Cyberinfrastructure'!C281+'EA &amp; Seed Funding'!C281+'Broadening Participation Divers'!C281+'Communications &amp; Disseminations'!C281+'Partnerships &amp; Collaborations'!C281+'Sustainability Plan'!C281+'Management '!C281+'Evaluation and Assessment '!C281)</f>
        <v>0</v>
      </c>
      <c r="D281" s="56">
        <f>SUM('Research Area'!D281+'Research Cyberinfrastructure'!D281+'EA &amp; Seed Funding'!D281+'Partnerships &amp; Collaborations'!D281+'Broadening Participation Divers'!D281+'Education Workforce Development'!D281+'Communications &amp; Disseminations'!D281+'Evaluation and Assessment '!D281+'Sustainability Plan'!D281+'Management '!D281)</f>
        <v>0</v>
      </c>
      <c r="E281" s="56">
        <f>SUM(C281:D281)</f>
        <v>0</v>
      </c>
      <c r="F281" s="58"/>
      <c r="G281" s="172">
        <f>SUM('Research Area'!G281+'Education Workforce Development'!G281+'Research Cyberinfrastructure'!G281+'EA &amp; Seed Funding'!G281+'Broadening Participation Divers'!G281+'Communications &amp; Disseminations'!G281+'Partnerships &amp; Collaborations'!G281+'Sustainability Plan'!G281+'Management '!G281+'Evaluation and Assessment '!G281)</f>
        <v>0</v>
      </c>
      <c r="H281" s="56">
        <f>SUM('Research Area'!H281+'Research Cyberinfrastructure'!H281+'EA &amp; Seed Funding'!H281+'Partnerships &amp; Collaborations'!H281+'Broadening Participation Divers'!H281+'Education Workforce Development'!H281+'Communications &amp; Disseminations'!H281+'Evaluation and Assessment '!H281+'Sustainability Plan'!H281+'Management '!H281)</f>
        <v>0</v>
      </c>
      <c r="I281" s="56">
        <f>SUM(G281:H281)</f>
        <v>0</v>
      </c>
      <c r="J281" s="58"/>
      <c r="K281" s="172">
        <f>SUM('Research Area'!K281+'Education Workforce Development'!K281+'Research Cyberinfrastructure'!K281+'EA &amp; Seed Funding'!K281+'Broadening Participation Divers'!K281+'Communications &amp; Disseminations'!K281+'Partnerships &amp; Collaborations'!K281+'Sustainability Plan'!K281+'Management '!K281+'Evaluation and Assessment '!K281)</f>
        <v>0</v>
      </c>
      <c r="L281" s="56">
        <f>SUM('Research Area'!L281+'Research Cyberinfrastructure'!L281+'EA &amp; Seed Funding'!L281+'Partnerships &amp; Collaborations'!L281+'Broadening Participation Divers'!L281+'Education Workforce Development'!L281+'Communications &amp; Disseminations'!L281+'Evaluation and Assessment '!L281+'Sustainability Plan'!L281+'Management '!L281)</f>
        <v>0</v>
      </c>
      <c r="M281" s="56">
        <f>SUM(K281:L281)</f>
        <v>0</v>
      </c>
      <c r="N281" s="58"/>
      <c r="O281" s="172">
        <f>SUM('Research Area'!O281+'Education Workforce Development'!O281+'Research Cyberinfrastructure'!O281+'EA &amp; Seed Funding'!O281+'Broadening Participation Divers'!O281+'Communications &amp; Disseminations'!O281+'Partnerships &amp; Collaborations'!O281+'Sustainability Plan'!O281+'Management '!O281+'Evaluation and Assessment '!O281)</f>
        <v>0</v>
      </c>
      <c r="P281" s="56">
        <f>SUM('Research Area'!P281+'Research Cyberinfrastructure'!P281+'EA &amp; Seed Funding'!P281+'Partnerships &amp; Collaborations'!P281+'Broadening Participation Divers'!P281+'Education Workforce Development'!P281+'Communications &amp; Disseminations'!P281+'Evaluation and Assessment '!P281+'Sustainability Plan'!P281+'Management '!P281)</f>
        <v>0</v>
      </c>
      <c r="Q281" s="56">
        <f>SUM(O281:P281)</f>
        <v>0</v>
      </c>
      <c r="R281" s="58"/>
      <c r="S281" s="172">
        <f>SUM('Research Area'!S281+'Education Workforce Development'!S281+'Research Cyberinfrastructure'!S281+'EA &amp; Seed Funding'!S281+'Broadening Participation Divers'!S281+'Communications &amp; Disseminations'!S281+'Partnerships &amp; Collaborations'!S281+'Sustainability Plan'!S281+'Management '!S281+'Evaluation and Assessment '!S281)</f>
        <v>0</v>
      </c>
      <c r="T281" s="56">
        <f>SUM('Research Area'!T281+'Research Cyberinfrastructure'!T281+'EA &amp; Seed Funding'!T281+'Partnerships &amp; Collaborations'!T281+'Broadening Participation Divers'!T281+'Education Workforce Development'!T281+'Communications &amp; Disseminations'!T281+'Evaluation and Assessment '!T281+'Sustainability Plan'!T281+'Management '!T281)</f>
        <v>0</v>
      </c>
      <c r="U281" s="56">
        <f>SUM(S281:T281)</f>
        <v>0</v>
      </c>
      <c r="V281" s="59"/>
      <c r="W281" s="124">
        <f t="shared" ref="W281:Y283" si="168">C281+G281+K281+O281+S281</f>
        <v>0</v>
      </c>
      <c r="X281" s="57">
        <f t="shared" si="168"/>
        <v>0</v>
      </c>
      <c r="Y281" s="84">
        <f t="shared" si="168"/>
        <v>0</v>
      </c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</row>
    <row r="282" spans="1:77" s="160" customFormat="1" x14ac:dyDescent="0.25">
      <c r="A282" s="54"/>
      <c r="B282" s="54" t="s">
        <v>57</v>
      </c>
      <c r="C282" s="172">
        <f>SUM('Research Area'!C282+'Education Workforce Development'!C282+'Research Cyberinfrastructure'!C282+'EA &amp; Seed Funding'!C282+'Broadening Participation Divers'!C282+'Communications &amp; Disseminations'!C282+'Partnerships &amp; Collaborations'!C282+'Sustainability Plan'!C282+'Management '!C282+'Evaluation and Assessment '!C282)</f>
        <v>0</v>
      </c>
      <c r="D282" s="56">
        <f>SUM('Research Area'!D282+'Research Cyberinfrastructure'!D282+'EA &amp; Seed Funding'!D282+'Partnerships &amp; Collaborations'!D282+'Broadening Participation Divers'!D282+'Education Workforce Development'!D282+'Communications &amp; Disseminations'!D282+'Evaluation and Assessment '!D282+'Sustainability Plan'!D282+'Management '!D282)</f>
        <v>0</v>
      </c>
      <c r="E282" s="56">
        <f>SUM(C282:D282)</f>
        <v>0</v>
      </c>
      <c r="F282" s="58"/>
      <c r="G282" s="172">
        <f>SUM('Research Area'!G282+'Education Workforce Development'!G282+'Research Cyberinfrastructure'!G282+'EA &amp; Seed Funding'!G282+'Broadening Participation Divers'!G282+'Communications &amp; Disseminations'!G282+'Partnerships &amp; Collaborations'!G282+'Sustainability Plan'!G282+'Management '!G282+'Evaluation and Assessment '!G282)</f>
        <v>0</v>
      </c>
      <c r="H282" s="56">
        <f>SUM('Research Area'!H282+'Research Cyberinfrastructure'!H282+'EA &amp; Seed Funding'!H282+'Partnerships &amp; Collaborations'!H282+'Broadening Participation Divers'!H282+'Education Workforce Development'!H282+'Communications &amp; Disseminations'!H282+'Evaluation and Assessment '!H282+'Sustainability Plan'!H282+'Management '!H282)</f>
        <v>0</v>
      </c>
      <c r="I282" s="56">
        <f>SUM(G282:H282)</f>
        <v>0</v>
      </c>
      <c r="J282" s="58"/>
      <c r="K282" s="172">
        <f>SUM('Research Area'!K282+'Education Workforce Development'!K282+'Research Cyberinfrastructure'!K282+'EA &amp; Seed Funding'!K282+'Broadening Participation Divers'!K282+'Communications &amp; Disseminations'!K282+'Partnerships &amp; Collaborations'!K282+'Sustainability Plan'!K282+'Management '!K282+'Evaluation and Assessment '!K282)</f>
        <v>0</v>
      </c>
      <c r="L282" s="56">
        <f>SUM('Research Area'!L282+'Research Cyberinfrastructure'!L282+'EA &amp; Seed Funding'!L282+'Partnerships &amp; Collaborations'!L282+'Broadening Participation Divers'!L282+'Education Workforce Development'!L282+'Communications &amp; Disseminations'!L282+'Evaluation and Assessment '!L282+'Sustainability Plan'!L282+'Management '!L282)</f>
        <v>0</v>
      </c>
      <c r="M282" s="56">
        <f>SUM(K282:L282)</f>
        <v>0</v>
      </c>
      <c r="N282" s="58"/>
      <c r="O282" s="172">
        <f>SUM('Research Area'!O282+'Education Workforce Development'!O282+'Research Cyberinfrastructure'!O282+'EA &amp; Seed Funding'!O282+'Broadening Participation Divers'!O282+'Communications &amp; Disseminations'!O282+'Partnerships &amp; Collaborations'!O282+'Sustainability Plan'!O282+'Management '!O282+'Evaluation and Assessment '!O282)</f>
        <v>0</v>
      </c>
      <c r="P282" s="56">
        <f>SUM('Research Area'!P282+'Research Cyberinfrastructure'!P282+'EA &amp; Seed Funding'!P282+'Partnerships &amp; Collaborations'!P282+'Broadening Participation Divers'!P282+'Education Workforce Development'!P282+'Communications &amp; Disseminations'!P282+'Evaluation and Assessment '!P282+'Sustainability Plan'!P282+'Management '!P282)</f>
        <v>0</v>
      </c>
      <c r="Q282" s="56">
        <f>SUM(O282:P282)</f>
        <v>0</v>
      </c>
      <c r="R282" s="58"/>
      <c r="S282" s="172">
        <f>SUM('Research Area'!S282+'Education Workforce Development'!S282+'Research Cyberinfrastructure'!S282+'EA &amp; Seed Funding'!S282+'Broadening Participation Divers'!S282+'Communications &amp; Disseminations'!S282+'Partnerships &amp; Collaborations'!S282+'Sustainability Plan'!S282+'Management '!S282+'Evaluation and Assessment '!S282)</f>
        <v>0</v>
      </c>
      <c r="T282" s="56">
        <f>SUM('Research Area'!T282+'Research Cyberinfrastructure'!T282+'EA &amp; Seed Funding'!T282+'Partnerships &amp; Collaborations'!T282+'Broadening Participation Divers'!T282+'Education Workforce Development'!T282+'Communications &amp; Disseminations'!T282+'Evaluation and Assessment '!T282+'Sustainability Plan'!T282+'Management '!T282)</f>
        <v>0</v>
      </c>
      <c r="U282" s="56">
        <f>SUM(S282:T282)</f>
        <v>0</v>
      </c>
      <c r="V282" s="59"/>
      <c r="W282" s="124">
        <f t="shared" si="168"/>
        <v>0</v>
      </c>
      <c r="X282" s="56">
        <f t="shared" si="168"/>
        <v>0</v>
      </c>
      <c r="Y282" s="85">
        <f t="shared" si="168"/>
        <v>0</v>
      </c>
    </row>
    <row r="283" spans="1:77" s="83" customFormat="1" x14ac:dyDescent="0.25">
      <c r="A283" s="78"/>
      <c r="B283" s="78" t="s">
        <v>9</v>
      </c>
      <c r="C283" s="228">
        <f>SUM(C281:C282)</f>
        <v>0</v>
      </c>
      <c r="D283" s="125">
        <f>SUM(D281:D282)</f>
        <v>0</v>
      </c>
      <c r="E283" s="125">
        <f>SUM(E281:E282)</f>
        <v>0</v>
      </c>
      <c r="F283" s="81"/>
      <c r="G283" s="79">
        <f>SUM(G281:G282)</f>
        <v>0</v>
      </c>
      <c r="H283" s="80">
        <f>SUM(H281:H282)</f>
        <v>0</v>
      </c>
      <c r="I283" s="80">
        <f>SUM(I281:I282)</f>
        <v>0</v>
      </c>
      <c r="J283" s="81"/>
      <c r="K283" s="79">
        <f>SUM(K281:K282)</f>
        <v>0</v>
      </c>
      <c r="L283" s="80">
        <f>SUM(L281:L282)</f>
        <v>0</v>
      </c>
      <c r="M283" s="80">
        <f>SUM(M281:M282)</f>
        <v>0</v>
      </c>
      <c r="N283" s="81"/>
      <c r="O283" s="79">
        <f>SUM(O281:O282)</f>
        <v>0</v>
      </c>
      <c r="P283" s="80">
        <f>SUM(P281:P282)</f>
        <v>0</v>
      </c>
      <c r="Q283" s="80">
        <f>SUM(Q281:Q282)</f>
        <v>0</v>
      </c>
      <c r="R283" s="81"/>
      <c r="S283" s="79">
        <f>SUM(S281:S282)</f>
        <v>0</v>
      </c>
      <c r="T283" s="125">
        <f>SUM(T281:T282)</f>
        <v>0</v>
      </c>
      <c r="U283" s="125">
        <f>SUM(U281:U282)</f>
        <v>0</v>
      </c>
      <c r="V283" s="82"/>
      <c r="W283" s="228">
        <f t="shared" si="168"/>
        <v>0</v>
      </c>
      <c r="X283" s="80">
        <f t="shared" si="168"/>
        <v>0</v>
      </c>
      <c r="Y283" s="80">
        <f t="shared" si="168"/>
        <v>0</v>
      </c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</row>
    <row r="284" spans="1:77" s="77" customFormat="1" x14ac:dyDescent="0.25">
      <c r="A284" s="74" t="s">
        <v>8</v>
      </c>
      <c r="B284" s="74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9"/>
      <c r="W284" s="58"/>
      <c r="X284" s="58"/>
      <c r="Y284" s="129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</row>
    <row r="285" spans="1:77" s="61" customFormat="1" x14ac:dyDescent="0.25">
      <c r="B285" s="61" t="s">
        <v>116</v>
      </c>
      <c r="C285" s="55">
        <f>SUM('Research Area'!C285+'Education Workforce Development'!C285+'Research Cyberinfrastructure'!C285+'EA &amp; Seed Funding'!C285+'Broadening Participation Divers'!C285+'Communications &amp; Disseminations'!C285+'Partnerships &amp; Collaborations'!C285+'Sustainability Plan'!C285+'Management '!C285+'Evaluation and Assessment '!C285)</f>
        <v>1000</v>
      </c>
      <c r="D285" s="56">
        <f>SUM('Research Area'!D285+'Research Cyberinfrastructure'!D285+'EA &amp; Seed Funding'!D285+'Partnerships &amp; Collaborations'!D285+'Broadening Participation Divers'!D285+'Education Workforce Development'!D285+'Communications &amp; Disseminations'!D285+'Evaluation and Assessment '!D285+'Sustainability Plan'!D285+'Management '!D285)</f>
        <v>0</v>
      </c>
      <c r="E285" s="57">
        <f t="shared" ref="E285" si="169">SUM(C285:D285)</f>
        <v>1000</v>
      </c>
      <c r="F285" s="58"/>
      <c r="G285" s="55">
        <f>SUM('Research Area'!G285+'Education Workforce Development'!G285+'Research Cyberinfrastructure'!G285+'EA &amp; Seed Funding'!G285+'Broadening Participation Divers'!G285+'Communications &amp; Disseminations'!G285+'Partnerships &amp; Collaborations'!G285+'Sustainability Plan'!G285+'Management '!G285+'Evaluation and Assessment '!G285)</f>
        <v>1000</v>
      </c>
      <c r="H285" s="56">
        <f>SUM('Research Area'!H285+'Research Cyberinfrastructure'!H285+'EA &amp; Seed Funding'!H285+'Partnerships &amp; Collaborations'!H285+'Broadening Participation Divers'!H285+'Education Workforce Development'!H285+'Communications &amp; Disseminations'!H285+'Evaluation and Assessment '!H285+'Sustainability Plan'!H285+'Management '!H285)</f>
        <v>0</v>
      </c>
      <c r="I285" s="57">
        <f t="shared" ref="I285" si="170">SUM(G285:H285)</f>
        <v>1000</v>
      </c>
      <c r="J285" s="58"/>
      <c r="K285" s="55">
        <f>SUM('Research Area'!K285+'Education Workforce Development'!K285+'Research Cyberinfrastructure'!K285+'EA &amp; Seed Funding'!K285+'Broadening Participation Divers'!K285+'Communications &amp; Disseminations'!K285+'Partnerships &amp; Collaborations'!K285+'Sustainability Plan'!K285+'Management '!K285+'Evaluation and Assessment '!K285)</f>
        <v>1000</v>
      </c>
      <c r="L285" s="56">
        <f>SUM('Research Area'!L285+'Research Cyberinfrastructure'!L285+'EA &amp; Seed Funding'!L285+'Partnerships &amp; Collaborations'!L285+'Broadening Participation Divers'!L285+'Education Workforce Development'!L285+'Communications &amp; Disseminations'!L285+'Evaluation and Assessment '!L285+'Sustainability Plan'!L285+'Management '!L285)</f>
        <v>0</v>
      </c>
      <c r="M285" s="57">
        <f t="shared" ref="M285" si="171">SUM(K285:L285)</f>
        <v>1000</v>
      </c>
      <c r="N285" s="58"/>
      <c r="O285" s="55">
        <f>SUM('Research Area'!O285+'Education Workforce Development'!O285+'Research Cyberinfrastructure'!O285+'EA &amp; Seed Funding'!O285+'Broadening Participation Divers'!O285+'Communications &amp; Disseminations'!O285+'Partnerships &amp; Collaborations'!O285+'Sustainability Plan'!O285+'Management '!O285+'Evaluation and Assessment '!O285)</f>
        <v>1000</v>
      </c>
      <c r="P285" s="56">
        <f>SUM('Research Area'!P285+'Research Cyberinfrastructure'!P285+'EA &amp; Seed Funding'!P285+'Partnerships &amp; Collaborations'!P285+'Broadening Participation Divers'!P285+'Education Workforce Development'!P285+'Communications &amp; Disseminations'!P285+'Evaluation and Assessment '!P285+'Sustainability Plan'!P285+'Management '!P285)</f>
        <v>0</v>
      </c>
      <c r="Q285" s="56">
        <f t="shared" ref="Q285" si="172">SUM(O285:P285)</f>
        <v>1000</v>
      </c>
      <c r="R285" s="58"/>
      <c r="S285" s="55">
        <f>SUM('Research Area'!S285+'Education Workforce Development'!S285+'Research Cyberinfrastructure'!S285+'EA &amp; Seed Funding'!S285+'Broadening Participation Divers'!S285+'Communications &amp; Disseminations'!S285+'Partnerships &amp; Collaborations'!S285+'Sustainability Plan'!S285+'Management '!S285+'Evaluation and Assessment '!S285)</f>
        <v>1000</v>
      </c>
      <c r="T285" s="56">
        <f>SUM('Research Area'!T285+'Research Cyberinfrastructure'!T285+'EA &amp; Seed Funding'!T285+'Partnerships &amp; Collaborations'!T285+'Broadening Participation Divers'!T285+'Education Workforce Development'!T285+'Communications &amp; Disseminations'!T285+'Evaluation and Assessment '!T285+'Sustainability Plan'!T285+'Management '!T285)</f>
        <v>0</v>
      </c>
      <c r="U285" s="57">
        <f t="shared" ref="U285" si="173">SUM(S285:T285)</f>
        <v>1000</v>
      </c>
      <c r="V285" s="59"/>
      <c r="W285" s="124">
        <f t="shared" ref="W285:Y289" si="174">C285+G285+K285+O285+S285</f>
        <v>5000</v>
      </c>
      <c r="X285" s="57">
        <f t="shared" si="174"/>
        <v>0</v>
      </c>
      <c r="Y285" s="202">
        <f t="shared" si="174"/>
        <v>5000</v>
      </c>
    </row>
    <row r="286" spans="1:77" s="61" customFormat="1" x14ac:dyDescent="0.25">
      <c r="A286" s="203"/>
      <c r="B286" s="54" t="s">
        <v>57</v>
      </c>
      <c r="C286" s="55">
        <f>SUM('Research Area'!C286+'Education Workforce Development'!C286+'Research Cyberinfrastructure'!C286+'EA &amp; Seed Funding'!C286+'Broadening Participation Divers'!C286+'Communications &amp; Disseminations'!C286+'Partnerships &amp; Collaborations'!C286+'Sustainability Plan'!C286+'Management '!C286+'Evaluation and Assessment '!C286)</f>
        <v>0</v>
      </c>
      <c r="D286" s="56">
        <f>SUM('Research Area'!D286+'Research Cyberinfrastructure'!D286+'EA &amp; Seed Funding'!D286+'Partnerships &amp; Collaborations'!D286+'Broadening Participation Divers'!D286+'Education Workforce Development'!D286+'Communications &amp; Disseminations'!D286+'Evaluation and Assessment '!D286+'Sustainability Plan'!D286+'Management '!D286)</f>
        <v>0</v>
      </c>
      <c r="E286" s="56">
        <f t="shared" ref="E286:E288" si="175">SUM(C286:D286)</f>
        <v>0</v>
      </c>
      <c r="F286" s="58"/>
      <c r="G286" s="55">
        <f>SUM('Research Area'!G286+'Education Workforce Development'!G286+'Research Cyberinfrastructure'!G286+'EA &amp; Seed Funding'!G286+'Broadening Participation Divers'!G286+'Communications &amp; Disseminations'!G286+'Partnerships &amp; Collaborations'!G286+'Sustainability Plan'!G286+'Management '!G286+'Evaluation and Assessment '!G286)</f>
        <v>10000</v>
      </c>
      <c r="H286" s="56">
        <f>SUM('Research Area'!H286+'Research Cyberinfrastructure'!H286+'EA &amp; Seed Funding'!H286+'Partnerships &amp; Collaborations'!H286+'Broadening Participation Divers'!H286+'Education Workforce Development'!H286+'Communications &amp; Disseminations'!H286+'Evaluation and Assessment '!H286+'Sustainability Plan'!H286+'Management '!H286)</f>
        <v>0</v>
      </c>
      <c r="I286" s="57">
        <f t="shared" ref="I286:I288" si="176">SUM(G286:H286)</f>
        <v>10000</v>
      </c>
      <c r="J286" s="58"/>
      <c r="K286" s="55">
        <f>SUM('Research Area'!K286+'Education Workforce Development'!K286+'Research Cyberinfrastructure'!K286+'EA &amp; Seed Funding'!K286+'Broadening Participation Divers'!K286+'Communications &amp; Disseminations'!K286+'Partnerships &amp; Collaborations'!K286+'Sustainability Plan'!K286+'Management '!K286+'Evaluation and Assessment '!K286)</f>
        <v>10000</v>
      </c>
      <c r="L286" s="56">
        <f>SUM('Research Area'!L286+'Research Cyberinfrastructure'!L286+'EA &amp; Seed Funding'!L286+'Partnerships &amp; Collaborations'!L286+'Broadening Participation Divers'!L286+'Education Workforce Development'!L286+'Communications &amp; Disseminations'!L286+'Evaluation and Assessment '!L286+'Sustainability Plan'!L286+'Management '!L286)</f>
        <v>0</v>
      </c>
      <c r="M286" s="57">
        <f t="shared" ref="M286:M288" si="177">SUM(K286:L286)</f>
        <v>10000</v>
      </c>
      <c r="N286" s="58"/>
      <c r="O286" s="55">
        <f>SUM('Research Area'!O286+'Education Workforce Development'!O286+'Research Cyberinfrastructure'!O286+'EA &amp; Seed Funding'!O286+'Broadening Participation Divers'!O286+'Communications &amp; Disseminations'!O286+'Partnerships &amp; Collaborations'!O286+'Sustainability Plan'!O286+'Management '!O286+'Evaluation and Assessment '!O286)</f>
        <v>10000</v>
      </c>
      <c r="P286" s="56">
        <f>SUM('Research Area'!P286+'Research Cyberinfrastructure'!P286+'EA &amp; Seed Funding'!P286+'Partnerships &amp; Collaborations'!P286+'Broadening Participation Divers'!P286+'Education Workforce Development'!P286+'Communications &amp; Disseminations'!P286+'Evaluation and Assessment '!P286+'Sustainability Plan'!P286+'Management '!P286)</f>
        <v>0</v>
      </c>
      <c r="Q286" s="57">
        <f t="shared" ref="Q286:Q288" si="178">SUM(O286:P286)</f>
        <v>10000</v>
      </c>
      <c r="R286" s="58"/>
      <c r="S286" s="55">
        <f>SUM('Research Area'!S286+'Education Workforce Development'!S286+'Research Cyberinfrastructure'!S286+'EA &amp; Seed Funding'!S286+'Broadening Participation Divers'!S286+'Communications &amp; Disseminations'!S286+'Partnerships &amp; Collaborations'!S286+'Sustainability Plan'!S286+'Management '!S286+'Evaluation and Assessment '!S286)</f>
        <v>0</v>
      </c>
      <c r="T286" s="56">
        <f>SUM('Research Area'!T286+'Research Cyberinfrastructure'!T286+'EA &amp; Seed Funding'!T286+'Partnerships &amp; Collaborations'!T286+'Broadening Participation Divers'!T286+'Education Workforce Development'!T286+'Communications &amp; Disseminations'!T286+'Evaluation and Assessment '!T286+'Sustainability Plan'!T286+'Management '!T286)</f>
        <v>0</v>
      </c>
      <c r="U286" s="57">
        <f t="shared" ref="U286:U288" si="179">SUM(S286:T286)</f>
        <v>0</v>
      </c>
      <c r="V286" s="59"/>
      <c r="W286" s="124">
        <f t="shared" si="174"/>
        <v>30000</v>
      </c>
      <c r="X286" s="57">
        <f t="shared" si="174"/>
        <v>0</v>
      </c>
      <c r="Y286" s="84">
        <f t="shared" si="174"/>
        <v>30000</v>
      </c>
    </row>
    <row r="287" spans="1:77" s="61" customFormat="1" x14ac:dyDescent="0.25">
      <c r="A287" s="54"/>
      <c r="B287" s="54" t="s">
        <v>57</v>
      </c>
      <c r="C287" s="172">
        <f>SUM('Research Area'!C287+'Education Workforce Development'!C287+'Research Cyberinfrastructure'!C287+'EA &amp; Seed Funding'!C287+'Broadening Participation Divers'!C287+'Communications &amp; Disseminations'!C287+'Partnerships &amp; Collaborations'!C287+'Sustainability Plan'!C287+'Management '!C287+'Evaluation and Assessment '!C287)</f>
        <v>0</v>
      </c>
      <c r="D287" s="56">
        <f>SUM('Research Area'!D287+'Research Cyberinfrastructure'!D287+'EA &amp; Seed Funding'!D287+'Partnerships &amp; Collaborations'!D287+'Broadening Participation Divers'!D287+'Education Workforce Development'!D287+'Communications &amp; Disseminations'!D287+'Evaluation and Assessment '!D287+'Sustainability Plan'!D287+'Management '!D287)</f>
        <v>0</v>
      </c>
      <c r="E287" s="56">
        <f t="shared" si="175"/>
        <v>0</v>
      </c>
      <c r="F287" s="58"/>
      <c r="G287" s="172">
        <f>SUM('Research Area'!G287+'Education Workforce Development'!G287+'Research Cyberinfrastructure'!G287+'EA &amp; Seed Funding'!G287+'Broadening Participation Divers'!G287+'Communications &amp; Disseminations'!G287+'Partnerships &amp; Collaborations'!G287+'Sustainability Plan'!G287+'Management '!G287+'Evaluation and Assessment '!G287)</f>
        <v>0</v>
      </c>
      <c r="H287" s="56">
        <f>SUM('Research Area'!H287+'Research Cyberinfrastructure'!H287+'EA &amp; Seed Funding'!H287+'Partnerships &amp; Collaborations'!H287+'Broadening Participation Divers'!H287+'Education Workforce Development'!H287+'Communications &amp; Disseminations'!H287+'Evaluation and Assessment '!H287+'Sustainability Plan'!H287+'Management '!H287)</f>
        <v>0</v>
      </c>
      <c r="I287" s="57">
        <f t="shared" si="176"/>
        <v>0</v>
      </c>
      <c r="J287" s="58"/>
      <c r="K287" s="172">
        <f>SUM('Research Area'!K287+'Education Workforce Development'!K287+'Research Cyberinfrastructure'!K287+'EA &amp; Seed Funding'!K287+'Broadening Participation Divers'!K287+'Communications &amp; Disseminations'!K287+'Partnerships &amp; Collaborations'!K287+'Sustainability Plan'!K287+'Management '!K287+'Evaluation and Assessment '!K287)</f>
        <v>0</v>
      </c>
      <c r="L287" s="56">
        <f>SUM('Research Area'!L287+'Research Cyberinfrastructure'!L287+'EA &amp; Seed Funding'!L287+'Partnerships &amp; Collaborations'!L287+'Broadening Participation Divers'!L287+'Education Workforce Development'!L287+'Communications &amp; Disseminations'!L287+'Evaluation and Assessment '!L287+'Sustainability Plan'!L287+'Management '!L287)</f>
        <v>0</v>
      </c>
      <c r="M287" s="57">
        <f t="shared" si="177"/>
        <v>0</v>
      </c>
      <c r="N287" s="58"/>
      <c r="O287" s="172">
        <f>SUM('Research Area'!O287+'Education Workforce Development'!O287+'Research Cyberinfrastructure'!O287+'EA &amp; Seed Funding'!O287+'Broadening Participation Divers'!O287+'Communications &amp; Disseminations'!O287+'Partnerships &amp; Collaborations'!O287+'Sustainability Plan'!O287+'Management '!O287+'Evaluation and Assessment '!O287)</f>
        <v>0</v>
      </c>
      <c r="P287" s="56">
        <f>SUM('Research Area'!P287+'Research Cyberinfrastructure'!P287+'EA &amp; Seed Funding'!P287+'Partnerships &amp; Collaborations'!P287+'Broadening Participation Divers'!P287+'Education Workforce Development'!P287+'Communications &amp; Disseminations'!P287+'Evaluation and Assessment '!P287+'Sustainability Plan'!P287+'Management '!P287)</f>
        <v>0</v>
      </c>
      <c r="Q287" s="56">
        <f t="shared" si="178"/>
        <v>0</v>
      </c>
      <c r="R287" s="58"/>
      <c r="S287" s="172">
        <f>SUM('Research Area'!S287+'Education Workforce Development'!S287+'Research Cyberinfrastructure'!S287+'EA &amp; Seed Funding'!S287+'Broadening Participation Divers'!S287+'Communications &amp; Disseminations'!S287+'Partnerships &amp; Collaborations'!S287+'Sustainability Plan'!S287+'Management '!S287+'Evaluation and Assessment '!S287)</f>
        <v>0</v>
      </c>
      <c r="T287" s="56">
        <f>SUM('Research Area'!T287+'Research Cyberinfrastructure'!T287+'EA &amp; Seed Funding'!T287+'Partnerships &amp; Collaborations'!T287+'Broadening Participation Divers'!T287+'Education Workforce Development'!T287+'Communications &amp; Disseminations'!T287+'Evaluation and Assessment '!T287+'Sustainability Plan'!T287+'Management '!T287)</f>
        <v>0</v>
      </c>
      <c r="U287" s="57">
        <f t="shared" si="179"/>
        <v>0</v>
      </c>
      <c r="V287" s="59"/>
      <c r="W287" s="124">
        <f t="shared" si="174"/>
        <v>0</v>
      </c>
      <c r="X287" s="57">
        <f t="shared" si="174"/>
        <v>0</v>
      </c>
      <c r="Y287" s="84">
        <f t="shared" si="174"/>
        <v>0</v>
      </c>
    </row>
    <row r="288" spans="1:77" s="61" customFormat="1" x14ac:dyDescent="0.25">
      <c r="A288" s="52"/>
      <c r="B288" s="52"/>
      <c r="C288" s="172">
        <f>SUM('Research Area'!C288+'Education Workforce Development'!C288+'Research Cyberinfrastructure'!C288+'EA &amp; Seed Funding'!C288+'Broadening Participation Divers'!C288+'Communications &amp; Disseminations'!C288+'Partnerships &amp; Collaborations'!C288+'Sustainability Plan'!C288+'Management '!C288+'Evaluation and Assessment '!C288)</f>
        <v>0</v>
      </c>
      <c r="D288" s="56">
        <f>SUM('Research Area'!D288+'Research Cyberinfrastructure'!D288+'EA &amp; Seed Funding'!D288+'Partnerships &amp; Collaborations'!D288+'Broadening Participation Divers'!D288+'Education Workforce Development'!D288+'Communications &amp; Disseminations'!D288+'Evaluation and Assessment '!D288+'Sustainability Plan'!D288+'Management '!D288)</f>
        <v>0</v>
      </c>
      <c r="E288" s="56">
        <f t="shared" si="175"/>
        <v>0</v>
      </c>
      <c r="F288" s="58"/>
      <c r="G288" s="172">
        <f>SUM('Research Area'!G288+'Education Workforce Development'!G288+'Research Cyberinfrastructure'!G288+'EA &amp; Seed Funding'!G288+'Broadening Participation Divers'!G288+'Communications &amp; Disseminations'!G288+'Partnerships &amp; Collaborations'!G288+'Sustainability Plan'!G288+'Management '!G288+'Evaluation and Assessment '!G288)</f>
        <v>0</v>
      </c>
      <c r="H288" s="56">
        <f>SUM('Research Area'!H288+'Research Cyberinfrastructure'!H288+'EA &amp; Seed Funding'!H288+'Partnerships &amp; Collaborations'!H288+'Broadening Participation Divers'!H288+'Education Workforce Development'!H288+'Communications &amp; Disseminations'!H288+'Evaluation and Assessment '!H288+'Sustainability Plan'!H288+'Management '!H288)</f>
        <v>0</v>
      </c>
      <c r="I288" s="57">
        <f t="shared" si="176"/>
        <v>0</v>
      </c>
      <c r="J288" s="58"/>
      <c r="K288" s="172">
        <f>SUM('Research Area'!K288+'Education Workforce Development'!K288+'Research Cyberinfrastructure'!K288+'EA &amp; Seed Funding'!K288+'Broadening Participation Divers'!K288+'Communications &amp; Disseminations'!K288+'Partnerships &amp; Collaborations'!K288+'Sustainability Plan'!K288+'Management '!K288+'Evaluation and Assessment '!K288)</f>
        <v>0</v>
      </c>
      <c r="L288" s="56">
        <f>SUM('Research Area'!L288+'Research Cyberinfrastructure'!L288+'EA &amp; Seed Funding'!L288+'Partnerships &amp; Collaborations'!L288+'Broadening Participation Divers'!L288+'Education Workforce Development'!L288+'Communications &amp; Disseminations'!L288+'Evaluation and Assessment '!L288+'Sustainability Plan'!L288+'Management '!L288)</f>
        <v>0</v>
      </c>
      <c r="M288" s="57">
        <f t="shared" si="177"/>
        <v>0</v>
      </c>
      <c r="N288" s="58"/>
      <c r="O288" s="172">
        <f>SUM('Research Area'!O288+'Education Workforce Development'!O288+'Research Cyberinfrastructure'!O288+'EA &amp; Seed Funding'!O288+'Broadening Participation Divers'!O288+'Communications &amp; Disseminations'!O288+'Partnerships &amp; Collaborations'!O288+'Sustainability Plan'!O288+'Management '!O288+'Evaluation and Assessment '!O288)</f>
        <v>0</v>
      </c>
      <c r="P288" s="56">
        <f>SUM('Research Area'!P288+'Research Cyberinfrastructure'!P288+'EA &amp; Seed Funding'!P288+'Partnerships &amp; Collaborations'!P288+'Broadening Participation Divers'!P288+'Education Workforce Development'!P288+'Communications &amp; Disseminations'!P288+'Evaluation and Assessment '!P288+'Sustainability Plan'!P288+'Management '!P288)</f>
        <v>0</v>
      </c>
      <c r="Q288" s="57">
        <f t="shared" si="178"/>
        <v>0</v>
      </c>
      <c r="R288" s="58"/>
      <c r="S288" s="172">
        <f>SUM('Research Area'!S288+'Education Workforce Development'!S288+'Research Cyberinfrastructure'!S288+'EA &amp; Seed Funding'!S288+'Broadening Participation Divers'!S288+'Communications &amp; Disseminations'!S288+'Partnerships &amp; Collaborations'!S288+'Sustainability Plan'!S288+'Management '!S288+'Evaluation and Assessment '!S288)</f>
        <v>0</v>
      </c>
      <c r="T288" s="56">
        <f>SUM('Research Area'!T288+'Research Cyberinfrastructure'!T288+'EA &amp; Seed Funding'!T288+'Partnerships &amp; Collaborations'!T288+'Broadening Participation Divers'!T288+'Education Workforce Development'!T288+'Communications &amp; Disseminations'!T288+'Evaluation and Assessment '!T288+'Sustainability Plan'!T288+'Management '!T288)</f>
        <v>0</v>
      </c>
      <c r="U288" s="57">
        <f t="shared" si="179"/>
        <v>0</v>
      </c>
      <c r="V288" s="59"/>
      <c r="W288" s="124">
        <f t="shared" si="174"/>
        <v>0</v>
      </c>
      <c r="X288" s="57">
        <f t="shared" si="174"/>
        <v>0</v>
      </c>
      <c r="Y288" s="84">
        <f t="shared" si="174"/>
        <v>0</v>
      </c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</row>
    <row r="289" spans="1:77" s="83" customFormat="1" x14ac:dyDescent="0.25">
      <c r="A289" s="78"/>
      <c r="B289" s="78" t="s">
        <v>9</v>
      </c>
      <c r="C289" s="229">
        <f>SUM(C285:C288)</f>
        <v>1000</v>
      </c>
      <c r="D289" s="153">
        <f>SUM(D285:D288)</f>
        <v>0</v>
      </c>
      <c r="E289" s="153">
        <f>SUM(E285:E288)</f>
        <v>1000</v>
      </c>
      <c r="F289" s="154"/>
      <c r="G289" s="152">
        <f>SUM(G285:G288)</f>
        <v>11000</v>
      </c>
      <c r="H289" s="155">
        <f>SUM(H285:H288)</f>
        <v>0</v>
      </c>
      <c r="I289" s="155">
        <f>SUM(I285:I288)</f>
        <v>11000</v>
      </c>
      <c r="J289" s="154"/>
      <c r="K289" s="152">
        <f>SUM(K285:K288)</f>
        <v>11000</v>
      </c>
      <c r="L289" s="155">
        <f>SUM(L285:L288)</f>
        <v>0</v>
      </c>
      <c r="M289" s="155">
        <f>SUM(M285:M288)</f>
        <v>11000</v>
      </c>
      <c r="N289" s="154"/>
      <c r="O289" s="152">
        <f>SUM(O285:O288)</f>
        <v>11000</v>
      </c>
      <c r="P289" s="155">
        <f>SUM(P285:P288)</f>
        <v>0</v>
      </c>
      <c r="Q289" s="155">
        <f>SUM(Q285:Q288)</f>
        <v>11000</v>
      </c>
      <c r="R289" s="154"/>
      <c r="S289" s="152">
        <f>SUM(S285:S288)</f>
        <v>1000</v>
      </c>
      <c r="T289" s="155">
        <f>SUM(T285:T288)</f>
        <v>0</v>
      </c>
      <c r="U289" s="155">
        <f>SUM(U285:U288)</f>
        <v>1000</v>
      </c>
      <c r="V289" s="82"/>
      <c r="W289" s="228">
        <f t="shared" si="174"/>
        <v>35000</v>
      </c>
      <c r="X289" s="80">
        <f t="shared" si="174"/>
        <v>0</v>
      </c>
      <c r="Y289" s="80">
        <f t="shared" si="174"/>
        <v>35000</v>
      </c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</row>
    <row r="290" spans="1:77" s="109" customFormat="1" x14ac:dyDescent="0.25">
      <c r="A290" s="245" t="s">
        <v>145</v>
      </c>
      <c r="B290" s="245"/>
      <c r="C290" s="246">
        <f t="shared" ref="C290:Y290" si="180">SUM(C269+C274+C279+C283+C289)</f>
        <v>14556.327003040002</v>
      </c>
      <c r="D290" s="246">
        <f t="shared" si="180"/>
        <v>0</v>
      </c>
      <c r="E290" s="246">
        <f t="shared" si="180"/>
        <v>14556.327003040002</v>
      </c>
      <c r="F290" s="246">
        <f t="shared" si="180"/>
        <v>0</v>
      </c>
      <c r="G290" s="246">
        <f t="shared" si="180"/>
        <v>24990.676813525137</v>
      </c>
      <c r="H290" s="246">
        <f t="shared" si="180"/>
        <v>0</v>
      </c>
      <c r="I290" s="246">
        <f t="shared" si="180"/>
        <v>24990.676813525137</v>
      </c>
      <c r="J290" s="246">
        <f t="shared" si="180"/>
        <v>0</v>
      </c>
      <c r="K290" s="246">
        <f t="shared" si="180"/>
        <v>25445.222612348818</v>
      </c>
      <c r="L290" s="246">
        <f t="shared" si="180"/>
        <v>0</v>
      </c>
      <c r="M290" s="246">
        <f t="shared" si="180"/>
        <v>25445.222612348818</v>
      </c>
      <c r="N290" s="246">
        <f t="shared" si="180"/>
        <v>0</v>
      </c>
      <c r="O290" s="246">
        <f t="shared" si="180"/>
        <v>25921.006657747261</v>
      </c>
      <c r="P290" s="246">
        <f t="shared" si="180"/>
        <v>0</v>
      </c>
      <c r="Q290" s="246">
        <f t="shared" si="180"/>
        <v>25921.006657747261</v>
      </c>
      <c r="R290" s="246">
        <f t="shared" si="180"/>
        <v>0</v>
      </c>
      <c r="S290" s="246">
        <f t="shared" si="180"/>
        <v>16419.129051159664</v>
      </c>
      <c r="T290" s="246">
        <f t="shared" si="180"/>
        <v>0</v>
      </c>
      <c r="U290" s="246">
        <f t="shared" si="180"/>
        <v>16419.129051159664</v>
      </c>
      <c r="V290" s="246">
        <f t="shared" si="180"/>
        <v>0</v>
      </c>
      <c r="W290" s="246">
        <f>SUM(W269+W274+W279+W283+W289)</f>
        <v>107332.36213782089</v>
      </c>
      <c r="X290" s="246">
        <f t="shared" si="180"/>
        <v>0</v>
      </c>
      <c r="Y290" s="246">
        <f t="shared" si="180"/>
        <v>107332.36213782089</v>
      </c>
      <c r="Z290" s="105"/>
      <c r="AA290" s="105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</row>
    <row r="291" spans="1:77" s="109" customFormat="1" x14ac:dyDescent="0.25">
      <c r="A291" s="245" t="s">
        <v>146</v>
      </c>
      <c r="B291" s="245"/>
      <c r="C291" s="246">
        <f>((C263)*0.56)</f>
        <v>3779.1936000000005</v>
      </c>
      <c r="D291" s="246">
        <v>0</v>
      </c>
      <c r="E291" s="246">
        <f>C291</f>
        <v>3779.1936000000005</v>
      </c>
      <c r="F291" s="246">
        <f>F263*0.47</f>
        <v>0</v>
      </c>
      <c r="G291" s="246">
        <f>((G263)*0.56)</f>
        <v>3892.5694080000007</v>
      </c>
      <c r="H291" s="246">
        <v>0</v>
      </c>
      <c r="I291" s="246">
        <f>G291</f>
        <v>3892.5694080000007</v>
      </c>
      <c r="J291" s="246">
        <f>J263*0.47</f>
        <v>0</v>
      </c>
      <c r="K291" s="246">
        <f>((K263)*0.56)</f>
        <v>4009.3464902400005</v>
      </c>
      <c r="L291" s="246">
        <v>0</v>
      </c>
      <c r="M291" s="246">
        <f>K291</f>
        <v>4009.3464902400005</v>
      </c>
      <c r="N291" s="246">
        <f>N263*0.47</f>
        <v>0</v>
      </c>
      <c r="O291" s="246">
        <f>((O263)*0.56)</f>
        <v>4129.6268849472008</v>
      </c>
      <c r="P291" s="246">
        <v>0</v>
      </c>
      <c r="Q291" s="246">
        <f>O291</f>
        <v>4129.6268849472008</v>
      </c>
      <c r="R291" s="246">
        <f>R263*0.47</f>
        <v>0</v>
      </c>
      <c r="S291" s="246">
        <f>((S263)*0.56)</f>
        <v>4253.5156914956169</v>
      </c>
      <c r="T291" s="246">
        <v>0</v>
      </c>
      <c r="U291" s="246">
        <f>S291</f>
        <v>4253.5156914956169</v>
      </c>
      <c r="V291" s="246">
        <f>V263*0.47</f>
        <v>0</v>
      </c>
      <c r="W291" s="246">
        <f>((W263)*0.56)</f>
        <v>20064.252074682823</v>
      </c>
      <c r="X291" s="246">
        <v>0</v>
      </c>
      <c r="Y291" s="246">
        <f>W291</f>
        <v>20064.252074682823</v>
      </c>
      <c r="Z291" s="105"/>
      <c r="AA291" s="105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</row>
    <row r="292" spans="1:77" s="109" customFormat="1" x14ac:dyDescent="0.25">
      <c r="A292" s="245" t="s">
        <v>147</v>
      </c>
      <c r="B292" s="245"/>
      <c r="C292" s="246">
        <f>SUM(C290:C291)</f>
        <v>18335.52060304</v>
      </c>
      <c r="D292" s="246">
        <f t="shared" ref="D292:Y292" si="181">SUM(D290:D291)</f>
        <v>0</v>
      </c>
      <c r="E292" s="246">
        <f t="shared" si="181"/>
        <v>18335.52060304</v>
      </c>
      <c r="F292" s="246">
        <f t="shared" si="181"/>
        <v>0</v>
      </c>
      <c r="G292" s="246">
        <f t="shared" si="181"/>
        <v>28883.246221525136</v>
      </c>
      <c r="H292" s="246">
        <f t="shared" si="181"/>
        <v>0</v>
      </c>
      <c r="I292" s="246">
        <f t="shared" si="181"/>
        <v>28883.246221525136</v>
      </c>
      <c r="J292" s="246">
        <f t="shared" si="181"/>
        <v>0</v>
      </c>
      <c r="K292" s="246">
        <f t="shared" si="181"/>
        <v>29454.569102588819</v>
      </c>
      <c r="L292" s="246">
        <f t="shared" si="181"/>
        <v>0</v>
      </c>
      <c r="M292" s="246">
        <f t="shared" si="181"/>
        <v>29454.569102588819</v>
      </c>
      <c r="N292" s="246">
        <f t="shared" si="181"/>
        <v>0</v>
      </c>
      <c r="O292" s="246">
        <f t="shared" si="181"/>
        <v>30050.633542694461</v>
      </c>
      <c r="P292" s="246">
        <f t="shared" si="181"/>
        <v>0</v>
      </c>
      <c r="Q292" s="246">
        <f t="shared" si="181"/>
        <v>30050.633542694461</v>
      </c>
      <c r="R292" s="246">
        <f t="shared" si="181"/>
        <v>0</v>
      </c>
      <c r="S292" s="246">
        <f t="shared" si="181"/>
        <v>20672.64474265528</v>
      </c>
      <c r="T292" s="246">
        <f t="shared" si="181"/>
        <v>0</v>
      </c>
      <c r="U292" s="246">
        <f t="shared" si="181"/>
        <v>20672.64474265528</v>
      </c>
      <c r="V292" s="246">
        <f t="shared" si="181"/>
        <v>0</v>
      </c>
      <c r="W292" s="246">
        <f t="shared" si="181"/>
        <v>127396.61421250371</v>
      </c>
      <c r="X292" s="246">
        <f t="shared" si="181"/>
        <v>0</v>
      </c>
      <c r="Y292" s="246">
        <f t="shared" si="181"/>
        <v>127396.61421250371</v>
      </c>
      <c r="Z292" s="105"/>
      <c r="AA292" s="105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</row>
    <row r="293" spans="1:77" s="13" customFormat="1" x14ac:dyDescent="0.25">
      <c r="C293" s="14"/>
      <c r="D293" s="14"/>
      <c r="E293" s="14"/>
      <c r="F293" s="14"/>
      <c r="G293" s="14"/>
      <c r="H293" s="14"/>
      <c r="I293" s="14"/>
      <c r="J293" s="14"/>
      <c r="K293" s="14"/>
      <c r="M293" s="14"/>
      <c r="N293" s="14"/>
      <c r="O293" s="14"/>
      <c r="Q293" s="14"/>
      <c r="R293" s="14"/>
      <c r="S293" s="14"/>
      <c r="U293" s="14"/>
      <c r="V293" s="16"/>
      <c r="W293" s="14"/>
      <c r="X293" s="14"/>
    </row>
    <row r="294" spans="1:77" s="99" customFormat="1" ht="21" x14ac:dyDescent="0.4">
      <c r="A294" s="325" t="s">
        <v>149</v>
      </c>
      <c r="B294" s="325"/>
      <c r="C294" s="325"/>
      <c r="D294" s="325"/>
      <c r="E294" s="325"/>
      <c r="F294" s="325"/>
      <c r="G294" s="325"/>
      <c r="H294" s="325"/>
      <c r="I294" s="325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  <c r="BJ294" s="98"/>
      <c r="BK294" s="98"/>
      <c r="BL294" s="98"/>
      <c r="BM294" s="98"/>
      <c r="BN294" s="98"/>
      <c r="BO294" s="98"/>
      <c r="BP294" s="98"/>
      <c r="BQ294" s="98"/>
      <c r="BR294" s="98"/>
      <c r="BS294" s="98"/>
      <c r="BT294" s="98"/>
      <c r="BU294" s="98"/>
      <c r="BV294" s="98"/>
      <c r="BW294" s="98"/>
      <c r="BX294" s="98"/>
      <c r="BY294" s="98"/>
    </row>
    <row r="295" spans="1:77" s="77" customFormat="1" x14ac:dyDescent="0.25">
      <c r="A295" s="74" t="s">
        <v>5</v>
      </c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5"/>
      <c r="W295" s="74"/>
      <c r="X295" s="74"/>
      <c r="Y295" s="7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</row>
    <row r="296" spans="1:77" s="61" customFormat="1" x14ac:dyDescent="0.25">
      <c r="A296" s="53" t="s">
        <v>57</v>
      </c>
      <c r="B296" s="61" t="s">
        <v>57</v>
      </c>
      <c r="C296" s="55">
        <f>SUM('Research Area'!C296+'Education Workforce Development'!C296+'Research Cyberinfrastructure'!C296+'EA &amp; Seed Funding'!C296+'Broadening Participation Divers'!C296+'Communications &amp; Disseminations'!C296+'Partnerships &amp; Collaborations'!C296+'Sustainability Plan'!C296+'Management '!C296+'Evaluation and Assessment '!C296)</f>
        <v>8871.9842307692306</v>
      </c>
      <c r="D296" s="56">
        <f>SUM('Research Area'!D296+'Research Cyberinfrastructure'!D296+'EA &amp; Seed Funding'!D296+'Partnerships &amp; Collaborations'!D296+'Broadening Participation Divers'!D296+'Education Workforce Development'!D296+'Communications &amp; Disseminations'!D296+'Evaluation and Assessment '!D296+'Sustainability Plan'!D296+'Management '!D296)</f>
        <v>0</v>
      </c>
      <c r="E296" s="57">
        <f t="shared" ref="E296:E299" si="182">SUM(C296:D296)</f>
        <v>8871.9842307692306</v>
      </c>
      <c r="F296" s="58"/>
      <c r="G296" s="55">
        <f>SUM('Research Area'!G296+'Education Workforce Development'!G296+'Research Cyberinfrastructure'!G296+'EA &amp; Seed Funding'!G296+'Broadening Participation Divers'!G296+'Communications &amp; Disseminations'!G296+'Partnerships &amp; Collaborations'!G296+'Sustainability Plan'!G296+'Management '!G296+'Evaluation and Assessment '!G296)</f>
        <v>9138.1437576923072</v>
      </c>
      <c r="H296" s="56">
        <f>SUM('Research Area'!H296+'Research Cyberinfrastructure'!H296+'EA &amp; Seed Funding'!H296+'Partnerships &amp; Collaborations'!H296+'Broadening Participation Divers'!H296+'Education Workforce Development'!H296+'Communications &amp; Disseminations'!H296+'Evaluation and Assessment '!H296+'Sustainability Plan'!H296+'Management '!H296)</f>
        <v>0</v>
      </c>
      <c r="I296" s="57">
        <f t="shared" ref="I296:I299" si="183">SUM(G296:H296)</f>
        <v>9138.1437576923072</v>
      </c>
      <c r="J296" s="58"/>
      <c r="K296" s="55">
        <f>SUM('Research Area'!K296+'Education Workforce Development'!K296+'Research Cyberinfrastructure'!K296+'EA &amp; Seed Funding'!K296+'Broadening Participation Divers'!K296+'Communications &amp; Disseminations'!K296+'Partnerships &amp; Collaborations'!K296+'Sustainability Plan'!K296+'Management '!K296+'Evaluation and Assessment '!K296)</f>
        <v>9412.2880704230774</v>
      </c>
      <c r="L296" s="56">
        <f>SUM('Research Area'!L296+'Research Cyberinfrastructure'!L296+'EA &amp; Seed Funding'!L296+'Partnerships &amp; Collaborations'!L296+'Broadening Participation Divers'!L296+'Education Workforce Development'!L296+'Communications &amp; Disseminations'!L296+'Evaluation and Assessment '!L296+'Sustainability Plan'!L296+'Management '!L296)</f>
        <v>0</v>
      </c>
      <c r="M296" s="57">
        <f t="shared" ref="M296:M299" si="184">SUM(K296:L296)</f>
        <v>9412.2880704230774</v>
      </c>
      <c r="N296" s="58"/>
      <c r="O296" s="55">
        <f>SUM('Research Area'!O296+'Education Workforce Development'!O296+'Research Cyberinfrastructure'!O296+'EA &amp; Seed Funding'!O296+'Broadening Participation Divers'!O296+'Communications &amp; Disseminations'!O296+'Partnerships &amp; Collaborations'!O296+'Sustainability Plan'!O296+'Management '!O296+'Evaluation and Assessment '!O296)</f>
        <v>9694.6567125357706</v>
      </c>
      <c r="P296" s="56">
        <f>SUM('Research Area'!P296+'Research Cyberinfrastructure'!P296+'EA &amp; Seed Funding'!P296+'Partnerships &amp; Collaborations'!P296+'Broadening Participation Divers'!P296+'Education Workforce Development'!P296+'Communications &amp; Disseminations'!P296+'Evaluation and Assessment '!P296+'Sustainability Plan'!P296+'Management '!P296)</f>
        <v>0</v>
      </c>
      <c r="Q296" s="57">
        <f t="shared" ref="Q296:Q299" si="185">SUM(O296:P296)</f>
        <v>9694.6567125357706</v>
      </c>
      <c r="R296" s="58"/>
      <c r="S296" s="55">
        <f>SUM('Research Area'!S296+'Education Workforce Development'!S296+'Research Cyberinfrastructure'!S296+'EA &amp; Seed Funding'!S296+'Broadening Participation Divers'!S296+'Communications &amp; Disseminations'!S296+'Partnerships &amp; Collaborations'!S296+'Sustainability Plan'!S296+'Management '!S296+'Evaluation and Assessment '!S296)</f>
        <v>9985.4964139118438</v>
      </c>
      <c r="T296" s="56">
        <f>SUM('Research Area'!T296+'Research Cyberinfrastructure'!T296+'EA &amp; Seed Funding'!T296+'Partnerships &amp; Collaborations'!T296+'Broadening Participation Divers'!T296+'Education Workforce Development'!T296+'Communications &amp; Disseminations'!T296+'Evaluation and Assessment '!T296+'Sustainability Plan'!T296+'Management '!T296)</f>
        <v>0</v>
      </c>
      <c r="U296" s="57">
        <f t="shared" ref="U296:U299" si="186">SUM(S296:T296)</f>
        <v>9985.4964139118438</v>
      </c>
      <c r="V296" s="59"/>
      <c r="W296" s="124">
        <f>C296+G296+K296+O296+S296</f>
        <v>47102.569185332228</v>
      </c>
      <c r="X296" s="57">
        <f t="shared" ref="X296:Y300" si="187">D296+H296+L296+P296+T296</f>
        <v>0</v>
      </c>
      <c r="Y296" s="60">
        <f t="shared" si="187"/>
        <v>47102.569185332228</v>
      </c>
    </row>
    <row r="297" spans="1:77" s="61" customFormat="1" x14ac:dyDescent="0.25">
      <c r="A297" s="53" t="s">
        <v>57</v>
      </c>
      <c r="B297" s="169" t="s">
        <v>57</v>
      </c>
      <c r="C297" s="172">
        <f>SUM('Research Area'!C297+'Education Workforce Development'!C297+'Research Cyberinfrastructure'!C297+'EA &amp; Seed Funding'!C297+'Broadening Participation Divers'!C297+'Communications &amp; Disseminations'!C297+'Partnerships &amp; Collaborations'!C297+'Sustainability Plan'!C297+'Management '!C297+'Evaluation and Assessment '!C297)</f>
        <v>0</v>
      </c>
      <c r="D297" s="56">
        <f>SUM('Research Area'!D297+'Research Cyberinfrastructure'!D297+'EA &amp; Seed Funding'!D297+'Partnerships &amp; Collaborations'!D297+'Broadening Participation Divers'!D297+'Education Workforce Development'!D297+'Communications &amp; Disseminations'!D297+'Evaluation and Assessment '!D297+'Sustainability Plan'!D297+'Management '!D297)</f>
        <v>0</v>
      </c>
      <c r="E297" s="173">
        <f t="shared" si="182"/>
        <v>0</v>
      </c>
      <c r="F297" s="175"/>
      <c r="G297" s="172">
        <f>SUM('Research Area'!G297+'Education Workforce Development'!G297+'Research Cyberinfrastructure'!G297+'EA &amp; Seed Funding'!G297+'Broadening Participation Divers'!G297+'Communications &amp; Disseminations'!G297+'Partnerships &amp; Collaborations'!G297+'Sustainability Plan'!G297+'Management '!G297+'Evaluation and Assessment '!G297)</f>
        <v>0</v>
      </c>
      <c r="H297" s="56">
        <f>SUM('Research Area'!H297+'Research Cyberinfrastructure'!H297+'EA &amp; Seed Funding'!H297+'Partnerships &amp; Collaborations'!H297+'Broadening Participation Divers'!H297+'Education Workforce Development'!H297+'Communications &amp; Disseminations'!H297+'Evaluation and Assessment '!H297+'Sustainability Plan'!H297+'Management '!H297)</f>
        <v>0</v>
      </c>
      <c r="I297" s="173">
        <f t="shared" si="183"/>
        <v>0</v>
      </c>
      <c r="J297" s="175"/>
      <c r="K297" s="172">
        <f>SUM('Research Area'!K297+'Education Workforce Development'!K297+'Research Cyberinfrastructure'!K297+'EA &amp; Seed Funding'!K297+'Broadening Participation Divers'!K297+'Communications &amp; Disseminations'!K297+'Partnerships &amp; Collaborations'!K297+'Sustainability Plan'!K297+'Management '!K297+'Evaluation and Assessment '!K297)</f>
        <v>0</v>
      </c>
      <c r="L297" s="56">
        <f>SUM('Research Area'!L297+'Research Cyberinfrastructure'!L297+'EA &amp; Seed Funding'!L297+'Partnerships &amp; Collaborations'!L297+'Broadening Participation Divers'!L297+'Education Workforce Development'!L297+'Communications &amp; Disseminations'!L297+'Evaluation and Assessment '!L297+'Sustainability Plan'!L297+'Management '!L297)</f>
        <v>0</v>
      </c>
      <c r="M297" s="173">
        <f t="shared" si="184"/>
        <v>0</v>
      </c>
      <c r="N297" s="175"/>
      <c r="O297" s="172">
        <f>SUM('Research Area'!O297+'Education Workforce Development'!O297+'Research Cyberinfrastructure'!O297+'EA &amp; Seed Funding'!O297+'Broadening Participation Divers'!O297+'Communications &amp; Disseminations'!O297+'Partnerships &amp; Collaborations'!O297+'Sustainability Plan'!O297+'Management '!O297+'Evaluation and Assessment '!O297)</f>
        <v>0</v>
      </c>
      <c r="P297" s="56">
        <f>SUM('Research Area'!P297+'Research Cyberinfrastructure'!P297+'EA &amp; Seed Funding'!P297+'Partnerships &amp; Collaborations'!P297+'Broadening Participation Divers'!P297+'Education Workforce Development'!P297+'Communications &amp; Disseminations'!P297+'Evaluation and Assessment '!P297+'Sustainability Plan'!P297+'Management '!P297)</f>
        <v>0</v>
      </c>
      <c r="Q297" s="173">
        <f t="shared" si="185"/>
        <v>0</v>
      </c>
      <c r="R297" s="175"/>
      <c r="S297" s="172">
        <f>SUM('Research Area'!S297+'Education Workforce Development'!S297+'Research Cyberinfrastructure'!S297+'EA &amp; Seed Funding'!S297+'Broadening Participation Divers'!S297+'Communications &amp; Disseminations'!S297+'Partnerships &amp; Collaborations'!S297+'Sustainability Plan'!S297+'Management '!S297+'Evaluation and Assessment '!S297)</f>
        <v>0</v>
      </c>
      <c r="T297" s="56">
        <f>SUM('Research Area'!T297+'Research Cyberinfrastructure'!T297+'EA &amp; Seed Funding'!T297+'Partnerships &amp; Collaborations'!T297+'Broadening Participation Divers'!T297+'Education Workforce Development'!T297+'Communications &amp; Disseminations'!T297+'Evaluation and Assessment '!T297+'Sustainability Plan'!T297+'Management '!T297)</f>
        <v>0</v>
      </c>
      <c r="U297" s="173">
        <f t="shared" si="186"/>
        <v>0</v>
      </c>
      <c r="V297" s="176"/>
      <c r="W297" s="227">
        <f t="shared" ref="W297:W300" si="188">C297+G297+K297+O297+S297</f>
        <v>0</v>
      </c>
      <c r="X297" s="173">
        <f t="shared" si="187"/>
        <v>0</v>
      </c>
      <c r="Y297" s="177">
        <f t="shared" si="187"/>
        <v>0</v>
      </c>
    </row>
    <row r="298" spans="1:77" s="61" customFormat="1" x14ac:dyDescent="0.25">
      <c r="A298" s="53" t="s">
        <v>57</v>
      </c>
      <c r="B298" s="169" t="s">
        <v>57</v>
      </c>
      <c r="C298" s="172">
        <f>SUM('Research Area'!C298+'Education Workforce Development'!C298+'Research Cyberinfrastructure'!C298+'EA &amp; Seed Funding'!C298+'Broadening Participation Divers'!C298+'Communications &amp; Disseminations'!C298+'Partnerships &amp; Collaborations'!C298+'Sustainability Plan'!C298+'Management '!C298+'Evaluation and Assessment '!C298)</f>
        <v>0</v>
      </c>
      <c r="D298" s="56">
        <f>SUM('Research Area'!D298+'Research Cyberinfrastructure'!D298+'EA &amp; Seed Funding'!D298+'Partnerships &amp; Collaborations'!D298+'Broadening Participation Divers'!D298+'Education Workforce Development'!D298+'Communications &amp; Disseminations'!D298+'Evaluation and Assessment '!D298+'Sustainability Plan'!D298+'Management '!D298)</f>
        <v>0</v>
      </c>
      <c r="E298" s="173">
        <f t="shared" si="182"/>
        <v>0</v>
      </c>
      <c r="F298" s="175"/>
      <c r="G298" s="172">
        <f>SUM('Research Area'!G298+'Education Workforce Development'!G298+'Research Cyberinfrastructure'!G298+'EA &amp; Seed Funding'!G298+'Broadening Participation Divers'!G298+'Communications &amp; Disseminations'!G298+'Partnerships &amp; Collaborations'!G298+'Sustainability Plan'!G298+'Management '!G298+'Evaluation and Assessment '!G298)</f>
        <v>0</v>
      </c>
      <c r="H298" s="56">
        <f>SUM('Research Area'!H298+'Research Cyberinfrastructure'!H298+'EA &amp; Seed Funding'!H298+'Partnerships &amp; Collaborations'!H298+'Broadening Participation Divers'!H298+'Education Workforce Development'!H298+'Communications &amp; Disseminations'!H298+'Evaluation and Assessment '!H298+'Sustainability Plan'!H298+'Management '!H298)</f>
        <v>0</v>
      </c>
      <c r="I298" s="173">
        <f t="shared" si="183"/>
        <v>0</v>
      </c>
      <c r="J298" s="175"/>
      <c r="K298" s="172">
        <f>SUM('Research Area'!K298+'Education Workforce Development'!K298+'Research Cyberinfrastructure'!K298+'EA &amp; Seed Funding'!K298+'Broadening Participation Divers'!K298+'Communications &amp; Disseminations'!K298+'Partnerships &amp; Collaborations'!K298+'Sustainability Plan'!K298+'Management '!K298+'Evaluation and Assessment '!K298)</f>
        <v>0</v>
      </c>
      <c r="L298" s="56">
        <f>SUM('Research Area'!L298+'Research Cyberinfrastructure'!L298+'EA &amp; Seed Funding'!L298+'Partnerships &amp; Collaborations'!L298+'Broadening Participation Divers'!L298+'Education Workforce Development'!L298+'Communications &amp; Disseminations'!L298+'Evaluation and Assessment '!L298+'Sustainability Plan'!L298+'Management '!L298)</f>
        <v>0</v>
      </c>
      <c r="M298" s="173">
        <f t="shared" si="184"/>
        <v>0</v>
      </c>
      <c r="N298" s="175"/>
      <c r="O298" s="172">
        <f>SUM('Research Area'!O298+'Education Workforce Development'!O298+'Research Cyberinfrastructure'!O298+'EA &amp; Seed Funding'!O298+'Broadening Participation Divers'!O298+'Communications &amp; Disseminations'!O298+'Partnerships &amp; Collaborations'!O298+'Sustainability Plan'!O298+'Management '!O298+'Evaluation and Assessment '!O298)</f>
        <v>0</v>
      </c>
      <c r="P298" s="56">
        <f>SUM('Research Area'!P298+'Research Cyberinfrastructure'!P298+'EA &amp; Seed Funding'!P298+'Partnerships &amp; Collaborations'!P298+'Broadening Participation Divers'!P298+'Education Workforce Development'!P298+'Communications &amp; Disseminations'!P298+'Evaluation and Assessment '!P298+'Sustainability Plan'!P298+'Management '!P298)</f>
        <v>0</v>
      </c>
      <c r="Q298" s="173">
        <f t="shared" si="185"/>
        <v>0</v>
      </c>
      <c r="R298" s="175"/>
      <c r="S298" s="172">
        <f>SUM('Research Area'!S298+'Education Workforce Development'!S298+'Research Cyberinfrastructure'!S298+'EA &amp; Seed Funding'!S298+'Broadening Participation Divers'!S298+'Communications &amp; Disseminations'!S298+'Partnerships &amp; Collaborations'!S298+'Sustainability Plan'!S298+'Management '!S298+'Evaluation and Assessment '!S298)</f>
        <v>0</v>
      </c>
      <c r="T298" s="56">
        <f>SUM('Research Area'!T298+'Research Cyberinfrastructure'!T298+'EA &amp; Seed Funding'!T298+'Partnerships &amp; Collaborations'!T298+'Broadening Participation Divers'!T298+'Education Workforce Development'!T298+'Communications &amp; Disseminations'!T298+'Evaluation and Assessment '!T298+'Sustainability Plan'!T298+'Management '!T298)</f>
        <v>0</v>
      </c>
      <c r="U298" s="173">
        <f t="shared" si="186"/>
        <v>0</v>
      </c>
      <c r="V298" s="176"/>
      <c r="W298" s="227">
        <f t="shared" si="188"/>
        <v>0</v>
      </c>
      <c r="X298" s="173">
        <f t="shared" si="187"/>
        <v>0</v>
      </c>
      <c r="Y298" s="177">
        <f t="shared" si="187"/>
        <v>0</v>
      </c>
    </row>
    <row r="299" spans="1:77" s="61" customFormat="1" x14ac:dyDescent="0.25">
      <c r="A299" s="52"/>
      <c r="B299" s="169" t="s">
        <v>57</v>
      </c>
      <c r="C299" s="172">
        <f>SUM('Research Area'!C299+'Education Workforce Development'!C299+'Research Cyberinfrastructure'!C299+'EA &amp; Seed Funding'!C299+'Broadening Participation Divers'!C299+'Communications &amp; Disseminations'!C299+'Partnerships &amp; Collaborations'!C299+'Sustainability Plan'!C299+'Management '!C299+'Evaluation and Assessment '!C299)</f>
        <v>0</v>
      </c>
      <c r="D299" s="56">
        <f>SUM('Research Area'!D299+'Research Cyberinfrastructure'!D299+'EA &amp; Seed Funding'!D299+'Partnerships &amp; Collaborations'!D299+'Broadening Participation Divers'!D299+'Education Workforce Development'!D299+'Communications &amp; Disseminations'!D299+'Evaluation and Assessment '!D299+'Sustainability Plan'!D299+'Management '!D299)</f>
        <v>0</v>
      </c>
      <c r="E299" s="173">
        <f t="shared" si="182"/>
        <v>0</v>
      </c>
      <c r="F299" s="175"/>
      <c r="G299" s="172">
        <f>SUM('Research Area'!G299+'Education Workforce Development'!G299+'Research Cyberinfrastructure'!G299+'EA &amp; Seed Funding'!G299+'Broadening Participation Divers'!G299+'Communications &amp; Disseminations'!G299+'Partnerships &amp; Collaborations'!G299+'Sustainability Plan'!G299+'Management '!G299+'Evaluation and Assessment '!G299)</f>
        <v>0</v>
      </c>
      <c r="H299" s="56">
        <f>SUM('Research Area'!H299+'Research Cyberinfrastructure'!H299+'EA &amp; Seed Funding'!H299+'Partnerships &amp; Collaborations'!H299+'Broadening Participation Divers'!H299+'Education Workforce Development'!H299+'Communications &amp; Disseminations'!H299+'Evaluation and Assessment '!H299+'Sustainability Plan'!H299+'Management '!H299)</f>
        <v>0</v>
      </c>
      <c r="I299" s="173">
        <f t="shared" si="183"/>
        <v>0</v>
      </c>
      <c r="J299" s="175"/>
      <c r="K299" s="172">
        <f>SUM('Research Area'!K299+'Education Workforce Development'!K299+'Research Cyberinfrastructure'!K299+'EA &amp; Seed Funding'!K299+'Broadening Participation Divers'!K299+'Communications &amp; Disseminations'!K299+'Partnerships &amp; Collaborations'!K299+'Sustainability Plan'!K299+'Management '!K299+'Evaluation and Assessment '!K299)</f>
        <v>0</v>
      </c>
      <c r="L299" s="56">
        <f>SUM('Research Area'!L299+'Research Cyberinfrastructure'!L299+'EA &amp; Seed Funding'!L299+'Partnerships &amp; Collaborations'!L299+'Broadening Participation Divers'!L299+'Education Workforce Development'!L299+'Communications &amp; Disseminations'!L299+'Evaluation and Assessment '!L299+'Sustainability Plan'!L299+'Management '!L299)</f>
        <v>0</v>
      </c>
      <c r="M299" s="173">
        <f t="shared" si="184"/>
        <v>0</v>
      </c>
      <c r="N299" s="175"/>
      <c r="O299" s="172">
        <f>SUM('Research Area'!O299+'Education Workforce Development'!O299+'Research Cyberinfrastructure'!O299+'EA &amp; Seed Funding'!O299+'Broadening Participation Divers'!O299+'Communications &amp; Disseminations'!O299+'Partnerships &amp; Collaborations'!O299+'Sustainability Plan'!O299+'Management '!O299+'Evaluation and Assessment '!O299)</f>
        <v>0</v>
      </c>
      <c r="P299" s="56">
        <f>SUM('Research Area'!P299+'Research Cyberinfrastructure'!P299+'EA &amp; Seed Funding'!P299+'Partnerships &amp; Collaborations'!P299+'Broadening Participation Divers'!P299+'Education Workforce Development'!P299+'Communications &amp; Disseminations'!P299+'Evaluation and Assessment '!P299+'Sustainability Plan'!P299+'Management '!P299)</f>
        <v>0</v>
      </c>
      <c r="Q299" s="173">
        <f t="shared" si="185"/>
        <v>0</v>
      </c>
      <c r="R299" s="175"/>
      <c r="S299" s="172">
        <f>SUM('Research Area'!S299+'Education Workforce Development'!S299+'Research Cyberinfrastructure'!S299+'EA &amp; Seed Funding'!S299+'Broadening Participation Divers'!S299+'Communications &amp; Disseminations'!S299+'Partnerships &amp; Collaborations'!S299+'Sustainability Plan'!S299+'Management '!S299+'Evaluation and Assessment '!S299)</f>
        <v>0</v>
      </c>
      <c r="T299" s="56">
        <f>SUM('Research Area'!T299+'Research Cyberinfrastructure'!T299+'EA &amp; Seed Funding'!T299+'Partnerships &amp; Collaborations'!T299+'Broadening Participation Divers'!T299+'Education Workforce Development'!T299+'Communications &amp; Disseminations'!T299+'Evaluation and Assessment '!T299+'Sustainability Plan'!T299+'Management '!T299)</f>
        <v>0</v>
      </c>
      <c r="U299" s="173">
        <f t="shared" si="186"/>
        <v>0</v>
      </c>
      <c r="V299" s="176"/>
      <c r="W299" s="227">
        <f t="shared" si="188"/>
        <v>0</v>
      </c>
      <c r="X299" s="173">
        <f t="shared" si="187"/>
        <v>0</v>
      </c>
      <c r="Y299" s="177">
        <f t="shared" si="187"/>
        <v>0</v>
      </c>
    </row>
    <row r="300" spans="1:77" s="83" customFormat="1" x14ac:dyDescent="0.25">
      <c r="A300" s="78"/>
      <c r="B300" s="78" t="s">
        <v>9</v>
      </c>
      <c r="C300" s="228">
        <f>SUM(C296:C299)</f>
        <v>8871.9842307692306</v>
      </c>
      <c r="D300" s="125">
        <f>SUM(D296:D299)</f>
        <v>0</v>
      </c>
      <c r="E300" s="125">
        <f>SUM(E296:E299)</f>
        <v>8871.9842307692306</v>
      </c>
      <c r="F300" s="81"/>
      <c r="G300" s="79">
        <f>SUM(G296:G299)</f>
        <v>9138.1437576923072</v>
      </c>
      <c r="H300" s="80">
        <f>SUM(H296:H299)</f>
        <v>0</v>
      </c>
      <c r="I300" s="80">
        <f>SUM(I296:I299)</f>
        <v>9138.1437576923072</v>
      </c>
      <c r="J300" s="81"/>
      <c r="K300" s="79">
        <f>SUM(K296:K299)</f>
        <v>9412.2880704230774</v>
      </c>
      <c r="L300" s="80">
        <f>SUM(L296:L299)</f>
        <v>0</v>
      </c>
      <c r="M300" s="80">
        <f>SUM(M296:M299)</f>
        <v>9412.2880704230774</v>
      </c>
      <c r="N300" s="81"/>
      <c r="O300" s="79">
        <f>SUM(O296:O299)</f>
        <v>9694.6567125357706</v>
      </c>
      <c r="P300" s="80">
        <f>SUM(P296:P299)</f>
        <v>0</v>
      </c>
      <c r="Q300" s="80">
        <f>SUM(Q296:Q299)</f>
        <v>9694.6567125357706</v>
      </c>
      <c r="R300" s="81"/>
      <c r="S300" s="79">
        <f>SUM(S296:S299)</f>
        <v>9985.4964139118438</v>
      </c>
      <c r="T300" s="80">
        <f>SUM(T296:T299)</f>
        <v>0</v>
      </c>
      <c r="U300" s="80">
        <f>SUM(U296:U299)</f>
        <v>9985.4964139118438</v>
      </c>
      <c r="V300" s="82"/>
      <c r="W300" s="228">
        <f t="shared" si="188"/>
        <v>47102.569185332228</v>
      </c>
      <c r="X300" s="80">
        <f t="shared" si="187"/>
        <v>0</v>
      </c>
      <c r="Y300" s="80">
        <f t="shared" si="187"/>
        <v>47102.569185332228</v>
      </c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</row>
    <row r="301" spans="1:77" s="77" customFormat="1" x14ac:dyDescent="0.25">
      <c r="A301" s="74" t="s">
        <v>12</v>
      </c>
      <c r="B301" s="74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9"/>
      <c r="W301" s="58"/>
      <c r="X301" s="58"/>
      <c r="Y301" s="129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</row>
    <row r="302" spans="1:77" s="61" customFormat="1" x14ac:dyDescent="0.25">
      <c r="B302" s="61" t="s">
        <v>57</v>
      </c>
      <c r="C302" s="172">
        <f>SUM('Research Area'!C302+'Education Workforce Development'!C302+'Research Cyberinfrastructure'!C302+'EA &amp; Seed Funding'!C302+'Broadening Participation Divers'!C302+'Communications &amp; Disseminations'!C302+'Partnerships &amp; Collaborations'!C302+'Sustainability Plan'!C302+'Management '!C302+'Evaluation and Assessment '!C302)</f>
        <v>0</v>
      </c>
      <c r="D302" s="56">
        <f>SUM('Research Area'!D302+'Research Cyberinfrastructure'!D302+'EA &amp; Seed Funding'!D302+'Partnerships &amp; Collaborations'!D302+'Broadening Participation Divers'!D302+'Education Workforce Development'!D302+'Communications &amp; Disseminations'!D302+'Evaluation and Assessment '!D302+'Sustainability Plan'!D302+'Management '!D302)</f>
        <v>0</v>
      </c>
      <c r="E302" s="56">
        <f>SUM(C302:D302)</f>
        <v>0</v>
      </c>
      <c r="F302" s="58"/>
      <c r="G302" s="172">
        <f>SUM('Research Area'!G302+'Education Workforce Development'!G302+'Research Cyberinfrastructure'!G302+'EA &amp; Seed Funding'!G302+'Broadening Participation Divers'!G302+'Communications &amp; Disseminations'!G302+'Partnerships &amp; Collaborations'!G302+'Sustainability Plan'!G302+'Management '!G302+'Evaluation and Assessment '!G302)</f>
        <v>0</v>
      </c>
      <c r="H302" s="56">
        <f>SUM('Research Area'!H302+'Research Cyberinfrastructure'!H302+'EA &amp; Seed Funding'!H302+'Partnerships &amp; Collaborations'!H302+'Broadening Participation Divers'!H302+'Education Workforce Development'!H302+'Communications &amp; Disseminations'!H302+'Evaluation and Assessment '!H302+'Sustainability Plan'!H302+'Management '!H302)</f>
        <v>0</v>
      </c>
      <c r="I302" s="57">
        <f>SUM(G302:H302)</f>
        <v>0</v>
      </c>
      <c r="J302" s="58"/>
      <c r="K302" s="172">
        <f>SUM('Research Area'!K302+'Education Workforce Development'!K302+'Research Cyberinfrastructure'!K302+'EA &amp; Seed Funding'!K302+'Broadening Participation Divers'!K302+'Communications &amp; Disseminations'!K302+'Partnerships &amp; Collaborations'!K302+'Sustainability Plan'!K302+'Management '!K302+'Evaluation and Assessment '!K302)</f>
        <v>0</v>
      </c>
      <c r="L302" s="56">
        <f>SUM('Research Area'!L302+'Research Cyberinfrastructure'!L302+'EA &amp; Seed Funding'!L302+'Partnerships &amp; Collaborations'!L302+'Broadening Participation Divers'!L302+'Education Workforce Development'!L302+'Communications &amp; Disseminations'!L302+'Evaluation and Assessment '!L302+'Sustainability Plan'!L302+'Management '!L302)</f>
        <v>0</v>
      </c>
      <c r="M302" s="57">
        <f>SUM(K302:L302)</f>
        <v>0</v>
      </c>
      <c r="N302" s="58"/>
      <c r="O302" s="172">
        <f>SUM('Research Area'!O302+'Education Workforce Development'!O302+'Research Cyberinfrastructure'!O302+'EA &amp; Seed Funding'!O302+'Broadening Participation Divers'!O302+'Communications &amp; Disseminations'!O302+'Partnerships &amp; Collaborations'!O302+'Sustainability Plan'!O302+'Management '!O302+'Evaluation and Assessment '!O302)</f>
        <v>0</v>
      </c>
      <c r="P302" s="56">
        <f>SUM('Research Area'!P302+'Research Cyberinfrastructure'!P302+'EA &amp; Seed Funding'!P302+'Partnerships &amp; Collaborations'!P302+'Broadening Participation Divers'!P302+'Education Workforce Development'!P302+'Communications &amp; Disseminations'!P302+'Evaluation and Assessment '!P302+'Sustainability Plan'!P302+'Management '!P302)</f>
        <v>0</v>
      </c>
      <c r="Q302" s="57">
        <f>SUM(O302:P302)</f>
        <v>0</v>
      </c>
      <c r="R302" s="58"/>
      <c r="S302" s="172">
        <f>SUM('Research Area'!S302+'Education Workforce Development'!S302+'Research Cyberinfrastructure'!S302+'EA &amp; Seed Funding'!S302+'Broadening Participation Divers'!S302+'Communications &amp; Disseminations'!S302+'Partnerships &amp; Collaborations'!S302+'Sustainability Plan'!S302+'Management '!S302+'Evaluation and Assessment '!S302)</f>
        <v>0</v>
      </c>
      <c r="T302" s="56">
        <f>SUM('Research Area'!T302+'Research Cyberinfrastructure'!T302+'EA &amp; Seed Funding'!T302+'Partnerships &amp; Collaborations'!T302+'Broadening Participation Divers'!T302+'Education Workforce Development'!T302+'Communications &amp; Disseminations'!T302+'Evaluation and Assessment '!T302+'Sustainability Plan'!T302+'Management '!T302)</f>
        <v>0</v>
      </c>
      <c r="U302" s="57">
        <f>SUM(S302:T302)</f>
        <v>0</v>
      </c>
      <c r="V302" s="59"/>
      <c r="W302" s="124">
        <f t="shared" ref="W302:Y306" si="189">C302+G302+K302+O302+S302</f>
        <v>0</v>
      </c>
      <c r="X302" s="57">
        <f t="shared" si="189"/>
        <v>0</v>
      </c>
      <c r="Y302" s="57">
        <f t="shared" ref="Y302:Y305" si="190">SUM(W302:X302)</f>
        <v>0</v>
      </c>
      <c r="AA302" s="202" t="s">
        <v>57</v>
      </c>
    </row>
    <row r="303" spans="1:77" s="61" customFormat="1" x14ac:dyDescent="0.25">
      <c r="A303" s="203"/>
      <c r="B303" s="61" t="s">
        <v>57</v>
      </c>
      <c r="C303" s="172">
        <f>SUM('Research Area'!C303+'Education Workforce Development'!C303+'Research Cyberinfrastructure'!C303+'EA &amp; Seed Funding'!C303+'Broadening Participation Divers'!C303+'Communications &amp; Disseminations'!C303+'Partnerships &amp; Collaborations'!C303+'Sustainability Plan'!C303+'Management '!C303+'Evaluation and Assessment '!C303)</f>
        <v>0</v>
      </c>
      <c r="D303" s="56">
        <f>SUM('Research Area'!D303+'Research Cyberinfrastructure'!D303+'EA &amp; Seed Funding'!D303+'Partnerships &amp; Collaborations'!D303+'Broadening Participation Divers'!D303+'Education Workforce Development'!D303+'Communications &amp; Disseminations'!D303+'Evaluation and Assessment '!D303+'Sustainability Plan'!D303+'Management '!D303)</f>
        <v>0</v>
      </c>
      <c r="E303" s="56">
        <f t="shared" ref="E303:E305" si="191">SUM(C303:D303)</f>
        <v>0</v>
      </c>
      <c r="F303" s="58"/>
      <c r="G303" s="172">
        <f>SUM('Research Area'!G303+'Education Workforce Development'!G303+'Research Cyberinfrastructure'!G303+'EA &amp; Seed Funding'!G303+'Broadening Participation Divers'!G303+'Communications &amp; Disseminations'!G303+'Partnerships &amp; Collaborations'!G303+'Sustainability Plan'!G303+'Management '!G303+'Evaluation and Assessment '!G303)</f>
        <v>0</v>
      </c>
      <c r="H303" s="56">
        <f>SUM('Research Area'!H303+'Research Cyberinfrastructure'!H303+'EA &amp; Seed Funding'!H303+'Partnerships &amp; Collaborations'!H303+'Broadening Participation Divers'!H303+'Education Workforce Development'!H303+'Communications &amp; Disseminations'!H303+'Evaluation and Assessment '!H303+'Sustainability Plan'!H303+'Management '!H303)</f>
        <v>0</v>
      </c>
      <c r="I303" s="57">
        <f t="shared" ref="I303:I305" si="192">SUM(G303:H303)</f>
        <v>0</v>
      </c>
      <c r="J303" s="58"/>
      <c r="K303" s="172">
        <f>SUM('Research Area'!K303+'Education Workforce Development'!K303+'Research Cyberinfrastructure'!K303+'EA &amp; Seed Funding'!K303+'Broadening Participation Divers'!K303+'Communications &amp; Disseminations'!K303+'Partnerships &amp; Collaborations'!K303+'Sustainability Plan'!K303+'Management '!K303+'Evaluation and Assessment '!K303)</f>
        <v>0</v>
      </c>
      <c r="L303" s="56">
        <f>SUM('Research Area'!L303+'Research Cyberinfrastructure'!L303+'EA &amp; Seed Funding'!L303+'Partnerships &amp; Collaborations'!L303+'Broadening Participation Divers'!L303+'Education Workforce Development'!L303+'Communications &amp; Disseminations'!L303+'Evaluation and Assessment '!L303+'Sustainability Plan'!L303+'Management '!L303)</f>
        <v>0</v>
      </c>
      <c r="M303" s="57">
        <f t="shared" ref="M303:M305" si="193">SUM(K303:L303)</f>
        <v>0</v>
      </c>
      <c r="N303" s="58"/>
      <c r="O303" s="172">
        <f>SUM('Research Area'!O303+'Education Workforce Development'!O303+'Research Cyberinfrastructure'!O303+'EA &amp; Seed Funding'!O303+'Broadening Participation Divers'!O303+'Communications &amp; Disseminations'!O303+'Partnerships &amp; Collaborations'!O303+'Sustainability Plan'!O303+'Management '!O303+'Evaluation and Assessment '!O303)</f>
        <v>0</v>
      </c>
      <c r="P303" s="56">
        <f>SUM('Research Area'!P303+'Research Cyberinfrastructure'!P303+'EA &amp; Seed Funding'!P303+'Partnerships &amp; Collaborations'!P303+'Broadening Participation Divers'!P303+'Education Workforce Development'!P303+'Communications &amp; Disseminations'!P303+'Evaluation and Assessment '!P303+'Sustainability Plan'!P303+'Management '!P303)</f>
        <v>0</v>
      </c>
      <c r="Q303" s="57">
        <f t="shared" ref="Q303:Q305" si="194">SUM(O303:P303)</f>
        <v>0</v>
      </c>
      <c r="R303" s="58"/>
      <c r="S303" s="172">
        <f>SUM('Research Area'!S303+'Education Workforce Development'!S303+'Research Cyberinfrastructure'!S303+'EA &amp; Seed Funding'!S303+'Broadening Participation Divers'!S303+'Communications &amp; Disseminations'!S303+'Partnerships &amp; Collaborations'!S303+'Sustainability Plan'!S303+'Management '!S303+'Evaluation and Assessment '!S303)</f>
        <v>0</v>
      </c>
      <c r="T303" s="56">
        <f>SUM('Research Area'!T303+'Research Cyberinfrastructure'!T303+'EA &amp; Seed Funding'!T303+'Partnerships &amp; Collaborations'!T303+'Broadening Participation Divers'!T303+'Education Workforce Development'!T303+'Communications &amp; Disseminations'!T303+'Evaluation and Assessment '!T303+'Sustainability Plan'!T303+'Management '!T303)</f>
        <v>0</v>
      </c>
      <c r="U303" s="57">
        <f t="shared" ref="U303:U305" si="195">SUM(S303:T303)</f>
        <v>0</v>
      </c>
      <c r="V303" s="59"/>
      <c r="W303" s="124">
        <f t="shared" si="189"/>
        <v>0</v>
      </c>
      <c r="X303" s="57">
        <f t="shared" si="189"/>
        <v>0</v>
      </c>
      <c r="Y303" s="57">
        <f t="shared" si="190"/>
        <v>0</v>
      </c>
    </row>
    <row r="304" spans="1:77" s="169" customFormat="1" x14ac:dyDescent="0.25">
      <c r="B304" s="61" t="s">
        <v>57</v>
      </c>
      <c r="C304" s="172">
        <f>SUM('Research Area'!C304+'Education Workforce Development'!C304+'Research Cyberinfrastructure'!C304+'EA &amp; Seed Funding'!C304+'Broadening Participation Divers'!C304+'Communications &amp; Disseminations'!C304+'Partnerships &amp; Collaborations'!C304+'Sustainability Plan'!C304+'Management '!C304+'Evaluation and Assessment '!C304)</f>
        <v>0</v>
      </c>
      <c r="D304" s="56">
        <f>SUM('Research Area'!D304+'Research Cyberinfrastructure'!D304+'EA &amp; Seed Funding'!D304+'Partnerships &amp; Collaborations'!D304+'Broadening Participation Divers'!D304+'Education Workforce Development'!D304+'Communications &amp; Disseminations'!D304+'Evaluation and Assessment '!D304+'Sustainability Plan'!D304+'Management '!D304)</f>
        <v>0</v>
      </c>
      <c r="E304" s="56">
        <f t="shared" si="191"/>
        <v>0</v>
      </c>
      <c r="F304" s="58"/>
      <c r="G304" s="172">
        <f>SUM('Research Area'!G304+'Education Workforce Development'!G304+'Research Cyberinfrastructure'!G304+'EA &amp; Seed Funding'!G304+'Broadening Participation Divers'!G304+'Communications &amp; Disseminations'!G304+'Partnerships &amp; Collaborations'!G304+'Sustainability Plan'!G304+'Management '!G304+'Evaluation and Assessment '!G304)</f>
        <v>0</v>
      </c>
      <c r="H304" s="56">
        <f>SUM('Research Area'!H304+'Research Cyberinfrastructure'!H304+'EA &amp; Seed Funding'!H304+'Partnerships &amp; Collaborations'!H304+'Broadening Participation Divers'!H304+'Education Workforce Development'!H304+'Communications &amp; Disseminations'!H304+'Evaluation and Assessment '!H304+'Sustainability Plan'!H304+'Management '!H304)</f>
        <v>0</v>
      </c>
      <c r="I304" s="57">
        <f t="shared" si="192"/>
        <v>0</v>
      </c>
      <c r="J304" s="58"/>
      <c r="K304" s="172">
        <f>SUM('Research Area'!K304+'Education Workforce Development'!K304+'Research Cyberinfrastructure'!K304+'EA &amp; Seed Funding'!K304+'Broadening Participation Divers'!K304+'Communications &amp; Disseminations'!K304+'Partnerships &amp; Collaborations'!K304+'Sustainability Plan'!K304+'Management '!K304+'Evaluation and Assessment '!K304)</f>
        <v>0</v>
      </c>
      <c r="L304" s="56">
        <f>SUM('Research Area'!L304+'Research Cyberinfrastructure'!L304+'EA &amp; Seed Funding'!L304+'Partnerships &amp; Collaborations'!L304+'Broadening Participation Divers'!L304+'Education Workforce Development'!L304+'Communications &amp; Disseminations'!L304+'Evaluation and Assessment '!L304+'Sustainability Plan'!L304+'Management '!L304)</f>
        <v>0</v>
      </c>
      <c r="M304" s="57">
        <f t="shared" si="193"/>
        <v>0</v>
      </c>
      <c r="N304" s="58"/>
      <c r="O304" s="172">
        <f>SUM('Research Area'!O304+'Education Workforce Development'!O304+'Research Cyberinfrastructure'!O304+'EA &amp; Seed Funding'!O304+'Broadening Participation Divers'!O304+'Communications &amp; Disseminations'!O304+'Partnerships &amp; Collaborations'!O304+'Sustainability Plan'!O304+'Management '!O304+'Evaluation and Assessment '!O304)</f>
        <v>0</v>
      </c>
      <c r="P304" s="56">
        <f>SUM('Research Area'!P304+'Research Cyberinfrastructure'!P304+'EA &amp; Seed Funding'!P304+'Partnerships &amp; Collaborations'!P304+'Broadening Participation Divers'!P304+'Education Workforce Development'!P304+'Communications &amp; Disseminations'!P304+'Evaluation and Assessment '!P304+'Sustainability Plan'!P304+'Management '!P304)</f>
        <v>0</v>
      </c>
      <c r="Q304" s="57">
        <f t="shared" si="194"/>
        <v>0</v>
      </c>
      <c r="R304" s="58"/>
      <c r="S304" s="172">
        <f>SUM('Research Area'!S304+'Education Workforce Development'!S304+'Research Cyberinfrastructure'!S304+'EA &amp; Seed Funding'!S304+'Broadening Participation Divers'!S304+'Communications &amp; Disseminations'!S304+'Partnerships &amp; Collaborations'!S304+'Sustainability Plan'!S304+'Management '!S304+'Evaluation and Assessment '!S304)</f>
        <v>0</v>
      </c>
      <c r="T304" s="56">
        <f>SUM('Research Area'!T304+'Research Cyberinfrastructure'!T304+'EA &amp; Seed Funding'!T304+'Partnerships &amp; Collaborations'!T304+'Broadening Participation Divers'!T304+'Education Workforce Development'!T304+'Communications &amp; Disseminations'!T304+'Evaluation and Assessment '!T304+'Sustainability Plan'!T304+'Management '!T304)</f>
        <v>0</v>
      </c>
      <c r="U304" s="57">
        <f t="shared" si="195"/>
        <v>0</v>
      </c>
      <c r="V304" s="59"/>
      <c r="W304" s="124">
        <f t="shared" si="189"/>
        <v>0</v>
      </c>
      <c r="X304" s="57">
        <f t="shared" si="189"/>
        <v>0</v>
      </c>
      <c r="Y304" s="57">
        <f t="shared" si="190"/>
        <v>0</v>
      </c>
    </row>
    <row r="305" spans="1:77" s="61" customFormat="1" x14ac:dyDescent="0.25">
      <c r="A305" s="54" t="s">
        <v>57</v>
      </c>
      <c r="B305" s="54" t="s">
        <v>57</v>
      </c>
      <c r="C305" s="172">
        <f>SUM('Research Area'!C305+'Education Workforce Development'!C305+'Research Cyberinfrastructure'!C305+'EA &amp; Seed Funding'!C305+'Broadening Participation Divers'!C305+'Communications &amp; Disseminations'!C305+'Partnerships &amp; Collaborations'!C305+'Sustainability Plan'!C305+'Management '!C305+'Evaluation and Assessment '!C305)</f>
        <v>0</v>
      </c>
      <c r="D305" s="56">
        <f>SUM('Research Area'!D305+'Research Cyberinfrastructure'!D305+'EA &amp; Seed Funding'!D305+'Partnerships &amp; Collaborations'!D305+'Broadening Participation Divers'!D305+'Education Workforce Development'!D305+'Communications &amp; Disseminations'!D305+'Evaluation and Assessment '!D305+'Sustainability Plan'!D305+'Management '!D305)</f>
        <v>0</v>
      </c>
      <c r="E305" s="56">
        <f t="shared" si="191"/>
        <v>0</v>
      </c>
      <c r="F305" s="58"/>
      <c r="G305" s="172">
        <f>SUM('Research Area'!G305+'Education Workforce Development'!G305+'Research Cyberinfrastructure'!G305+'EA &amp; Seed Funding'!G305+'Broadening Participation Divers'!G305+'Communications &amp; Disseminations'!G305+'Partnerships &amp; Collaborations'!G305+'Sustainability Plan'!G305+'Management '!G305+'Evaluation and Assessment '!G305)</f>
        <v>0</v>
      </c>
      <c r="H305" s="56">
        <f>SUM('Research Area'!H305+'Research Cyberinfrastructure'!H305+'EA &amp; Seed Funding'!H305+'Partnerships &amp; Collaborations'!H305+'Broadening Participation Divers'!H305+'Education Workforce Development'!H305+'Communications &amp; Disseminations'!H305+'Evaluation and Assessment '!H305+'Sustainability Plan'!H305+'Management '!H305)</f>
        <v>0</v>
      </c>
      <c r="I305" s="57">
        <f t="shared" si="192"/>
        <v>0</v>
      </c>
      <c r="J305" s="58"/>
      <c r="K305" s="172">
        <f>SUM('Research Area'!K305+'Education Workforce Development'!K305+'Research Cyberinfrastructure'!K305+'EA &amp; Seed Funding'!K305+'Broadening Participation Divers'!K305+'Communications &amp; Disseminations'!K305+'Partnerships &amp; Collaborations'!K305+'Sustainability Plan'!K305+'Management '!K305+'Evaluation and Assessment '!K305)</f>
        <v>0</v>
      </c>
      <c r="L305" s="56">
        <f>SUM('Research Area'!L305+'Research Cyberinfrastructure'!L305+'EA &amp; Seed Funding'!L305+'Partnerships &amp; Collaborations'!L305+'Broadening Participation Divers'!L305+'Education Workforce Development'!L305+'Communications &amp; Disseminations'!L305+'Evaluation and Assessment '!L305+'Sustainability Plan'!L305+'Management '!L305)</f>
        <v>0</v>
      </c>
      <c r="M305" s="57">
        <f t="shared" si="193"/>
        <v>0</v>
      </c>
      <c r="N305" s="58"/>
      <c r="O305" s="172">
        <f>SUM('Research Area'!O305+'Education Workforce Development'!O305+'Research Cyberinfrastructure'!O305+'EA &amp; Seed Funding'!O305+'Broadening Participation Divers'!O305+'Communications &amp; Disseminations'!O305+'Partnerships &amp; Collaborations'!O305+'Sustainability Plan'!O305+'Management '!O305+'Evaluation and Assessment '!O305)</f>
        <v>0</v>
      </c>
      <c r="P305" s="56">
        <f>SUM('Research Area'!P305+'Research Cyberinfrastructure'!P305+'EA &amp; Seed Funding'!P305+'Partnerships &amp; Collaborations'!P305+'Broadening Participation Divers'!P305+'Education Workforce Development'!P305+'Communications &amp; Disseminations'!P305+'Evaluation and Assessment '!P305+'Sustainability Plan'!P305+'Management '!P305)</f>
        <v>0</v>
      </c>
      <c r="Q305" s="57">
        <f t="shared" si="194"/>
        <v>0</v>
      </c>
      <c r="R305" s="58"/>
      <c r="S305" s="172">
        <f>SUM('Research Area'!S305+'Education Workforce Development'!S305+'Research Cyberinfrastructure'!S305+'EA &amp; Seed Funding'!S305+'Broadening Participation Divers'!S305+'Communications &amp; Disseminations'!S305+'Partnerships &amp; Collaborations'!S305+'Sustainability Plan'!S305+'Management '!S305+'Evaluation and Assessment '!S305)</f>
        <v>0</v>
      </c>
      <c r="T305" s="56">
        <f>SUM('Research Area'!T305+'Research Cyberinfrastructure'!T305+'EA &amp; Seed Funding'!T305+'Partnerships &amp; Collaborations'!T305+'Broadening Participation Divers'!T305+'Education Workforce Development'!T305+'Communications &amp; Disseminations'!T305+'Evaluation and Assessment '!T305+'Sustainability Plan'!T305+'Management '!T305)</f>
        <v>0</v>
      </c>
      <c r="U305" s="57">
        <f t="shared" si="195"/>
        <v>0</v>
      </c>
      <c r="V305" s="59"/>
      <c r="W305" s="124">
        <f t="shared" si="189"/>
        <v>0</v>
      </c>
      <c r="X305" s="57">
        <f t="shared" si="189"/>
        <v>0</v>
      </c>
      <c r="Y305" s="57">
        <f t="shared" si="190"/>
        <v>0</v>
      </c>
    </row>
    <row r="306" spans="1:77" s="83" customFormat="1" x14ac:dyDescent="0.25">
      <c r="A306" s="78"/>
      <c r="B306" s="78" t="s">
        <v>9</v>
      </c>
      <c r="C306" s="228">
        <f>SUM(C302:C305)</f>
        <v>0</v>
      </c>
      <c r="D306" s="125">
        <f>SUM(D302:D305)</f>
        <v>0</v>
      </c>
      <c r="E306" s="125">
        <f>SUM(E302:E305)</f>
        <v>0</v>
      </c>
      <c r="F306" s="81"/>
      <c r="G306" s="79">
        <f>SUM(G302:G305)</f>
        <v>0</v>
      </c>
      <c r="H306" s="80">
        <f>SUM(H302:H305)</f>
        <v>0</v>
      </c>
      <c r="I306" s="80">
        <f>SUM(I302:I305)</f>
        <v>0</v>
      </c>
      <c r="J306" s="81"/>
      <c r="K306" s="79">
        <f>SUM(K302:K305)</f>
        <v>0</v>
      </c>
      <c r="L306" s="80">
        <f>SUM(L302:L305)</f>
        <v>0</v>
      </c>
      <c r="M306" s="80">
        <f>SUM(M302:M305)</f>
        <v>0</v>
      </c>
      <c r="N306" s="81"/>
      <c r="O306" s="79">
        <f>SUM(O302:O305)</f>
        <v>0</v>
      </c>
      <c r="P306" s="80">
        <f>SUM(P302:P305)</f>
        <v>0</v>
      </c>
      <c r="Q306" s="80">
        <f>SUM(Q302:Q305)</f>
        <v>0</v>
      </c>
      <c r="R306" s="81"/>
      <c r="S306" s="79">
        <f>SUM(S302:S305)</f>
        <v>0</v>
      </c>
      <c r="T306" s="80">
        <f>SUM(T302:T305)</f>
        <v>0</v>
      </c>
      <c r="U306" s="80">
        <f>SUM(U302:U305)</f>
        <v>0</v>
      </c>
      <c r="V306" s="82"/>
      <c r="W306" s="228">
        <f t="shared" si="189"/>
        <v>0</v>
      </c>
      <c r="X306" s="80">
        <f t="shared" si="189"/>
        <v>0</v>
      </c>
      <c r="Y306" s="80">
        <f t="shared" si="189"/>
        <v>0</v>
      </c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</row>
    <row r="307" spans="1:77" s="109" customFormat="1" x14ac:dyDescent="0.25">
      <c r="A307" s="247" t="s">
        <v>16</v>
      </c>
      <c r="B307" s="247"/>
      <c r="C307" s="248">
        <f t="shared" ref="C307:X307" si="196">C306+C300</f>
        <v>8871.9842307692306</v>
      </c>
      <c r="D307" s="248">
        <f t="shared" si="196"/>
        <v>0</v>
      </c>
      <c r="E307" s="248">
        <f t="shared" si="196"/>
        <v>8871.9842307692306</v>
      </c>
      <c r="F307" s="248">
        <f t="shared" si="196"/>
        <v>0</v>
      </c>
      <c r="G307" s="248">
        <f t="shared" si="196"/>
        <v>9138.1437576923072</v>
      </c>
      <c r="H307" s="248">
        <f t="shared" si="196"/>
        <v>0</v>
      </c>
      <c r="I307" s="248">
        <f t="shared" si="196"/>
        <v>9138.1437576923072</v>
      </c>
      <c r="J307" s="248">
        <f t="shared" si="196"/>
        <v>0</v>
      </c>
      <c r="K307" s="248">
        <f t="shared" si="196"/>
        <v>9412.2880704230774</v>
      </c>
      <c r="L307" s="248">
        <f t="shared" si="196"/>
        <v>0</v>
      </c>
      <c r="M307" s="248">
        <f t="shared" si="196"/>
        <v>9412.2880704230774</v>
      </c>
      <c r="N307" s="248">
        <f t="shared" si="196"/>
        <v>0</v>
      </c>
      <c r="O307" s="248">
        <f t="shared" si="196"/>
        <v>9694.6567125357706</v>
      </c>
      <c r="P307" s="248">
        <f t="shared" si="196"/>
        <v>0</v>
      </c>
      <c r="Q307" s="248">
        <f t="shared" si="196"/>
        <v>9694.6567125357706</v>
      </c>
      <c r="R307" s="248">
        <f t="shared" si="196"/>
        <v>0</v>
      </c>
      <c r="S307" s="248">
        <f t="shared" si="196"/>
        <v>9985.4964139118438</v>
      </c>
      <c r="T307" s="248">
        <f t="shared" si="196"/>
        <v>0</v>
      </c>
      <c r="U307" s="248">
        <f t="shared" si="196"/>
        <v>9985.4964139118438</v>
      </c>
      <c r="V307" s="248">
        <f t="shared" si="196"/>
        <v>0</v>
      </c>
      <c r="W307" s="248">
        <f t="shared" si="196"/>
        <v>47102.569185332228</v>
      </c>
      <c r="X307" s="248">
        <f t="shared" si="196"/>
        <v>0</v>
      </c>
      <c r="Y307" s="249">
        <f>E307+I307+M307+Q307+U307</f>
        <v>47102.569185332228</v>
      </c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</row>
    <row r="308" spans="1:77" s="77" customFormat="1" x14ac:dyDescent="0.25">
      <c r="A308" s="74" t="s">
        <v>6</v>
      </c>
      <c r="B308" s="74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9"/>
      <c r="W308" s="58"/>
      <c r="X308" s="58"/>
      <c r="Y308" s="129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</row>
    <row r="309" spans="1:77" s="61" customFormat="1" x14ac:dyDescent="0.25">
      <c r="A309" s="50"/>
      <c r="B309" s="52" t="s">
        <v>57</v>
      </c>
      <c r="C309" s="172">
        <f>SUM('Research Area'!C309+'Education Workforce Development'!C309+'Research Cyberinfrastructure'!C309+'EA &amp; Seed Funding'!C309+'Broadening Participation Divers'!C309+'Communications &amp; Disseminations'!C309+'Partnerships &amp; Collaborations'!C309+'Sustainability Plan'!C309+'Management '!C309+'Evaluation and Assessment '!C309)</f>
        <v>0</v>
      </c>
      <c r="D309" s="56">
        <f>SUM('Research Area'!D309+'Research Cyberinfrastructure'!D309+'EA &amp; Seed Funding'!D309+'Partnerships &amp; Collaborations'!D309+'Broadening Participation Divers'!D309+'Education Workforce Development'!D309+'Communications &amp; Disseminations'!D309+'Evaluation and Assessment '!D309+'Sustainability Plan'!D309+'Management '!D309)</f>
        <v>0</v>
      </c>
      <c r="E309" s="56">
        <f t="shared" ref="E309:E311" si="197">SUM(C309:D309)</f>
        <v>0</v>
      </c>
      <c r="F309" s="58"/>
      <c r="G309" s="172">
        <f>SUM('Research Area'!G309+'Education Workforce Development'!G309+'Research Cyberinfrastructure'!G309+'EA &amp; Seed Funding'!G309+'Broadening Participation Divers'!G309+'Communications &amp; Disseminations'!G309+'Partnerships &amp; Collaborations'!G309+'Sustainability Plan'!G309+'Management '!G309+'Evaluation and Assessment '!G309)</f>
        <v>0</v>
      </c>
      <c r="H309" s="56">
        <f>SUM('Research Area'!H309+'Research Cyberinfrastructure'!H309+'EA &amp; Seed Funding'!H309+'Partnerships &amp; Collaborations'!H309+'Broadening Participation Divers'!H309+'Education Workforce Development'!H309+'Communications &amp; Disseminations'!H309+'Evaluation and Assessment '!H309+'Sustainability Plan'!H309+'Management '!H309)</f>
        <v>0</v>
      </c>
      <c r="I309" s="57">
        <f t="shared" ref="I309:I311" si="198">SUM(G309:H309)</f>
        <v>0</v>
      </c>
      <c r="J309" s="58"/>
      <c r="K309" s="172">
        <f>SUM('Research Area'!K309+'Education Workforce Development'!K309+'Research Cyberinfrastructure'!K309+'EA &amp; Seed Funding'!K309+'Broadening Participation Divers'!K309+'Communications &amp; Disseminations'!K309+'Partnerships &amp; Collaborations'!K309+'Sustainability Plan'!K309+'Management '!K309+'Evaluation and Assessment '!K309)</f>
        <v>0</v>
      </c>
      <c r="L309" s="56">
        <f>SUM('Research Area'!L309+'Research Cyberinfrastructure'!L309+'EA &amp; Seed Funding'!L309+'Partnerships &amp; Collaborations'!L309+'Broadening Participation Divers'!L309+'Education Workforce Development'!L309+'Communications &amp; Disseminations'!L309+'Evaluation and Assessment '!L309+'Sustainability Plan'!L309+'Management '!L309)</f>
        <v>0</v>
      </c>
      <c r="M309" s="57">
        <f t="shared" ref="M309:M311" si="199">SUM(K309:L309)</f>
        <v>0</v>
      </c>
      <c r="N309" s="58"/>
      <c r="O309" s="172">
        <f>SUM('Research Area'!O309+'Education Workforce Development'!O309+'Research Cyberinfrastructure'!O309+'EA &amp; Seed Funding'!O309+'Broadening Participation Divers'!O309+'Communications &amp; Disseminations'!O309+'Partnerships &amp; Collaborations'!O309+'Sustainability Plan'!O309+'Management '!O309+'Evaluation and Assessment '!O309)</f>
        <v>0</v>
      </c>
      <c r="P309" s="56">
        <f>SUM('Research Area'!P309+'Research Cyberinfrastructure'!P309+'EA &amp; Seed Funding'!P309+'Partnerships &amp; Collaborations'!P309+'Broadening Participation Divers'!P309+'Education Workforce Development'!P309+'Communications &amp; Disseminations'!P309+'Evaluation and Assessment '!P309+'Sustainability Plan'!P309+'Management '!P309)</f>
        <v>0</v>
      </c>
      <c r="Q309" s="57">
        <f t="shared" ref="Q309:Q311" si="200">SUM(O309:P309)</f>
        <v>0</v>
      </c>
      <c r="R309" s="58"/>
      <c r="S309" s="172">
        <f>SUM('Research Area'!S309+'Education Workforce Development'!S309+'Research Cyberinfrastructure'!S309+'EA &amp; Seed Funding'!S309+'Broadening Participation Divers'!S309+'Communications &amp; Disseminations'!S309+'Partnerships &amp; Collaborations'!S309+'Sustainability Plan'!S309+'Management '!S309+'Evaluation and Assessment '!S309)</f>
        <v>0</v>
      </c>
      <c r="T309" s="56">
        <f>SUM('Research Area'!T309+'Research Cyberinfrastructure'!T309+'EA &amp; Seed Funding'!T309+'Partnerships &amp; Collaborations'!T309+'Broadening Participation Divers'!T309+'Education Workforce Development'!T309+'Communications &amp; Disseminations'!T309+'Evaluation and Assessment '!T309+'Sustainability Plan'!T309+'Management '!T309)</f>
        <v>0</v>
      </c>
      <c r="U309" s="57">
        <f t="shared" ref="U309:U311" si="201">SUM(S309:T309)</f>
        <v>0</v>
      </c>
      <c r="V309" s="59"/>
      <c r="W309" s="124">
        <f t="shared" ref="W309:Y312" si="202">C309+G309+K309+O309+S309</f>
        <v>0</v>
      </c>
      <c r="X309" s="57">
        <f t="shared" si="202"/>
        <v>0</v>
      </c>
      <c r="Y309" s="84">
        <f t="shared" si="202"/>
        <v>0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</row>
    <row r="310" spans="1:77" s="61" customFormat="1" x14ac:dyDescent="0.25">
      <c r="A310" s="50">
        <v>0.32990000000000003</v>
      </c>
      <c r="B310" s="52" t="s">
        <v>109</v>
      </c>
      <c r="C310" s="55">
        <f>SUM('Research Area'!C310+'Education Workforce Development'!C310+'Research Cyberinfrastructure'!C310+'EA &amp; Seed Funding'!C310+'Broadening Participation Divers'!C310+'Communications &amp; Disseminations'!C310+'Partnerships &amp; Collaborations'!C310+'Sustainability Plan'!C310+'Management '!C310+'Evaluation and Assessment '!C310)</f>
        <v>3014.6736256626923</v>
      </c>
      <c r="D310" s="56">
        <f>SUM('Research Area'!D310+'Research Cyberinfrastructure'!D310+'EA &amp; Seed Funding'!D310+'Partnerships &amp; Collaborations'!D310+'Broadening Participation Divers'!D310+'Education Workforce Development'!D310+'Communications &amp; Disseminations'!D310+'Evaluation and Assessment '!D310+'Sustainability Plan'!D310+'Management '!D310)</f>
        <v>0</v>
      </c>
      <c r="E310" s="56">
        <f t="shared" si="197"/>
        <v>3014.6736256626923</v>
      </c>
      <c r="F310" s="58"/>
      <c r="G310" s="55">
        <f>SUM('Research Area'!G310+'Education Workforce Development'!G310+'Research Cyberinfrastructure'!G310+'EA &amp; Seed Funding'!G310+'Broadening Participation Divers'!G310+'Communications &amp; Disseminations'!G310+'Partnerships &amp; Collaborations'!G310+'Sustainability Plan'!G310+'Management '!G310+'Evaluation and Assessment '!G310)</f>
        <v>3198.2672494655503</v>
      </c>
      <c r="H310" s="56">
        <f>SUM('Research Area'!H310+'Research Cyberinfrastructure'!H310+'EA &amp; Seed Funding'!H310+'Partnerships &amp; Collaborations'!H310+'Broadening Participation Divers'!H310+'Education Workforce Development'!H310+'Communications &amp; Disseminations'!H310+'Evaluation and Assessment '!H310+'Sustainability Plan'!H310+'Management '!H310)</f>
        <v>0</v>
      </c>
      <c r="I310" s="57">
        <f t="shared" si="198"/>
        <v>3198.2672494655503</v>
      </c>
      <c r="J310" s="58"/>
      <c r="K310" s="55">
        <f>SUM('Research Area'!K310+'Education Workforce Development'!K310+'Research Cyberinfrastructure'!K310+'EA &amp; Seed Funding'!K310+'Broadening Participation Divers'!K310+'Communications &amp; Disseminations'!K310+'Partnerships &amp; Collaborations'!K310+'Sustainability Plan'!K310+'Management '!K310+'Evaluation and Assessment '!K310)</f>
        <v>3393.0417249580028</v>
      </c>
      <c r="L310" s="56">
        <f>SUM('Research Area'!L310+'Research Cyberinfrastructure'!L310+'EA &amp; Seed Funding'!L310+'Partnerships &amp; Collaborations'!L310+'Broadening Participation Divers'!L310+'Education Workforce Development'!L310+'Communications &amp; Disseminations'!L310+'Evaluation and Assessment '!L310+'Sustainability Plan'!L310+'Management '!L310)</f>
        <v>0</v>
      </c>
      <c r="M310" s="57">
        <f t="shared" si="199"/>
        <v>3393.0417249580028</v>
      </c>
      <c r="N310" s="58"/>
      <c r="O310" s="55">
        <f>SUM('Research Area'!O310+'Education Workforce Development'!O310+'Research Cyberinfrastructure'!O310+'EA &amp; Seed Funding'!O310+'Broadening Participation Divers'!O310+'Communications &amp; Disseminations'!O310+'Partnerships &amp; Collaborations'!O310+'Sustainability Plan'!O310+'Management '!O310+'Evaluation and Assessment '!O310)</f>
        <v>3599.6779660079455</v>
      </c>
      <c r="P310" s="56">
        <f>SUM('Research Area'!P310+'Research Cyberinfrastructure'!P310+'EA &amp; Seed Funding'!P310+'Partnerships &amp; Collaborations'!P310+'Broadening Participation Divers'!P310+'Education Workforce Development'!P310+'Communications &amp; Disseminations'!P310+'Evaluation and Assessment '!P310+'Sustainability Plan'!P310+'Management '!P310)</f>
        <v>0</v>
      </c>
      <c r="Q310" s="57">
        <f t="shared" si="200"/>
        <v>3599.6779660079455</v>
      </c>
      <c r="R310" s="58"/>
      <c r="S310" s="55">
        <f>SUM('Research Area'!S310+'Education Workforce Development'!S310+'Research Cyberinfrastructure'!S310+'EA &amp; Seed Funding'!S310+'Broadening Participation Divers'!S310+'Communications &amp; Disseminations'!S310+'Partnerships &amp; Collaborations'!S310+'Sustainability Plan'!S310+'Management '!S310+'Evaluation and Assessment '!S310)</f>
        <v>3818.8983541378302</v>
      </c>
      <c r="T310" s="56">
        <f>SUM('Research Area'!T310+'Research Cyberinfrastructure'!T310+'EA &amp; Seed Funding'!T310+'Partnerships &amp; Collaborations'!T310+'Broadening Participation Divers'!T310+'Education Workforce Development'!T310+'Communications &amp; Disseminations'!T310+'Evaluation and Assessment '!T310+'Sustainability Plan'!T310+'Management '!T310)</f>
        <v>0</v>
      </c>
      <c r="U310" s="57">
        <f t="shared" si="201"/>
        <v>3818.8983541378302</v>
      </c>
      <c r="V310" s="59"/>
      <c r="W310" s="124">
        <f t="shared" si="202"/>
        <v>17024.558920232019</v>
      </c>
      <c r="X310" s="57">
        <f t="shared" si="202"/>
        <v>0</v>
      </c>
      <c r="Y310" s="84">
        <f t="shared" si="202"/>
        <v>17024.558920232019</v>
      </c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</row>
    <row r="311" spans="1:77" s="61" customFormat="1" x14ac:dyDescent="0.25">
      <c r="A311" s="52"/>
      <c r="B311" s="52"/>
      <c r="C311" s="55">
        <f>SUM('Research Area'!C311+'Education Workforce Development'!C311+'Research Cyberinfrastructure'!C311+'EA &amp; Seed Funding'!C311+'Broadening Participation Divers'!C311+'Communications &amp; Disseminations'!C311+'Partnerships &amp; Collaborations'!C311+'Sustainability Plan'!C311+'Management '!C311+'Evaluation and Assessment '!C311)</f>
        <v>0</v>
      </c>
      <c r="D311" s="56">
        <f>SUM('Research Area'!D311+'Research Cyberinfrastructure'!D311+'EA &amp; Seed Funding'!D311+'Partnerships &amp; Collaborations'!D311+'Broadening Participation Divers'!D311+'Education Workforce Development'!D311+'Communications &amp; Disseminations'!D311+'Evaluation and Assessment '!D311+'Sustainability Plan'!D311+'Management '!D311)</f>
        <v>0</v>
      </c>
      <c r="E311" s="56">
        <f t="shared" si="197"/>
        <v>0</v>
      </c>
      <c r="F311" s="58"/>
      <c r="G311" s="55">
        <f>SUM('Research Area'!G311+'Education Workforce Development'!G311+'Research Cyberinfrastructure'!G311+'EA &amp; Seed Funding'!G311+'Broadening Participation Divers'!G311+'Communications &amp; Disseminations'!G311+'Partnerships &amp; Collaborations'!G311+'Sustainability Plan'!G311+'Management '!G311+'Evaluation and Assessment '!G311)</f>
        <v>0</v>
      </c>
      <c r="H311" s="56">
        <f>SUM('Research Area'!H311+'Research Cyberinfrastructure'!H311+'EA &amp; Seed Funding'!H311+'Partnerships &amp; Collaborations'!H311+'Broadening Participation Divers'!H311+'Education Workforce Development'!H311+'Communications &amp; Disseminations'!H311+'Evaluation and Assessment '!H311+'Sustainability Plan'!H311+'Management '!H311)</f>
        <v>0</v>
      </c>
      <c r="I311" s="57">
        <f t="shared" si="198"/>
        <v>0</v>
      </c>
      <c r="J311" s="58"/>
      <c r="K311" s="55">
        <f>SUM('Research Area'!K311+'Education Workforce Development'!K311+'Research Cyberinfrastructure'!K311+'EA &amp; Seed Funding'!K311+'Broadening Participation Divers'!K311+'Communications &amp; Disseminations'!K311+'Partnerships &amp; Collaborations'!K311+'Sustainability Plan'!K311+'Management '!K311+'Evaluation and Assessment '!K311)</f>
        <v>0</v>
      </c>
      <c r="L311" s="56">
        <f>SUM('Research Area'!L311+'Research Cyberinfrastructure'!L311+'EA &amp; Seed Funding'!L311+'Partnerships &amp; Collaborations'!L311+'Broadening Participation Divers'!L311+'Education Workforce Development'!L311+'Communications &amp; Disseminations'!L311+'Evaluation and Assessment '!L311+'Sustainability Plan'!L311+'Management '!L311)</f>
        <v>0</v>
      </c>
      <c r="M311" s="57">
        <f t="shared" si="199"/>
        <v>0</v>
      </c>
      <c r="N311" s="58"/>
      <c r="O311" s="55">
        <f>SUM('Research Area'!O311+'Education Workforce Development'!O311+'Research Cyberinfrastructure'!O311+'EA &amp; Seed Funding'!O311+'Broadening Participation Divers'!O311+'Communications &amp; Disseminations'!O311+'Partnerships &amp; Collaborations'!O311+'Sustainability Plan'!O311+'Management '!O311+'Evaluation and Assessment '!O311)</f>
        <v>0</v>
      </c>
      <c r="P311" s="56">
        <f>SUM('Research Area'!P311+'Research Cyberinfrastructure'!P311+'EA &amp; Seed Funding'!P311+'Partnerships &amp; Collaborations'!P311+'Broadening Participation Divers'!P311+'Education Workforce Development'!P311+'Communications &amp; Disseminations'!P311+'Evaluation and Assessment '!P311+'Sustainability Plan'!P311+'Management '!P311)</f>
        <v>0</v>
      </c>
      <c r="Q311" s="57">
        <f t="shared" si="200"/>
        <v>0</v>
      </c>
      <c r="R311" s="58"/>
      <c r="S311" s="55">
        <f>SUM('Research Area'!S311+'Education Workforce Development'!S311+'Research Cyberinfrastructure'!S311+'EA &amp; Seed Funding'!S311+'Broadening Participation Divers'!S311+'Communications &amp; Disseminations'!S311+'Partnerships &amp; Collaborations'!S311+'Sustainability Plan'!S311+'Management '!S311+'Evaluation and Assessment '!S311)</f>
        <v>0</v>
      </c>
      <c r="T311" s="56">
        <f>SUM('Research Area'!T311+'Research Cyberinfrastructure'!T311+'EA &amp; Seed Funding'!T311+'Partnerships &amp; Collaborations'!T311+'Broadening Participation Divers'!T311+'Education Workforce Development'!T311+'Communications &amp; Disseminations'!T311+'Evaluation and Assessment '!T311+'Sustainability Plan'!T311+'Management '!T311)</f>
        <v>0</v>
      </c>
      <c r="U311" s="57">
        <f t="shared" si="201"/>
        <v>0</v>
      </c>
      <c r="V311" s="59"/>
      <c r="W311" s="124">
        <f t="shared" si="202"/>
        <v>0</v>
      </c>
      <c r="X311" s="57">
        <f t="shared" si="202"/>
        <v>0</v>
      </c>
      <c r="Y311" s="84">
        <f t="shared" si="202"/>
        <v>0</v>
      </c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</row>
    <row r="312" spans="1:77" s="83" customFormat="1" x14ac:dyDescent="0.25">
      <c r="A312" s="78"/>
      <c r="B312" s="78" t="s">
        <v>9</v>
      </c>
      <c r="C312" s="228">
        <f>SUM(C309:C311)</f>
        <v>3014.6736256626923</v>
      </c>
      <c r="D312" s="125">
        <f>SUM(D309:D311)</f>
        <v>0</v>
      </c>
      <c r="E312" s="125">
        <f>SUM(E309:E311)</f>
        <v>3014.6736256626923</v>
      </c>
      <c r="F312" s="81"/>
      <c r="G312" s="79">
        <f>SUM(G309:G311)</f>
        <v>3198.2672494655503</v>
      </c>
      <c r="H312" s="80">
        <f>SUM(H309:H311)</f>
        <v>0</v>
      </c>
      <c r="I312" s="80">
        <f>SUM(I309:I311)</f>
        <v>3198.2672494655503</v>
      </c>
      <c r="J312" s="81"/>
      <c r="K312" s="79">
        <f>SUM(K309:K311)</f>
        <v>3393.0417249580028</v>
      </c>
      <c r="L312" s="80">
        <f>SUM(L309:L311)</f>
        <v>0</v>
      </c>
      <c r="M312" s="80">
        <f>SUM(M309:M311)</f>
        <v>3393.0417249580028</v>
      </c>
      <c r="N312" s="81"/>
      <c r="O312" s="79">
        <f>SUM(O309:O311)</f>
        <v>3599.6779660079455</v>
      </c>
      <c r="P312" s="80">
        <f>SUM(P309:P311)</f>
        <v>0</v>
      </c>
      <c r="Q312" s="80">
        <f>SUM(Q309:Q311)</f>
        <v>3599.6779660079455</v>
      </c>
      <c r="R312" s="81"/>
      <c r="S312" s="79">
        <f>SUM(S309:S311)</f>
        <v>3818.8983541378302</v>
      </c>
      <c r="T312" s="80">
        <f>SUM(T309:T311)</f>
        <v>0</v>
      </c>
      <c r="U312" s="80">
        <f>SUM(U309:U311)</f>
        <v>3818.8983541378302</v>
      </c>
      <c r="V312" s="82"/>
      <c r="W312" s="228">
        <f t="shared" si="202"/>
        <v>17024.558920232019</v>
      </c>
      <c r="X312" s="80">
        <f t="shared" si="202"/>
        <v>0</v>
      </c>
      <c r="Y312" s="80">
        <f t="shared" si="202"/>
        <v>17024.558920232019</v>
      </c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</row>
    <row r="313" spans="1:77" s="110" customFormat="1" x14ac:dyDescent="0.25">
      <c r="A313" s="247" t="s">
        <v>17</v>
      </c>
      <c r="B313" s="247"/>
      <c r="C313" s="248">
        <f t="shared" ref="C313:Y313" si="203">C312+C307</f>
        <v>11886.657856431922</v>
      </c>
      <c r="D313" s="248">
        <f t="shared" si="203"/>
        <v>0</v>
      </c>
      <c r="E313" s="248">
        <f t="shared" si="203"/>
        <v>11886.657856431922</v>
      </c>
      <c r="F313" s="248">
        <f t="shared" si="203"/>
        <v>0</v>
      </c>
      <c r="G313" s="248">
        <f t="shared" si="203"/>
        <v>12336.411007157858</v>
      </c>
      <c r="H313" s="248">
        <f t="shared" si="203"/>
        <v>0</v>
      </c>
      <c r="I313" s="248">
        <f t="shared" si="203"/>
        <v>12336.411007157858</v>
      </c>
      <c r="J313" s="248">
        <f t="shared" si="203"/>
        <v>0</v>
      </c>
      <c r="K313" s="248">
        <f t="shared" si="203"/>
        <v>12805.32979538108</v>
      </c>
      <c r="L313" s="248">
        <f t="shared" si="203"/>
        <v>0</v>
      </c>
      <c r="M313" s="248">
        <f t="shared" si="203"/>
        <v>12805.32979538108</v>
      </c>
      <c r="N313" s="248">
        <f t="shared" si="203"/>
        <v>0</v>
      </c>
      <c r="O313" s="248">
        <f t="shared" si="203"/>
        <v>13294.334678543717</v>
      </c>
      <c r="P313" s="248">
        <f t="shared" si="203"/>
        <v>0</v>
      </c>
      <c r="Q313" s="248">
        <f t="shared" si="203"/>
        <v>13294.334678543717</v>
      </c>
      <c r="R313" s="248">
        <f t="shared" si="203"/>
        <v>0</v>
      </c>
      <c r="S313" s="248">
        <f t="shared" si="203"/>
        <v>13804.394768049675</v>
      </c>
      <c r="T313" s="248">
        <f t="shared" si="203"/>
        <v>0</v>
      </c>
      <c r="U313" s="248">
        <f t="shared" si="203"/>
        <v>13804.394768049675</v>
      </c>
      <c r="V313" s="248">
        <f t="shared" si="203"/>
        <v>0</v>
      </c>
      <c r="W313" s="248">
        <f t="shared" si="203"/>
        <v>64127.128105564247</v>
      </c>
      <c r="X313" s="248">
        <f t="shared" si="203"/>
        <v>0</v>
      </c>
      <c r="Y313" s="248">
        <f t="shared" si="203"/>
        <v>64127.128105564247</v>
      </c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</row>
    <row r="314" spans="1:77" s="77" customFormat="1" x14ac:dyDescent="0.25">
      <c r="A314" s="74" t="s">
        <v>18</v>
      </c>
      <c r="B314" s="127"/>
      <c r="C314" s="128"/>
      <c r="D314" s="128"/>
      <c r="E314" s="58"/>
      <c r="F314" s="128"/>
      <c r="G314" s="128"/>
      <c r="H314" s="128"/>
      <c r="I314" s="58"/>
      <c r="J314" s="128"/>
      <c r="K314" s="128"/>
      <c r="L314" s="58"/>
      <c r="M314" s="58"/>
      <c r="N314" s="128"/>
      <c r="O314" s="128"/>
      <c r="P314" s="58"/>
      <c r="Q314" s="58"/>
      <c r="R314" s="128"/>
      <c r="S314" s="128"/>
      <c r="T314" s="58"/>
      <c r="U314" s="58"/>
      <c r="V314" s="59"/>
      <c r="W314" s="58"/>
      <c r="X314" s="58"/>
      <c r="Y314" s="129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</row>
    <row r="315" spans="1:77" s="61" customFormat="1" x14ac:dyDescent="0.25">
      <c r="A315" s="52"/>
      <c r="B315" s="61" t="s">
        <v>57</v>
      </c>
      <c r="C315" s="172">
        <f>SUM('Research Area'!C315+'Education Workforce Development'!C315+'Research Cyberinfrastructure'!C315+'EA &amp; Seed Funding'!C315+'Broadening Participation Divers'!C315+'Communications &amp; Disseminations'!C315+'Partnerships &amp; Collaborations'!C315+'Sustainability Plan'!C315+'Management '!C315+'Evaluation and Assessment '!C315)</f>
        <v>0</v>
      </c>
      <c r="D315" s="56">
        <f>SUM('Research Area'!D315+'Research Cyberinfrastructure'!D315+'EA &amp; Seed Funding'!D315+'Partnerships &amp; Collaborations'!D315+'Broadening Participation Divers'!D315+'Education Workforce Development'!D315+'Communications &amp; Disseminations'!D315+'Evaluation and Assessment '!D315+'Sustainability Plan'!D315+'Management '!D315)</f>
        <v>0</v>
      </c>
      <c r="E315" s="56">
        <f t="shared" ref="E315:E317" si="204">SUM(C315:D315)</f>
        <v>0</v>
      </c>
      <c r="F315" s="58"/>
      <c r="G315" s="172">
        <f>SUM('Research Area'!G315+'Education Workforce Development'!G315+'Research Cyberinfrastructure'!G315+'EA &amp; Seed Funding'!G315+'Broadening Participation Divers'!G315+'Communications &amp; Disseminations'!G315+'Partnerships &amp; Collaborations'!G315+'Sustainability Plan'!G315+'Management '!G315+'Evaluation and Assessment '!G315)</f>
        <v>0</v>
      </c>
      <c r="H315" s="56">
        <f>SUM('Research Area'!H315+'Research Cyberinfrastructure'!H315+'EA &amp; Seed Funding'!H315+'Partnerships &amp; Collaborations'!H315+'Broadening Participation Divers'!H315+'Education Workforce Development'!H315+'Communications &amp; Disseminations'!H315+'Evaluation and Assessment '!H315+'Sustainability Plan'!H315+'Management '!H315)</f>
        <v>0</v>
      </c>
      <c r="I315" s="57">
        <f t="shared" ref="I315:I317" si="205">SUM(G315:H315)</f>
        <v>0</v>
      </c>
      <c r="J315" s="58"/>
      <c r="K315" s="172">
        <f>SUM('Research Area'!K315+'Education Workforce Development'!K315+'Research Cyberinfrastructure'!K315+'EA &amp; Seed Funding'!K315+'Broadening Participation Divers'!K315+'Communications &amp; Disseminations'!K315+'Partnerships &amp; Collaborations'!K315+'Sustainability Plan'!K315+'Management '!K315+'Evaluation and Assessment '!K315)</f>
        <v>0</v>
      </c>
      <c r="L315" s="56">
        <f>SUM('Research Area'!L315+'Research Cyberinfrastructure'!L315+'EA &amp; Seed Funding'!L315+'Partnerships &amp; Collaborations'!L315+'Broadening Participation Divers'!L315+'Education Workforce Development'!L315+'Communications &amp; Disseminations'!L315+'Evaluation and Assessment '!L315+'Sustainability Plan'!L315+'Management '!L315)</f>
        <v>0</v>
      </c>
      <c r="M315" s="57">
        <f t="shared" ref="M315:M317" si="206">SUM(K315:L315)</f>
        <v>0</v>
      </c>
      <c r="N315" s="58"/>
      <c r="O315" s="172">
        <f>SUM('Research Area'!O315+'Education Workforce Development'!O315+'Research Cyberinfrastructure'!O315+'EA &amp; Seed Funding'!O315+'Broadening Participation Divers'!O315+'Communications &amp; Disseminations'!O315+'Partnerships &amp; Collaborations'!O315+'Sustainability Plan'!O315+'Management '!O315+'Evaluation and Assessment '!O315)</f>
        <v>0</v>
      </c>
      <c r="P315" s="56">
        <f>SUM('Research Area'!P315+'Research Cyberinfrastructure'!P315+'EA &amp; Seed Funding'!P315+'Partnerships &amp; Collaborations'!P315+'Broadening Participation Divers'!P315+'Education Workforce Development'!P315+'Communications &amp; Disseminations'!P315+'Evaluation and Assessment '!P315+'Sustainability Plan'!P315+'Management '!P315)</f>
        <v>0</v>
      </c>
      <c r="Q315" s="57">
        <f t="shared" ref="Q315:Q317" si="207">SUM(O315:P315)</f>
        <v>0</v>
      </c>
      <c r="R315" s="58"/>
      <c r="S315" s="172">
        <f>SUM('Research Area'!S315+'Education Workforce Development'!S315+'Research Cyberinfrastructure'!S315+'EA &amp; Seed Funding'!S315+'Broadening Participation Divers'!S315+'Communications &amp; Disseminations'!S315+'Partnerships &amp; Collaborations'!S315+'Sustainability Plan'!S315+'Management '!S315+'Evaluation and Assessment '!S315)</f>
        <v>0</v>
      </c>
      <c r="T315" s="56">
        <f>SUM('Research Area'!T315+'Research Cyberinfrastructure'!T315+'EA &amp; Seed Funding'!T315+'Partnerships &amp; Collaborations'!T315+'Broadening Participation Divers'!T315+'Education Workforce Development'!T315+'Communications &amp; Disseminations'!T315+'Evaluation and Assessment '!T315+'Sustainability Plan'!T315+'Management '!T315)</f>
        <v>0</v>
      </c>
      <c r="U315" s="57">
        <f t="shared" ref="U315:U317" si="208">SUM(S315:T315)</f>
        <v>0</v>
      </c>
      <c r="V315" s="59"/>
      <c r="W315" s="124">
        <f t="shared" ref="W315:Y318" si="209">C315+G315+K315+O315+S315</f>
        <v>0</v>
      </c>
      <c r="X315" s="57">
        <f t="shared" si="209"/>
        <v>0</v>
      </c>
      <c r="Y315" s="84">
        <f t="shared" si="209"/>
        <v>0</v>
      </c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</row>
    <row r="316" spans="1:77" s="61" customFormat="1" x14ac:dyDescent="0.25">
      <c r="A316" s="52"/>
      <c r="B316" s="61" t="s">
        <v>57</v>
      </c>
      <c r="C316" s="172">
        <f>SUM('Research Area'!C316+'Education Workforce Development'!C316+'Research Cyberinfrastructure'!C316+'EA &amp; Seed Funding'!C316+'Broadening Participation Divers'!C316+'Communications &amp; Disseminations'!C316+'Partnerships &amp; Collaborations'!C316+'Sustainability Plan'!C316+'Management '!C316+'Evaluation and Assessment '!C316)</f>
        <v>0</v>
      </c>
      <c r="D316" s="56">
        <f>SUM('Research Area'!D316+'Research Cyberinfrastructure'!D316+'EA &amp; Seed Funding'!D316+'Partnerships &amp; Collaborations'!D316+'Broadening Participation Divers'!D316+'Education Workforce Development'!D316+'Communications &amp; Disseminations'!D316+'Evaluation and Assessment '!D316+'Sustainability Plan'!D316+'Management '!D316)</f>
        <v>0</v>
      </c>
      <c r="E316" s="56">
        <f t="shared" si="204"/>
        <v>0</v>
      </c>
      <c r="F316" s="58"/>
      <c r="G316" s="172">
        <f>SUM('Research Area'!G316+'Education Workforce Development'!G316+'Research Cyberinfrastructure'!G316+'EA &amp; Seed Funding'!G316+'Broadening Participation Divers'!G316+'Communications &amp; Disseminations'!G316+'Partnerships &amp; Collaborations'!G316+'Sustainability Plan'!G316+'Management '!G316+'Evaluation and Assessment '!G316)</f>
        <v>0</v>
      </c>
      <c r="H316" s="56">
        <f>SUM('Research Area'!H316+'Research Cyberinfrastructure'!H316+'EA &amp; Seed Funding'!H316+'Partnerships &amp; Collaborations'!H316+'Broadening Participation Divers'!H316+'Education Workforce Development'!H316+'Communications &amp; Disseminations'!H316+'Evaluation and Assessment '!H316+'Sustainability Plan'!H316+'Management '!H316)</f>
        <v>0</v>
      </c>
      <c r="I316" s="57">
        <f t="shared" si="205"/>
        <v>0</v>
      </c>
      <c r="J316" s="58"/>
      <c r="K316" s="172">
        <f>SUM('Research Area'!K316+'Education Workforce Development'!K316+'Research Cyberinfrastructure'!K316+'EA &amp; Seed Funding'!K316+'Broadening Participation Divers'!K316+'Communications &amp; Disseminations'!K316+'Partnerships &amp; Collaborations'!K316+'Sustainability Plan'!K316+'Management '!K316+'Evaluation and Assessment '!K316)</f>
        <v>0</v>
      </c>
      <c r="L316" s="56">
        <f>SUM('Research Area'!L316+'Research Cyberinfrastructure'!L316+'EA &amp; Seed Funding'!L316+'Partnerships &amp; Collaborations'!L316+'Broadening Participation Divers'!L316+'Education Workforce Development'!L316+'Communications &amp; Disseminations'!L316+'Evaluation and Assessment '!L316+'Sustainability Plan'!L316+'Management '!L316)</f>
        <v>0</v>
      </c>
      <c r="M316" s="57">
        <f t="shared" si="206"/>
        <v>0</v>
      </c>
      <c r="N316" s="58"/>
      <c r="O316" s="172">
        <f>SUM('Research Area'!O316+'Education Workforce Development'!O316+'Research Cyberinfrastructure'!O316+'EA &amp; Seed Funding'!O316+'Broadening Participation Divers'!O316+'Communications &amp; Disseminations'!O316+'Partnerships &amp; Collaborations'!O316+'Sustainability Plan'!O316+'Management '!O316+'Evaluation and Assessment '!O316)</f>
        <v>0</v>
      </c>
      <c r="P316" s="56">
        <f>SUM('Research Area'!P316+'Research Cyberinfrastructure'!P316+'EA &amp; Seed Funding'!P316+'Partnerships &amp; Collaborations'!P316+'Broadening Participation Divers'!P316+'Education Workforce Development'!P316+'Communications &amp; Disseminations'!P316+'Evaluation and Assessment '!P316+'Sustainability Plan'!P316+'Management '!P316)</f>
        <v>0</v>
      </c>
      <c r="Q316" s="57">
        <f t="shared" si="207"/>
        <v>0</v>
      </c>
      <c r="R316" s="58"/>
      <c r="S316" s="172">
        <f>SUM('Research Area'!S316+'Education Workforce Development'!S316+'Research Cyberinfrastructure'!S316+'EA &amp; Seed Funding'!S316+'Broadening Participation Divers'!S316+'Communications &amp; Disseminations'!S316+'Partnerships &amp; Collaborations'!S316+'Sustainability Plan'!S316+'Management '!S316+'Evaluation and Assessment '!S316)</f>
        <v>0</v>
      </c>
      <c r="T316" s="56">
        <f>SUM('Research Area'!T316+'Research Cyberinfrastructure'!T316+'EA &amp; Seed Funding'!T316+'Partnerships &amp; Collaborations'!T316+'Broadening Participation Divers'!T316+'Education Workforce Development'!T316+'Communications &amp; Disseminations'!T316+'Evaluation and Assessment '!T316+'Sustainability Plan'!T316+'Management '!T316)</f>
        <v>0</v>
      </c>
      <c r="U316" s="57">
        <f t="shared" si="208"/>
        <v>0</v>
      </c>
      <c r="V316" s="59"/>
      <c r="W316" s="124">
        <f t="shared" si="209"/>
        <v>0</v>
      </c>
      <c r="X316" s="57">
        <f t="shared" si="209"/>
        <v>0</v>
      </c>
      <c r="Y316" s="84">
        <f t="shared" si="209"/>
        <v>0</v>
      </c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</row>
    <row r="317" spans="1:77" s="61" customFormat="1" x14ac:dyDescent="0.25">
      <c r="A317" s="204" t="s">
        <v>57</v>
      </c>
      <c r="B317" s="61" t="s">
        <v>57</v>
      </c>
      <c r="C317" s="172">
        <f>SUM('Research Area'!C317+'Education Workforce Development'!C317+'Research Cyberinfrastructure'!C317+'EA &amp; Seed Funding'!C317+'Broadening Participation Divers'!C317+'Communications &amp; Disseminations'!C317+'Partnerships &amp; Collaborations'!C317+'Sustainability Plan'!C317+'Management '!C317+'Evaluation and Assessment '!C317)</f>
        <v>0</v>
      </c>
      <c r="D317" s="56">
        <f>SUM('Research Area'!D317+'Research Cyberinfrastructure'!D317+'EA &amp; Seed Funding'!D317+'Partnerships &amp; Collaborations'!D317+'Broadening Participation Divers'!D317+'Education Workforce Development'!D317+'Communications &amp; Disseminations'!D317+'Evaluation and Assessment '!D317+'Sustainability Plan'!D317+'Management '!D317)</f>
        <v>0</v>
      </c>
      <c r="E317" s="56">
        <f t="shared" si="204"/>
        <v>0</v>
      </c>
      <c r="F317" s="58"/>
      <c r="G317" s="172">
        <f>SUM('Research Area'!G317+'Education Workforce Development'!G317+'Research Cyberinfrastructure'!G317+'EA &amp; Seed Funding'!G317+'Broadening Participation Divers'!G317+'Communications &amp; Disseminations'!G317+'Partnerships &amp; Collaborations'!G317+'Sustainability Plan'!G317+'Management '!G317+'Evaluation and Assessment '!G317)</f>
        <v>0</v>
      </c>
      <c r="H317" s="56">
        <f>SUM('Research Area'!H317+'Research Cyberinfrastructure'!H317+'EA &amp; Seed Funding'!H317+'Partnerships &amp; Collaborations'!H317+'Broadening Participation Divers'!H317+'Education Workforce Development'!H317+'Communications &amp; Disseminations'!H317+'Evaluation and Assessment '!H317+'Sustainability Plan'!H317+'Management '!H317)</f>
        <v>0</v>
      </c>
      <c r="I317" s="57">
        <f t="shared" si="205"/>
        <v>0</v>
      </c>
      <c r="J317" s="58"/>
      <c r="K317" s="172">
        <f>SUM('Research Area'!K317+'Education Workforce Development'!K317+'Research Cyberinfrastructure'!K317+'EA &amp; Seed Funding'!K317+'Broadening Participation Divers'!K317+'Communications &amp; Disseminations'!K317+'Partnerships &amp; Collaborations'!K317+'Sustainability Plan'!K317+'Management '!K317+'Evaluation and Assessment '!K317)</f>
        <v>0</v>
      </c>
      <c r="L317" s="56">
        <f>SUM('Research Area'!L317+'Research Cyberinfrastructure'!L317+'EA &amp; Seed Funding'!L317+'Partnerships &amp; Collaborations'!L317+'Broadening Participation Divers'!L317+'Education Workforce Development'!L317+'Communications &amp; Disseminations'!L317+'Evaluation and Assessment '!L317+'Sustainability Plan'!L317+'Management '!L317)</f>
        <v>0</v>
      </c>
      <c r="M317" s="57">
        <f t="shared" si="206"/>
        <v>0</v>
      </c>
      <c r="N317" s="58"/>
      <c r="O317" s="172">
        <f>SUM('Research Area'!O317+'Education Workforce Development'!O317+'Research Cyberinfrastructure'!O317+'EA &amp; Seed Funding'!O317+'Broadening Participation Divers'!O317+'Communications &amp; Disseminations'!O317+'Partnerships &amp; Collaborations'!O317+'Sustainability Plan'!O317+'Management '!O317+'Evaluation and Assessment '!O317)</f>
        <v>0</v>
      </c>
      <c r="P317" s="56">
        <f>SUM('Research Area'!P317+'Research Cyberinfrastructure'!P317+'EA &amp; Seed Funding'!P317+'Partnerships &amp; Collaborations'!P317+'Broadening Participation Divers'!P317+'Education Workforce Development'!P317+'Communications &amp; Disseminations'!P317+'Evaluation and Assessment '!P317+'Sustainability Plan'!P317+'Management '!P317)</f>
        <v>0</v>
      </c>
      <c r="Q317" s="57">
        <f t="shared" si="207"/>
        <v>0</v>
      </c>
      <c r="R317" s="58"/>
      <c r="S317" s="172">
        <f>SUM('Research Area'!S317+'Education Workforce Development'!S317+'Research Cyberinfrastructure'!S317+'EA &amp; Seed Funding'!S317+'Broadening Participation Divers'!S317+'Communications &amp; Disseminations'!S317+'Partnerships &amp; Collaborations'!S317+'Sustainability Plan'!S317+'Management '!S317+'Evaluation and Assessment '!S317)</f>
        <v>0</v>
      </c>
      <c r="T317" s="56">
        <f>SUM('Research Area'!T317+'Research Cyberinfrastructure'!T317+'EA &amp; Seed Funding'!T317+'Partnerships &amp; Collaborations'!T317+'Broadening Participation Divers'!T317+'Education Workforce Development'!T317+'Communications &amp; Disseminations'!T317+'Evaluation and Assessment '!T317+'Sustainability Plan'!T317+'Management '!T317)</f>
        <v>0</v>
      </c>
      <c r="U317" s="57">
        <f t="shared" si="208"/>
        <v>0</v>
      </c>
      <c r="V317" s="59"/>
      <c r="W317" s="124">
        <f t="shared" si="209"/>
        <v>0</v>
      </c>
      <c r="X317" s="57">
        <f t="shared" si="209"/>
        <v>0</v>
      </c>
      <c r="Y317" s="84">
        <f t="shared" si="209"/>
        <v>0</v>
      </c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</row>
    <row r="318" spans="1:77" s="83" customFormat="1" x14ac:dyDescent="0.25">
      <c r="A318" s="78"/>
      <c r="B318" s="78" t="s">
        <v>9</v>
      </c>
      <c r="C318" s="228">
        <f>SUM(C315:C317)</f>
        <v>0</v>
      </c>
      <c r="D318" s="125">
        <f>SUM(D315:D317)</f>
        <v>0</v>
      </c>
      <c r="E318" s="125">
        <f>SUM(E315:E317)</f>
        <v>0</v>
      </c>
      <c r="F318" s="81"/>
      <c r="G318" s="79">
        <f>SUM(G315:G317)</f>
        <v>0</v>
      </c>
      <c r="H318" s="125">
        <f>SUM(H315:H317)</f>
        <v>0</v>
      </c>
      <c r="I318" s="125">
        <f>SUM(I315:I317)</f>
        <v>0</v>
      </c>
      <c r="J318" s="81"/>
      <c r="K318" s="79">
        <f>SUM(K315:K317)</f>
        <v>0</v>
      </c>
      <c r="L318" s="80">
        <f>SUM(L315:L317)</f>
        <v>0</v>
      </c>
      <c r="M318" s="80">
        <f>SUM(M315:M317)</f>
        <v>0</v>
      </c>
      <c r="N318" s="81"/>
      <c r="O318" s="79">
        <f>SUM(O315:O317)</f>
        <v>0</v>
      </c>
      <c r="P318" s="80">
        <f>SUM(P315:P317)</f>
        <v>0</v>
      </c>
      <c r="Q318" s="80">
        <f>SUM(Q315:Q317)</f>
        <v>0</v>
      </c>
      <c r="R318" s="81"/>
      <c r="S318" s="79">
        <f>SUM(S315:S317)</f>
        <v>0</v>
      </c>
      <c r="T318" s="80">
        <f>SUM(T315:T317)</f>
        <v>0</v>
      </c>
      <c r="U318" s="80">
        <f>SUM(U315:U317)</f>
        <v>0</v>
      </c>
      <c r="V318" s="82"/>
      <c r="W318" s="228">
        <f t="shared" si="209"/>
        <v>0</v>
      </c>
      <c r="X318" s="80">
        <f t="shared" si="209"/>
        <v>0</v>
      </c>
      <c r="Y318" s="80">
        <f t="shared" si="209"/>
        <v>0</v>
      </c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</row>
    <row r="319" spans="1:77" s="77" customFormat="1" x14ac:dyDescent="0.25">
      <c r="A319" s="74" t="s">
        <v>7</v>
      </c>
      <c r="B319" s="74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9"/>
      <c r="W319" s="58"/>
      <c r="X319" s="58"/>
      <c r="Y319" s="129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</row>
    <row r="320" spans="1:77" s="61" customFormat="1" x14ac:dyDescent="0.25">
      <c r="A320" s="54"/>
      <c r="B320" s="52" t="s">
        <v>191</v>
      </c>
      <c r="C320" s="55">
        <f>SUM('Research Area'!C320+'Education Workforce Development'!C320+'Research Cyberinfrastructure'!C320+'EA &amp; Seed Funding'!C320+'Broadening Participation Divers'!C320+'Communications &amp; Disseminations'!C320+'Partnerships &amp; Collaborations'!C320+'Sustainability Plan'!C320+'Management '!C320+'Evaluation and Assessment '!C320)</f>
        <v>2000</v>
      </c>
      <c r="D320" s="56">
        <f>SUM('Research Area'!D320+'Research Cyberinfrastructure'!D320+'EA &amp; Seed Funding'!D320+'Partnerships &amp; Collaborations'!D320+'Broadening Participation Divers'!D320+'Education Workforce Development'!D320+'Communications &amp; Disseminations'!D320+'Evaluation and Assessment '!D320+'Sustainability Plan'!D320+'Management '!D320)</f>
        <v>0</v>
      </c>
      <c r="E320" s="56">
        <f t="shared" ref="E320:E322" si="210">SUM(C320:D320)</f>
        <v>2000</v>
      </c>
      <c r="F320" s="58"/>
      <c r="G320" s="55">
        <f>SUM('Research Area'!G320+'Education Workforce Development'!G320+'Research Cyberinfrastructure'!G320+'EA &amp; Seed Funding'!G320+'Broadening Participation Divers'!G320+'Communications &amp; Disseminations'!G320+'Partnerships &amp; Collaborations'!G320+'Sustainability Plan'!G320+'Management '!G320+'Evaluation and Assessment '!G320)</f>
        <v>2000</v>
      </c>
      <c r="H320" s="56">
        <f>SUM('Research Area'!H320+'Research Cyberinfrastructure'!H320+'EA &amp; Seed Funding'!H320+'Partnerships &amp; Collaborations'!H320+'Broadening Participation Divers'!H320+'Education Workforce Development'!H320+'Communications &amp; Disseminations'!H320+'Evaluation and Assessment '!H320+'Sustainability Plan'!H320+'Management '!H320)</f>
        <v>0</v>
      </c>
      <c r="I320" s="57">
        <f t="shared" ref="I320:I322" si="211">SUM(G320:H320)</f>
        <v>2000</v>
      </c>
      <c r="J320" s="58"/>
      <c r="K320" s="55">
        <f>SUM('Research Area'!K320+'Education Workforce Development'!K320+'Research Cyberinfrastructure'!K320+'EA &amp; Seed Funding'!K320+'Broadening Participation Divers'!K320+'Communications &amp; Disseminations'!K320+'Partnerships &amp; Collaborations'!K320+'Sustainability Plan'!K320+'Management '!K320+'Evaluation and Assessment '!K320)</f>
        <v>2000</v>
      </c>
      <c r="L320" s="56">
        <f>SUM('Research Area'!L320+'Research Cyberinfrastructure'!L320+'EA &amp; Seed Funding'!L320+'Partnerships &amp; Collaborations'!L320+'Broadening Participation Divers'!L320+'Education Workforce Development'!L320+'Communications &amp; Disseminations'!L320+'Evaluation and Assessment '!L320+'Sustainability Plan'!L320+'Management '!L320)</f>
        <v>0</v>
      </c>
      <c r="M320" s="57">
        <f t="shared" ref="M320:M322" si="212">SUM(K320:L320)</f>
        <v>2000</v>
      </c>
      <c r="N320" s="58"/>
      <c r="O320" s="55">
        <f>SUM('Research Area'!O320+'Education Workforce Development'!O320+'Research Cyberinfrastructure'!O320+'EA &amp; Seed Funding'!O320+'Broadening Participation Divers'!O320+'Communications &amp; Disseminations'!O320+'Partnerships &amp; Collaborations'!O320+'Sustainability Plan'!O320+'Management '!O320+'Evaluation and Assessment '!O320)</f>
        <v>2000</v>
      </c>
      <c r="P320" s="56">
        <f>SUM('Research Area'!P320+'Research Cyberinfrastructure'!P320+'EA &amp; Seed Funding'!P320+'Partnerships &amp; Collaborations'!P320+'Broadening Participation Divers'!P320+'Education Workforce Development'!P320+'Communications &amp; Disseminations'!P320+'Evaluation and Assessment '!P320+'Sustainability Plan'!P320+'Management '!P320)</f>
        <v>0</v>
      </c>
      <c r="Q320" s="57">
        <f t="shared" ref="Q320:Q322" si="213">SUM(O320:P320)</f>
        <v>2000</v>
      </c>
      <c r="R320" s="58"/>
      <c r="S320" s="55">
        <f>SUM('Research Area'!S320+'Education Workforce Development'!S320+'Research Cyberinfrastructure'!S320+'EA &amp; Seed Funding'!S320+'Broadening Participation Divers'!S320+'Communications &amp; Disseminations'!S320+'Partnerships &amp; Collaborations'!S320+'Sustainability Plan'!S320+'Management '!S320+'Evaluation and Assessment '!S320)</f>
        <v>2000</v>
      </c>
      <c r="T320" s="56">
        <f>SUM('Research Area'!T320+'Research Cyberinfrastructure'!T320+'EA &amp; Seed Funding'!T320+'Partnerships &amp; Collaborations'!T320+'Broadening Participation Divers'!T320+'Education Workforce Development'!T320+'Communications &amp; Disseminations'!T320+'Evaluation and Assessment '!T320+'Sustainability Plan'!T320+'Management '!T320)</f>
        <v>0</v>
      </c>
      <c r="U320" s="57">
        <f t="shared" ref="U320:U322" si="214">SUM(S320:T320)</f>
        <v>2000</v>
      </c>
      <c r="V320" s="59"/>
      <c r="W320" s="124">
        <f t="shared" ref="W320:Y323" si="215">C320+G320+K320+O320+S320</f>
        <v>10000</v>
      </c>
      <c r="X320" s="57">
        <f t="shared" si="215"/>
        <v>0</v>
      </c>
      <c r="Y320" s="84">
        <f t="shared" si="215"/>
        <v>10000</v>
      </c>
    </row>
    <row r="321" spans="1:77" s="61" customFormat="1" x14ac:dyDescent="0.25">
      <c r="A321" s="203"/>
      <c r="B321" s="52" t="s">
        <v>57</v>
      </c>
      <c r="C321" s="55">
        <f>SUM('Research Area'!C321+'Education Workforce Development'!C321+'Research Cyberinfrastructure'!C321+'EA &amp; Seed Funding'!C321+'Broadening Participation Divers'!C321+'Communications &amp; Disseminations'!C321+'Partnerships &amp; Collaborations'!C321+'Sustainability Plan'!C321+'Management '!C321+'Evaluation and Assessment '!C321)</f>
        <v>1000</v>
      </c>
      <c r="D321" s="56">
        <f>SUM('Research Area'!D321+'Research Cyberinfrastructure'!D321+'EA &amp; Seed Funding'!D321+'Partnerships &amp; Collaborations'!D321+'Broadening Participation Divers'!D321+'Education Workforce Development'!D321+'Communications &amp; Disseminations'!D321+'Evaluation and Assessment '!D321+'Sustainability Plan'!D321+'Management '!D321)</f>
        <v>0</v>
      </c>
      <c r="E321" s="56">
        <f t="shared" si="210"/>
        <v>1000</v>
      </c>
      <c r="F321" s="58"/>
      <c r="G321" s="55">
        <f>SUM('Research Area'!G321+'Education Workforce Development'!G321+'Research Cyberinfrastructure'!G321+'EA &amp; Seed Funding'!G321+'Broadening Participation Divers'!G321+'Communications &amp; Disseminations'!G321+'Partnerships &amp; Collaborations'!G321+'Sustainability Plan'!G321+'Management '!G321+'Evaluation and Assessment '!G321)</f>
        <v>1000</v>
      </c>
      <c r="H321" s="56">
        <f>SUM('Research Area'!H321+'Research Cyberinfrastructure'!H321+'EA &amp; Seed Funding'!H321+'Partnerships &amp; Collaborations'!H321+'Broadening Participation Divers'!H321+'Education Workforce Development'!H321+'Communications &amp; Disseminations'!H321+'Evaluation and Assessment '!H321+'Sustainability Plan'!H321+'Management '!H321)</f>
        <v>0</v>
      </c>
      <c r="I321" s="57">
        <f t="shared" si="211"/>
        <v>1000</v>
      </c>
      <c r="J321" s="58"/>
      <c r="K321" s="55">
        <f>SUM('Research Area'!K321+'Education Workforce Development'!K321+'Research Cyberinfrastructure'!K321+'EA &amp; Seed Funding'!K321+'Broadening Participation Divers'!K321+'Communications &amp; Disseminations'!K321+'Partnerships &amp; Collaborations'!K321+'Sustainability Plan'!K321+'Management '!K321+'Evaluation and Assessment '!K321)</f>
        <v>1000</v>
      </c>
      <c r="L321" s="56">
        <f>SUM('Research Area'!L321+'Research Cyberinfrastructure'!L321+'EA &amp; Seed Funding'!L321+'Partnerships &amp; Collaborations'!L321+'Broadening Participation Divers'!L321+'Education Workforce Development'!L321+'Communications &amp; Disseminations'!L321+'Evaluation and Assessment '!L321+'Sustainability Plan'!L321+'Management '!L321)</f>
        <v>0</v>
      </c>
      <c r="M321" s="57">
        <f t="shared" si="212"/>
        <v>1000</v>
      </c>
      <c r="N321" s="58"/>
      <c r="O321" s="55">
        <f>SUM('Research Area'!O321+'Education Workforce Development'!O321+'Research Cyberinfrastructure'!O321+'EA &amp; Seed Funding'!O321+'Broadening Participation Divers'!O321+'Communications &amp; Disseminations'!O321+'Partnerships &amp; Collaborations'!O321+'Sustainability Plan'!O321+'Management '!O321+'Evaluation and Assessment '!O321)</f>
        <v>1000</v>
      </c>
      <c r="P321" s="56">
        <f>SUM('Research Area'!P321+'Research Cyberinfrastructure'!P321+'EA &amp; Seed Funding'!P321+'Partnerships &amp; Collaborations'!P321+'Broadening Participation Divers'!P321+'Education Workforce Development'!P321+'Communications &amp; Disseminations'!P321+'Evaluation and Assessment '!P321+'Sustainability Plan'!P321+'Management '!P321)</f>
        <v>0</v>
      </c>
      <c r="Q321" s="57">
        <f t="shared" si="213"/>
        <v>1000</v>
      </c>
      <c r="R321" s="58"/>
      <c r="S321" s="55">
        <f>SUM('Research Area'!S321+'Education Workforce Development'!S321+'Research Cyberinfrastructure'!S321+'EA &amp; Seed Funding'!S321+'Broadening Participation Divers'!S321+'Communications &amp; Disseminations'!S321+'Partnerships &amp; Collaborations'!S321+'Sustainability Plan'!S321+'Management '!S321+'Evaluation and Assessment '!S321)</f>
        <v>1000</v>
      </c>
      <c r="T321" s="56">
        <f>SUM('Research Area'!T321+'Research Cyberinfrastructure'!T321+'EA &amp; Seed Funding'!T321+'Partnerships &amp; Collaborations'!T321+'Broadening Participation Divers'!T321+'Education Workforce Development'!T321+'Communications &amp; Disseminations'!T321+'Evaluation and Assessment '!T321+'Sustainability Plan'!T321+'Management '!T321)</f>
        <v>0</v>
      </c>
      <c r="U321" s="57">
        <f t="shared" si="214"/>
        <v>1000</v>
      </c>
      <c r="V321" s="59"/>
      <c r="W321" s="124">
        <f t="shared" si="215"/>
        <v>5000</v>
      </c>
      <c r="X321" s="57">
        <f t="shared" si="215"/>
        <v>0</v>
      </c>
      <c r="Y321" s="84">
        <f t="shared" si="215"/>
        <v>5000</v>
      </c>
    </row>
    <row r="322" spans="1:77" s="61" customFormat="1" x14ac:dyDescent="0.25">
      <c r="A322" s="52"/>
      <c r="B322" s="52"/>
      <c r="C322" s="55">
        <f>SUM('Research Area'!C322+'Education Workforce Development'!C322+'Research Cyberinfrastructure'!C322+'EA &amp; Seed Funding'!C322+'Broadening Participation Divers'!C322+'Communications &amp; Disseminations'!C322+'Partnerships &amp; Collaborations'!C322+'Sustainability Plan'!C322+'Management '!C322+'Evaluation and Assessment '!C322)</f>
        <v>0</v>
      </c>
      <c r="D322" s="56">
        <f>SUM('Research Area'!D322+'Research Cyberinfrastructure'!D322+'EA &amp; Seed Funding'!D322+'Partnerships &amp; Collaborations'!D322+'Broadening Participation Divers'!D322+'Education Workforce Development'!D322+'Communications &amp; Disseminations'!D322+'Evaluation and Assessment '!D322+'Sustainability Plan'!D322+'Management '!D322)</f>
        <v>0</v>
      </c>
      <c r="E322" s="56">
        <f t="shared" si="210"/>
        <v>0</v>
      </c>
      <c r="F322" s="58"/>
      <c r="G322" s="55">
        <f>SUM('Research Area'!G322+'Education Workforce Development'!G322+'Research Cyberinfrastructure'!G322+'EA &amp; Seed Funding'!G322+'Broadening Participation Divers'!G322+'Communications &amp; Disseminations'!G322+'Partnerships &amp; Collaborations'!G322+'Sustainability Plan'!G322+'Management '!G322+'Evaluation and Assessment '!G322)</f>
        <v>0</v>
      </c>
      <c r="H322" s="56">
        <f>SUM('Research Area'!H322+'Research Cyberinfrastructure'!H322+'EA &amp; Seed Funding'!H322+'Partnerships &amp; Collaborations'!H322+'Broadening Participation Divers'!H322+'Education Workforce Development'!H322+'Communications &amp; Disseminations'!H322+'Evaluation and Assessment '!H322+'Sustainability Plan'!H322+'Management '!H322)</f>
        <v>0</v>
      </c>
      <c r="I322" s="57">
        <f t="shared" si="211"/>
        <v>0</v>
      </c>
      <c r="J322" s="58"/>
      <c r="K322" s="55">
        <f>SUM('Research Area'!K322+'Education Workforce Development'!K322+'Research Cyberinfrastructure'!K322+'EA &amp; Seed Funding'!K322+'Broadening Participation Divers'!K322+'Communications &amp; Disseminations'!K322+'Partnerships &amp; Collaborations'!K322+'Sustainability Plan'!K322+'Management '!K322+'Evaluation and Assessment '!K322)</f>
        <v>0</v>
      </c>
      <c r="L322" s="56">
        <f>SUM('Research Area'!L322+'Research Cyberinfrastructure'!L322+'EA &amp; Seed Funding'!L322+'Partnerships &amp; Collaborations'!L322+'Broadening Participation Divers'!L322+'Education Workforce Development'!L322+'Communications &amp; Disseminations'!L322+'Evaluation and Assessment '!L322+'Sustainability Plan'!L322+'Management '!L322)</f>
        <v>0</v>
      </c>
      <c r="M322" s="57">
        <f t="shared" si="212"/>
        <v>0</v>
      </c>
      <c r="N322" s="58"/>
      <c r="O322" s="55">
        <f>SUM('Research Area'!O322+'Education Workforce Development'!O322+'Research Cyberinfrastructure'!O322+'EA &amp; Seed Funding'!O322+'Broadening Participation Divers'!O322+'Communications &amp; Disseminations'!O322+'Partnerships &amp; Collaborations'!O322+'Sustainability Plan'!O322+'Management '!O322+'Evaluation and Assessment '!O322)</f>
        <v>0</v>
      </c>
      <c r="P322" s="56">
        <f>SUM('Research Area'!P322+'Research Cyberinfrastructure'!P322+'EA &amp; Seed Funding'!P322+'Partnerships &amp; Collaborations'!P322+'Broadening Participation Divers'!P322+'Education Workforce Development'!P322+'Communications &amp; Disseminations'!P322+'Evaluation and Assessment '!P322+'Sustainability Plan'!P322+'Management '!P322)</f>
        <v>0</v>
      </c>
      <c r="Q322" s="57">
        <f t="shared" si="213"/>
        <v>0</v>
      </c>
      <c r="R322" s="58"/>
      <c r="S322" s="55">
        <f>SUM('Research Area'!S322+'Education Workforce Development'!S322+'Research Cyberinfrastructure'!S322+'EA &amp; Seed Funding'!S322+'Broadening Participation Divers'!S322+'Communications &amp; Disseminations'!S322+'Partnerships &amp; Collaborations'!S322+'Sustainability Plan'!S322+'Management '!S322+'Evaluation and Assessment '!S322)</f>
        <v>0</v>
      </c>
      <c r="T322" s="56">
        <f>SUM('Research Area'!T322+'Research Cyberinfrastructure'!T322+'EA &amp; Seed Funding'!T322+'Partnerships &amp; Collaborations'!T322+'Broadening Participation Divers'!T322+'Education Workforce Development'!T322+'Communications &amp; Disseminations'!T322+'Evaluation and Assessment '!T322+'Sustainability Plan'!T322+'Management '!T322)</f>
        <v>0</v>
      </c>
      <c r="U322" s="57">
        <f t="shared" si="214"/>
        <v>0</v>
      </c>
      <c r="V322" s="59"/>
      <c r="W322" s="124">
        <f t="shared" si="215"/>
        <v>0</v>
      </c>
      <c r="X322" s="57">
        <f t="shared" si="215"/>
        <v>0</v>
      </c>
      <c r="Y322" s="84">
        <f t="shared" si="215"/>
        <v>0</v>
      </c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</row>
    <row r="323" spans="1:77" s="83" customFormat="1" x14ac:dyDescent="0.25">
      <c r="A323" s="78"/>
      <c r="B323" s="78" t="s">
        <v>9</v>
      </c>
      <c r="C323" s="228">
        <f>SUM(C320:C322)</f>
        <v>3000</v>
      </c>
      <c r="D323" s="125">
        <f>SUM(D320:D322)</f>
        <v>0</v>
      </c>
      <c r="E323" s="125">
        <f>SUM(E320:E322)</f>
        <v>3000</v>
      </c>
      <c r="F323" s="81"/>
      <c r="G323" s="55">
        <f>SUM('Research Area'!G323+'Education Workforce Development'!G323+'Research Cyberinfrastructure'!G323+'EA &amp; Seed Funding'!G323+'Broadening Participation Divers'!G323+'Communications &amp; Disseminations'!G323+'Partnerships &amp; Collaborations'!G323+'Sustainability Plan'!G323+'Management '!G323+'Evaluation and Assessment '!G323)</f>
        <v>3000</v>
      </c>
      <c r="H323" s="56">
        <f>SUM('Research Area'!H323+'Research Cyberinfrastructure'!H323+'EA &amp; Seed Funding'!H323+'Partnerships &amp; Collaborations'!H323+'Broadening Participation Divers'!H323+'Education Workforce Development'!H323+'Communications &amp; Disseminations'!H323+'Evaluation and Assessment '!H323+'Sustainability Plan'!H323+'Management '!H323)</f>
        <v>0</v>
      </c>
      <c r="I323" s="80">
        <f>SUM(I320:I322)</f>
        <v>3000</v>
      </c>
      <c r="J323" s="81"/>
      <c r="K323" s="79">
        <f>SUM(K320:K322)</f>
        <v>3000</v>
      </c>
      <c r="L323" s="80">
        <f>SUM(L320:L322)</f>
        <v>0</v>
      </c>
      <c r="M323" s="80">
        <f>SUM(M320:M322)</f>
        <v>3000</v>
      </c>
      <c r="N323" s="81"/>
      <c r="O323" s="79">
        <f>SUM(O320:O322)</f>
        <v>3000</v>
      </c>
      <c r="P323" s="80">
        <f>SUM(P320:P322)</f>
        <v>0</v>
      </c>
      <c r="Q323" s="80">
        <f>SUM(Q320:Q322)</f>
        <v>3000</v>
      </c>
      <c r="R323" s="81"/>
      <c r="S323" s="79">
        <f>SUM(S320:S322)</f>
        <v>3000</v>
      </c>
      <c r="T323" s="80">
        <f>SUM(T320:T322)</f>
        <v>0</v>
      </c>
      <c r="U323" s="80">
        <f>SUM(U320:U322)</f>
        <v>3000</v>
      </c>
      <c r="V323" s="82"/>
      <c r="W323" s="228">
        <f t="shared" si="215"/>
        <v>15000</v>
      </c>
      <c r="X323" s="80">
        <f t="shared" si="215"/>
        <v>0</v>
      </c>
      <c r="Y323" s="80">
        <f t="shared" si="215"/>
        <v>15000</v>
      </c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</row>
    <row r="324" spans="1:77" s="77" customFormat="1" x14ac:dyDescent="0.25">
      <c r="A324" s="74" t="s">
        <v>82</v>
      </c>
      <c r="B324" s="74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9"/>
      <c r="W324" s="58"/>
      <c r="X324" s="58"/>
      <c r="Y324" s="129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</row>
    <row r="325" spans="1:77" s="77" customFormat="1" x14ac:dyDescent="0.25">
      <c r="A325" s="54"/>
      <c r="B325" s="54"/>
      <c r="C325" s="172">
        <f>SUM('Research Area'!C325+'Education Workforce Development'!C325+'Research Cyberinfrastructure'!C325+'EA &amp; Seed Funding'!C325+'Broadening Participation Divers'!C325+'Communications &amp; Disseminations'!C325+'Partnerships &amp; Collaborations'!C325+'Sustainability Plan'!C325+'Management '!C325+'Evaluation and Assessment '!C325)</f>
        <v>0</v>
      </c>
      <c r="D325" s="56">
        <f>SUM('Research Area'!D325+'Research Cyberinfrastructure'!D325+'EA &amp; Seed Funding'!D325+'Partnerships &amp; Collaborations'!D325+'Broadening Participation Divers'!D325+'Education Workforce Development'!D325+'Communications &amp; Disseminations'!D325+'Evaluation and Assessment '!D325+'Sustainability Plan'!D325+'Management '!D325)</f>
        <v>0</v>
      </c>
      <c r="E325" s="56">
        <f>SUM(C325:D325)</f>
        <v>0</v>
      </c>
      <c r="F325" s="58"/>
      <c r="G325" s="172">
        <f>SUM('Research Area'!G325+'Education Workforce Development'!G325+'Research Cyberinfrastructure'!G325+'EA &amp; Seed Funding'!G325+'Broadening Participation Divers'!G325+'Communications &amp; Disseminations'!G325+'Partnerships &amp; Collaborations'!G325+'Sustainability Plan'!G325+'Management '!G325+'Evaluation and Assessment '!G325)</f>
        <v>0</v>
      </c>
      <c r="H325" s="56">
        <f>SUM('Research Area'!H325+'Research Cyberinfrastructure'!H325+'EA &amp; Seed Funding'!H325+'Partnerships &amp; Collaborations'!H325+'Broadening Participation Divers'!H325+'Education Workforce Development'!H325+'Communications &amp; Disseminations'!H325+'Evaluation and Assessment '!H325+'Sustainability Plan'!H325+'Management '!H325)</f>
        <v>0</v>
      </c>
      <c r="I325" s="56">
        <f>SUM(G325:H325)</f>
        <v>0</v>
      </c>
      <c r="J325" s="58"/>
      <c r="K325" s="172">
        <f>SUM('Research Area'!K325+'Education Workforce Development'!K325+'Research Cyberinfrastructure'!K325+'EA &amp; Seed Funding'!K325+'Broadening Participation Divers'!K325+'Communications &amp; Disseminations'!K325+'Partnerships &amp; Collaborations'!K325+'Sustainability Plan'!K325+'Management '!K325+'Evaluation and Assessment '!K325)</f>
        <v>0</v>
      </c>
      <c r="L325" s="56">
        <f>SUM('Research Area'!L325+'Research Cyberinfrastructure'!L325+'EA &amp; Seed Funding'!L325+'Partnerships &amp; Collaborations'!L325+'Broadening Participation Divers'!L325+'Education Workforce Development'!L325+'Communications &amp; Disseminations'!L325+'Evaluation and Assessment '!L325+'Sustainability Plan'!L325+'Management '!L325)</f>
        <v>0</v>
      </c>
      <c r="M325" s="56">
        <f>SUM(K325:L325)</f>
        <v>0</v>
      </c>
      <c r="N325" s="58"/>
      <c r="O325" s="172">
        <f>SUM('Research Area'!O325+'Education Workforce Development'!O325+'Research Cyberinfrastructure'!O325+'EA &amp; Seed Funding'!O325+'Broadening Participation Divers'!O325+'Communications &amp; Disseminations'!O325+'Partnerships &amp; Collaborations'!O325+'Sustainability Plan'!O325+'Management '!O325+'Evaluation and Assessment '!O325)</f>
        <v>0</v>
      </c>
      <c r="P325" s="56">
        <f>SUM('Research Area'!P325+'Research Cyberinfrastructure'!P325+'EA &amp; Seed Funding'!P325+'Partnerships &amp; Collaborations'!P325+'Broadening Participation Divers'!P325+'Education Workforce Development'!P325+'Communications &amp; Disseminations'!P325+'Evaluation and Assessment '!P325+'Sustainability Plan'!P325+'Management '!P325)</f>
        <v>0</v>
      </c>
      <c r="Q325" s="56">
        <f>SUM(O325:P325)</f>
        <v>0</v>
      </c>
      <c r="R325" s="58"/>
      <c r="S325" s="172">
        <f>SUM('Research Area'!S325+'Education Workforce Development'!S325+'Research Cyberinfrastructure'!S325+'EA &amp; Seed Funding'!S325+'Broadening Participation Divers'!S325+'Communications &amp; Disseminations'!S325+'Partnerships &amp; Collaborations'!S325+'Sustainability Plan'!S325+'Management '!S325+'Evaluation and Assessment '!S325)</f>
        <v>0</v>
      </c>
      <c r="T325" s="56">
        <f>SUM('Research Area'!T325+'Research Cyberinfrastructure'!T325+'EA &amp; Seed Funding'!T325+'Partnerships &amp; Collaborations'!T325+'Broadening Participation Divers'!T325+'Education Workforce Development'!T325+'Communications &amp; Disseminations'!T325+'Evaluation and Assessment '!T325+'Sustainability Plan'!T325+'Management '!T325)</f>
        <v>0</v>
      </c>
      <c r="U325" s="56">
        <f>SUM(S325:T325)</f>
        <v>0</v>
      </c>
      <c r="V325" s="59"/>
      <c r="W325" s="124">
        <f t="shared" ref="W325:Y327" si="216">C325+G325+K325+O325+S325</f>
        <v>0</v>
      </c>
      <c r="X325" s="57">
        <f t="shared" si="216"/>
        <v>0</v>
      </c>
      <c r="Y325" s="84">
        <f t="shared" si="216"/>
        <v>0</v>
      </c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</row>
    <row r="326" spans="1:77" s="160" customFormat="1" x14ac:dyDescent="0.25">
      <c r="A326" s="54"/>
      <c r="B326" s="54" t="s">
        <v>57</v>
      </c>
      <c r="C326" s="172">
        <f>SUM('Research Area'!C326+'Education Workforce Development'!C326+'Research Cyberinfrastructure'!C326+'EA &amp; Seed Funding'!C326+'Broadening Participation Divers'!C326+'Communications &amp; Disseminations'!C326+'Partnerships &amp; Collaborations'!C326+'Sustainability Plan'!C326+'Management '!C326+'Evaluation and Assessment '!C326)</f>
        <v>0</v>
      </c>
      <c r="D326" s="56">
        <f>SUM('Research Area'!D326+'Research Cyberinfrastructure'!D326+'EA &amp; Seed Funding'!D326+'Partnerships &amp; Collaborations'!D326+'Broadening Participation Divers'!D326+'Education Workforce Development'!D326+'Communications &amp; Disseminations'!D326+'Evaluation and Assessment '!D326+'Sustainability Plan'!D326+'Management '!D326)</f>
        <v>0</v>
      </c>
      <c r="E326" s="56">
        <f>SUM(C326:D326)</f>
        <v>0</v>
      </c>
      <c r="F326" s="58"/>
      <c r="G326" s="172">
        <f>SUM('Research Area'!G326+'Education Workforce Development'!G326+'Research Cyberinfrastructure'!G326+'EA &amp; Seed Funding'!G326+'Broadening Participation Divers'!G326+'Communications &amp; Disseminations'!G326+'Partnerships &amp; Collaborations'!G326+'Sustainability Plan'!G326+'Management '!G326+'Evaluation and Assessment '!G326)</f>
        <v>0</v>
      </c>
      <c r="H326" s="56">
        <f>SUM('Research Area'!H326+'Research Cyberinfrastructure'!H326+'EA &amp; Seed Funding'!H326+'Partnerships &amp; Collaborations'!H326+'Broadening Participation Divers'!H326+'Education Workforce Development'!H326+'Communications &amp; Disseminations'!H326+'Evaluation and Assessment '!H326+'Sustainability Plan'!H326+'Management '!H326)</f>
        <v>0</v>
      </c>
      <c r="I326" s="56">
        <f>SUM(G326:H326)</f>
        <v>0</v>
      </c>
      <c r="J326" s="58"/>
      <c r="K326" s="172">
        <f>SUM('Research Area'!K326+'Education Workforce Development'!K326+'Research Cyberinfrastructure'!K326+'EA &amp; Seed Funding'!K326+'Broadening Participation Divers'!K326+'Communications &amp; Disseminations'!K326+'Partnerships &amp; Collaborations'!K326+'Sustainability Plan'!K326+'Management '!K326+'Evaluation and Assessment '!K326)</f>
        <v>0</v>
      </c>
      <c r="L326" s="56">
        <f>SUM('Research Area'!L326+'Research Cyberinfrastructure'!L326+'EA &amp; Seed Funding'!L326+'Partnerships &amp; Collaborations'!L326+'Broadening Participation Divers'!L326+'Education Workforce Development'!L326+'Communications &amp; Disseminations'!L326+'Evaluation and Assessment '!L326+'Sustainability Plan'!L326+'Management '!L326)</f>
        <v>0</v>
      </c>
      <c r="M326" s="56">
        <f>SUM(K326:L326)</f>
        <v>0</v>
      </c>
      <c r="N326" s="58"/>
      <c r="O326" s="172">
        <f>SUM('Research Area'!O326+'Education Workforce Development'!O326+'Research Cyberinfrastructure'!O326+'EA &amp; Seed Funding'!O326+'Broadening Participation Divers'!O326+'Communications &amp; Disseminations'!O326+'Partnerships &amp; Collaborations'!O326+'Sustainability Plan'!O326+'Management '!O326+'Evaluation and Assessment '!O326)</f>
        <v>0</v>
      </c>
      <c r="P326" s="56">
        <f>SUM('Research Area'!P326+'Research Cyberinfrastructure'!P326+'EA &amp; Seed Funding'!P326+'Partnerships &amp; Collaborations'!P326+'Broadening Participation Divers'!P326+'Education Workforce Development'!P326+'Communications &amp; Disseminations'!P326+'Evaluation and Assessment '!P326+'Sustainability Plan'!P326+'Management '!P326)</f>
        <v>0</v>
      </c>
      <c r="Q326" s="56">
        <f>SUM(O326:P326)</f>
        <v>0</v>
      </c>
      <c r="R326" s="58"/>
      <c r="S326" s="172">
        <f>SUM('Research Area'!S326+'Education Workforce Development'!S326+'Research Cyberinfrastructure'!S326+'EA &amp; Seed Funding'!S326+'Broadening Participation Divers'!S326+'Communications &amp; Disseminations'!S326+'Partnerships &amp; Collaborations'!S326+'Sustainability Plan'!S326+'Management '!S326+'Evaluation and Assessment '!S326)</f>
        <v>0</v>
      </c>
      <c r="T326" s="56">
        <f>SUM('Research Area'!T326+'Research Cyberinfrastructure'!T326+'EA &amp; Seed Funding'!T326+'Partnerships &amp; Collaborations'!T326+'Broadening Participation Divers'!T326+'Education Workforce Development'!T326+'Communications &amp; Disseminations'!T326+'Evaluation and Assessment '!T326+'Sustainability Plan'!T326+'Management '!T326)</f>
        <v>0</v>
      </c>
      <c r="U326" s="56">
        <f>SUM(S326:T326)</f>
        <v>0</v>
      </c>
      <c r="V326" s="59"/>
      <c r="W326" s="124">
        <f t="shared" si="216"/>
        <v>0</v>
      </c>
      <c r="X326" s="56">
        <f t="shared" si="216"/>
        <v>0</v>
      </c>
      <c r="Y326" s="85">
        <f t="shared" si="216"/>
        <v>0</v>
      </c>
    </row>
    <row r="327" spans="1:77" s="83" customFormat="1" x14ac:dyDescent="0.25">
      <c r="A327" s="78"/>
      <c r="B327" s="78" t="s">
        <v>9</v>
      </c>
      <c r="C327" s="228">
        <f>SUM(C325:C326)</f>
        <v>0</v>
      </c>
      <c r="D327" s="125">
        <f>SUM(D325:D326)</f>
        <v>0</v>
      </c>
      <c r="E327" s="125">
        <f>SUM(E325:E326)</f>
        <v>0</v>
      </c>
      <c r="F327" s="81"/>
      <c r="G327" s="79">
        <f>SUM(G325:G326)</f>
        <v>0</v>
      </c>
      <c r="H327" s="80">
        <f>SUM(H325:H326)</f>
        <v>0</v>
      </c>
      <c r="I327" s="80">
        <f>SUM(I325:I326)</f>
        <v>0</v>
      </c>
      <c r="J327" s="81"/>
      <c r="K327" s="79">
        <f>SUM(K325:K326)</f>
        <v>0</v>
      </c>
      <c r="L327" s="80">
        <f>SUM(L325:L326)</f>
        <v>0</v>
      </c>
      <c r="M327" s="80">
        <f>SUM(M325:M326)</f>
        <v>0</v>
      </c>
      <c r="N327" s="81"/>
      <c r="O327" s="79">
        <f>SUM(O325:O326)</f>
        <v>0</v>
      </c>
      <c r="P327" s="80">
        <f>SUM(P325:P326)</f>
        <v>0</v>
      </c>
      <c r="Q327" s="80">
        <f>SUM(Q325:Q326)</f>
        <v>0</v>
      </c>
      <c r="R327" s="81"/>
      <c r="S327" s="79">
        <f>SUM(S325:S326)</f>
        <v>0</v>
      </c>
      <c r="T327" s="125">
        <f>SUM(T325:T326)</f>
        <v>0</v>
      </c>
      <c r="U327" s="125">
        <f>SUM(U325:U326)</f>
        <v>0</v>
      </c>
      <c r="V327" s="82"/>
      <c r="W327" s="228">
        <f t="shared" si="216"/>
        <v>0</v>
      </c>
      <c r="X327" s="80">
        <f t="shared" si="216"/>
        <v>0</v>
      </c>
      <c r="Y327" s="80">
        <f t="shared" si="216"/>
        <v>0</v>
      </c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</row>
    <row r="328" spans="1:77" s="77" customFormat="1" x14ac:dyDescent="0.25">
      <c r="A328" s="74" t="s">
        <v>8</v>
      </c>
      <c r="B328" s="74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9"/>
      <c r="W328" s="58"/>
      <c r="X328" s="58"/>
      <c r="Y328" s="129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</row>
    <row r="329" spans="1:77" s="61" customFormat="1" x14ac:dyDescent="0.25">
      <c r="B329" s="61" t="s">
        <v>116</v>
      </c>
      <c r="C329" s="55">
        <f>SUM('Research Area'!C329+'Education Workforce Development'!C329+'Research Cyberinfrastructure'!C329+'EA &amp; Seed Funding'!C329+'Broadening Participation Divers'!C329+'Communications &amp; Disseminations'!C329+'Partnerships &amp; Collaborations'!C329+'Sustainability Plan'!C329+'Management '!C329+'Evaluation and Assessment '!C329)</f>
        <v>1000</v>
      </c>
      <c r="D329" s="56">
        <f>SUM('Research Area'!D329+'Research Cyberinfrastructure'!D329+'EA &amp; Seed Funding'!D329+'Partnerships &amp; Collaborations'!D329+'Broadening Participation Divers'!D329+'Education Workforce Development'!D329+'Communications &amp; Disseminations'!D329+'Evaluation and Assessment '!D329+'Sustainability Plan'!D329+'Management '!D329)</f>
        <v>0</v>
      </c>
      <c r="E329" s="57">
        <f t="shared" ref="E329" si="217">SUM(C329:D329)</f>
        <v>1000</v>
      </c>
      <c r="F329" s="58"/>
      <c r="G329" s="55">
        <f>SUM('Research Area'!G329+'Education Workforce Development'!G329+'Research Cyberinfrastructure'!G329+'EA &amp; Seed Funding'!G329+'Broadening Participation Divers'!G329+'Communications &amp; Disseminations'!G329+'Partnerships &amp; Collaborations'!G329+'Sustainability Plan'!G329+'Management '!G329+'Evaluation and Assessment '!G329)</f>
        <v>1000</v>
      </c>
      <c r="H329" s="56">
        <f>SUM('Research Area'!H329+'Research Cyberinfrastructure'!H329+'EA &amp; Seed Funding'!H329+'Partnerships &amp; Collaborations'!H329+'Broadening Participation Divers'!H329+'Education Workforce Development'!H329+'Communications &amp; Disseminations'!H329+'Evaluation and Assessment '!H329+'Sustainability Plan'!H329+'Management '!H329)</f>
        <v>0</v>
      </c>
      <c r="I329" s="57">
        <f t="shared" ref="I329" si="218">SUM(G329:H329)</f>
        <v>1000</v>
      </c>
      <c r="J329" s="58"/>
      <c r="K329" s="55">
        <f>SUM('Research Area'!K329+'Education Workforce Development'!K329+'Research Cyberinfrastructure'!K329+'EA &amp; Seed Funding'!K329+'Broadening Participation Divers'!K329+'Communications &amp; Disseminations'!K329+'Partnerships &amp; Collaborations'!K329+'Sustainability Plan'!K329+'Management '!K329+'Evaluation and Assessment '!K329)</f>
        <v>1000</v>
      </c>
      <c r="L329" s="56">
        <f>SUM('Research Area'!L329+'Research Cyberinfrastructure'!L329+'EA &amp; Seed Funding'!L329+'Partnerships &amp; Collaborations'!L329+'Broadening Participation Divers'!L329+'Education Workforce Development'!L329+'Communications &amp; Disseminations'!L329+'Evaluation and Assessment '!L329+'Sustainability Plan'!L329+'Management '!L329)</f>
        <v>0</v>
      </c>
      <c r="M329" s="57">
        <f t="shared" ref="M329" si="219">SUM(K329:L329)</f>
        <v>1000</v>
      </c>
      <c r="N329" s="58"/>
      <c r="O329" s="55">
        <f>K329</f>
        <v>1000</v>
      </c>
      <c r="P329" s="56">
        <v>0</v>
      </c>
      <c r="Q329" s="56">
        <f t="shared" ref="Q329" si="220">SUM(O329:P329)</f>
        <v>1000</v>
      </c>
      <c r="R329" s="58"/>
      <c r="S329" s="55">
        <f>SUM('Research Area'!S329+'Education Workforce Development'!S329+'Research Cyberinfrastructure'!S329+'EA &amp; Seed Funding'!S329+'Broadening Participation Divers'!S329+'Communications &amp; Disseminations'!S329+'Partnerships &amp; Collaborations'!S329+'Sustainability Plan'!S329+'Management '!S329+'Evaluation and Assessment '!S329)</f>
        <v>1000</v>
      </c>
      <c r="T329" s="56">
        <f>SUM('Research Area'!T329+'Research Cyberinfrastructure'!T329+'EA &amp; Seed Funding'!T329+'Partnerships &amp; Collaborations'!T329+'Broadening Participation Divers'!T329+'Education Workforce Development'!T329+'Communications &amp; Disseminations'!T329+'Evaluation and Assessment '!T329+'Sustainability Plan'!T329+'Management '!T329)</f>
        <v>0</v>
      </c>
      <c r="U329" s="57">
        <f t="shared" ref="U329" si="221">SUM(S329:T329)</f>
        <v>1000</v>
      </c>
      <c r="V329" s="59"/>
      <c r="W329" s="124">
        <f t="shared" ref="W329:Y333" si="222">C329+G329+K329+O329+S329</f>
        <v>5000</v>
      </c>
      <c r="X329" s="57">
        <f t="shared" si="222"/>
        <v>0</v>
      </c>
      <c r="Y329" s="202">
        <f t="shared" si="222"/>
        <v>5000</v>
      </c>
    </row>
    <row r="330" spans="1:77" s="61" customFormat="1" x14ac:dyDescent="0.25">
      <c r="A330" s="203"/>
      <c r="B330" s="54" t="s">
        <v>57</v>
      </c>
      <c r="C330" s="55">
        <f>SUM('Research Area'!C330+'Education Workforce Development'!C330+'Research Cyberinfrastructure'!C330+'EA &amp; Seed Funding'!C330+'Broadening Participation Divers'!C330+'Communications &amp; Disseminations'!C330+'Partnerships &amp; Collaborations'!C330+'Sustainability Plan'!C330+'Management '!C330+'Evaluation and Assessment '!C330)</f>
        <v>0</v>
      </c>
      <c r="D330" s="56">
        <f>SUM('Research Area'!D330+'Research Cyberinfrastructure'!D330+'EA &amp; Seed Funding'!D330+'Partnerships &amp; Collaborations'!D330+'Broadening Participation Divers'!D330+'Education Workforce Development'!D330+'Communications &amp; Disseminations'!D330+'Evaluation and Assessment '!D330+'Sustainability Plan'!D330+'Management '!D330)</f>
        <v>0</v>
      </c>
      <c r="E330" s="56">
        <f t="shared" ref="E330:E332" si="223">SUM(C330:D330)</f>
        <v>0</v>
      </c>
      <c r="F330" s="58"/>
      <c r="G330" s="55">
        <f>SUM('Research Area'!G330+'Education Workforce Development'!G330+'Research Cyberinfrastructure'!G330+'EA &amp; Seed Funding'!G330+'Broadening Participation Divers'!G330+'Communications &amp; Disseminations'!G330+'Partnerships &amp; Collaborations'!G330+'Sustainability Plan'!G330+'Management '!G330+'Evaluation and Assessment '!G330)</f>
        <v>10000</v>
      </c>
      <c r="H330" s="56">
        <f>SUM('Research Area'!H330+'Research Cyberinfrastructure'!H330+'EA &amp; Seed Funding'!H330+'Partnerships &amp; Collaborations'!H330+'Broadening Participation Divers'!H330+'Education Workforce Development'!H330+'Communications &amp; Disseminations'!H330+'Evaluation and Assessment '!H330+'Sustainability Plan'!H330+'Management '!H330)</f>
        <v>0</v>
      </c>
      <c r="I330" s="57">
        <f t="shared" ref="I330:I332" si="224">SUM(G330:H330)</f>
        <v>10000</v>
      </c>
      <c r="J330" s="58"/>
      <c r="K330" s="55">
        <f>SUM('Research Area'!K330+'Education Workforce Development'!K330+'Research Cyberinfrastructure'!K330+'EA &amp; Seed Funding'!K330+'Broadening Participation Divers'!K330+'Communications &amp; Disseminations'!K330+'Partnerships &amp; Collaborations'!K330+'Sustainability Plan'!K330+'Management '!K330+'Evaluation and Assessment '!K330)</f>
        <v>10000</v>
      </c>
      <c r="L330" s="56">
        <f>SUM('Research Area'!L330+'Research Cyberinfrastructure'!L330+'EA &amp; Seed Funding'!L330+'Partnerships &amp; Collaborations'!L330+'Broadening Participation Divers'!L330+'Education Workforce Development'!L330+'Communications &amp; Disseminations'!L330+'Evaluation and Assessment '!L330+'Sustainability Plan'!L330+'Management '!L330)</f>
        <v>0</v>
      </c>
      <c r="M330" s="57">
        <f t="shared" ref="M330:M332" si="225">SUM(K330:L330)</f>
        <v>10000</v>
      </c>
      <c r="N330" s="58"/>
      <c r="O330" s="55">
        <f>SUM('Research Area'!O330+'Education Workforce Development'!O330+'Research Cyberinfrastructure'!O330+'EA &amp; Seed Funding'!O330+'Broadening Participation Divers'!O330+'Communications &amp; Disseminations'!O330+'Partnerships &amp; Collaborations'!O330+'Sustainability Plan'!O330+'Management '!O330+'Evaluation and Assessment '!O330)</f>
        <v>10000</v>
      </c>
      <c r="P330" s="57">
        <v>0</v>
      </c>
      <c r="Q330" s="57">
        <f t="shared" ref="Q330:Q332" si="226">SUM(O330:P330)</f>
        <v>10000</v>
      </c>
      <c r="R330" s="58"/>
      <c r="S330" s="55">
        <f>SUM('Research Area'!S330+'Education Workforce Development'!S330+'Research Cyberinfrastructure'!S330+'EA &amp; Seed Funding'!S330+'Broadening Participation Divers'!S330+'Communications &amp; Disseminations'!S330+'Partnerships &amp; Collaborations'!S330+'Sustainability Plan'!S330+'Management '!S330+'Evaluation and Assessment '!S330)</f>
        <v>0</v>
      </c>
      <c r="T330" s="56">
        <f>SUM('Research Area'!T330+'Research Cyberinfrastructure'!T330+'EA &amp; Seed Funding'!T330+'Partnerships &amp; Collaborations'!T330+'Broadening Participation Divers'!T330+'Education Workforce Development'!T330+'Communications &amp; Disseminations'!T330+'Evaluation and Assessment '!T330+'Sustainability Plan'!T330+'Management '!T330)</f>
        <v>0</v>
      </c>
      <c r="U330" s="57">
        <f t="shared" ref="U330:U332" si="227">SUM(S330:T330)</f>
        <v>0</v>
      </c>
      <c r="V330" s="59"/>
      <c r="W330" s="124">
        <f t="shared" si="222"/>
        <v>30000</v>
      </c>
      <c r="X330" s="57">
        <f t="shared" si="222"/>
        <v>0</v>
      </c>
      <c r="Y330" s="84">
        <f t="shared" si="222"/>
        <v>30000</v>
      </c>
    </row>
    <row r="331" spans="1:77" s="61" customFormat="1" x14ac:dyDescent="0.25">
      <c r="A331" s="54"/>
      <c r="B331" s="54" t="s">
        <v>57</v>
      </c>
      <c r="C331" s="172">
        <f>SUM('Research Area'!C331+'Education Workforce Development'!C331+'Research Cyberinfrastructure'!C331+'EA &amp; Seed Funding'!C331+'Broadening Participation Divers'!C331+'Communications &amp; Disseminations'!C331+'Partnerships &amp; Collaborations'!C331+'Sustainability Plan'!C331+'Management '!C331+'Evaluation and Assessment '!C331)</f>
        <v>0</v>
      </c>
      <c r="D331" s="56">
        <f>SUM('Research Area'!D331+'Research Cyberinfrastructure'!D331+'EA &amp; Seed Funding'!D331+'Partnerships &amp; Collaborations'!D331+'Broadening Participation Divers'!D331+'Education Workforce Development'!D331+'Communications &amp; Disseminations'!D331+'Evaluation and Assessment '!D331+'Sustainability Plan'!D331+'Management '!D331)</f>
        <v>0</v>
      </c>
      <c r="E331" s="56">
        <f t="shared" si="223"/>
        <v>0</v>
      </c>
      <c r="F331" s="58"/>
      <c r="G331" s="172">
        <f>SUM('Research Area'!G331+'Education Workforce Development'!G331+'Research Cyberinfrastructure'!G331+'EA &amp; Seed Funding'!G331+'Broadening Participation Divers'!G331+'Communications &amp; Disseminations'!G331+'Partnerships &amp; Collaborations'!G331+'Sustainability Plan'!G331+'Management '!G331+'Evaluation and Assessment '!G331)</f>
        <v>0</v>
      </c>
      <c r="H331" s="56">
        <f>SUM('Research Area'!H331+'Research Cyberinfrastructure'!H331+'EA &amp; Seed Funding'!H331+'Partnerships &amp; Collaborations'!H331+'Broadening Participation Divers'!H331+'Education Workforce Development'!H331+'Communications &amp; Disseminations'!H331+'Evaluation and Assessment '!H331+'Sustainability Plan'!H331+'Management '!H331)</f>
        <v>0</v>
      </c>
      <c r="I331" s="57">
        <f t="shared" si="224"/>
        <v>0</v>
      </c>
      <c r="J331" s="58"/>
      <c r="K331" s="172">
        <f>SUM('Research Area'!K331+'Education Workforce Development'!K331+'Research Cyberinfrastructure'!K331+'EA &amp; Seed Funding'!K331+'Broadening Participation Divers'!K331+'Communications &amp; Disseminations'!K331+'Partnerships &amp; Collaborations'!K331+'Sustainability Plan'!K331+'Management '!K331+'Evaluation and Assessment '!K331)</f>
        <v>0</v>
      </c>
      <c r="L331" s="56">
        <f>SUM('Research Area'!L331+'Research Cyberinfrastructure'!L331+'EA &amp; Seed Funding'!L331+'Partnerships &amp; Collaborations'!L331+'Broadening Participation Divers'!L331+'Education Workforce Development'!L331+'Communications &amp; Disseminations'!L331+'Evaluation and Assessment '!L331+'Sustainability Plan'!L331+'Management '!L331)</f>
        <v>0</v>
      </c>
      <c r="M331" s="57">
        <f t="shared" si="225"/>
        <v>0</v>
      </c>
      <c r="N331" s="58"/>
      <c r="O331" s="55">
        <v>0</v>
      </c>
      <c r="P331" s="56">
        <v>0</v>
      </c>
      <c r="Q331" s="56">
        <f t="shared" si="226"/>
        <v>0</v>
      </c>
      <c r="R331" s="58"/>
      <c r="S331" s="172">
        <f>SUM('Research Area'!S331+'Education Workforce Development'!S331+'Research Cyberinfrastructure'!S331+'EA &amp; Seed Funding'!S331+'Broadening Participation Divers'!S331+'Communications &amp; Disseminations'!S331+'Partnerships &amp; Collaborations'!S331+'Sustainability Plan'!S331+'Management '!S331+'Evaluation and Assessment '!S331)</f>
        <v>0</v>
      </c>
      <c r="T331" s="56">
        <f>SUM('Research Area'!T331+'Research Cyberinfrastructure'!T331+'EA &amp; Seed Funding'!T331+'Partnerships &amp; Collaborations'!T331+'Broadening Participation Divers'!T331+'Education Workforce Development'!T331+'Communications &amp; Disseminations'!T331+'Evaluation and Assessment '!T331+'Sustainability Plan'!T331+'Management '!T331)</f>
        <v>0</v>
      </c>
      <c r="U331" s="57">
        <f t="shared" si="227"/>
        <v>0</v>
      </c>
      <c r="V331" s="59"/>
      <c r="W331" s="124">
        <f t="shared" si="222"/>
        <v>0</v>
      </c>
      <c r="X331" s="57">
        <f t="shared" si="222"/>
        <v>0</v>
      </c>
      <c r="Y331" s="84">
        <f t="shared" si="222"/>
        <v>0</v>
      </c>
    </row>
    <row r="332" spans="1:77" s="61" customFormat="1" x14ac:dyDescent="0.25">
      <c r="A332" s="52"/>
      <c r="B332" s="52"/>
      <c r="C332" s="172">
        <f>SUM('Research Area'!C332+'Education Workforce Development'!C332+'Research Cyberinfrastructure'!C332+'EA &amp; Seed Funding'!C332+'Broadening Participation Divers'!C332+'Communications &amp; Disseminations'!C332+'Partnerships &amp; Collaborations'!C332+'Sustainability Plan'!C332+'Management '!C332+'Evaluation and Assessment '!C332)</f>
        <v>0</v>
      </c>
      <c r="D332" s="56">
        <f>SUM('Research Area'!D332+'Research Cyberinfrastructure'!D332+'EA &amp; Seed Funding'!D332+'Partnerships &amp; Collaborations'!D332+'Broadening Participation Divers'!D332+'Education Workforce Development'!D332+'Communications &amp; Disseminations'!D332+'Evaluation and Assessment '!D332+'Sustainability Plan'!D332+'Management '!D332)</f>
        <v>0</v>
      </c>
      <c r="E332" s="56">
        <f t="shared" si="223"/>
        <v>0</v>
      </c>
      <c r="F332" s="58"/>
      <c r="G332" s="172">
        <f>SUM('Research Area'!G332+'Education Workforce Development'!G332+'Research Cyberinfrastructure'!G332+'EA &amp; Seed Funding'!G332+'Broadening Participation Divers'!G332+'Communications &amp; Disseminations'!G332+'Partnerships &amp; Collaborations'!G332+'Sustainability Plan'!G332+'Management '!G332+'Evaluation and Assessment '!G332)</f>
        <v>0</v>
      </c>
      <c r="H332" s="56">
        <f>SUM('Research Area'!H332+'Research Cyberinfrastructure'!H332+'EA &amp; Seed Funding'!H332+'Partnerships &amp; Collaborations'!H332+'Broadening Participation Divers'!H332+'Education Workforce Development'!H332+'Communications &amp; Disseminations'!H332+'Evaluation and Assessment '!H332+'Sustainability Plan'!H332+'Management '!H332)</f>
        <v>0</v>
      </c>
      <c r="I332" s="57">
        <f t="shared" si="224"/>
        <v>0</v>
      </c>
      <c r="J332" s="58"/>
      <c r="K332" s="172">
        <f>SUM('Research Area'!K332+'Education Workforce Development'!K332+'Research Cyberinfrastructure'!K332+'EA &amp; Seed Funding'!K332+'Broadening Participation Divers'!K332+'Communications &amp; Disseminations'!K332+'Partnerships &amp; Collaborations'!K332+'Sustainability Plan'!K332+'Management '!K332+'Evaluation and Assessment '!K332)</f>
        <v>0</v>
      </c>
      <c r="L332" s="56">
        <f>SUM('Research Area'!L332+'Research Cyberinfrastructure'!L332+'EA &amp; Seed Funding'!L332+'Partnerships &amp; Collaborations'!L332+'Broadening Participation Divers'!L332+'Education Workforce Development'!L332+'Communications &amp; Disseminations'!L332+'Evaluation and Assessment '!L332+'Sustainability Plan'!L332+'Management '!L332)</f>
        <v>0</v>
      </c>
      <c r="M332" s="57">
        <f t="shared" si="225"/>
        <v>0</v>
      </c>
      <c r="N332" s="58"/>
      <c r="O332" s="55">
        <v>0</v>
      </c>
      <c r="P332" s="57">
        <v>0</v>
      </c>
      <c r="Q332" s="57">
        <f t="shared" si="226"/>
        <v>0</v>
      </c>
      <c r="R332" s="58"/>
      <c r="S332" s="172">
        <f>SUM('Research Area'!S332+'Education Workforce Development'!S332+'Research Cyberinfrastructure'!S332+'EA &amp; Seed Funding'!S332+'Broadening Participation Divers'!S332+'Communications &amp; Disseminations'!S332+'Partnerships &amp; Collaborations'!S332+'Sustainability Plan'!S332+'Management '!S332+'Evaluation and Assessment '!S332)</f>
        <v>0</v>
      </c>
      <c r="T332" s="56">
        <f>SUM('Research Area'!T332+'Research Cyberinfrastructure'!T332+'EA &amp; Seed Funding'!T332+'Partnerships &amp; Collaborations'!T332+'Broadening Participation Divers'!T332+'Education Workforce Development'!T332+'Communications &amp; Disseminations'!T332+'Evaluation and Assessment '!T332+'Sustainability Plan'!T332+'Management '!T332)</f>
        <v>0</v>
      </c>
      <c r="U332" s="57">
        <f t="shared" si="227"/>
        <v>0</v>
      </c>
      <c r="V332" s="59"/>
      <c r="W332" s="124">
        <f t="shared" si="222"/>
        <v>0</v>
      </c>
      <c r="X332" s="57">
        <f t="shared" si="222"/>
        <v>0</v>
      </c>
      <c r="Y332" s="84">
        <f t="shared" si="222"/>
        <v>0</v>
      </c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</row>
    <row r="333" spans="1:77" s="83" customFormat="1" x14ac:dyDescent="0.25">
      <c r="A333" s="78"/>
      <c r="B333" s="78" t="s">
        <v>9</v>
      </c>
      <c r="C333" s="229">
        <f>SUM(C329:C332)</f>
        <v>1000</v>
      </c>
      <c r="D333" s="153">
        <f>SUM(D329:D332)</f>
        <v>0</v>
      </c>
      <c r="E333" s="153">
        <f>SUM(E329:E332)</f>
        <v>1000</v>
      </c>
      <c r="F333" s="154"/>
      <c r="G333" s="152">
        <f>SUM(G329:G332)</f>
        <v>11000</v>
      </c>
      <c r="H333" s="155">
        <f>SUM(H329:H332)</f>
        <v>0</v>
      </c>
      <c r="I333" s="155">
        <f>SUM(I329:I332)</f>
        <v>11000</v>
      </c>
      <c r="J333" s="154"/>
      <c r="K333" s="152">
        <f>SUM(K329:K332)</f>
        <v>11000</v>
      </c>
      <c r="L333" s="155">
        <f>SUM(L329:L332)</f>
        <v>0</v>
      </c>
      <c r="M333" s="155">
        <f>SUM(M329:M332)</f>
        <v>11000</v>
      </c>
      <c r="N333" s="154"/>
      <c r="O333" s="152">
        <f>SUM(O329:O332)</f>
        <v>11000</v>
      </c>
      <c r="P333" s="155">
        <f>SUM(P329:P332)</f>
        <v>0</v>
      </c>
      <c r="Q333" s="155">
        <f>SUM(Q329:Q332)</f>
        <v>11000</v>
      </c>
      <c r="R333" s="154"/>
      <c r="S333" s="152">
        <f>SUM(S329:S332)</f>
        <v>1000</v>
      </c>
      <c r="T333" s="155">
        <f>SUM(T329:T332)</f>
        <v>0</v>
      </c>
      <c r="U333" s="155">
        <f>SUM(U329:U332)</f>
        <v>1000</v>
      </c>
      <c r="V333" s="82"/>
      <c r="W333" s="228">
        <f t="shared" si="222"/>
        <v>35000</v>
      </c>
      <c r="X333" s="80">
        <f t="shared" si="222"/>
        <v>0</v>
      </c>
      <c r="Y333" s="80">
        <f t="shared" si="222"/>
        <v>35000</v>
      </c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</row>
    <row r="334" spans="1:77" s="109" customFormat="1" x14ac:dyDescent="0.25">
      <c r="A334" s="250" t="s">
        <v>148</v>
      </c>
      <c r="B334" s="250"/>
      <c r="C334" s="251">
        <f t="shared" ref="C334:Y334" si="228">SUM(C313+C318+C323+C327+C333)</f>
        <v>15886.657856431922</v>
      </c>
      <c r="D334" s="251">
        <f t="shared" si="228"/>
        <v>0</v>
      </c>
      <c r="E334" s="251">
        <f t="shared" si="228"/>
        <v>15886.657856431922</v>
      </c>
      <c r="F334" s="251">
        <f t="shared" si="228"/>
        <v>0</v>
      </c>
      <c r="G334" s="251">
        <f t="shared" si="228"/>
        <v>26336.411007157858</v>
      </c>
      <c r="H334" s="251">
        <f t="shared" si="228"/>
        <v>0</v>
      </c>
      <c r="I334" s="251">
        <f t="shared" si="228"/>
        <v>26336.411007157858</v>
      </c>
      <c r="J334" s="251">
        <f t="shared" si="228"/>
        <v>0</v>
      </c>
      <c r="K334" s="251">
        <f t="shared" si="228"/>
        <v>26805.32979538108</v>
      </c>
      <c r="L334" s="251">
        <f t="shared" si="228"/>
        <v>0</v>
      </c>
      <c r="M334" s="251">
        <f t="shared" si="228"/>
        <v>26805.32979538108</v>
      </c>
      <c r="N334" s="251">
        <f t="shared" si="228"/>
        <v>0</v>
      </c>
      <c r="O334" s="251">
        <f t="shared" si="228"/>
        <v>27294.334678543717</v>
      </c>
      <c r="P334" s="251">
        <f t="shared" si="228"/>
        <v>0</v>
      </c>
      <c r="Q334" s="251">
        <f t="shared" si="228"/>
        <v>27294.334678543717</v>
      </c>
      <c r="R334" s="251">
        <f t="shared" si="228"/>
        <v>0</v>
      </c>
      <c r="S334" s="251">
        <f t="shared" si="228"/>
        <v>17804.394768049675</v>
      </c>
      <c r="T334" s="251">
        <f t="shared" si="228"/>
        <v>0</v>
      </c>
      <c r="U334" s="251">
        <f t="shared" si="228"/>
        <v>17804.394768049675</v>
      </c>
      <c r="V334" s="251">
        <f t="shared" si="228"/>
        <v>0</v>
      </c>
      <c r="W334" s="251">
        <f t="shared" si="228"/>
        <v>114127.12810556425</v>
      </c>
      <c r="X334" s="251">
        <f t="shared" si="228"/>
        <v>0</v>
      </c>
      <c r="Y334" s="251">
        <f t="shared" si="228"/>
        <v>114127.12810556425</v>
      </c>
      <c r="Z334" s="105"/>
      <c r="AA334" s="105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</row>
    <row r="335" spans="1:77" s="109" customFormat="1" x14ac:dyDescent="0.25">
      <c r="A335" s="250" t="s">
        <v>150</v>
      </c>
      <c r="B335" s="250"/>
      <c r="C335" s="251">
        <f>((C313+C323+C333)*0.2627)</f>
        <v>4173.4250188846663</v>
      </c>
      <c r="D335" s="251">
        <v>0</v>
      </c>
      <c r="E335" s="251">
        <f>C335</f>
        <v>4173.4250188846663</v>
      </c>
      <c r="F335" s="251">
        <f>F307*0.47</f>
        <v>0</v>
      </c>
      <c r="G335" s="251">
        <f>((G313+G323+G333)*0.2627)</f>
        <v>6918.575171580369</v>
      </c>
      <c r="H335" s="251">
        <v>0</v>
      </c>
      <c r="I335" s="251">
        <f>G335</f>
        <v>6918.575171580369</v>
      </c>
      <c r="J335" s="251">
        <f>J307*0.47</f>
        <v>0</v>
      </c>
      <c r="K335" s="251">
        <f>((K313+K323+K333)*0.2627)</f>
        <v>7041.7601372466097</v>
      </c>
      <c r="L335" s="251">
        <v>0</v>
      </c>
      <c r="M335" s="251">
        <f>K335</f>
        <v>7041.7601372466097</v>
      </c>
      <c r="N335" s="251">
        <f>N307*0.47</f>
        <v>0</v>
      </c>
      <c r="O335" s="251">
        <f>((O313+O323+O333)*0.2627)</f>
        <v>7170.2217200534342</v>
      </c>
      <c r="P335" s="251">
        <v>0</v>
      </c>
      <c r="Q335" s="251">
        <f>O335</f>
        <v>7170.2217200534342</v>
      </c>
      <c r="R335" s="251">
        <f>R307*0.47</f>
        <v>0</v>
      </c>
      <c r="S335" s="251">
        <f>((S313+S323+S333)*0.2627)</f>
        <v>4677.2145055666497</v>
      </c>
      <c r="T335" s="251">
        <v>0</v>
      </c>
      <c r="U335" s="251">
        <f>S335</f>
        <v>4677.2145055666497</v>
      </c>
      <c r="V335" s="251">
        <f>V307*0.47</f>
        <v>0</v>
      </c>
      <c r="W335" s="251">
        <f>((W313+W323+W333)*0.2627)</f>
        <v>29981.196553331727</v>
      </c>
      <c r="X335" s="251">
        <v>0</v>
      </c>
      <c r="Y335" s="251">
        <f>W335</f>
        <v>29981.196553331727</v>
      </c>
      <c r="Z335" s="105"/>
      <c r="AA335" s="105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</row>
    <row r="336" spans="1:77" s="109" customFormat="1" x14ac:dyDescent="0.25">
      <c r="A336" s="250" t="s">
        <v>151</v>
      </c>
      <c r="B336" s="250"/>
      <c r="C336" s="251">
        <f>SUM(C334:C335)</f>
        <v>20060.082875316588</v>
      </c>
      <c r="D336" s="251">
        <f t="shared" ref="D336:Y336" si="229">SUM(D334:D335)</f>
        <v>0</v>
      </c>
      <c r="E336" s="251">
        <f t="shared" si="229"/>
        <v>20060.082875316588</v>
      </c>
      <c r="F336" s="251">
        <f t="shared" si="229"/>
        <v>0</v>
      </c>
      <c r="G336" s="251">
        <f t="shared" si="229"/>
        <v>33254.986178738225</v>
      </c>
      <c r="H336" s="251">
        <f t="shared" si="229"/>
        <v>0</v>
      </c>
      <c r="I336" s="251">
        <f t="shared" si="229"/>
        <v>33254.986178738225</v>
      </c>
      <c r="J336" s="251">
        <f t="shared" si="229"/>
        <v>0</v>
      </c>
      <c r="K336" s="251">
        <f t="shared" si="229"/>
        <v>33847.089932627692</v>
      </c>
      <c r="L336" s="251">
        <f t="shared" si="229"/>
        <v>0</v>
      </c>
      <c r="M336" s="251">
        <f t="shared" si="229"/>
        <v>33847.089932627692</v>
      </c>
      <c r="N336" s="251">
        <f t="shared" si="229"/>
        <v>0</v>
      </c>
      <c r="O336" s="251">
        <f t="shared" si="229"/>
        <v>34464.556398597153</v>
      </c>
      <c r="P336" s="251">
        <f t="shared" si="229"/>
        <v>0</v>
      </c>
      <c r="Q336" s="251">
        <f t="shared" si="229"/>
        <v>34464.556398597153</v>
      </c>
      <c r="R336" s="251">
        <f t="shared" si="229"/>
        <v>0</v>
      </c>
      <c r="S336" s="251">
        <f t="shared" si="229"/>
        <v>22481.609273616326</v>
      </c>
      <c r="T336" s="251">
        <f t="shared" si="229"/>
        <v>0</v>
      </c>
      <c r="U336" s="251">
        <f t="shared" si="229"/>
        <v>22481.609273616326</v>
      </c>
      <c r="V336" s="251">
        <f t="shared" si="229"/>
        <v>0</v>
      </c>
      <c r="W336" s="251">
        <f t="shared" si="229"/>
        <v>144108.32465889596</v>
      </c>
      <c r="X336" s="251">
        <f t="shared" si="229"/>
        <v>0</v>
      </c>
      <c r="Y336" s="251">
        <f t="shared" si="229"/>
        <v>144108.32465889596</v>
      </c>
      <c r="Z336" s="105"/>
      <c r="AA336" s="105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</row>
    <row r="337" spans="1:77" s="13" customFormat="1" x14ac:dyDescent="0.25">
      <c r="C337" s="14"/>
      <c r="D337" s="14"/>
      <c r="E337" s="14"/>
      <c r="F337" s="14"/>
      <c r="G337" s="14"/>
      <c r="H337" s="14"/>
      <c r="I337" s="14"/>
      <c r="J337" s="14"/>
      <c r="K337" s="14"/>
      <c r="M337" s="14"/>
      <c r="N337" s="14"/>
      <c r="O337" s="14"/>
      <c r="Q337" s="14"/>
      <c r="R337" s="14"/>
      <c r="S337" s="14"/>
      <c r="U337" s="14"/>
      <c r="V337" s="16"/>
      <c r="W337" s="14"/>
      <c r="X337" s="14"/>
    </row>
    <row r="338" spans="1:77" s="4" customFormat="1" ht="13.8" thickBot="1" x14ac:dyDescent="0.3">
      <c r="A338" s="38"/>
      <c r="B338" s="38"/>
      <c r="C338" s="39"/>
      <c r="D338" s="39"/>
      <c r="E338" s="39"/>
      <c r="F338" s="39"/>
      <c r="G338" s="39"/>
      <c r="H338" s="39"/>
      <c r="I338" s="39"/>
      <c r="J338" s="39"/>
      <c r="K338" s="39"/>
      <c r="L338" s="38"/>
      <c r="M338" s="39"/>
      <c r="N338" s="39"/>
      <c r="O338" s="39"/>
      <c r="P338" s="38"/>
      <c r="Q338" s="39"/>
      <c r="R338" s="39"/>
      <c r="S338" s="39"/>
      <c r="T338" s="38"/>
      <c r="U338" s="39"/>
      <c r="V338" s="40"/>
      <c r="W338" s="39"/>
      <c r="X338" s="39"/>
      <c r="Y338" s="38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</row>
    <row r="339" spans="1:77" s="123" customFormat="1" ht="13.8" thickBot="1" x14ac:dyDescent="0.3">
      <c r="A339" s="119" t="s">
        <v>21</v>
      </c>
      <c r="B339" s="120"/>
      <c r="C339" s="121">
        <f>C248+C176+C88+C292+C336</f>
        <v>2099034.0815793797</v>
      </c>
      <c r="D339" s="121">
        <f t="shared" ref="D339:X339" si="230">D248+D176+D88+D292+D336</f>
        <v>883772.91694443952</v>
      </c>
      <c r="E339" s="121">
        <f t="shared" si="230"/>
        <v>2982805.9985238197</v>
      </c>
      <c r="F339" s="121" t="e">
        <f t="shared" si="230"/>
        <v>#REF!</v>
      </c>
      <c r="G339" s="121">
        <f t="shared" si="230"/>
        <v>5279616.4207866136</v>
      </c>
      <c r="H339" s="121">
        <f t="shared" si="230"/>
        <v>802313.71815039334</v>
      </c>
      <c r="I339" s="121">
        <f t="shared" si="230"/>
        <v>6081931.1389370067</v>
      </c>
      <c r="J339" s="121" t="e">
        <f t="shared" si="230"/>
        <v>#REF!</v>
      </c>
      <c r="K339" s="121">
        <f t="shared" si="230"/>
        <v>5027210.098512575</v>
      </c>
      <c r="L339" s="121">
        <f t="shared" si="230"/>
        <v>745894.13644749171</v>
      </c>
      <c r="M339" s="121">
        <f t="shared" si="230"/>
        <v>5773104.2349600671</v>
      </c>
      <c r="N339" s="121" t="e">
        <f t="shared" si="230"/>
        <v>#REF!</v>
      </c>
      <c r="O339" s="121">
        <f t="shared" si="230"/>
        <v>4224043.6290417966</v>
      </c>
      <c r="P339" s="121">
        <f t="shared" si="230"/>
        <v>803946.48005368933</v>
      </c>
      <c r="Q339" s="121">
        <f t="shared" si="230"/>
        <v>5027990.1090954859</v>
      </c>
      <c r="R339" s="121" t="e">
        <f t="shared" si="230"/>
        <v>#REF!</v>
      </c>
      <c r="S339" s="121">
        <f t="shared" si="230"/>
        <v>3370095.6813729224</v>
      </c>
      <c r="T339" s="121">
        <f t="shared" si="230"/>
        <v>764072.39030983974</v>
      </c>
      <c r="U339" s="121">
        <f t="shared" si="230"/>
        <v>4134168.0716827619</v>
      </c>
      <c r="V339" s="121" t="e">
        <f t="shared" si="230"/>
        <v>#REF!</v>
      </c>
      <c r="W339" s="121">
        <f t="shared" si="230"/>
        <v>19999998.211293291</v>
      </c>
      <c r="X339" s="121">
        <f t="shared" si="230"/>
        <v>3999999.6419058535</v>
      </c>
      <c r="Y339" s="121">
        <f>Y248+Y176+Y88+Y292+Y336</f>
        <v>23999998.053199142</v>
      </c>
      <c r="Z339" s="122"/>
      <c r="AA339" s="85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</row>
    <row r="340" spans="1:77" s="4" customFormat="1" x14ac:dyDescent="0.25">
      <c r="V340" s="45"/>
      <c r="W340" s="47"/>
      <c r="X340" s="47"/>
      <c r="Y340" s="46"/>
    </row>
    <row r="341" spans="1:77" s="4" customFormat="1" x14ac:dyDescent="0.25">
      <c r="V341" s="45"/>
      <c r="W341" s="47"/>
      <c r="X341" s="47"/>
      <c r="Y341" s="46"/>
    </row>
    <row r="342" spans="1:77" s="4" customFormat="1" x14ac:dyDescent="0.25">
      <c r="V342" s="45"/>
      <c r="W342" s="47"/>
      <c r="X342" s="47"/>
      <c r="Y342" s="46"/>
    </row>
    <row r="343" spans="1:77" s="4" customFormat="1" x14ac:dyDescent="0.25">
      <c r="V343" s="45"/>
      <c r="W343" s="47"/>
      <c r="X343" s="47"/>
      <c r="Y343" s="46"/>
    </row>
    <row r="344" spans="1:77" s="4" customFormat="1" x14ac:dyDescent="0.25">
      <c r="V344" s="45"/>
      <c r="W344" s="47"/>
      <c r="X344" s="47"/>
      <c r="Y344" s="46"/>
    </row>
    <row r="345" spans="1:77" s="4" customFormat="1" x14ac:dyDescent="0.25">
      <c r="V345" s="45"/>
      <c r="W345" s="47"/>
      <c r="X345" s="47"/>
      <c r="Y345" s="46"/>
    </row>
    <row r="346" spans="1:77" s="4" customFormat="1" x14ac:dyDescent="0.25">
      <c r="V346" s="45"/>
      <c r="W346" s="12"/>
      <c r="X346" s="12"/>
      <c r="Y346" s="46"/>
    </row>
    <row r="347" spans="1:77" s="4" customFormat="1" x14ac:dyDescent="0.25">
      <c r="V347" s="45"/>
      <c r="W347" s="12"/>
      <c r="X347" s="12"/>
      <c r="Y347" s="46"/>
    </row>
    <row r="348" spans="1:77" s="4" customFormat="1" x14ac:dyDescent="0.25">
      <c r="V348" s="45"/>
      <c r="W348" s="12"/>
      <c r="X348" s="12"/>
      <c r="Y348" s="46"/>
    </row>
    <row r="349" spans="1:77" s="4" customFormat="1" x14ac:dyDescent="0.25">
      <c r="V349" s="45"/>
      <c r="W349" s="12"/>
      <c r="X349" s="12"/>
      <c r="Y349" s="46"/>
    </row>
    <row r="350" spans="1:77" s="4" customFormat="1" x14ac:dyDescent="0.25">
      <c r="V350" s="45"/>
      <c r="W350" s="12"/>
      <c r="X350" s="12"/>
      <c r="Y350" s="46"/>
    </row>
    <row r="351" spans="1:77" s="4" customFormat="1" x14ac:dyDescent="0.25">
      <c r="V351" s="45"/>
      <c r="W351" s="12"/>
      <c r="X351" s="12"/>
      <c r="Y351" s="46"/>
    </row>
    <row r="352" spans="1:77" s="4" customFormat="1" x14ac:dyDescent="0.25">
      <c r="V352" s="45"/>
      <c r="W352" s="12"/>
      <c r="X352" s="12"/>
      <c r="Y352" s="46"/>
    </row>
    <row r="353" spans="22:25" s="4" customFormat="1" x14ac:dyDescent="0.25">
      <c r="V353" s="45"/>
      <c r="W353" s="12"/>
      <c r="X353" s="12"/>
      <c r="Y353" s="46"/>
    </row>
    <row r="354" spans="22:25" s="4" customFormat="1" x14ac:dyDescent="0.25">
      <c r="V354" s="45"/>
      <c r="W354" s="12"/>
      <c r="X354" s="12"/>
      <c r="Y354" s="46"/>
    </row>
    <row r="355" spans="22:25" s="4" customFormat="1" x14ac:dyDescent="0.25">
      <c r="V355" s="45"/>
      <c r="W355" s="12"/>
      <c r="X355" s="12"/>
      <c r="Y355" s="46"/>
    </row>
    <row r="356" spans="22:25" s="4" customFormat="1" x14ac:dyDescent="0.25">
      <c r="V356" s="45"/>
      <c r="W356" s="12"/>
      <c r="X356" s="12"/>
      <c r="Y356" s="46"/>
    </row>
    <row r="357" spans="22:25" s="4" customFormat="1" x14ac:dyDescent="0.25">
      <c r="V357" s="45"/>
      <c r="W357" s="12"/>
      <c r="X357" s="12"/>
      <c r="Y357" s="46"/>
    </row>
    <row r="358" spans="22:25" s="4" customFormat="1" x14ac:dyDescent="0.25">
      <c r="V358" s="45"/>
      <c r="W358" s="12"/>
      <c r="X358" s="12"/>
      <c r="Y358" s="46"/>
    </row>
    <row r="359" spans="22:25" s="4" customFormat="1" x14ac:dyDescent="0.25">
      <c r="V359" s="45"/>
      <c r="W359" s="12"/>
      <c r="X359" s="12"/>
      <c r="Y359" s="46"/>
    </row>
    <row r="360" spans="22:25" s="4" customFormat="1" x14ac:dyDescent="0.25">
      <c r="V360" s="45"/>
      <c r="W360" s="12"/>
      <c r="X360" s="12"/>
      <c r="Y360" s="46"/>
    </row>
    <row r="361" spans="22:25" s="4" customFormat="1" x14ac:dyDescent="0.25">
      <c r="V361" s="45"/>
      <c r="W361" s="12"/>
      <c r="X361" s="12"/>
      <c r="Y361" s="46"/>
    </row>
    <row r="362" spans="22:25" s="4" customFormat="1" x14ac:dyDescent="0.25">
      <c r="V362" s="45"/>
      <c r="W362" s="12"/>
      <c r="X362" s="12"/>
      <c r="Y362" s="46"/>
    </row>
    <row r="363" spans="22:25" s="4" customFormat="1" x14ac:dyDescent="0.25">
      <c r="V363" s="45"/>
      <c r="W363" s="12"/>
      <c r="X363" s="12"/>
      <c r="Y363" s="46"/>
    </row>
    <row r="364" spans="22:25" s="4" customFormat="1" x14ac:dyDescent="0.25">
      <c r="V364" s="45"/>
      <c r="W364" s="12"/>
      <c r="X364" s="12"/>
      <c r="Y364" s="46"/>
    </row>
    <row r="365" spans="22:25" s="4" customFormat="1" x14ac:dyDescent="0.25">
      <c r="V365" s="45"/>
      <c r="W365" s="12"/>
      <c r="X365" s="12"/>
      <c r="Y365" s="46"/>
    </row>
    <row r="366" spans="22:25" s="4" customFormat="1" x14ac:dyDescent="0.25">
      <c r="V366" s="45"/>
      <c r="W366" s="12"/>
      <c r="X366" s="12"/>
      <c r="Y366" s="46"/>
    </row>
    <row r="367" spans="22:25" s="4" customFormat="1" x14ac:dyDescent="0.25">
      <c r="V367" s="45"/>
      <c r="W367" s="12"/>
      <c r="X367" s="12"/>
      <c r="Y367" s="46"/>
    </row>
    <row r="368" spans="22:25" s="4" customFormat="1" x14ac:dyDescent="0.25">
      <c r="V368" s="45"/>
      <c r="W368" s="12"/>
      <c r="X368" s="12"/>
      <c r="Y368" s="46"/>
    </row>
    <row r="369" spans="22:25" s="4" customFormat="1" x14ac:dyDescent="0.25">
      <c r="V369" s="45"/>
      <c r="W369" s="12"/>
      <c r="X369" s="12"/>
      <c r="Y369" s="46"/>
    </row>
    <row r="370" spans="22:25" s="4" customFormat="1" x14ac:dyDescent="0.25">
      <c r="V370" s="45"/>
      <c r="W370" s="12"/>
      <c r="X370" s="12"/>
      <c r="Y370" s="46"/>
    </row>
    <row r="371" spans="22:25" s="4" customFormat="1" x14ac:dyDescent="0.25">
      <c r="V371" s="45"/>
      <c r="W371" s="12"/>
      <c r="X371" s="12"/>
      <c r="Y371" s="46"/>
    </row>
    <row r="372" spans="22:25" s="4" customFormat="1" x14ac:dyDescent="0.25">
      <c r="V372" s="45"/>
      <c r="W372" s="12"/>
      <c r="X372" s="12"/>
      <c r="Y372" s="46"/>
    </row>
    <row r="373" spans="22:25" s="4" customFormat="1" x14ac:dyDescent="0.25">
      <c r="V373" s="45"/>
      <c r="W373" s="12"/>
      <c r="X373" s="12"/>
      <c r="Y373" s="46"/>
    </row>
    <row r="374" spans="22:25" s="4" customFormat="1" x14ac:dyDescent="0.25">
      <c r="V374" s="45"/>
      <c r="W374" s="12"/>
      <c r="X374" s="12"/>
      <c r="Y374" s="46"/>
    </row>
    <row r="375" spans="22:25" s="4" customFormat="1" x14ac:dyDescent="0.25">
      <c r="V375" s="45"/>
      <c r="W375" s="12"/>
      <c r="X375" s="12"/>
      <c r="Y375" s="46"/>
    </row>
    <row r="376" spans="22:25" s="4" customFormat="1" x14ac:dyDescent="0.25">
      <c r="V376" s="45"/>
      <c r="W376" s="12"/>
      <c r="X376" s="12"/>
      <c r="Y376" s="46"/>
    </row>
    <row r="377" spans="22:25" s="4" customFormat="1" x14ac:dyDescent="0.25">
      <c r="V377" s="45"/>
      <c r="W377" s="12"/>
      <c r="X377" s="12"/>
      <c r="Y377" s="46"/>
    </row>
    <row r="378" spans="22:25" s="4" customFormat="1" x14ac:dyDescent="0.25">
      <c r="V378" s="45"/>
      <c r="W378" s="12"/>
      <c r="X378" s="12"/>
      <c r="Y378" s="46"/>
    </row>
    <row r="379" spans="22:25" s="4" customFormat="1" x14ac:dyDescent="0.25">
      <c r="V379" s="45"/>
      <c r="W379" s="12"/>
      <c r="X379" s="12"/>
      <c r="Y379" s="46"/>
    </row>
    <row r="380" spans="22:25" s="4" customFormat="1" x14ac:dyDescent="0.25">
      <c r="V380" s="45"/>
      <c r="W380" s="12"/>
      <c r="X380" s="12"/>
      <c r="Y380" s="46"/>
    </row>
    <row r="381" spans="22:25" s="4" customFormat="1" x14ac:dyDescent="0.25">
      <c r="V381" s="45"/>
      <c r="W381" s="12"/>
      <c r="X381" s="12"/>
      <c r="Y381" s="46"/>
    </row>
    <row r="382" spans="22:25" s="4" customFormat="1" x14ac:dyDescent="0.25">
      <c r="V382" s="45"/>
      <c r="W382" s="12"/>
      <c r="X382" s="12"/>
      <c r="Y382" s="46"/>
    </row>
    <row r="383" spans="22:25" s="4" customFormat="1" x14ac:dyDescent="0.25">
      <c r="V383" s="45"/>
      <c r="W383" s="12"/>
      <c r="X383" s="12"/>
      <c r="Y383" s="46"/>
    </row>
    <row r="384" spans="22:25" s="4" customFormat="1" x14ac:dyDescent="0.25">
      <c r="V384" s="45"/>
      <c r="W384" s="12"/>
      <c r="X384" s="12"/>
      <c r="Y384" s="46"/>
    </row>
    <row r="385" spans="22:25" s="4" customFormat="1" x14ac:dyDescent="0.25">
      <c r="V385" s="45"/>
      <c r="W385" s="12"/>
      <c r="X385" s="12"/>
      <c r="Y385" s="46"/>
    </row>
    <row r="386" spans="22:25" s="4" customFormat="1" x14ac:dyDescent="0.25">
      <c r="V386" s="45"/>
      <c r="W386" s="12"/>
      <c r="X386" s="12"/>
      <c r="Y386" s="46"/>
    </row>
    <row r="387" spans="22:25" s="4" customFormat="1" x14ac:dyDescent="0.25">
      <c r="V387" s="45"/>
      <c r="W387" s="12"/>
      <c r="X387" s="12"/>
      <c r="Y387" s="46"/>
    </row>
    <row r="388" spans="22:25" s="4" customFormat="1" x14ac:dyDescent="0.25">
      <c r="V388" s="45"/>
      <c r="W388" s="12"/>
      <c r="X388" s="12"/>
      <c r="Y388" s="46"/>
    </row>
    <row r="389" spans="22:25" s="4" customFormat="1" x14ac:dyDescent="0.25">
      <c r="V389" s="45"/>
      <c r="W389" s="12"/>
      <c r="X389" s="12"/>
      <c r="Y389" s="46"/>
    </row>
    <row r="390" spans="22:25" s="4" customFormat="1" x14ac:dyDescent="0.25">
      <c r="V390" s="45"/>
      <c r="W390" s="12"/>
      <c r="X390" s="12"/>
      <c r="Y390" s="46"/>
    </row>
    <row r="391" spans="22:25" s="4" customFormat="1" x14ac:dyDescent="0.25">
      <c r="V391" s="45"/>
      <c r="W391" s="12"/>
      <c r="X391" s="12"/>
      <c r="Y391" s="46"/>
    </row>
    <row r="392" spans="22:25" s="4" customFormat="1" x14ac:dyDescent="0.25">
      <c r="V392" s="45"/>
      <c r="W392" s="12"/>
      <c r="X392" s="12"/>
      <c r="Y392" s="46"/>
    </row>
    <row r="393" spans="22:25" s="4" customFormat="1" x14ac:dyDescent="0.25">
      <c r="V393" s="45"/>
      <c r="W393" s="12"/>
      <c r="X393" s="12"/>
      <c r="Y393" s="46"/>
    </row>
    <row r="394" spans="22:25" s="4" customFormat="1" x14ac:dyDescent="0.25">
      <c r="V394" s="45"/>
      <c r="W394" s="12"/>
      <c r="X394" s="12"/>
      <c r="Y394" s="46"/>
    </row>
    <row r="395" spans="22:25" s="4" customFormat="1" x14ac:dyDescent="0.25">
      <c r="V395" s="45"/>
      <c r="W395" s="12"/>
      <c r="X395" s="12"/>
      <c r="Y395" s="46"/>
    </row>
    <row r="396" spans="22:25" s="4" customFormat="1" x14ac:dyDescent="0.25">
      <c r="V396" s="45"/>
      <c r="W396" s="12"/>
      <c r="X396" s="12"/>
      <c r="Y396" s="46"/>
    </row>
    <row r="397" spans="22:25" s="4" customFormat="1" x14ac:dyDescent="0.25">
      <c r="V397" s="45"/>
      <c r="W397" s="12"/>
      <c r="X397" s="12"/>
      <c r="Y397" s="46"/>
    </row>
    <row r="398" spans="22:25" s="4" customFormat="1" x14ac:dyDescent="0.25">
      <c r="V398" s="45"/>
      <c r="W398" s="12"/>
      <c r="X398" s="12"/>
      <c r="Y398" s="46"/>
    </row>
    <row r="399" spans="22:25" s="4" customFormat="1" x14ac:dyDescent="0.25">
      <c r="V399" s="45"/>
      <c r="W399" s="12"/>
      <c r="X399" s="12"/>
      <c r="Y399" s="46"/>
    </row>
    <row r="400" spans="22:25" s="4" customFormat="1" x14ac:dyDescent="0.25">
      <c r="V400" s="45"/>
      <c r="W400" s="12"/>
      <c r="X400" s="12"/>
      <c r="Y400" s="46"/>
    </row>
    <row r="401" spans="22:25" s="4" customFormat="1" x14ac:dyDescent="0.25">
      <c r="V401" s="45"/>
      <c r="W401" s="12"/>
      <c r="X401" s="12"/>
      <c r="Y401" s="46"/>
    </row>
    <row r="402" spans="22:25" s="4" customFormat="1" x14ac:dyDescent="0.25">
      <c r="V402" s="45"/>
      <c r="W402" s="12"/>
      <c r="X402" s="12"/>
      <c r="Y402" s="46"/>
    </row>
    <row r="403" spans="22:25" s="4" customFormat="1" x14ac:dyDescent="0.25">
      <c r="V403" s="45"/>
      <c r="W403" s="12"/>
      <c r="X403" s="12"/>
      <c r="Y403" s="46"/>
    </row>
    <row r="404" spans="22:25" s="4" customFormat="1" x14ac:dyDescent="0.25">
      <c r="V404" s="45"/>
      <c r="W404" s="12"/>
      <c r="X404" s="12"/>
      <c r="Y404" s="46"/>
    </row>
    <row r="405" spans="22:25" s="4" customFormat="1" x14ac:dyDescent="0.25">
      <c r="V405" s="45"/>
      <c r="W405" s="12"/>
      <c r="X405" s="12"/>
      <c r="Y405" s="46"/>
    </row>
    <row r="406" spans="22:25" s="4" customFormat="1" x14ac:dyDescent="0.25">
      <c r="V406" s="45"/>
      <c r="W406" s="12"/>
      <c r="X406" s="12"/>
      <c r="Y406" s="46"/>
    </row>
    <row r="407" spans="22:25" s="4" customFormat="1" x14ac:dyDescent="0.25">
      <c r="V407" s="45"/>
      <c r="W407" s="12"/>
      <c r="X407" s="12"/>
      <c r="Y407" s="46"/>
    </row>
    <row r="408" spans="22:25" s="4" customFormat="1" x14ac:dyDescent="0.25">
      <c r="V408" s="45"/>
      <c r="W408" s="12"/>
      <c r="X408" s="12"/>
      <c r="Y408" s="46"/>
    </row>
    <row r="409" spans="22:25" s="4" customFormat="1" x14ac:dyDescent="0.25">
      <c r="V409" s="45"/>
      <c r="W409" s="12"/>
      <c r="X409" s="12"/>
      <c r="Y409" s="46"/>
    </row>
    <row r="410" spans="22:25" s="4" customFormat="1" x14ac:dyDescent="0.25">
      <c r="V410" s="45"/>
      <c r="W410" s="12"/>
      <c r="X410" s="12"/>
      <c r="Y410" s="46"/>
    </row>
    <row r="411" spans="22:25" s="4" customFormat="1" x14ac:dyDescent="0.25">
      <c r="V411" s="45"/>
      <c r="W411" s="12"/>
      <c r="X411" s="12"/>
      <c r="Y411" s="46"/>
    </row>
    <row r="412" spans="22:25" s="4" customFormat="1" x14ac:dyDescent="0.25">
      <c r="V412" s="45"/>
      <c r="W412" s="12"/>
      <c r="X412" s="12"/>
      <c r="Y412" s="46"/>
    </row>
    <row r="413" spans="22:25" s="4" customFormat="1" x14ac:dyDescent="0.25">
      <c r="V413" s="45"/>
      <c r="W413" s="12"/>
      <c r="X413" s="12"/>
      <c r="Y413" s="46"/>
    </row>
    <row r="414" spans="22:25" s="4" customFormat="1" x14ac:dyDescent="0.25">
      <c r="V414" s="45"/>
      <c r="W414" s="12"/>
      <c r="X414" s="12"/>
      <c r="Y414" s="46"/>
    </row>
    <row r="415" spans="22:25" s="4" customFormat="1" x14ac:dyDescent="0.25">
      <c r="V415" s="45"/>
      <c r="W415" s="12"/>
      <c r="X415" s="12"/>
      <c r="Y415" s="46"/>
    </row>
    <row r="416" spans="22:25" s="4" customFormat="1" x14ac:dyDescent="0.25">
      <c r="V416" s="45"/>
      <c r="W416" s="12"/>
      <c r="X416" s="12"/>
      <c r="Y416" s="46"/>
    </row>
    <row r="417" spans="22:25" s="4" customFormat="1" x14ac:dyDescent="0.25">
      <c r="V417" s="45"/>
      <c r="W417" s="12"/>
      <c r="X417" s="12"/>
      <c r="Y417" s="46"/>
    </row>
    <row r="418" spans="22:25" s="4" customFormat="1" x14ac:dyDescent="0.25">
      <c r="V418" s="45"/>
      <c r="W418" s="12"/>
      <c r="X418" s="12"/>
      <c r="Y418" s="46"/>
    </row>
    <row r="419" spans="22:25" s="4" customFormat="1" x14ac:dyDescent="0.25">
      <c r="V419" s="45"/>
      <c r="W419" s="12"/>
      <c r="X419" s="12"/>
      <c r="Y419" s="46"/>
    </row>
    <row r="420" spans="22:25" s="4" customFormat="1" x14ac:dyDescent="0.25">
      <c r="V420" s="45"/>
      <c r="W420" s="12"/>
      <c r="X420" s="12"/>
      <c r="Y420" s="46"/>
    </row>
    <row r="421" spans="22:25" s="4" customFormat="1" x14ac:dyDescent="0.25">
      <c r="V421" s="45"/>
      <c r="W421" s="12"/>
      <c r="X421" s="12"/>
      <c r="Y421" s="46"/>
    </row>
    <row r="422" spans="22:25" s="4" customFormat="1" x14ac:dyDescent="0.25">
      <c r="V422" s="45"/>
      <c r="W422" s="12"/>
      <c r="X422" s="12"/>
      <c r="Y422" s="46"/>
    </row>
    <row r="423" spans="22:25" s="4" customFormat="1" x14ac:dyDescent="0.25">
      <c r="V423" s="45"/>
      <c r="W423" s="12"/>
      <c r="X423" s="12"/>
      <c r="Y423" s="46"/>
    </row>
    <row r="424" spans="22:25" s="4" customFormat="1" x14ac:dyDescent="0.25">
      <c r="V424" s="45"/>
      <c r="W424" s="12"/>
      <c r="X424" s="12"/>
      <c r="Y424" s="46"/>
    </row>
    <row r="425" spans="22:25" s="4" customFormat="1" x14ac:dyDescent="0.25">
      <c r="V425" s="45"/>
      <c r="W425" s="12"/>
      <c r="X425" s="12"/>
      <c r="Y425" s="46"/>
    </row>
    <row r="426" spans="22:25" s="4" customFormat="1" x14ac:dyDescent="0.25">
      <c r="V426" s="45"/>
      <c r="W426" s="12"/>
      <c r="X426" s="12"/>
      <c r="Y426" s="46"/>
    </row>
    <row r="427" spans="22:25" s="4" customFormat="1" x14ac:dyDescent="0.25">
      <c r="V427" s="45"/>
      <c r="W427" s="12"/>
      <c r="X427" s="12"/>
      <c r="Y427" s="46"/>
    </row>
    <row r="428" spans="22:25" s="4" customFormat="1" x14ac:dyDescent="0.25">
      <c r="V428" s="45"/>
      <c r="W428" s="12"/>
      <c r="X428" s="12"/>
      <c r="Y428" s="46"/>
    </row>
    <row r="429" spans="22:25" s="4" customFormat="1" x14ac:dyDescent="0.25">
      <c r="V429" s="45"/>
      <c r="W429" s="12"/>
      <c r="X429" s="12"/>
      <c r="Y429" s="46"/>
    </row>
    <row r="430" spans="22:25" s="4" customFormat="1" x14ac:dyDescent="0.25">
      <c r="V430" s="45"/>
      <c r="W430" s="12"/>
      <c r="X430" s="12"/>
      <c r="Y430" s="46"/>
    </row>
    <row r="431" spans="22:25" s="4" customFormat="1" x14ac:dyDescent="0.25">
      <c r="V431" s="45"/>
      <c r="W431" s="12"/>
      <c r="X431" s="12"/>
      <c r="Y431" s="46"/>
    </row>
    <row r="432" spans="22:25" s="4" customFormat="1" x14ac:dyDescent="0.25">
      <c r="V432" s="45"/>
      <c r="W432" s="12"/>
      <c r="X432" s="12"/>
      <c r="Y432" s="46"/>
    </row>
    <row r="433" spans="22:25" s="4" customFormat="1" x14ac:dyDescent="0.25">
      <c r="V433" s="45"/>
      <c r="W433" s="12"/>
      <c r="X433" s="12"/>
      <c r="Y433" s="46"/>
    </row>
    <row r="434" spans="22:25" s="4" customFormat="1" x14ac:dyDescent="0.25">
      <c r="V434" s="45"/>
      <c r="W434" s="12"/>
      <c r="X434" s="12"/>
      <c r="Y434" s="46"/>
    </row>
    <row r="435" spans="22:25" s="4" customFormat="1" x14ac:dyDescent="0.25">
      <c r="V435" s="45"/>
      <c r="W435" s="12"/>
      <c r="X435" s="12"/>
      <c r="Y435" s="46"/>
    </row>
    <row r="436" spans="22:25" s="4" customFormat="1" x14ac:dyDescent="0.25">
      <c r="V436" s="45"/>
      <c r="W436" s="12"/>
      <c r="X436" s="12"/>
      <c r="Y436" s="46"/>
    </row>
    <row r="437" spans="22:25" s="4" customFormat="1" x14ac:dyDescent="0.25">
      <c r="V437" s="45"/>
      <c r="W437" s="12"/>
      <c r="X437" s="12"/>
      <c r="Y437" s="46"/>
    </row>
    <row r="438" spans="22:25" s="4" customFormat="1" x14ac:dyDescent="0.25">
      <c r="V438" s="45"/>
      <c r="W438" s="12"/>
      <c r="X438" s="12"/>
      <c r="Y438" s="46"/>
    </row>
    <row r="439" spans="22:25" s="4" customFormat="1" x14ac:dyDescent="0.25">
      <c r="V439" s="45"/>
      <c r="W439" s="12"/>
      <c r="X439" s="12"/>
      <c r="Y439" s="46"/>
    </row>
    <row r="440" spans="22:25" s="4" customFormat="1" x14ac:dyDescent="0.25">
      <c r="V440" s="45"/>
      <c r="W440" s="12"/>
      <c r="X440" s="12"/>
      <c r="Y440" s="46"/>
    </row>
    <row r="441" spans="22:25" s="4" customFormat="1" x14ac:dyDescent="0.25">
      <c r="V441" s="45"/>
      <c r="W441" s="12"/>
      <c r="X441" s="12"/>
      <c r="Y441" s="46"/>
    </row>
    <row r="442" spans="22:25" s="4" customFormat="1" x14ac:dyDescent="0.25">
      <c r="V442" s="45"/>
      <c r="W442" s="12"/>
      <c r="X442" s="12"/>
      <c r="Y442" s="46"/>
    </row>
    <row r="443" spans="22:25" s="4" customFormat="1" x14ac:dyDescent="0.25">
      <c r="V443" s="45"/>
      <c r="W443" s="12"/>
      <c r="X443" s="12"/>
      <c r="Y443" s="46"/>
    </row>
    <row r="444" spans="22:25" s="4" customFormat="1" x14ac:dyDescent="0.25">
      <c r="V444" s="45"/>
      <c r="W444" s="12"/>
      <c r="X444" s="12"/>
      <c r="Y444" s="46"/>
    </row>
    <row r="445" spans="22:25" s="4" customFormat="1" x14ac:dyDescent="0.25">
      <c r="V445" s="45"/>
      <c r="W445" s="12"/>
      <c r="X445" s="12"/>
      <c r="Y445" s="46"/>
    </row>
    <row r="446" spans="22:25" s="4" customFormat="1" x14ac:dyDescent="0.25">
      <c r="V446" s="45"/>
      <c r="W446" s="12"/>
      <c r="X446" s="12"/>
      <c r="Y446" s="46"/>
    </row>
    <row r="447" spans="22:25" s="4" customFormat="1" x14ac:dyDescent="0.25">
      <c r="V447" s="45"/>
      <c r="W447" s="12"/>
      <c r="X447" s="12"/>
      <c r="Y447" s="46"/>
    </row>
    <row r="448" spans="22:25" s="4" customFormat="1" x14ac:dyDescent="0.25">
      <c r="V448" s="45"/>
      <c r="W448" s="12"/>
      <c r="X448" s="12"/>
      <c r="Y448" s="46"/>
    </row>
    <row r="449" spans="22:25" s="4" customFormat="1" x14ac:dyDescent="0.25">
      <c r="V449" s="45"/>
      <c r="W449" s="12"/>
      <c r="X449" s="12"/>
      <c r="Y449" s="46"/>
    </row>
  </sheetData>
  <sheetProtection sort="0"/>
  <mergeCells count="13">
    <mergeCell ref="A250:Y250"/>
    <mergeCell ref="A294:Y294"/>
    <mergeCell ref="A178:Y178"/>
    <mergeCell ref="A4:Y4"/>
    <mergeCell ref="A90:Y90"/>
    <mergeCell ref="A1:Y1"/>
    <mergeCell ref="A2:B2"/>
    <mergeCell ref="C2:E2"/>
    <mergeCell ref="G2:I2"/>
    <mergeCell ref="K2:M2"/>
    <mergeCell ref="O2:Q2"/>
    <mergeCell ref="S2:U2"/>
    <mergeCell ref="W2:Y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J23"/>
  <sheetViews>
    <sheetView zoomScale="150" zoomScaleNormal="150" workbookViewId="0">
      <selection activeCell="B18" sqref="B18"/>
    </sheetView>
  </sheetViews>
  <sheetFormatPr defaultColWidth="8.88671875" defaultRowHeight="13.2" x14ac:dyDescent="0.25"/>
  <cols>
    <col min="2" max="2" width="34.109375" customWidth="1"/>
    <col min="3" max="7" width="9.109375" style="217" customWidth="1"/>
    <col min="8" max="8" width="12.6640625" style="217" bestFit="1" customWidth="1"/>
    <col min="9" max="9" width="10" style="2" customWidth="1"/>
    <col min="10" max="10" width="10.88671875" customWidth="1"/>
  </cols>
  <sheetData>
    <row r="1" spans="2:10" ht="13.8" thickBot="1" x14ac:dyDescent="0.3">
      <c r="B1" s="333" t="s">
        <v>48</v>
      </c>
      <c r="C1" s="333"/>
      <c r="D1" s="333"/>
      <c r="E1" s="333"/>
      <c r="F1" s="333"/>
      <c r="G1" s="333"/>
      <c r="H1" s="333"/>
      <c r="I1" s="333"/>
    </row>
    <row r="2" spans="2:10" s="285" customFormat="1" ht="27.75" customHeight="1" thickBot="1" x14ac:dyDescent="0.3">
      <c r="B2" s="280" t="s">
        <v>246</v>
      </c>
      <c r="C2" s="286" t="s">
        <v>43</v>
      </c>
      <c r="D2" s="286" t="s">
        <v>44</v>
      </c>
      <c r="E2" s="286" t="s">
        <v>45</v>
      </c>
      <c r="F2" s="286" t="s">
        <v>46</v>
      </c>
      <c r="G2" s="286" t="s">
        <v>47</v>
      </c>
      <c r="H2" s="286" t="s">
        <v>247</v>
      </c>
      <c r="I2" s="287" t="s">
        <v>62</v>
      </c>
      <c r="J2" s="288" t="s">
        <v>59</v>
      </c>
    </row>
    <row r="3" spans="2:10" ht="13.8" thickBot="1" x14ac:dyDescent="0.3">
      <c r="B3" s="1" t="s">
        <v>79</v>
      </c>
      <c r="C3" s="278">
        <f>'Grand Total'!C88/1000</f>
        <v>1282.188487773009</v>
      </c>
      <c r="D3" s="278">
        <f>'Grand Total'!G88/1000</f>
        <v>2824.6033919468182</v>
      </c>
      <c r="E3" s="278">
        <f>'Grand Total'!K88/1000</f>
        <v>2238.8084667084322</v>
      </c>
      <c r="F3" s="278">
        <f>'Grand Total'!O88/1000</f>
        <v>2184.1981467125856</v>
      </c>
      <c r="G3" s="278">
        <f>'Grand Total'!S88/1000</f>
        <v>1793.7323296319641</v>
      </c>
      <c r="H3" s="278">
        <f>SUM(C3:G3)</f>
        <v>10323.530822772809</v>
      </c>
      <c r="I3" s="161">
        <f>(H3/H8)+0.01</f>
        <v>0.52617654342805675</v>
      </c>
      <c r="J3" s="162">
        <f>'Grand Total'!X86/1000</f>
        <v>3372.0507365869971</v>
      </c>
    </row>
    <row r="4" spans="2:10" ht="13.8" thickBot="1" x14ac:dyDescent="0.3">
      <c r="B4" s="1" t="s">
        <v>80</v>
      </c>
      <c r="C4" s="278">
        <f>'Grand Total'!C176/1000</f>
        <v>442.0472088942829</v>
      </c>
      <c r="D4" s="278">
        <f>'Grand Total'!G176/1000</f>
        <v>997.60895535391148</v>
      </c>
      <c r="E4" s="278">
        <f>'Grand Total'!K176/1000</f>
        <v>1642.8727709554937</v>
      </c>
      <c r="F4" s="278">
        <f>'Grand Total'!O176/1000</f>
        <v>1029.7855091357046</v>
      </c>
      <c r="G4" s="278">
        <f>'Grand Total'!S176/1000</f>
        <v>926.92172959946117</v>
      </c>
      <c r="H4" s="278">
        <f>SUM(C4:G4)</f>
        <v>5039.2361739388534</v>
      </c>
      <c r="I4" s="161">
        <f>H4/H8</f>
        <v>0.25196180981447791</v>
      </c>
      <c r="J4" s="162">
        <f>'Grand Total'!X174/1000</f>
        <v>285.10081082803748</v>
      </c>
    </row>
    <row r="5" spans="2:10" ht="13.8" thickBot="1" x14ac:dyDescent="0.3">
      <c r="B5" s="1" t="s">
        <v>81</v>
      </c>
      <c r="C5" s="278">
        <f>'Grand Total'!C248/1000</f>
        <v>336.40278143373121</v>
      </c>
      <c r="D5" s="278">
        <f>'Grand Total'!G248/1000</f>
        <v>1395.2658410856202</v>
      </c>
      <c r="E5" s="278">
        <f>'Grand Total'!K248/1000</f>
        <v>1082.2272018134322</v>
      </c>
      <c r="F5" s="278">
        <f>'Grand Total'!O248/1000</f>
        <v>945.5447832522143</v>
      </c>
      <c r="G5" s="278">
        <f>'Grand Total'!S248/1000</f>
        <v>606.2873681252255</v>
      </c>
      <c r="H5" s="278">
        <f>SUM(C5:G5)</f>
        <v>4365.7279757102233</v>
      </c>
      <c r="I5" s="161">
        <f>H5/H8</f>
        <v>0.21828639975368463</v>
      </c>
      <c r="J5" s="162">
        <f>'Grand Total'!X246/1000</f>
        <v>342.84809449081854</v>
      </c>
    </row>
    <row r="6" spans="2:10" ht="13.8" thickBot="1" x14ac:dyDescent="0.3">
      <c r="B6" s="1" t="s">
        <v>182</v>
      </c>
      <c r="C6" s="279">
        <f>'Grand Total'!C292/1000</f>
        <v>18.335520603039999</v>
      </c>
      <c r="D6" s="279">
        <f>'Grand Total'!G292/1000</f>
        <v>28.883246221525138</v>
      </c>
      <c r="E6" s="279">
        <f>'Grand Total'!K292/1000</f>
        <v>29.45456910258882</v>
      </c>
      <c r="F6" s="279">
        <f>'Grand Total'!O292/1000</f>
        <v>30.05063354269446</v>
      </c>
      <c r="G6" s="279">
        <f>'Grand Total'!S292/1000</f>
        <v>20.67264474265528</v>
      </c>
      <c r="H6" s="278">
        <f>SUM(C6:G6)</f>
        <v>127.39661421250369</v>
      </c>
      <c r="I6" s="161">
        <f>H6/H8</f>
        <v>6.3698307388775225E-3</v>
      </c>
      <c r="J6" s="162">
        <f>'Grand Total'!X292/1000</f>
        <v>0</v>
      </c>
    </row>
    <row r="7" spans="2:10" ht="13.8" thickBot="1" x14ac:dyDescent="0.3">
      <c r="B7" s="1" t="s">
        <v>183</v>
      </c>
      <c r="C7" s="279">
        <f>'Grand Total'!C336/1000</f>
        <v>20.060082875316589</v>
      </c>
      <c r="D7" s="279">
        <f>'Grand Total'!G336/1000</f>
        <v>33.254986178738228</v>
      </c>
      <c r="E7" s="279">
        <f>'Grand Total'!K336/1000</f>
        <v>33.847089932627689</v>
      </c>
      <c r="F7" s="279">
        <f>'Grand Total'!O336/1000</f>
        <v>34.464556398597153</v>
      </c>
      <c r="G7" s="279">
        <f>'Grand Total'!S336/1000</f>
        <v>22.481609273616325</v>
      </c>
      <c r="H7" s="278">
        <f>SUM(C7:G7)</f>
        <v>144.10832465889598</v>
      </c>
      <c r="I7" s="161">
        <f>H7/H8</f>
        <v>7.2054162649032392E-3</v>
      </c>
      <c r="J7" s="162">
        <f>'Grand Total'!X336/1000</f>
        <v>0</v>
      </c>
    </row>
    <row r="8" spans="2:10" s="285" customFormat="1" ht="13.8" thickBot="1" x14ac:dyDescent="0.3">
      <c r="B8" s="281" t="s">
        <v>10</v>
      </c>
      <c r="C8" s="282">
        <f>SUM(C3:C7)</f>
        <v>2099.0340815793797</v>
      </c>
      <c r="D8" s="282">
        <f t="shared" ref="D8:H8" si="0">SUM(D3:D7)</f>
        <v>5279.6164207866132</v>
      </c>
      <c r="E8" s="282">
        <f t="shared" si="0"/>
        <v>5027.2100985125744</v>
      </c>
      <c r="F8" s="282">
        <f t="shared" si="0"/>
        <v>4224.0436290417956</v>
      </c>
      <c r="G8" s="282">
        <f t="shared" si="0"/>
        <v>3370.0956813729226</v>
      </c>
      <c r="H8" s="282">
        <f t="shared" si="0"/>
        <v>19999.999911293286</v>
      </c>
      <c r="I8" s="283">
        <f t="shared" ref="I8" si="1">SUM(I3:I5)</f>
        <v>0.99642475299621935</v>
      </c>
      <c r="J8" s="284">
        <f>SUM(J3:J5)</f>
        <v>3999.9996419058534</v>
      </c>
    </row>
    <row r="9" spans="2:10" ht="13.8" x14ac:dyDescent="0.3">
      <c r="B9" s="200" t="s">
        <v>77</v>
      </c>
      <c r="C9" s="274"/>
      <c r="D9" s="274"/>
      <c r="E9" s="274"/>
      <c r="F9" s="274"/>
      <c r="G9" s="274"/>
    </row>
    <row r="23" spans="4:4" x14ac:dyDescent="0.25">
      <c r="D23" s="274" t="s">
        <v>57</v>
      </c>
    </row>
  </sheetData>
  <sheetProtection selectLockedCells="1" selectUnlockedCells="1"/>
  <mergeCells count="1">
    <mergeCell ref="B1:I1"/>
  </mergeCells>
  <pageMargins left="0.7" right="0.7" top="0.75" bottom="0.75" header="0.3" footer="0.3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B2:O24"/>
  <sheetViews>
    <sheetView zoomScale="150" zoomScaleNormal="150" workbookViewId="0">
      <selection activeCell="B2" sqref="B2:J2"/>
    </sheetView>
  </sheetViews>
  <sheetFormatPr defaultRowHeight="13.2" x14ac:dyDescent="0.25"/>
  <cols>
    <col min="2" max="2" width="23.109375" customWidth="1"/>
    <col min="3" max="8" width="8.88671875" style="217" customWidth="1"/>
    <col min="9" max="9" width="8.88671875" style="2" customWidth="1"/>
    <col min="10" max="10" width="8.88671875" style="217" customWidth="1"/>
    <col min="11" max="11" width="11.5546875" style="239" customWidth="1"/>
    <col min="12" max="12" width="9" bestFit="1" customWidth="1"/>
    <col min="13" max="13" width="9.6640625" customWidth="1"/>
  </cols>
  <sheetData>
    <row r="2" spans="2:15" x14ac:dyDescent="0.25">
      <c r="B2" s="334" t="s">
        <v>243</v>
      </c>
      <c r="C2" s="334"/>
      <c r="D2" s="334"/>
      <c r="E2" s="334"/>
      <c r="F2" s="334"/>
      <c r="G2" s="334"/>
      <c r="H2" s="334"/>
      <c r="I2" s="334"/>
      <c r="J2" s="334"/>
    </row>
    <row r="3" spans="2:15" ht="39.6" x14ac:dyDescent="0.25">
      <c r="B3" s="163" t="s">
        <v>60</v>
      </c>
      <c r="C3" s="270" t="s">
        <v>43</v>
      </c>
      <c r="D3" s="270" t="s">
        <v>44</v>
      </c>
      <c r="E3" s="270" t="s">
        <v>45</v>
      </c>
      <c r="F3" s="270" t="s">
        <v>46</v>
      </c>
      <c r="G3" s="270" t="s">
        <v>47</v>
      </c>
      <c r="H3" s="270" t="s">
        <v>61</v>
      </c>
      <c r="I3" s="275" t="s">
        <v>242</v>
      </c>
      <c r="J3" s="270" t="s">
        <v>59</v>
      </c>
      <c r="K3" s="237"/>
      <c r="L3" s="165" t="s">
        <v>132</v>
      </c>
      <c r="M3" s="165" t="s">
        <v>136</v>
      </c>
    </row>
    <row r="4" spans="2:15" ht="24.75" customHeight="1" x14ac:dyDescent="0.25">
      <c r="B4" s="164" t="s">
        <v>244</v>
      </c>
      <c r="C4" s="271">
        <f>('Research Area'!C37+'Research Area'!C125+'Research Area'!C205+'Research Area'!C269+'Research Area'!C313+'Research Cyberinfrastructure'!C37+'Research Cyberinfrastructure'!C125+'Research Cyberinfrastructure'!C205)/1000</f>
        <v>255.93955297333116</v>
      </c>
      <c r="D4" s="271">
        <f>('Research Area'!G37+'Research Area'!G125+'Research Area'!G205+'Research Area'!G269+'Research Area'!G313+'Research Cyberinfrastructure'!G37+'Research Cyberinfrastructure'!G125+'Research Cyberinfrastructure'!G205)/1000</f>
        <v>1525.0322483079792</v>
      </c>
      <c r="E4" s="271">
        <f>('Research Area'!K37+'Research Area'!K125+'Research Area'!K205+'Research Area'!K269+'Research Area'!K313+'Research Cyberinfrastructure'!K37+'Research Cyberinfrastructure'!K125+'Research Cyberinfrastructure'!K205)/1000</f>
        <v>1504.2809711415364</v>
      </c>
      <c r="F4" s="271">
        <f>('Research Area'!O37+'Research Area'!O125+'Research Area'!O205+'Research Area'!O269+'Research Area'!O313+'Research Cyberinfrastructure'!O37+'Research Cyberinfrastructure'!O125+'Research Cyberinfrastructure'!O205)/1000</f>
        <v>1034.215735673064</v>
      </c>
      <c r="G4" s="271">
        <f>('Research Area'!S37+'Research Area'!S125+'Research Area'!S205+'Research Area'!S269+'Research Area'!S313+'Research Cyberinfrastructure'!S37+'Research Cyberinfrastructure'!S125+'Research Cyberinfrastructure'!S205)/1000</f>
        <v>877.82586087274399</v>
      </c>
      <c r="H4" s="271">
        <f>SUM(C4:G4)</f>
        <v>5197.2943689686545</v>
      </c>
      <c r="I4" s="276">
        <f>H4/H17</f>
        <v>0.25986473129493293</v>
      </c>
      <c r="J4" s="271">
        <f>('Research Area'!X37+'Research Area'!X125+'Research Area'!X205+'Research Area'!X269+'Research Area'!X313+'Research Cyberinfrastructure'!X37)/1000</f>
        <v>504.92239307948086</v>
      </c>
      <c r="K4" s="238"/>
      <c r="L4" s="166">
        <f>H4/(H17-H15)</f>
        <v>0.3673870051338986</v>
      </c>
      <c r="M4" s="166">
        <f>(H4+J4)/(J17+H17-H15)</f>
        <v>0.31422977442380462</v>
      </c>
      <c r="N4" s="61" t="s">
        <v>57</v>
      </c>
    </row>
    <row r="5" spans="2:15" ht="26.4" x14ac:dyDescent="0.25">
      <c r="B5" s="164" t="s">
        <v>63</v>
      </c>
      <c r="C5" s="271">
        <f>('Research Area'!C49+'Research Area'!C141+'Research Area'!C217)/1000</f>
        <v>0</v>
      </c>
      <c r="D5" s="271">
        <f>('Research Area'!G49+'Research Area'!G141+'Research Area'!G217+'Research Cyberinfrastructure'!G141+'Research Cyberinfrastructure'!G217)/1000</f>
        <v>12</v>
      </c>
      <c r="E5" s="271">
        <f>('Research Area'!K49+'Research Area'!K141+'Research Area'!K217)/1000</f>
        <v>0</v>
      </c>
      <c r="F5" s="271">
        <f>('Research Area'!O49+'Research Area'!O141+'Research Area'!O217)/1000</f>
        <v>0</v>
      </c>
      <c r="G5" s="271">
        <f>('Research Area'!S49+'Research Area'!S141+'Research Area'!S217)/1000</f>
        <v>0</v>
      </c>
      <c r="H5" s="271">
        <f t="shared" ref="H5:H16" si="0">SUM(C5:G5)</f>
        <v>12</v>
      </c>
      <c r="I5" s="276">
        <f>H5/H17</f>
        <v>6.0000002966120291E-4</v>
      </c>
      <c r="J5" s="271">
        <f>('Research Area'!X49+'Research Area'!X141+'Research Area'!X217+'Research Cyberinfrastructure'!X49)/1000</f>
        <v>50</v>
      </c>
      <c r="K5" s="238"/>
      <c r="L5" s="166">
        <f>H5/(H17-H15)</f>
        <v>8.4825752567131002E-4</v>
      </c>
      <c r="M5" s="166">
        <f>(H5+J5)/(J17+H17-H15)</f>
        <v>3.4166091587297374E-3</v>
      </c>
    </row>
    <row r="6" spans="2:15" ht="12.75" customHeight="1" x14ac:dyDescent="0.25">
      <c r="B6" s="164" t="s">
        <v>66</v>
      </c>
      <c r="C6" s="271">
        <f>('Research Area'!C57+'Research Area'!C63+'Research Area'!C85+'Research Area'!C149+'Research Area'!C155+'Research Area'!C173+'Research Area'!C225+'Research Area'!C231+'Research Area'!C245+'Research Area'!C323+'Research Area'!C333+'Research Area'!C279+'Research Area'!C289+'Research Cyberinfrastructure'!C57+'Research Cyberinfrastructure'!C149+'Research Cyberinfrastructure'!C225)/1000</f>
        <v>102.249</v>
      </c>
      <c r="D6" s="271">
        <f>('Research Area'!G57+'Research Area'!G63+'Research Area'!G85+'Research Area'!G149+'Research Area'!G155+'Research Area'!G173+'Research Area'!G225+'Research Area'!G231+'Research Area'!G245+'Research Area'!G279+'Research Area'!G289+'Research Area'!G323+'Research Area'!G333+'Research Cyberinfrastructure'!G57+'Research Cyberinfrastructure'!G149+'Research Cyberinfrastructure'!G173+'Research Cyberinfrastructure'!G225)/1000</f>
        <v>430.90674999999999</v>
      </c>
      <c r="E6" s="271">
        <f>('Research Area'!K57+'Research Area'!K63+'Research Area'!K85+'Research Area'!K149+'Research Area'!K155+'Research Area'!K173+'Research Area'!K225+'Research Area'!K231+'Research Area'!K245+'Research Area'!K279+'Research Area'!K289+'Research Area'!K323+'Research Area'!K333+'Research Cyberinfrastructure'!K57+'Research Cyberinfrastructure'!K149+'Research Cyberinfrastructure'!K225)/1000</f>
        <v>324.25663750000001</v>
      </c>
      <c r="F6" s="271">
        <f>('Research Area'!O57+'Research Area'!O63+'Research Area'!O85+'Research Area'!O149+'Research Area'!O155+'Research Area'!O173+'Research Area'!O225+'Research Area'!O231+'Research Area'!O245+'Research Area'!O279+'Research Area'!O289+'Research Area'!O323+'Research Area'!O333+'Research Cyberinfrastructure'!O57+'Research Cyberinfrastructure'!O149+'Research Cyberinfrastructure'!O225+'Research Cyberinfrastructure'!O245)/1000</f>
        <v>245.979394375</v>
      </c>
      <c r="G6" s="271">
        <f>('Research Area'!S57+'Research Area'!S63+'Research Area'!S85+'Research Area'!S149+'Research Area'!S155+'Research Area'!S173+'Research Area'!S225+'Research Area'!S231+'Research Area'!S245+'Research Area'!S279+'Research Area'!S289+'Research Area'!S323+'Research Area'!S333+'Research Cyberinfrastructure'!S57+'Research Cyberinfrastructure'!S149+'Research Cyberinfrastructure'!S225)/1000</f>
        <v>240.59920159375002</v>
      </c>
      <c r="H6" s="271">
        <f t="shared" si="0"/>
        <v>1343.9909834687501</v>
      </c>
      <c r="I6" s="276">
        <f>H6/H17</f>
        <v>6.7199552495469939E-2</v>
      </c>
      <c r="J6" s="271">
        <f>('Research Area'!X57+'Research Area'!X63+'Research Area'!X85+'Research Area'!X149+'Research Area'!X155+'Research Area'!X173+'Research Area'!X225+'Research Area'!X231+'Research Area'!X245+'Research Cyberinfrastructure'!X57+'Research Cyberinfrastructure'!X85)/1000</f>
        <v>121.79</v>
      </c>
      <c r="K6" s="238"/>
      <c r="L6" s="166">
        <f>H6/(H17-H15)</f>
        <v>9.5004205513479378E-2</v>
      </c>
      <c r="M6" s="166">
        <f>(H6+J6)/(J17+H17-H15)</f>
        <v>8.0774205367922791E-2</v>
      </c>
      <c r="N6" s="240" t="e">
        <f>(H4+H6+#REF!)/(H18+J17)</f>
        <v>#REF!</v>
      </c>
    </row>
    <row r="7" spans="2:15" ht="26.4" x14ac:dyDescent="0.25">
      <c r="B7" s="164" t="s">
        <v>237</v>
      </c>
      <c r="C7" s="271">
        <f>('Education Workforce Development'!C86+'Education Workforce Development'!C174+'Education Workforce Development'!C246+'Education Workforce Development'!C290+'Education Workforce Development'!C334)/1000</f>
        <v>142.90698126124178</v>
      </c>
      <c r="D7" s="271">
        <f>('Education Workforce Development'!G86+'Education Workforce Development'!G174+'Education Workforce Development'!G246+'Education Workforce Development'!G290+'Education Workforce Development'!G334)/1000</f>
        <v>427.43131538043679</v>
      </c>
      <c r="E7" s="271">
        <f>('Education Workforce Development'!K86+'Education Workforce Development'!K174+'Education Workforce Development'!K246+'Education Workforce Development'!K290+'Education Workforce Development'!K334)/1000</f>
        <v>454.8959550770382</v>
      </c>
      <c r="F7" s="271">
        <f>('Education Workforce Development'!O86+'Education Workforce Development'!O174+'Education Workforce Development'!O246+'Education Workforce Development'!O290+'Education Workforce Development'!O334)/1000</f>
        <v>398.96873717195297</v>
      </c>
      <c r="G7" s="271">
        <f>('Education Workforce Development'!S86+'Education Workforce Development'!S174+'Education Workforce Development'!S246+'Education Workforce Development'!S290+'Education Workforce Development'!S334)/1000</f>
        <v>355.70729162949459</v>
      </c>
      <c r="H7" s="271">
        <f t="shared" si="0"/>
        <v>1779.9102805201642</v>
      </c>
      <c r="I7" s="276">
        <f>H7/H17</f>
        <v>8.8995518425531536E-2</v>
      </c>
      <c r="J7" s="271">
        <f>('Education Workforce Development'!X339)/1000</f>
        <v>38.819135809999999</v>
      </c>
      <c r="K7" s="238"/>
      <c r="L7" s="166">
        <f>H7/(H17-H15)</f>
        <v>0.1258185242059135</v>
      </c>
      <c r="M7" s="166">
        <f>(H7+J7)/(J17+H17-H15)</f>
        <v>0.10022399324330368</v>
      </c>
    </row>
    <row r="8" spans="2:15" ht="26.4" x14ac:dyDescent="0.25">
      <c r="B8" s="164" t="s">
        <v>238</v>
      </c>
      <c r="C8" s="271">
        <f>('EA &amp; Seed Funding'!C86+'EA &amp; Seed Funding'!C174+'EA &amp; Seed Funding'!C246)/1000</f>
        <v>145.61699999999999</v>
      </c>
      <c r="D8" s="271">
        <f>('EA &amp; Seed Funding'!G86+'EA &amp; Seed Funding'!G174+'EA &amp; Seed Funding'!G246)/1000</f>
        <v>380</v>
      </c>
      <c r="E8" s="271">
        <f>('EA &amp; Seed Funding'!K86+'EA &amp; Seed Funding'!K174+'EA &amp; Seed Funding'!K246)/1000</f>
        <v>350</v>
      </c>
      <c r="F8" s="271">
        <f>('EA &amp; Seed Funding'!O86+'EA &amp; Seed Funding'!O174+'EA &amp; Seed Funding'!O246)/1000</f>
        <v>330</v>
      </c>
      <c r="G8" s="271">
        <f>('EA &amp; Seed Funding'!S86+'EA &amp; Seed Funding'!S174+'EA &amp; Seed Funding'!S246)/1000</f>
        <v>110</v>
      </c>
      <c r="H8" s="271">
        <f t="shared" si="0"/>
        <v>1315.617</v>
      </c>
      <c r="I8" s="276">
        <f>H8/H17</f>
        <v>6.5780853251898558E-2</v>
      </c>
      <c r="J8" s="271">
        <f>('EA &amp; Seed Funding'!X339)/1000</f>
        <v>0</v>
      </c>
      <c r="K8" s="238"/>
      <c r="L8" s="166" t="e">
        <f>#REF!/(H17-H15)</f>
        <v>#REF!</v>
      </c>
      <c r="M8" s="166" t="e">
        <f>(#REF!+#REF!)/(J17+H17-H15)</f>
        <v>#REF!</v>
      </c>
    </row>
    <row r="9" spans="2:15" ht="12.75" customHeight="1" x14ac:dyDescent="0.25">
      <c r="B9" s="164" t="s">
        <v>236</v>
      </c>
      <c r="C9" s="271">
        <f>('Broadening Participation Divers'!C86+'Broadening Participation Divers'!C174+'Broadening Participation Divers'!C246)/1000</f>
        <v>86.79113439999999</v>
      </c>
      <c r="D9" s="271">
        <f>('Broadening Participation Divers'!G86+'Broadening Participation Divers'!G174+'Broadening Participation Divers'!G246)/1000</f>
        <v>218.90572254995999</v>
      </c>
      <c r="E9" s="271">
        <f>('Broadening Participation Divers'!K86+'Broadening Participation Divers'!K174+'Broadening Participation Divers'!K246)/1000</f>
        <v>264.31718871934106</v>
      </c>
      <c r="F9" s="271">
        <f>('Broadening Participation Divers'!O86+'Broadening Participation Divers'!O174+'Broadening Participation Divers'!O246)/1000</f>
        <v>265.61019489398365</v>
      </c>
      <c r="G9" s="271">
        <f>('Broadening Participation Divers'!S86+'Broadening Participation Divers'!S174+'Broadening Participation Divers'!S246)/1000</f>
        <v>118.80613887485545</v>
      </c>
      <c r="H9" s="271">
        <f t="shared" si="0"/>
        <v>954.43037943814022</v>
      </c>
      <c r="I9" s="276">
        <f>H9/H17</f>
        <v>4.7721521331036437E-2</v>
      </c>
      <c r="J9" s="271">
        <f>('Broadening Participation Divers'!X339)/1000</f>
        <v>174.2656715389613</v>
      </c>
      <c r="K9" s="238"/>
      <c r="L9" s="166">
        <f>H8/(H17-H15)</f>
        <v>9.2998501762592653E-2</v>
      </c>
      <c r="M9" s="166">
        <f>(H8+J8)/(J17+H17-H15)</f>
        <v>7.2499178896460334E-2</v>
      </c>
    </row>
    <row r="10" spans="2:15" ht="26.4" x14ac:dyDescent="0.25">
      <c r="B10" s="164" t="s">
        <v>239</v>
      </c>
      <c r="C10" s="271">
        <f>('Partnerships &amp; Collaborations'!C86+'Partnerships &amp; Collaborations'!C174+'Partnerships &amp; Collaborations'!C246+'Partnerships &amp; Collaborations'!C290+'Partnerships &amp; Collaborations'!C334)/1000</f>
        <v>68.974430541860002</v>
      </c>
      <c r="D10" s="271">
        <f>('Partnerships &amp; Collaborations'!G86+'Partnerships &amp; Collaborations'!G174+'Partnerships &amp; Collaborations'!G246+'Partnerships &amp; Collaborations'!G290+'Partnerships &amp; Collaborations'!G334)/1000</f>
        <v>70.146111907139996</v>
      </c>
      <c r="E10" s="271">
        <f>('Partnerships &amp; Collaborations'!K86+'Partnerships &amp; Collaborations'!K174+'Partnerships &amp; Collaborations'!K246+'Partnerships &amp; Collaborations'!K290+'Partnerships &amp; Collaborations'!K334)/1000</f>
        <v>38</v>
      </c>
      <c r="F10" s="271">
        <f>('Partnerships &amp; Collaborations'!O86+'Partnerships &amp; Collaborations'!O174+'Partnerships &amp; Collaborations'!O246+'Partnerships &amp; Collaborations'!O290+'Partnerships &amp; Collaborations'!O334)/1000</f>
        <v>38</v>
      </c>
      <c r="G10" s="271">
        <f>('Partnerships &amp; Collaborations'!S86+'Partnerships &amp; Collaborations'!S174+'Partnerships &amp; Collaborations'!S246+'Partnerships &amp; Collaborations'!S290+'Partnerships &amp; Collaborations'!S334)/1000</f>
        <v>38</v>
      </c>
      <c r="H10" s="271">
        <f t="shared" si="0"/>
        <v>253.120542449</v>
      </c>
      <c r="I10" s="276">
        <f>H10/H17</f>
        <v>1.2656027748104979E-2</v>
      </c>
      <c r="J10" s="271">
        <f>('Partnerships &amp; Collaborations'!X339)/1000</f>
        <v>0</v>
      </c>
      <c r="K10" s="238"/>
      <c r="L10" s="166">
        <f>H9/(H17-H15)</f>
        <v>6.7466896007310539E-2</v>
      </c>
      <c r="M10" s="166">
        <f>(H9+J9)/(J17+H17-H15)</f>
        <v>6.2198601051458899E-2</v>
      </c>
    </row>
    <row r="11" spans="2:15" ht="26.4" x14ac:dyDescent="0.25">
      <c r="B11" s="164" t="s">
        <v>240</v>
      </c>
      <c r="C11" s="271">
        <f>('Communications &amp; Disseminations'!C86+'Communications &amp; Disseminations'!C174+'Communications &amp; Disseminations'!C246)/1000</f>
        <v>77.813540399999994</v>
      </c>
      <c r="D11" s="271">
        <f>('Communications &amp; Disseminations'!G86+'Communications &amp; Disseminations'!G174+'Communications &amp; Disseminations'!G246)/1000</f>
        <v>117.06196391496002</v>
      </c>
      <c r="E11" s="271">
        <f>('Communications &amp; Disseminations'!K86+'Communications &amp; Disseminations'!K174+'Communications &amp; Disseminations'!K246)/1000</f>
        <v>104.99032894561905</v>
      </c>
      <c r="F11" s="271">
        <f>('Communications &amp; Disseminations'!O86+'Communications &amp; Disseminations'!O174+'Communications &amp; Disseminations'!O246)/1000</f>
        <v>123.06538165924241</v>
      </c>
      <c r="G11" s="271">
        <f>('Communications &amp; Disseminations'!S86+'Communications &amp; Disseminations'!S174+'Communications &amp; Disseminations'!S246)/1000</f>
        <v>111.29659742613798</v>
      </c>
      <c r="H11" s="271">
        <f t="shared" si="0"/>
        <v>534.22781234595948</v>
      </c>
      <c r="I11" s="276">
        <f>H11/H17</f>
        <v>2.6711391937784601E-2</v>
      </c>
      <c r="J11" s="271">
        <f>('Communications &amp; Disseminations'!X339)/1000</f>
        <v>194.20267153896128</v>
      </c>
      <c r="K11" s="238"/>
      <c r="L11" s="166">
        <f>H10/(H17-H15)</f>
        <v>1.7892617086197379E-2</v>
      </c>
      <c r="M11" s="166">
        <f>(H10+J10)/(J17+H17-H15)</f>
        <v>1.3948612316030527E-2</v>
      </c>
      <c r="O11" t="s">
        <v>57</v>
      </c>
    </row>
    <row r="12" spans="2:15" x14ac:dyDescent="0.25">
      <c r="B12" s="164" t="s">
        <v>241</v>
      </c>
      <c r="C12" s="271">
        <f>('Sustainability Plan'!C86+'Sustainability Plan'!C174+'Sustainability Plan'!C246)/1000</f>
        <v>34.5</v>
      </c>
      <c r="D12" s="271">
        <f>('Sustainability Plan'!G86+'Sustainability Plan'!G174+'Sustainability Plan'!G246)/1000</f>
        <v>33.5</v>
      </c>
      <c r="E12" s="271">
        <f>('Sustainability Plan'!K86+'Sustainability Plan'!K174+'Sustainability Plan'!K246)/1000</f>
        <v>12</v>
      </c>
      <c r="F12" s="271">
        <f>('Sustainability Plan'!O86+'Sustainability Plan'!O174+'Sustainability Plan'!O246)/1000</f>
        <v>29</v>
      </c>
      <c r="G12" s="271">
        <f>('Sustainability Plan'!S86+'Sustainability Plan'!S174+'Sustainability Plan'!S246)/1000</f>
        <v>0</v>
      </c>
      <c r="H12" s="271">
        <f t="shared" si="0"/>
        <v>109</v>
      </c>
      <c r="I12" s="276">
        <f>H12/H17</f>
        <v>5.4500002694225927E-3</v>
      </c>
      <c r="J12" s="271">
        <f>('Sustainability Plan'!X339)/1000</f>
        <v>342.5</v>
      </c>
      <c r="K12" s="238"/>
      <c r="L12" s="166">
        <f>H11/(H17-H15)</f>
        <v>3.7763563520448379E-2</v>
      </c>
      <c r="M12" s="166">
        <f>(H11+J11)/(J17+H17-H15)</f>
        <v>4.0141326818373457E-2</v>
      </c>
    </row>
    <row r="13" spans="2:15" x14ac:dyDescent="0.25">
      <c r="B13" s="164" t="s">
        <v>50</v>
      </c>
      <c r="C13" s="271">
        <f>('Management '!C86+'Management '!C174+'Management '!C246)/1000</f>
        <v>443.95098913848136</v>
      </c>
      <c r="D13" s="271">
        <f>('Management '!G86+'Management '!G174+'Management '!G246)/1000</f>
        <v>459.75938248818773</v>
      </c>
      <c r="E13" s="271">
        <f>('Management '!K86+'Management '!K174+'Management '!K246)/1000</f>
        <v>476.21119953622639</v>
      </c>
      <c r="F13" s="271">
        <f>('Management '!O86+'Management '!O174+'Management '!O246)/1000</f>
        <v>493.33604556212589</v>
      </c>
      <c r="G13" s="271">
        <f>('Management '!S86+'Management '!S174+'Management '!S246)/1000</f>
        <v>511.16504143022706</v>
      </c>
      <c r="H13" s="271">
        <f t="shared" si="0"/>
        <v>2384.4226581552484</v>
      </c>
      <c r="I13" s="276">
        <f>H13/H17</f>
        <v>0.11922113880149944</v>
      </c>
      <c r="J13" s="271">
        <f>('Management '!X339)/1000</f>
        <v>1645.8931834529376</v>
      </c>
      <c r="K13" s="238"/>
      <c r="L13" s="166">
        <f>H12/(H17-H15)</f>
        <v>7.7050058581810662E-3</v>
      </c>
      <c r="M13" s="166">
        <f>(H12+J12)/(J17+H17-H15)</f>
        <v>2.4880629599459296E-2</v>
      </c>
    </row>
    <row r="14" spans="2:15" ht="26.4" x14ac:dyDescent="0.25">
      <c r="B14" s="164" t="s">
        <v>245</v>
      </c>
      <c r="C14" s="271">
        <f>('Evaluation and Assessment '!C86+'Evaluation and Assessment '!C174+'Evaluation and Assessment '!C246)/1000</f>
        <v>48.553639680000011</v>
      </c>
      <c r="D14" s="271">
        <f>('Evaluation and Assessment '!G86+'Evaluation and Assessment '!G174+'Evaluation and Assessment '!G246)/1000</f>
        <v>50.454001782912002</v>
      </c>
      <c r="E14" s="271">
        <f>('Evaluation and Assessment '!K86+'Evaluation and Assessment '!K174+'Evaluation and Assessment '!K246)/1000</f>
        <v>52.438399301283347</v>
      </c>
      <c r="F14" s="271">
        <f>('Evaluation and Assessment '!O86+'Evaluation and Assessment '!O174+'Evaluation and Assessment '!O246)/1000</f>
        <v>54.510999092817265</v>
      </c>
      <c r="G14" s="271">
        <f>('Evaluation and Assessment '!S86+'Evaluation and Assessment '!S174+'Evaluation and Assessment '!S246)/1000</f>
        <v>56.676193249878168</v>
      </c>
      <c r="H14" s="271">
        <f t="shared" si="0"/>
        <v>262.63323310689077</v>
      </c>
      <c r="I14" s="276">
        <f>H14/H17</f>
        <v>1.3131662304512673E-2</v>
      </c>
      <c r="J14" s="271">
        <f>('Evaluation and Assessment '!X339)/1000</f>
        <v>927.60658648551271</v>
      </c>
      <c r="K14" s="238"/>
      <c r="L14" s="166">
        <f>H13/(H17-H15)</f>
        <v>0.16855037201344825</v>
      </c>
      <c r="M14" s="166">
        <f>(H13+J13)/(J17+H17-H15)</f>
        <v>0.22209700027438836</v>
      </c>
    </row>
    <row r="15" spans="2:15" x14ac:dyDescent="0.25">
      <c r="B15" s="164" t="s">
        <v>64</v>
      </c>
      <c r="C15" s="271">
        <f>('Research Area'!C87+'Research Area'!C175+'Research Area'!C247+'Education Workforce Development'!C87+'Education Workforce Development'!C175+'Education Workforce Development'!C247+'Research Cyberinfrastructure'!C87+'Research Cyberinfrastructure'!C175+'Research Cyberinfrastructure'!C247+'EA &amp; Seed Funding'!C87+'EA &amp; Seed Funding'!C175+'EA &amp; Seed Funding'!C247+'Broadening Participation Divers'!C87+'Broadening Participation Divers'!C175+'Broadening Participation Divers'!C247+'Partnerships &amp; Collaborations'!C87+'Partnerships &amp; Collaborations'!C175+'Partnerships &amp; Collaborations'!C247+'Communications &amp; Disseminations'!C87+'Communications &amp; Disseminations'!C175+'Communications &amp; Disseminations'!C247+'Sustainability Plan'!C87+'Sustainability Plan'!C175+'Sustainability Plan'!C247+'Management '!C87+'Management '!C175+'Management '!C247+'Evaluation and Assessment '!C87+'Evaluation and Assessment '!C175+'Evaluation and Assessment '!C247+'Research Area'!C291+'Research Area'!C335+'Education Workforce Development'!C291+'Education Workforce Development'!C335+'Partnerships &amp; Collaborations'!C291+'Partnerships &amp; Collaborations'!C335+((18336+20060)*0.5))/1000</f>
        <v>691.73621318446556</v>
      </c>
      <c r="D15" s="271">
        <f>('Research Area'!G87+'Research Area'!G175+'Research Area'!G247+'Education Workforce Development'!G87+'Education Workforce Development'!G175+'Education Workforce Development'!G247+'Research Cyberinfrastructure'!G87+'Research Cyberinfrastructure'!G175+'Research Cyberinfrastructure'!G247+'EA &amp; Seed Funding'!G87+'EA &amp; Seed Funding'!G175+'EA &amp; Seed Funding'!G247+'Broadening Participation Divers'!G87+'Broadening Participation Divers'!G175+'Broadening Participation Divers'!G247+'Partnerships &amp; Collaborations'!G87+'Partnerships &amp; Collaborations'!G175+'Partnerships &amp; Collaborations'!G247+'Communications &amp; Disseminations'!G87+'Communications &amp; Disseminations'!G175+'Communications &amp; Disseminations'!G247+'Sustainability Plan'!G87+'Sustainability Plan'!G175+'Sustainability Plan'!G247+'Management '!G87+'Management '!G175+'Management '!G247+'Evaluation and Assessment '!G87+'Evaluation and Assessment '!G175+'Evaluation and Assessment '!G247+'Research Area'!G291+'Research Area'!G335+'Education Workforce Development'!G291+'Education Workforce Development'!G335+'Partnerships &amp; Collaborations'!G291+'Partnerships &amp; Collaborations'!G335+((6664+4940)*0.5))/1000</f>
        <v>1554.4196244550374</v>
      </c>
      <c r="E15" s="271">
        <f>('Research Area'!K87+'Research Area'!K175+'Research Area'!K247+'Education Workforce Development'!K87+'Education Workforce Development'!K175+'Education Workforce Development'!K247+'Research Cyberinfrastructure'!K87+'Research Cyberinfrastructure'!K175+'Research Cyberinfrastructure'!K247+'EA &amp; Seed Funding'!K87+'EA &amp; Seed Funding'!K175+'EA &amp; Seed Funding'!K247+'Broadening Participation Divers'!K87+'Broadening Participation Divers'!K175+'Broadening Participation Divers'!K247+'Partnerships &amp; Collaborations'!K87+'Partnerships &amp; Collaborations'!K175+'Partnerships &amp; Collaborations'!K247+'Communications &amp; Disseminations'!K87+'Communications &amp; Disseminations'!K175+'Communications &amp; Disseminations'!K247+'Sustainability Plan'!K87+'Sustainability Plan'!K175+'Sustainability Plan'!K247+'Management '!K87+'Management '!K175+'Management '!K247+'Evaluation and Assessment '!K87+'Evaluation and Assessment '!K175+'Evaluation and Assessment '!K247+'Research Area'!K291+'Research Area'!K335+'Education Workforce Development'!K291+'Education Workforce Development'!K335+'Partnerships &amp; Collaborations'!K291+'Partnerships &amp; Collaborations'!K335)/1000</f>
        <v>1445.8194182915302</v>
      </c>
      <c r="F15" s="271">
        <f>('Research Area'!O87+'Research Area'!O175+'Research Area'!O247+'Education Workforce Development'!O87+'Education Workforce Development'!O175+'Education Workforce Development'!O247+'Research Cyberinfrastructure'!O87+'Research Cyberinfrastructure'!O175+'Research Cyberinfrastructure'!O247+'EA &amp; Seed Funding'!O87+'EA &amp; Seed Funding'!O175+'EA &amp; Seed Funding'!O247+'Broadening Participation Divers'!O87+'Broadening Participation Divers'!O175+'Broadening Participation Divers'!O247+'Partnerships &amp; Collaborations'!O87+'Partnerships &amp; Collaborations'!O175+'Partnerships &amp; Collaborations'!O247+'Communications &amp; Disseminations'!O87+'Communications &amp; Disseminations'!O175+'Communications &amp; Disseminations'!O247+'Sustainability Plan'!O87+'Sustainability Plan'!O175+'Sustainability Plan'!O247+'Management '!O87+'Management '!O175+'Management '!O247+'Evaluation and Assessment '!O87+'Evaluation and Assessment '!O175+'Evaluation and Assessment '!O247+'Research Area'!O291+'Research Area'!O335+'Education Workforce Development'!O291+'Education Workforce Development'!O335+'Partnerships &amp; Collaborations'!O291+'Partnerships &amp; Collaborations'!O335)/1000</f>
        <v>1211.3571406136102</v>
      </c>
      <c r="G15" s="271">
        <f>('Research Area'!S87+'Research Area'!S175+'Research Area'!S247+'Education Workforce Development'!S87+'Education Workforce Development'!S175+'Education Workforce Development'!S247+'Research Cyberinfrastructure'!S87+'Research Cyberinfrastructure'!S175+'Research Cyberinfrastructure'!S247+'EA &amp; Seed Funding'!S87+'EA &amp; Seed Funding'!S175+'EA &amp; Seed Funding'!S247+'Broadening Participation Divers'!S87+'Broadening Participation Divers'!S175+'Broadening Participation Divers'!S247+'Partnerships &amp; Collaborations'!S87+'Partnerships &amp; Collaborations'!S175+'Partnerships &amp; Collaborations'!S247+'Communications &amp; Disseminations'!S87+'Communications &amp; Disseminations'!S175+'Communications &amp; Disseminations'!S247+'Sustainability Plan'!S87+'Sustainability Plan'!S175+'Sustainability Plan'!S247+'Management '!S87+'Management '!S175+'Management '!S247+'Evaluation and Assessment '!S87+'Evaluation and Assessment '!S175+'Evaluation and Assessment '!S247+'Research Area'!S291+'Research Area'!S335+'Education Workforce Development'!S291+'Education Workforce Development'!S335+'Partnerships &amp; Collaborations'!S291+'Partnerships &amp; Collaborations'!S335)/1000</f>
        <v>950.01935629583522</v>
      </c>
      <c r="H15" s="271">
        <f>SUM(C15:G15)</f>
        <v>5853.3517528404791</v>
      </c>
      <c r="I15" s="276">
        <f>H15/H17</f>
        <v>0.29266760211014509</v>
      </c>
      <c r="J15" s="271">
        <v>0</v>
      </c>
      <c r="K15" s="238"/>
      <c r="L15" s="166">
        <f>H14/(H17-H15)</f>
        <v>1.8565051372858962E-2</v>
      </c>
      <c r="M15" s="166">
        <f>(H14+J14)/(J17+H17-H15)</f>
        <v>6.5590068850068323E-2</v>
      </c>
    </row>
    <row r="16" spans="2:15" x14ac:dyDescent="0.25">
      <c r="B16" s="164" t="s">
        <v>65</v>
      </c>
      <c r="C16" s="271">
        <v>0</v>
      </c>
      <c r="D16" s="271">
        <v>0</v>
      </c>
      <c r="E16" s="271">
        <v>0</v>
      </c>
      <c r="F16" s="271">
        <v>0</v>
      </c>
      <c r="G16" s="271">
        <v>0</v>
      </c>
      <c r="H16" s="271">
        <f t="shared" si="0"/>
        <v>0</v>
      </c>
      <c r="I16" s="276">
        <f>H16/H17</f>
        <v>0</v>
      </c>
      <c r="J16" s="271">
        <v>0</v>
      </c>
      <c r="K16" s="238"/>
      <c r="L16" s="166">
        <v>0</v>
      </c>
      <c r="M16" s="166">
        <v>0</v>
      </c>
    </row>
    <row r="17" spans="2:13" x14ac:dyDescent="0.25">
      <c r="B17" s="164" t="s">
        <v>10</v>
      </c>
      <c r="C17" s="272">
        <f t="shared" ref="C17:J17" si="1">SUM(C4:C16)</f>
        <v>2099.0324815793797</v>
      </c>
      <c r="D17" s="272">
        <f t="shared" si="1"/>
        <v>5279.6171207866137</v>
      </c>
      <c r="E17" s="272">
        <f t="shared" si="1"/>
        <v>5027.2100985125753</v>
      </c>
      <c r="F17" s="272">
        <f t="shared" si="1"/>
        <v>4224.0436290417965</v>
      </c>
      <c r="G17" s="272">
        <f t="shared" si="1"/>
        <v>3370.0956813729222</v>
      </c>
      <c r="H17" s="272">
        <f t="shared" si="1"/>
        <v>19999.999011293286</v>
      </c>
      <c r="I17" s="277">
        <f t="shared" si="1"/>
        <v>0.99999999999999989</v>
      </c>
      <c r="J17" s="272">
        <f t="shared" si="1"/>
        <v>3999.9996419058534</v>
      </c>
      <c r="K17" s="238"/>
      <c r="L17" s="166">
        <f>H16/(H17-H15)</f>
        <v>0</v>
      </c>
      <c r="M17" s="166">
        <f>(H16+J16)/24000</f>
        <v>0</v>
      </c>
    </row>
    <row r="18" spans="2:13" x14ac:dyDescent="0.25">
      <c r="H18" s="274" t="s">
        <v>57</v>
      </c>
      <c r="K18" s="273"/>
      <c r="L18" s="167" t="e">
        <f t="shared" ref="L18:M18" si="2">SUM(L4:L17)</f>
        <v>#REF!</v>
      </c>
      <c r="M18" s="167" t="e">
        <f t="shared" si="2"/>
        <v>#REF!</v>
      </c>
    </row>
    <row r="24" spans="2:13" x14ac:dyDescent="0.25">
      <c r="F24" s="274" t="s">
        <v>57</v>
      </c>
    </row>
  </sheetData>
  <mergeCells count="1">
    <mergeCell ref="B2:J2"/>
  </mergeCells>
  <pageMargins left="0.3" right="0.3" top="0.5" bottom="0.5" header="0.3" footer="0.3"/>
  <pageSetup scale="8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24"/>
  <sheetViews>
    <sheetView workbookViewId="0">
      <selection activeCell="C18" sqref="C18"/>
    </sheetView>
  </sheetViews>
  <sheetFormatPr defaultRowHeight="13.2" x14ac:dyDescent="0.25"/>
  <cols>
    <col min="4" max="6" width="10.88671875" bestFit="1" customWidth="1"/>
    <col min="8" max="8" width="10.88671875" bestFit="1" customWidth="1"/>
  </cols>
  <sheetData>
    <row r="1" spans="1:25" ht="15" thickBot="1" x14ac:dyDescent="0.3">
      <c r="B1" s="335" t="s">
        <v>83</v>
      </c>
      <c r="C1" s="336"/>
      <c r="D1" s="336"/>
      <c r="E1" s="336"/>
      <c r="F1" s="336"/>
      <c r="G1" s="336"/>
      <c r="H1" s="33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</row>
    <row r="2" spans="1:25" ht="16.2" thickBot="1" x14ac:dyDescent="0.3">
      <c r="B2" s="218"/>
      <c r="C2" s="219" t="s">
        <v>84</v>
      </c>
      <c r="D2" s="219" t="s">
        <v>85</v>
      </c>
      <c r="E2" s="219" t="s">
        <v>86</v>
      </c>
      <c r="F2" s="219" t="s">
        <v>87</v>
      </c>
      <c r="G2" s="219" t="s">
        <v>88</v>
      </c>
      <c r="H2" s="219" t="s">
        <v>10</v>
      </c>
      <c r="I2" s="220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</row>
    <row r="3" spans="1:25" ht="16.2" thickBot="1" x14ac:dyDescent="0.3">
      <c r="B3" s="218" t="s">
        <v>89</v>
      </c>
      <c r="C3" s="221">
        <v>331202</v>
      </c>
      <c r="D3" s="221">
        <v>425517</v>
      </c>
      <c r="E3" s="221">
        <v>508093</v>
      </c>
      <c r="F3" s="221">
        <v>421190</v>
      </c>
      <c r="G3" s="221">
        <v>391634</v>
      </c>
      <c r="H3" s="221">
        <v>2077635</v>
      </c>
      <c r="I3" s="220"/>
      <c r="J3" s="217"/>
      <c r="K3" s="217"/>
      <c r="L3" s="217"/>
      <c r="M3" s="217"/>
      <c r="N3" s="217"/>
      <c r="O3" s="217"/>
      <c r="P3" s="217"/>
      <c r="Q3" s="217"/>
      <c r="R3" s="217"/>
      <c r="S3" s="217"/>
      <c r="T3" s="217"/>
    </row>
    <row r="4" spans="1:25" ht="16.2" thickBot="1" x14ac:dyDescent="0.3">
      <c r="B4" s="218" t="s">
        <v>90</v>
      </c>
      <c r="C4" s="221">
        <v>214399</v>
      </c>
      <c r="D4" s="221">
        <v>438797</v>
      </c>
      <c r="E4" s="221">
        <v>451060</v>
      </c>
      <c r="F4" s="221">
        <v>324130</v>
      </c>
      <c r="G4" s="221">
        <v>177613</v>
      </c>
      <c r="H4" s="221">
        <v>1605998</v>
      </c>
      <c r="I4" s="220"/>
      <c r="J4" s="217"/>
      <c r="K4" s="217"/>
      <c r="L4" s="217"/>
      <c r="M4" s="217"/>
      <c r="N4" s="217"/>
      <c r="O4" s="217"/>
      <c r="P4" s="217"/>
      <c r="Q4" s="217"/>
      <c r="R4" s="217"/>
      <c r="S4" s="217"/>
      <c r="T4" s="217"/>
    </row>
    <row r="5" spans="1:25" ht="16.2" thickBot="1" x14ac:dyDescent="0.3">
      <c r="B5" s="222" t="s">
        <v>91</v>
      </c>
      <c r="C5" s="223">
        <v>545602</v>
      </c>
      <c r="D5" s="223">
        <v>864312</v>
      </c>
      <c r="E5" s="223">
        <v>959153</v>
      </c>
      <c r="F5" s="223">
        <v>745319</v>
      </c>
      <c r="G5" s="223">
        <v>569247</v>
      </c>
      <c r="H5" s="223">
        <v>3683633</v>
      </c>
      <c r="I5" s="220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</row>
    <row r="6" spans="1:25" ht="16.2" thickBot="1" x14ac:dyDescent="0.3">
      <c r="B6" s="222" t="s">
        <v>92</v>
      </c>
      <c r="C6" s="221">
        <v>142293</v>
      </c>
      <c r="D6" s="221">
        <v>390143</v>
      </c>
      <c r="E6" s="221">
        <v>339735</v>
      </c>
      <c r="F6" s="221">
        <v>190196</v>
      </c>
      <c r="G6" s="221">
        <v>160182</v>
      </c>
      <c r="H6" s="223">
        <v>1222549</v>
      </c>
      <c r="I6" s="220"/>
      <c r="J6" s="217"/>
      <c r="K6" s="217"/>
      <c r="L6" s="217"/>
      <c r="M6" s="217"/>
      <c r="N6" s="217"/>
      <c r="O6" s="217"/>
      <c r="P6" s="217"/>
      <c r="Q6" s="217"/>
      <c r="R6" s="217"/>
      <c r="S6" s="217"/>
      <c r="T6" s="217"/>
    </row>
    <row r="7" spans="1:25" ht="16.2" thickBot="1" x14ac:dyDescent="0.3">
      <c r="B7" s="222" t="s">
        <v>93</v>
      </c>
      <c r="C7" s="221">
        <v>86924</v>
      </c>
      <c r="D7" s="221">
        <v>224481</v>
      </c>
      <c r="E7" s="221">
        <v>245285</v>
      </c>
      <c r="F7" s="221">
        <v>175310</v>
      </c>
      <c r="G7" s="221">
        <v>116209</v>
      </c>
      <c r="H7" s="223">
        <v>848209</v>
      </c>
      <c r="I7" s="220"/>
      <c r="J7" s="217"/>
      <c r="K7" s="217"/>
      <c r="L7" s="217"/>
      <c r="M7" s="217"/>
      <c r="N7" s="217"/>
      <c r="O7" s="217"/>
      <c r="P7" s="217"/>
      <c r="Q7" s="217"/>
      <c r="R7" s="217"/>
      <c r="S7" s="217"/>
      <c r="T7" s="217"/>
    </row>
    <row r="8" spans="1:25" ht="16.2" thickBot="1" x14ac:dyDescent="0.3">
      <c r="B8" s="222" t="s">
        <v>13</v>
      </c>
      <c r="C8" s="223">
        <v>774818</v>
      </c>
      <c r="D8" s="223">
        <v>1478937</v>
      </c>
      <c r="E8" s="223">
        <v>1544174</v>
      </c>
      <c r="F8" s="223">
        <v>1110825</v>
      </c>
      <c r="G8" s="223">
        <v>845638</v>
      </c>
      <c r="H8" s="223">
        <v>5754392</v>
      </c>
      <c r="I8" s="220"/>
      <c r="J8" s="217"/>
      <c r="K8" s="217"/>
      <c r="L8" s="217"/>
      <c r="M8" s="217"/>
      <c r="N8" s="217"/>
      <c r="O8" s="217"/>
      <c r="P8" s="217"/>
      <c r="Q8" s="217"/>
      <c r="R8" s="217"/>
      <c r="S8" s="217"/>
      <c r="T8" s="217"/>
    </row>
    <row r="11" spans="1:25" ht="15" thickBot="1" x14ac:dyDescent="0.3">
      <c r="D11" s="219" t="s">
        <v>84</v>
      </c>
      <c r="H11" s="219" t="s">
        <v>85</v>
      </c>
      <c r="L11" s="219" t="s">
        <v>86</v>
      </c>
      <c r="P11" s="219" t="s">
        <v>87</v>
      </c>
      <c r="T11" s="219" t="s">
        <v>88</v>
      </c>
      <c r="X11" s="219" t="s">
        <v>10</v>
      </c>
    </row>
    <row r="12" spans="1:25" x14ac:dyDescent="0.25">
      <c r="B12" t="s">
        <v>249</v>
      </c>
      <c r="C12" t="s">
        <v>4</v>
      </c>
      <c r="D12" t="s">
        <v>248</v>
      </c>
      <c r="E12" t="s">
        <v>10</v>
      </c>
      <c r="G12" t="s">
        <v>4</v>
      </c>
      <c r="H12" t="s">
        <v>248</v>
      </c>
      <c r="I12" t="s">
        <v>10</v>
      </c>
      <c r="K12" t="s">
        <v>4</v>
      </c>
      <c r="L12" t="s">
        <v>248</v>
      </c>
      <c r="M12" t="s">
        <v>10</v>
      </c>
      <c r="O12" t="s">
        <v>4</v>
      </c>
      <c r="P12" t="s">
        <v>248</v>
      </c>
      <c r="Q12" t="s">
        <v>10</v>
      </c>
      <c r="S12" t="s">
        <v>4</v>
      </c>
      <c r="T12" t="s">
        <v>248</v>
      </c>
      <c r="U12" t="s">
        <v>10</v>
      </c>
      <c r="W12" t="s">
        <v>4</v>
      </c>
      <c r="X12" t="s">
        <v>248</v>
      </c>
      <c r="Y12" t="s">
        <v>10</v>
      </c>
    </row>
    <row r="13" spans="1:25" s="61" customFormat="1" x14ac:dyDescent="0.25">
      <c r="A13" s="53"/>
      <c r="B13" s="195" t="s">
        <v>72</v>
      </c>
      <c r="C13" s="55">
        <f>(140478*1.03)*0.2806</f>
        <v>40600.670603999999</v>
      </c>
      <c r="D13" s="56">
        <f>(137716.8*1.03)*(0.2682-0.1)</f>
        <v>23858.884732799997</v>
      </c>
      <c r="E13" s="57">
        <f t="shared" ref="E13:E14" si="0">SUM(C13:D13)</f>
        <v>64459.555336799996</v>
      </c>
      <c r="F13" s="58">
        <f>(140478*1.03)</f>
        <v>144692.34</v>
      </c>
      <c r="G13" s="55">
        <f>C13*1.03</f>
        <v>41818.690722120002</v>
      </c>
      <c r="H13" s="57">
        <f>D13*1.03</f>
        <v>24574.651274783999</v>
      </c>
      <c r="I13" s="57">
        <f t="shared" ref="I13:I14" si="1">SUM(G13:H13)</f>
        <v>66393.341996903997</v>
      </c>
      <c r="J13" s="58">
        <f>F13*1.03</f>
        <v>149033.1102</v>
      </c>
      <c r="K13" s="55">
        <f>G13*1.03</f>
        <v>43073.2514437836</v>
      </c>
      <c r="L13" s="57">
        <f>H13*1.03</f>
        <v>25311.890813027519</v>
      </c>
      <c r="M13" s="57">
        <f t="shared" ref="M13:M14" si="2">SUM(K13:L13)</f>
        <v>68385.142256811116</v>
      </c>
      <c r="N13" s="58">
        <f>J13*1.03</f>
        <v>153504.10350599998</v>
      </c>
      <c r="O13" s="55">
        <f>K13*1.03</f>
        <v>44365.448987097108</v>
      </c>
      <c r="P13" s="57">
        <f>L13*1.03</f>
        <v>26071.247537418345</v>
      </c>
      <c r="Q13" s="57">
        <f t="shared" ref="Q13:Q14" si="3">SUM(O13:P13)</f>
        <v>70436.696524515457</v>
      </c>
      <c r="R13" s="58">
        <f>N13*1.03</f>
        <v>158109.22661118</v>
      </c>
      <c r="S13" s="55">
        <f>O13*1.03</f>
        <v>45696.412456710023</v>
      </c>
      <c r="T13" s="57">
        <f>P13*1.03</f>
        <v>26853.384963540895</v>
      </c>
      <c r="U13" s="57">
        <f t="shared" ref="U13:U14" si="4">SUM(S13:T13)</f>
        <v>72549.797420250921</v>
      </c>
      <c r="V13" s="59">
        <f>R13*1.03</f>
        <v>162852.5034095154</v>
      </c>
      <c r="W13" s="124">
        <f>C13+G13+K13+O13+S13</f>
        <v>215554.47421371075</v>
      </c>
      <c r="X13" s="196">
        <f t="shared" ref="W13:Y14" si="5">D13+H13+L13+P13+T13</f>
        <v>126670.05932157076</v>
      </c>
      <c r="Y13" s="197">
        <f t="shared" si="5"/>
        <v>342224.53353528155</v>
      </c>
    </row>
    <row r="14" spans="1:25" s="61" customFormat="1" x14ac:dyDescent="0.25">
      <c r="A14" s="192" t="s">
        <v>57</v>
      </c>
      <c r="B14" s="195" t="s">
        <v>105</v>
      </c>
      <c r="C14" s="55">
        <f>((140478*1.03)/9)*0.5</f>
        <v>8038.4633333333331</v>
      </c>
      <c r="D14" s="57">
        <f>C14</f>
        <v>8038.4633333333331</v>
      </c>
      <c r="E14" s="57">
        <f t="shared" si="0"/>
        <v>16076.926666666666</v>
      </c>
      <c r="F14" s="58"/>
      <c r="G14" s="55">
        <f>C14*1.03</f>
        <v>8279.6172333333325</v>
      </c>
      <c r="H14" s="57">
        <f>D14*1.03</f>
        <v>8279.6172333333325</v>
      </c>
      <c r="I14" s="57">
        <f t="shared" si="1"/>
        <v>16559.234466666665</v>
      </c>
      <c r="J14" s="58"/>
      <c r="K14" s="55">
        <f>G14*1.03</f>
        <v>8528.0057503333319</v>
      </c>
      <c r="L14" s="57">
        <f>H14*1.03</f>
        <v>8528.0057503333319</v>
      </c>
      <c r="M14" s="57">
        <f t="shared" si="2"/>
        <v>17056.011500666664</v>
      </c>
      <c r="N14" s="58"/>
      <c r="O14" s="55">
        <f>K14*1.03</f>
        <v>8783.8459228433312</v>
      </c>
      <c r="P14" s="57">
        <f>L14*1.03</f>
        <v>8783.8459228433312</v>
      </c>
      <c r="Q14" s="57">
        <f t="shared" si="3"/>
        <v>17567.691845686662</v>
      </c>
      <c r="R14" s="58"/>
      <c r="S14" s="55">
        <f>O14*1.03</f>
        <v>9047.3613005286315</v>
      </c>
      <c r="T14" s="57">
        <f>P14*1.03</f>
        <v>9047.3613005286315</v>
      </c>
      <c r="U14" s="57">
        <f t="shared" si="4"/>
        <v>18094.722601057263</v>
      </c>
      <c r="V14" s="59"/>
      <c r="W14" s="124">
        <f t="shared" si="5"/>
        <v>42677.29354037196</v>
      </c>
      <c r="X14" s="57">
        <f t="shared" si="5"/>
        <v>42677.29354037196</v>
      </c>
      <c r="Y14" s="60">
        <f t="shared" si="5"/>
        <v>85354.587080743921</v>
      </c>
    </row>
    <row r="15" spans="1:25" x14ac:dyDescent="0.25">
      <c r="B15" t="s">
        <v>10</v>
      </c>
      <c r="C15" s="290">
        <f>SUM(C13:C14)</f>
        <v>48639.133937333332</v>
      </c>
      <c r="D15" s="290">
        <f t="shared" ref="D15:E15" si="6">SUM(D13:D14)</f>
        <v>31897.348066133331</v>
      </c>
      <c r="E15" s="290">
        <f t="shared" si="6"/>
        <v>80536.482003466663</v>
      </c>
      <c r="G15" s="290">
        <f>SUM(G13:G14)</f>
        <v>50098.307955453332</v>
      </c>
      <c r="H15" s="290">
        <f t="shared" ref="H15" si="7">SUM(H13:H14)</f>
        <v>32854.268508117333</v>
      </c>
      <c r="I15" s="290">
        <f t="shared" ref="I15" si="8">SUM(I13:I14)</f>
        <v>82952.576463570658</v>
      </c>
      <c r="K15" s="290">
        <f>SUM(K13:K14)</f>
        <v>51601.25719411693</v>
      </c>
      <c r="L15" s="290">
        <f t="shared" ref="L15" si="9">SUM(L13:L14)</f>
        <v>33839.896563360853</v>
      </c>
      <c r="M15" s="290">
        <f t="shared" ref="M15" si="10">SUM(M13:M14)</f>
        <v>85441.153757477776</v>
      </c>
      <c r="O15" s="290">
        <f>SUM(O13:O14)</f>
        <v>53149.294909940436</v>
      </c>
      <c r="P15" s="290">
        <f t="shared" ref="P15" si="11">SUM(P13:P14)</f>
        <v>34855.093460261676</v>
      </c>
      <c r="Q15" s="290">
        <f t="shared" ref="Q15" si="12">SUM(Q13:Q14)</f>
        <v>88004.388370202127</v>
      </c>
      <c r="S15" s="290">
        <f>SUM(S13:S14)</f>
        <v>54743.773757238654</v>
      </c>
      <c r="T15" s="290">
        <f t="shared" ref="T15" si="13">SUM(T13:T14)</f>
        <v>35900.74626406953</v>
      </c>
      <c r="U15" s="290">
        <f t="shared" ref="U15" si="14">SUM(U13:U14)</f>
        <v>90644.520021308184</v>
      </c>
      <c r="W15" s="290">
        <f>SUM(W13:W14)</f>
        <v>258231.76775408271</v>
      </c>
      <c r="X15" s="290">
        <f t="shared" ref="X15" si="15">SUM(X13:X14)</f>
        <v>169347.35286194272</v>
      </c>
      <c r="Y15" s="290">
        <f t="shared" ref="Y15" si="16">SUM(Y13:Y14)</f>
        <v>427579.12061602547</v>
      </c>
    </row>
    <row r="16" spans="1:25" x14ac:dyDescent="0.25">
      <c r="B16" t="s">
        <v>250</v>
      </c>
      <c r="C16">
        <f>C15/F13</f>
        <v>0.33615555555555554</v>
      </c>
      <c r="G16">
        <f>G15/J13</f>
        <v>0.33615555555555554</v>
      </c>
      <c r="K16">
        <f>K15/N13</f>
        <v>0.33615555555555554</v>
      </c>
      <c r="O16">
        <f>O15/R13</f>
        <v>0.33615555555555554</v>
      </c>
      <c r="S16">
        <f>S15/V13</f>
        <v>0.33615555555555554</v>
      </c>
    </row>
    <row r="17" spans="1:26" x14ac:dyDescent="0.25">
      <c r="C17">
        <f>C16*12</f>
        <v>4.0338666666666665</v>
      </c>
    </row>
    <row r="22" spans="1:26" x14ac:dyDescent="0.25">
      <c r="A22" t="s">
        <v>21</v>
      </c>
      <c r="C22">
        <v>2085874.8882672994</v>
      </c>
      <c r="D22">
        <v>885836.95194443956</v>
      </c>
      <c r="E22">
        <v>2971710.8402117393</v>
      </c>
      <c r="F22" t="e">
        <v>#REF!</v>
      </c>
      <c r="G22">
        <v>5860890.486421681</v>
      </c>
      <c r="H22">
        <v>804337.63145689329</v>
      </c>
      <c r="I22">
        <v>6665229.1178785739</v>
      </c>
      <c r="J22" t="e">
        <v>#REF!</v>
      </c>
      <c r="K22">
        <v>4413486.5066947043</v>
      </c>
      <c r="L22">
        <v>743659.2522244592</v>
      </c>
      <c r="M22">
        <v>5157145.7589191645</v>
      </c>
      <c r="N22" t="e">
        <v>#REF!</v>
      </c>
      <c r="O22">
        <v>4163050.7200779137</v>
      </c>
      <c r="P22">
        <v>802552.91205701162</v>
      </c>
      <c r="Q22">
        <v>4965603.6321349246</v>
      </c>
      <c r="R22" t="e">
        <v>#REF!</v>
      </c>
      <c r="S22">
        <v>3476697.665852522</v>
      </c>
      <c r="T22">
        <v>763612.62628046796</v>
      </c>
      <c r="U22">
        <v>4240310.2921329904</v>
      </c>
      <c r="V22" t="e">
        <v>#REF!</v>
      </c>
      <c r="W22">
        <v>19999999.067314122</v>
      </c>
      <c r="X22">
        <v>3999999.3739632713</v>
      </c>
      <c r="Y22">
        <v>23999998.641277391</v>
      </c>
    </row>
    <row r="23" spans="1:26" x14ac:dyDescent="0.25">
      <c r="A23" t="s">
        <v>27</v>
      </c>
      <c r="C23">
        <v>456861.49592433637</v>
      </c>
      <c r="D23">
        <v>0</v>
      </c>
      <c r="E23">
        <v>456861.49592433637</v>
      </c>
      <c r="G23">
        <v>869056.22231560608</v>
      </c>
      <c r="H23">
        <v>0</v>
      </c>
      <c r="I23">
        <v>869056.22231560608</v>
      </c>
      <c r="K23">
        <v>683606.11015281081</v>
      </c>
      <c r="L23">
        <v>0</v>
      </c>
      <c r="M23">
        <v>683606.11015281081</v>
      </c>
      <c r="O23">
        <v>644019.50121669529</v>
      </c>
      <c r="P23">
        <v>0</v>
      </c>
      <c r="Q23">
        <v>644019.50121669529</v>
      </c>
      <c r="S23">
        <v>567411.9014721131</v>
      </c>
      <c r="T23">
        <v>0</v>
      </c>
      <c r="U23">
        <v>567411.9014721131</v>
      </c>
      <c r="W23">
        <v>3220955.2310815617</v>
      </c>
      <c r="X23">
        <v>0</v>
      </c>
      <c r="Y23">
        <v>3220955.2310815617</v>
      </c>
      <c r="Z23">
        <v>3220955.2310815617</v>
      </c>
    </row>
    <row r="24" spans="1:26" x14ac:dyDescent="0.25">
      <c r="C24" s="289">
        <f>C22-C23</f>
        <v>1629013.392342963</v>
      </c>
      <c r="G24" s="289">
        <f>G22-G23</f>
        <v>4991834.2641060753</v>
      </c>
      <c r="K24" s="289">
        <f>K22-K23</f>
        <v>3729880.3965418935</v>
      </c>
      <c r="O24" s="289">
        <f>O22-O23</f>
        <v>3519031.2188612185</v>
      </c>
      <c r="S24" s="289">
        <f>S22-S23</f>
        <v>2909285.7643804089</v>
      </c>
      <c r="W24" s="289">
        <f>W22-W23</f>
        <v>16779043.836232562</v>
      </c>
    </row>
  </sheetData>
  <mergeCells count="1">
    <mergeCell ref="B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Research Area</vt:lpstr>
      <vt:lpstr>Education Workforce Development</vt:lpstr>
      <vt:lpstr>Research Cyberinfrastructure</vt:lpstr>
      <vt:lpstr>EA &amp; Seed Funding</vt:lpstr>
      <vt:lpstr>Broadening Participation Divers</vt:lpstr>
      <vt:lpstr>Communications &amp; Disseminations</vt:lpstr>
      <vt:lpstr>Partnerships &amp; Collaborations</vt:lpstr>
      <vt:lpstr>Sustainability Plan</vt:lpstr>
      <vt:lpstr>Management </vt:lpstr>
      <vt:lpstr>Evaluation and Assessment </vt:lpstr>
      <vt:lpstr>Grand Total</vt:lpstr>
      <vt:lpstr>Budget Table A</vt:lpstr>
      <vt:lpstr>Budget Table B</vt:lpstr>
      <vt:lpstr>IDC Projection</vt:lpstr>
      <vt:lpstr>'Management '!Print_Area</vt:lpstr>
      <vt:lpstr>'Management '!Print_Titles</vt:lpstr>
    </vt:vector>
  </TitlesOfParts>
  <Company>University of Idaho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Schumaker</dc:creator>
  <cp:lastModifiedBy>Noble, Tami (tnoble@uidaho.edu)</cp:lastModifiedBy>
  <cp:lastPrinted>2022-05-12T16:28:00Z</cp:lastPrinted>
  <dcterms:created xsi:type="dcterms:W3CDTF">2004-06-21T20:43:47Z</dcterms:created>
  <dcterms:modified xsi:type="dcterms:W3CDTF">2022-08-17T04:23:28Z</dcterms:modified>
</cp:coreProperties>
</file>