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13_ncr:1_{F7EB99C7-1B32-40DE-96FC-EF656BA1FB2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draft budget full grad" sheetId="5" r:id="rId1"/>
    <sheet name="Sheet1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3" i="5" l="1"/>
  <c r="G24" i="5"/>
  <c r="G25" i="5"/>
  <c r="G22" i="5"/>
  <c r="N10" i="5"/>
  <c r="N11" i="5"/>
  <c r="O11" i="5" s="1"/>
  <c r="N24" i="5"/>
  <c r="D23" i="5"/>
  <c r="N23" i="5"/>
  <c r="N25" i="5"/>
  <c r="T32" i="5"/>
  <c r="N22" i="5"/>
  <c r="M25" i="5"/>
  <c r="M24" i="5"/>
  <c r="M23" i="5"/>
  <c r="M22" i="5"/>
  <c r="O10" i="5"/>
  <c r="L10" i="5"/>
  <c r="K10" i="5"/>
  <c r="D25" i="5"/>
  <c r="D24" i="5"/>
  <c r="D22" i="5"/>
  <c r="D10" i="5"/>
  <c r="C29" i="5"/>
  <c r="D29" i="5"/>
  <c r="I2" i="5"/>
  <c r="G17" i="5"/>
  <c r="C5" i="5"/>
  <c r="D6" i="5" l="1"/>
  <c r="D7" i="5" s="1"/>
  <c r="D5" i="5"/>
  <c r="C6" i="5"/>
  <c r="C7" i="5" s="1"/>
  <c r="C3" i="5"/>
  <c r="G16" i="5"/>
  <c r="D2" i="5" l="1"/>
  <c r="D3" i="5" s="1"/>
  <c r="C28" i="5"/>
  <c r="G19" i="5"/>
  <c r="E4" i="5"/>
  <c r="E6" i="5"/>
  <c r="G27" i="5"/>
  <c r="G26" i="5"/>
  <c r="G21" i="5"/>
  <c r="G15" i="5"/>
  <c r="G14" i="5"/>
  <c r="G12" i="5"/>
  <c r="G11" i="5"/>
  <c r="G10" i="5"/>
  <c r="G9" i="5"/>
  <c r="E18" i="5"/>
  <c r="F18" i="5" s="1"/>
  <c r="D4" i="6"/>
  <c r="E4" i="6" s="1"/>
  <c r="D5" i="6"/>
  <c r="C5" i="6"/>
  <c r="F23" i="6"/>
  <c r="F22" i="6"/>
  <c r="F21" i="6"/>
  <c r="F20" i="6"/>
  <c r="F16" i="6"/>
  <c r="F15" i="6"/>
  <c r="E14" i="6"/>
  <c r="C14" i="6"/>
  <c r="D14" i="6"/>
  <c r="F13" i="6"/>
  <c r="F12" i="6"/>
  <c r="F11" i="6"/>
  <c r="F10" i="6"/>
  <c r="F9" i="6"/>
  <c r="D7" i="6"/>
  <c r="C7" i="6"/>
  <c r="E6" i="6"/>
  <c r="E7" i="6"/>
  <c r="F7" i="6"/>
  <c r="C2" i="6"/>
  <c r="D2" i="6" s="1"/>
  <c r="F6" i="6"/>
  <c r="D17" i="6"/>
  <c r="E17" i="6"/>
  <c r="F17" i="6" s="1"/>
  <c r="F4" i="5" l="1"/>
  <c r="F5" i="5" s="1"/>
  <c r="E5" i="5"/>
  <c r="E2" i="5"/>
  <c r="E3" i="5" s="1"/>
  <c r="C30" i="5"/>
  <c r="C31" i="5" s="1"/>
  <c r="E7" i="5"/>
  <c r="F6" i="5"/>
  <c r="F7" i="5" s="1"/>
  <c r="F14" i="6"/>
  <c r="G18" i="5"/>
  <c r="E5" i="6"/>
  <c r="F5" i="6" s="1"/>
  <c r="F4" i="6"/>
  <c r="E2" i="6"/>
  <c r="D3" i="6"/>
  <c r="D24" i="6"/>
  <c r="D28" i="5"/>
  <c r="F2" i="6"/>
  <c r="C3" i="6"/>
  <c r="C24" i="6" s="1"/>
  <c r="F2" i="5" l="1"/>
  <c r="F3" i="5" s="1"/>
  <c r="G3" i="5" s="1"/>
  <c r="G5" i="5"/>
  <c r="G2" i="5"/>
  <c r="G7" i="5"/>
  <c r="G6" i="5"/>
  <c r="G4" i="5"/>
  <c r="E28" i="5"/>
  <c r="E29" i="5" s="1"/>
  <c r="D25" i="6"/>
  <c r="D26" i="6" s="1"/>
  <c r="D27" i="6" s="1"/>
  <c r="E3" i="6"/>
  <c r="F3" i="6" s="1"/>
  <c r="F24" i="6" s="1"/>
  <c r="E24" i="6"/>
  <c r="C25" i="6"/>
  <c r="D30" i="5" l="1"/>
  <c r="D31" i="5" s="1"/>
  <c r="F28" i="5"/>
  <c r="E30" i="5"/>
  <c r="E31" i="5" s="1"/>
  <c r="C26" i="6"/>
  <c r="C27" i="6" s="1"/>
  <c r="E25" i="6"/>
  <c r="F29" i="5" l="1"/>
  <c r="G29" i="5" s="1"/>
  <c r="G30" i="5" s="1"/>
  <c r="G28" i="5"/>
  <c r="E26" i="6"/>
  <c r="E27" i="6" s="1"/>
  <c r="F25" i="6"/>
  <c r="F26" i="6" s="1"/>
  <c r="F27" i="6"/>
  <c r="F30" i="5" l="1"/>
  <c r="F31" i="5" s="1"/>
  <c r="G31" i="5" s="1"/>
</calcChain>
</file>

<file path=xl/sharedStrings.xml><?xml version="1.0" encoding="utf-8"?>
<sst xmlns="http://schemas.openxmlformats.org/spreadsheetml/2006/main" count="45" uniqueCount="35">
  <si>
    <t>Salaries</t>
  </si>
  <si>
    <t>Year 1</t>
  </si>
  <si>
    <t>Year 2</t>
  </si>
  <si>
    <t>Year 3</t>
  </si>
  <si>
    <t>Total</t>
  </si>
  <si>
    <t>Somantika Datta</t>
  </si>
  <si>
    <t>Travel Expenses</t>
  </si>
  <si>
    <t>Domestic Travel for PI to two Professional Meeting/research trips</t>
  </si>
  <si>
    <t>$3k each</t>
  </si>
  <si>
    <t>Operating Expenses</t>
  </si>
  <si>
    <t>books, software and meeting registrations</t>
  </si>
  <si>
    <t>fees and insurance for student</t>
  </si>
  <si>
    <t>Capital Outlay</t>
  </si>
  <si>
    <t>Total Direct Costs</t>
  </si>
  <si>
    <t xml:space="preserve">Modified Direct Costs </t>
  </si>
  <si>
    <t>Indirect Costs</t>
  </si>
  <si>
    <t>Total Direct and Indirect Costs</t>
  </si>
  <si>
    <t>2 summer months in Year 1; 1 summer month and one academic month in years 2 and 3</t>
  </si>
  <si>
    <t>Fringe Benefits for Somantika (23.5 summer 37% academic)</t>
  </si>
  <si>
    <t>Postdoc</t>
  </si>
  <si>
    <t>Fringe for Postdoc</t>
  </si>
  <si>
    <t>fringe at 37%</t>
  </si>
  <si>
    <t>Undergraduate Student</t>
  </si>
  <si>
    <t>fringe at 9%</t>
  </si>
  <si>
    <t>International Travel for PI to two international trips</t>
  </si>
  <si>
    <t>Grad fees (4172/semester); grad health (900/semester); summer 1 credits $395 graduate</t>
  </si>
  <si>
    <t>Indirect Costs at  45.3%</t>
  </si>
  <si>
    <t>Year 4</t>
  </si>
  <si>
    <t>Travel for one domestic speaker and one international invited speeaker in 2024</t>
  </si>
  <si>
    <t>Participant Support</t>
  </si>
  <si>
    <t>airfare</t>
  </si>
  <si>
    <t>lodging</t>
  </si>
  <si>
    <t>registration</t>
  </si>
  <si>
    <t>per diem</t>
  </si>
  <si>
    <t>printing of program booklet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</si>
</sst>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color indexed="18"/>
      <name val="Arial"/>
      <family val="2"/>
    </font>
    <font>
      <i/>
      <sz val="10"/>
      <color indexed="18"/>
      <name val="Arial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/>
      <diagonal/>
    </border>
    <border>
      <left/>
      <right/>
      <top style="thin">
        <color indexed="23"/>
      </top>
      <bottom/>
      <diagonal/>
    </border>
    <border>
      <left style="medium">
        <color indexed="23"/>
      </left>
      <right style="medium">
        <color indexed="23"/>
      </right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44" fontId="0" fillId="0" borderId="3" xfId="0" applyNumberFormat="1" applyBorder="1" applyAlignment="1">
      <alignment wrapText="1"/>
    </xf>
    <xf numFmtId="44" fontId="2" fillId="0" borderId="2" xfId="0" applyNumberFormat="1" applyFont="1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4" fontId="2" fillId="0" borderId="1" xfId="1" applyNumberFormat="1" applyFont="1" applyFill="1" applyBorder="1" applyAlignment="1">
      <alignment horizontal="center"/>
    </xf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0" xfId="1" applyNumberFormat="1" applyFont="1" applyFill="1" applyBorder="1" applyAlignment="1"/>
    <xf numFmtId="164" fontId="0" fillId="0" borderId="0" xfId="1" applyNumberFormat="1" applyFont="1" applyFill="1" applyBorder="1" applyAlignment="1"/>
    <xf numFmtId="164" fontId="2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10" xfId="1" applyNumberFormat="1" applyFont="1" applyFill="1" applyBorder="1" applyAlignment="1">
      <alignment wrapText="1"/>
    </xf>
    <xf numFmtId="164" fontId="0" fillId="0" borderId="8" xfId="1" applyNumberFormat="1" applyFont="1" applyFill="1" applyBorder="1" applyAlignment="1"/>
    <xf numFmtId="164" fontId="0" fillId="0" borderId="12" xfId="1" applyNumberFormat="1" applyFont="1" applyFill="1" applyBorder="1" applyAlignment="1"/>
    <xf numFmtId="164" fontId="0" fillId="0" borderId="1" xfId="1" applyNumberFormat="1" applyFont="1" applyFill="1" applyBorder="1" applyAlignment="1"/>
    <xf numFmtId="164" fontId="0" fillId="0" borderId="0" xfId="1" applyNumberFormat="1" applyFont="1"/>
    <xf numFmtId="164" fontId="0" fillId="0" borderId="8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10" xfId="0" applyNumberFormat="1" applyBorder="1"/>
    <xf numFmtId="164" fontId="0" fillId="0" borderId="12" xfId="0" applyNumberFormat="1" applyBorder="1"/>
    <xf numFmtId="44" fontId="2" fillId="0" borderId="1" xfId="1" applyFont="1" applyFill="1" applyBorder="1" applyAlignment="1">
      <alignment horizontal="center"/>
    </xf>
    <xf numFmtId="44" fontId="0" fillId="0" borderId="8" xfId="0" applyNumberFormat="1" applyBorder="1"/>
    <xf numFmtId="44" fontId="0" fillId="0" borderId="16" xfId="0" applyNumberFormat="1" applyBorder="1"/>
    <xf numFmtId="44" fontId="0" fillId="0" borderId="1" xfId="0" applyNumberFormat="1" applyBorder="1"/>
    <xf numFmtId="44" fontId="0" fillId="0" borderId="10" xfId="0" applyNumberFormat="1" applyBorder="1"/>
    <xf numFmtId="44" fontId="0" fillId="0" borderId="12" xfId="0" applyNumberFormat="1" applyBorder="1"/>
    <xf numFmtId="44" fontId="0" fillId="0" borderId="1" xfId="1" applyFont="1" applyFill="1" applyBorder="1" applyAlignment="1"/>
    <xf numFmtId="44" fontId="0" fillId="0" borderId="0" xfId="0" applyNumberFormat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164" fontId="0" fillId="0" borderId="18" xfId="1" applyNumberFormat="1" applyFont="1" applyFill="1" applyBorder="1" applyAlignment="1">
      <alignment wrapText="1"/>
    </xf>
    <xf numFmtId="164" fontId="0" fillId="0" borderId="19" xfId="1" applyNumberFormat="1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164" fontId="0" fillId="0" borderId="21" xfId="1" applyNumberFormat="1" applyFont="1" applyFill="1" applyBorder="1" applyAlignment="1">
      <alignment wrapText="1"/>
    </xf>
    <xf numFmtId="164" fontId="0" fillId="0" borderId="22" xfId="1" applyNumberFormat="1" applyFont="1" applyFill="1" applyBorder="1" applyAlignment="1">
      <alignment wrapText="1"/>
    </xf>
    <xf numFmtId="6" fontId="0" fillId="0" borderId="7" xfId="0" applyNumberForma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44" fontId="1" fillId="0" borderId="3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0" fillId="0" borderId="6" xfId="1" applyNumberFormat="1" applyFont="1" applyFill="1" applyBorder="1" applyAlignment="1"/>
    <xf numFmtId="0" fontId="0" fillId="0" borderId="7" xfId="0" applyBorder="1" applyAlignment="1">
      <alignment wrapText="1"/>
    </xf>
    <xf numFmtId="0" fontId="1" fillId="0" borderId="3" xfId="0" applyFont="1" applyBorder="1" applyAlignment="1">
      <alignment wrapText="1"/>
    </xf>
    <xf numFmtId="9" fontId="3" fillId="0" borderId="2" xfId="0" applyNumberFormat="1" applyFont="1" applyBorder="1" applyAlignment="1">
      <alignment horizontal="left" wrapText="1"/>
    </xf>
    <xf numFmtId="10" fontId="0" fillId="0" borderId="11" xfId="0" applyNumberFormat="1" applyBorder="1" applyAlignment="1">
      <alignment wrapText="1"/>
    </xf>
    <xf numFmtId="0" fontId="2" fillId="0" borderId="23" xfId="0" applyFont="1" applyBorder="1" applyAlignment="1">
      <alignment horizontal="left" wrapText="1"/>
    </xf>
    <xf numFmtId="164" fontId="0" fillId="0" borderId="16" xfId="0" applyNumberFormat="1" applyBorder="1"/>
    <xf numFmtId="0" fontId="1" fillId="0" borderId="8" xfId="0" applyFont="1" applyBorder="1" applyAlignment="1">
      <alignment wrapText="1"/>
    </xf>
    <xf numFmtId="0" fontId="1" fillId="0" borderId="16" xfId="0" applyFont="1" applyBorder="1" applyAlignment="1">
      <alignment horizontal="left" wrapText="1"/>
    </xf>
    <xf numFmtId="164" fontId="1" fillId="0" borderId="16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K35" sqref="K35"/>
    </sheetView>
  </sheetViews>
  <sheetFormatPr defaultColWidth="8.7109375" defaultRowHeight="12.75" x14ac:dyDescent="0.2"/>
  <cols>
    <col min="1" max="1" width="44.42578125" style="3" customWidth="1"/>
    <col min="2" max="2" width="18.7109375" style="4" customWidth="1"/>
    <col min="3" max="4" width="14" style="30" bestFit="1" customWidth="1"/>
    <col min="5" max="6" width="14" style="33" hidden="1" customWidth="1"/>
    <col min="7" max="7" width="14" style="43" bestFit="1" customWidth="1"/>
    <col min="9" max="9" width="11" bestFit="1" customWidth="1"/>
  </cols>
  <sheetData>
    <row r="1" spans="1:15" ht="13.5" thickBot="1" x14ac:dyDescent="0.25">
      <c r="A1" s="1" t="s">
        <v>0</v>
      </c>
      <c r="B1" s="2"/>
      <c r="C1" s="18" t="s">
        <v>1</v>
      </c>
      <c r="D1" s="18" t="s">
        <v>2</v>
      </c>
      <c r="E1" s="18" t="s">
        <v>3</v>
      </c>
      <c r="F1" s="18" t="s">
        <v>27</v>
      </c>
      <c r="G1" s="36" t="s">
        <v>4</v>
      </c>
    </row>
    <row r="2" spans="1:15" ht="13.5" thickBot="1" x14ac:dyDescent="0.25">
      <c r="A2" s="8"/>
      <c r="B2" s="57"/>
      <c r="C2" s="19">
        <v>0</v>
      </c>
      <c r="D2" s="19">
        <f>C2*1.05</f>
        <v>0</v>
      </c>
      <c r="E2" s="31">
        <f>D2*1.05</f>
        <v>0</v>
      </c>
      <c r="F2" s="31">
        <f>E2*1.05</f>
        <v>0</v>
      </c>
      <c r="G2" s="37">
        <f>SUM(C2:F2)</f>
        <v>0</v>
      </c>
      <c r="I2" s="43">
        <f>C2/2.9</f>
        <v>0</v>
      </c>
    </row>
    <row r="3" spans="1:15" ht="13.5" thickBot="1" x14ac:dyDescent="0.25">
      <c r="A3" s="10"/>
      <c r="B3" s="62">
        <v>0</v>
      </c>
      <c r="C3" s="20">
        <f>C2*0.301</f>
        <v>0</v>
      </c>
      <c r="D3" s="20">
        <f>D2*0.301</f>
        <v>0</v>
      </c>
      <c r="E3" s="20">
        <f>E2*0.301</f>
        <v>0</v>
      </c>
      <c r="F3" s="20">
        <f>F2*0.301</f>
        <v>0</v>
      </c>
      <c r="G3" s="37">
        <f>SUM(C3:F3)</f>
        <v>0</v>
      </c>
    </row>
    <row r="4" spans="1:15" ht="17.100000000000001" customHeight="1" thickBot="1" x14ac:dyDescent="0.25">
      <c r="A4" s="10"/>
      <c r="B4" s="11">
        <v>0</v>
      </c>
      <c r="C4" s="21"/>
      <c r="D4" s="21">
        <v>0</v>
      </c>
      <c r="E4" s="31">
        <f>D4*1.05</f>
        <v>0</v>
      </c>
      <c r="F4" s="31">
        <f>E4*1.05/2</f>
        <v>0</v>
      </c>
      <c r="G4" s="37">
        <f t="shared" ref="G4:G7" si="0">SUM(D4:F4)</f>
        <v>0</v>
      </c>
    </row>
    <row r="5" spans="1:15" ht="13.5" thickBot="1" x14ac:dyDescent="0.25">
      <c r="A5" s="10"/>
      <c r="B5" s="11"/>
      <c r="C5" s="21">
        <f>C4*0.036</f>
        <v>0</v>
      </c>
      <c r="D5" s="21">
        <f>D4*0.036</f>
        <v>0</v>
      </c>
      <c r="E5" s="21">
        <f>E4*0.036</f>
        <v>0</v>
      </c>
      <c r="F5" s="21">
        <f>F4*0.036</f>
        <v>0</v>
      </c>
      <c r="G5" s="37">
        <f t="shared" si="0"/>
        <v>0</v>
      </c>
    </row>
    <row r="6" spans="1:15" ht="13.5" thickBot="1" x14ac:dyDescent="0.25">
      <c r="A6" s="55"/>
      <c r="B6" s="60"/>
      <c r="C6" s="22">
        <f>58000*0</f>
        <v>0</v>
      </c>
      <c r="D6" s="22">
        <f>58000*0</f>
        <v>0</v>
      </c>
      <c r="E6" s="22">
        <f>D6*1.05</f>
        <v>0</v>
      </c>
      <c r="F6" s="22">
        <f>E6*1.05</f>
        <v>0</v>
      </c>
      <c r="G6" s="37">
        <f t="shared" si="0"/>
        <v>0</v>
      </c>
    </row>
    <row r="7" spans="1:15" ht="13.5" thickBot="1" x14ac:dyDescent="0.25">
      <c r="B7" s="60"/>
      <c r="C7" s="22">
        <f>C6*0.42</f>
        <v>0</v>
      </c>
      <c r="D7" s="22">
        <f>D6*0.42</f>
        <v>0</v>
      </c>
      <c r="E7" s="22">
        <f>E6*0.42</f>
        <v>0</v>
      </c>
      <c r="F7" s="22">
        <f>F6*0.42</f>
        <v>0</v>
      </c>
      <c r="G7" s="37">
        <f t="shared" si="0"/>
        <v>0</v>
      </c>
    </row>
    <row r="8" spans="1:15" ht="13.5" thickBot="1" x14ac:dyDescent="0.25">
      <c r="C8" s="22"/>
      <c r="D8" s="22"/>
      <c r="E8" s="22"/>
      <c r="F8" s="22"/>
      <c r="G8" s="37"/>
      <c r="H8" s="33"/>
    </row>
    <row r="9" spans="1:15" ht="13.5" thickBot="1" x14ac:dyDescent="0.25">
      <c r="A9" s="1" t="s">
        <v>6</v>
      </c>
      <c r="B9" s="15"/>
      <c r="C9" s="23"/>
      <c r="D9" s="23"/>
      <c r="E9" s="32"/>
      <c r="F9" s="32"/>
      <c r="G9" s="37">
        <f>SUM(D9:E9)</f>
        <v>0</v>
      </c>
    </row>
    <row r="10" spans="1:15" ht="26.25" thickBot="1" x14ac:dyDescent="0.25">
      <c r="A10" s="7" t="s">
        <v>28</v>
      </c>
      <c r="B10" s="52"/>
      <c r="C10" s="24"/>
      <c r="D10" s="24">
        <f>4200*1.1</f>
        <v>4620</v>
      </c>
      <c r="E10" s="24">
        <v>0</v>
      </c>
      <c r="F10" s="24">
        <v>0</v>
      </c>
      <c r="G10" s="37">
        <f t="shared" ref="G10:G18" si="1">SUM(D10:F10)</f>
        <v>4620</v>
      </c>
      <c r="K10">
        <f>1300+800+900+900+150+150</f>
        <v>4200</v>
      </c>
      <c r="L10">
        <f>K10*1.1</f>
        <v>4620</v>
      </c>
      <c r="N10">
        <f>1300</f>
        <v>1300</v>
      </c>
      <c r="O10">
        <f>N10*1.1</f>
        <v>1430.0000000000002</v>
      </c>
    </row>
    <row r="11" spans="1:15" ht="13.5" thickBot="1" x14ac:dyDescent="0.25">
      <c r="A11" s="7"/>
      <c r="B11" s="59"/>
      <c r="C11" s="58"/>
      <c r="D11" s="58"/>
      <c r="E11" s="58"/>
      <c r="F11" s="58"/>
      <c r="G11" s="37">
        <f t="shared" si="1"/>
        <v>0</v>
      </c>
      <c r="N11">
        <f>800+900+150+900+150</f>
        <v>2900</v>
      </c>
      <c r="O11">
        <f>N11*1.1</f>
        <v>3190.0000000000005</v>
      </c>
    </row>
    <row r="12" spans="1:15" ht="13.5" thickBot="1" x14ac:dyDescent="0.25">
      <c r="A12" s="55"/>
      <c r="B12" s="56"/>
      <c r="C12" s="22"/>
      <c r="D12" s="22"/>
      <c r="G12" s="37">
        <f t="shared" si="1"/>
        <v>0</v>
      </c>
      <c r="I12" s="33"/>
    </row>
    <row r="13" spans="1:15" ht="13.5" thickBot="1" x14ac:dyDescent="0.25">
      <c r="A13" s="55"/>
      <c r="B13" s="56"/>
      <c r="C13" s="22"/>
      <c r="D13" s="22"/>
      <c r="G13" s="37"/>
      <c r="I13" s="33"/>
    </row>
    <row r="14" spans="1:15" ht="13.5" thickBot="1" x14ac:dyDescent="0.25">
      <c r="A14" s="1" t="s">
        <v>9</v>
      </c>
      <c r="B14" s="2"/>
      <c r="C14" s="23"/>
      <c r="D14" s="23"/>
      <c r="E14" s="32"/>
      <c r="F14" s="32"/>
      <c r="G14" s="37">
        <f t="shared" si="1"/>
        <v>0</v>
      </c>
    </row>
    <row r="15" spans="1:15" ht="13.5" thickBot="1" x14ac:dyDescent="0.25">
      <c r="A15" s="5" t="s">
        <v>34</v>
      </c>
      <c r="B15" s="6"/>
      <c r="C15" s="25"/>
      <c r="D15" s="25">
        <v>1000</v>
      </c>
      <c r="E15" s="25"/>
      <c r="F15" s="25"/>
      <c r="G15" s="37">
        <f t="shared" si="1"/>
        <v>1000</v>
      </c>
    </row>
    <row r="16" spans="1:15" ht="13.5" thickBot="1" x14ac:dyDescent="0.25">
      <c r="A16" s="53"/>
      <c r="B16" s="11"/>
      <c r="C16" s="26"/>
      <c r="D16" s="26"/>
      <c r="E16" s="34"/>
      <c r="F16" s="34"/>
      <c r="G16" s="37">
        <f t="shared" si="1"/>
        <v>0</v>
      </c>
    </row>
    <row r="17" spans="1:20" ht="13.5" thickBot="1" x14ac:dyDescent="0.25">
      <c r="A17" s="53"/>
      <c r="B17" s="10"/>
      <c r="C17" s="26"/>
      <c r="D17" s="26"/>
      <c r="E17" s="26"/>
      <c r="F17" s="26"/>
      <c r="G17" s="37">
        <f>SUM(D17:F17)</f>
        <v>0</v>
      </c>
    </row>
    <row r="18" spans="1:20" ht="13.5" thickBot="1" x14ac:dyDescent="0.25">
      <c r="A18" s="48"/>
      <c r="B18" s="49"/>
      <c r="C18" s="50"/>
      <c r="D18" s="50"/>
      <c r="E18" s="50">
        <f>D18*1.1</f>
        <v>0</v>
      </c>
      <c r="F18" s="51">
        <f>E18*1.1</f>
        <v>0</v>
      </c>
      <c r="G18" s="37">
        <f t="shared" si="1"/>
        <v>0</v>
      </c>
    </row>
    <row r="19" spans="1:20" ht="13.5" thickBot="1" x14ac:dyDescent="0.25">
      <c r="A19" s="44"/>
      <c r="B19" s="45"/>
      <c r="C19" s="46"/>
      <c r="D19" s="46"/>
      <c r="E19" s="46"/>
      <c r="F19" s="47"/>
      <c r="G19" s="38">
        <f>F19+E19+D19</f>
        <v>0</v>
      </c>
    </row>
    <row r="20" spans="1:20" ht="13.5" thickBot="1" x14ac:dyDescent="0.25">
      <c r="B20" s="14"/>
      <c r="C20" s="22"/>
      <c r="D20" s="22"/>
      <c r="G20" s="38"/>
    </row>
    <row r="21" spans="1:20" ht="13.5" thickBot="1" x14ac:dyDescent="0.25">
      <c r="A21" s="1" t="s">
        <v>29</v>
      </c>
      <c r="B21" s="2"/>
      <c r="C21" s="18"/>
      <c r="D21" s="18"/>
      <c r="E21" s="32"/>
      <c r="F21" s="32"/>
      <c r="G21" s="39">
        <f>SUM(D21:E21)</f>
        <v>0</v>
      </c>
    </row>
    <row r="22" spans="1:20" ht="13.5" thickBot="1" x14ac:dyDescent="0.25">
      <c r="A22" s="66" t="s">
        <v>30</v>
      </c>
      <c r="B22" s="63"/>
      <c r="C22" s="67">
        <v>11250</v>
      </c>
      <c r="D22" s="67">
        <f>8750*1.1</f>
        <v>9625</v>
      </c>
      <c r="E22" s="64"/>
      <c r="F22" s="64"/>
      <c r="G22" s="39">
        <f>SUM(C22:E22)</f>
        <v>20875</v>
      </c>
      <c r="M22">
        <f>(15*1400+1500)/2</f>
        <v>11250</v>
      </c>
      <c r="N22">
        <f>700*12.5*1.1</f>
        <v>9625</v>
      </c>
    </row>
    <row r="23" spans="1:20" ht="13.5" thickBot="1" x14ac:dyDescent="0.25">
      <c r="A23" s="66" t="s">
        <v>31</v>
      </c>
      <c r="B23" s="63"/>
      <c r="C23" s="67">
        <v>2700</v>
      </c>
      <c r="D23" s="67">
        <f>3125*1.1</f>
        <v>3437.5000000000005</v>
      </c>
      <c r="E23" s="64"/>
      <c r="F23" s="64"/>
      <c r="G23" s="39">
        <f t="shared" ref="G23:G25" si="2">SUM(C23:E23)</f>
        <v>6137.5</v>
      </c>
      <c r="M23">
        <f>(360*15)/2</f>
        <v>2700</v>
      </c>
      <c r="N23">
        <f>250*12.5*1.1</f>
        <v>3437.5000000000005</v>
      </c>
    </row>
    <row r="24" spans="1:20" ht="13.5" thickBot="1" x14ac:dyDescent="0.25">
      <c r="A24" s="66" t="s">
        <v>32</v>
      </c>
      <c r="B24" s="63"/>
      <c r="C24" s="67">
        <v>2250</v>
      </c>
      <c r="D24" s="67">
        <f>3750*1.1</f>
        <v>4125</v>
      </c>
      <c r="E24" s="64"/>
      <c r="F24" s="64"/>
      <c r="G24" s="39">
        <f t="shared" si="2"/>
        <v>6375</v>
      </c>
      <c r="M24">
        <f>300*7.5</f>
        <v>2250</v>
      </c>
      <c r="N24">
        <f>330*12.5</f>
        <v>4125</v>
      </c>
    </row>
    <row r="25" spans="1:20" ht="13.5" thickBot="1" x14ac:dyDescent="0.25">
      <c r="A25" s="65" t="s">
        <v>33</v>
      </c>
      <c r="B25" s="9"/>
      <c r="C25" s="27">
        <v>1500</v>
      </c>
      <c r="D25" s="27">
        <f>1875*1.1</f>
        <v>2062.5</v>
      </c>
      <c r="E25" s="31"/>
      <c r="F25" s="31"/>
      <c r="G25" s="39">
        <f t="shared" si="2"/>
        <v>3562.5</v>
      </c>
      <c r="M25">
        <f>200*7.5</f>
        <v>1500</v>
      </c>
      <c r="N25">
        <f>150*12.5*1.1</f>
        <v>2062.5</v>
      </c>
    </row>
    <row r="26" spans="1:20" x14ac:dyDescent="0.2">
      <c r="A26" s="10"/>
      <c r="B26" s="11"/>
      <c r="C26" s="20"/>
      <c r="D26" s="20"/>
      <c r="E26" s="34"/>
      <c r="F26" s="34"/>
      <c r="G26" s="40">
        <f>SUM(D26:E26)</f>
        <v>0</v>
      </c>
    </row>
    <row r="27" spans="1:20" ht="13.5" thickBot="1" x14ac:dyDescent="0.25">
      <c r="A27" s="16"/>
      <c r="B27" s="17"/>
      <c r="C27" s="28"/>
      <c r="D27" s="28"/>
      <c r="E27" s="35"/>
      <c r="F27" s="35"/>
      <c r="G27" s="41">
        <f>SUM(D27:E27)</f>
        <v>0</v>
      </c>
    </row>
    <row r="28" spans="1:20" ht="13.5" thickBot="1" x14ac:dyDescent="0.25">
      <c r="A28" s="12" t="s">
        <v>13</v>
      </c>
      <c r="B28" s="13"/>
      <c r="C28" s="29">
        <f>SUM(C2:C27)</f>
        <v>17700</v>
      </c>
      <c r="D28" s="29">
        <f>SUM(D2:D27)</f>
        <v>24870</v>
      </c>
      <c r="E28" s="29">
        <f>SUM(E2:E27)</f>
        <v>0</v>
      </c>
      <c r="F28" s="29">
        <f>SUM(F2:F27)</f>
        <v>0</v>
      </c>
      <c r="G28" s="42">
        <f>SUM(C28:F28)</f>
        <v>42570</v>
      </c>
    </row>
    <row r="29" spans="1:20" ht="13.5" thickBot="1" x14ac:dyDescent="0.25">
      <c r="A29" s="12" t="s">
        <v>14</v>
      </c>
      <c r="B29" s="13"/>
      <c r="C29" s="29">
        <f>SUM(C2:C20)</f>
        <v>0</v>
      </c>
      <c r="D29" s="29">
        <f>SUM(D2:D20)</f>
        <v>5620</v>
      </c>
      <c r="E29" s="29">
        <f>E28-(E25+E18)</f>
        <v>0</v>
      </c>
      <c r="F29" s="29">
        <f>F28-(F25+F18)</f>
        <v>0</v>
      </c>
      <c r="G29" s="42">
        <f>SUM(C29:F29)</f>
        <v>5620</v>
      </c>
    </row>
    <row r="30" spans="1:20" ht="13.5" thickBot="1" x14ac:dyDescent="0.25">
      <c r="A30" s="12" t="s">
        <v>15</v>
      </c>
      <c r="B30" s="61">
        <v>0.5</v>
      </c>
      <c r="C30" s="29">
        <f>C29*0.5</f>
        <v>0</v>
      </c>
      <c r="D30" s="29">
        <f>D29*0.5</f>
        <v>2810</v>
      </c>
      <c r="E30" s="29">
        <f>E29*0.5</f>
        <v>0</v>
      </c>
      <c r="F30" s="29">
        <f>F29*0.5</f>
        <v>0</v>
      </c>
      <c r="G30" s="29">
        <f>G29*0.5</f>
        <v>2810</v>
      </c>
    </row>
    <row r="31" spans="1:20" ht="13.5" thickBot="1" x14ac:dyDescent="0.25">
      <c r="A31" s="12" t="s">
        <v>16</v>
      </c>
      <c r="B31" s="13"/>
      <c r="C31" s="29">
        <f>C28+C30</f>
        <v>17700</v>
      </c>
      <c r="D31" s="29">
        <f>D28+D30</f>
        <v>27680</v>
      </c>
      <c r="E31" s="29">
        <f>E28+E30</f>
        <v>0</v>
      </c>
      <c r="F31" s="29">
        <f>F28+F30</f>
        <v>0</v>
      </c>
      <c r="G31" s="42">
        <f>SUM(C31:F31)</f>
        <v>45380</v>
      </c>
    </row>
    <row r="32" spans="1:20" x14ac:dyDescent="0.2">
      <c r="T32" s="67">
        <f>3125*1.1</f>
        <v>3437.5000000000005</v>
      </c>
    </row>
  </sheetData>
  <phoneticPr fontId="4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opLeftCell="A2" workbookViewId="0">
      <selection activeCell="C18" sqref="C18"/>
    </sheetView>
  </sheetViews>
  <sheetFormatPr defaultColWidth="8.7109375" defaultRowHeight="12.75" x14ac:dyDescent="0.2"/>
  <cols>
    <col min="1" max="1" width="46" style="3" customWidth="1"/>
    <col min="2" max="2" width="16.28515625" style="4" bestFit="1" customWidth="1"/>
    <col min="3" max="3" width="14" style="30" bestFit="1" customWidth="1"/>
    <col min="4" max="4" width="14" style="33" bestFit="1" customWidth="1"/>
    <col min="5" max="5" width="14" style="33" customWidth="1"/>
    <col min="6" max="6" width="14" style="43" bestFit="1" customWidth="1"/>
  </cols>
  <sheetData>
    <row r="1" spans="1:6" ht="13.5" thickBot="1" x14ac:dyDescent="0.25">
      <c r="A1" s="1" t="s">
        <v>0</v>
      </c>
      <c r="B1" s="2"/>
      <c r="C1" s="18" t="s">
        <v>1</v>
      </c>
      <c r="D1" s="18" t="s">
        <v>2</v>
      </c>
      <c r="E1" s="18" t="s">
        <v>3</v>
      </c>
      <c r="F1" s="36" t="s">
        <v>4</v>
      </c>
    </row>
    <row r="2" spans="1:6" ht="77.25" thickBot="1" x14ac:dyDescent="0.25">
      <c r="A2" s="8" t="s">
        <v>5</v>
      </c>
      <c r="B2" s="9" t="s">
        <v>17</v>
      </c>
      <c r="C2" s="19">
        <f>((59176*1.05)/9)*2</f>
        <v>13807.733333333334</v>
      </c>
      <c r="D2" s="31">
        <f t="shared" ref="D2:E4" si="0">C2*1.05</f>
        <v>14498.12</v>
      </c>
      <c r="E2" s="31">
        <f t="shared" si="0"/>
        <v>15223.026000000002</v>
      </c>
      <c r="F2" s="37">
        <f t="shared" ref="F2:F7" si="1">SUM(C2:E2)</f>
        <v>43528.879333333331</v>
      </c>
    </row>
    <row r="3" spans="1:6" ht="26.25" thickBot="1" x14ac:dyDescent="0.25">
      <c r="A3" s="10" t="s">
        <v>18</v>
      </c>
      <c r="B3" s="11"/>
      <c r="C3" s="20">
        <f>C2*0.235</f>
        <v>3244.8173333333334</v>
      </c>
      <c r="D3" s="20">
        <f>(((D2/2)*0.375)+((D2/2)*0.235))</f>
        <v>4421.9265999999998</v>
      </c>
      <c r="E3" s="20">
        <f>(((E2/2)*0.375)+((E2/2)*0.235))</f>
        <v>4643.022930000001</v>
      </c>
      <c r="F3" s="37">
        <f t="shared" si="1"/>
        <v>12309.766863333334</v>
      </c>
    </row>
    <row r="4" spans="1:6" ht="13.5" thickBot="1" x14ac:dyDescent="0.25">
      <c r="A4" s="53" t="s">
        <v>19</v>
      </c>
      <c r="B4" s="11"/>
      <c r="C4" s="21">
        <v>50000</v>
      </c>
      <c r="D4" s="31">
        <f t="shared" si="0"/>
        <v>52500</v>
      </c>
      <c r="E4" s="31">
        <f t="shared" si="0"/>
        <v>55125</v>
      </c>
      <c r="F4" s="37">
        <f t="shared" si="1"/>
        <v>157625</v>
      </c>
    </row>
    <row r="5" spans="1:6" ht="13.5" thickBot="1" x14ac:dyDescent="0.25">
      <c r="A5" s="53" t="s">
        <v>20</v>
      </c>
      <c r="B5" s="54" t="s">
        <v>21</v>
      </c>
      <c r="C5" s="21">
        <f>C4*0.37</f>
        <v>18500</v>
      </c>
      <c r="D5" s="21">
        <f t="shared" ref="D5:E5" si="2">D4*0.37</f>
        <v>19425</v>
      </c>
      <c r="E5" s="21">
        <f t="shared" si="2"/>
        <v>20396.25</v>
      </c>
      <c r="F5" s="37">
        <f t="shared" si="1"/>
        <v>58321.25</v>
      </c>
    </row>
    <row r="6" spans="1:6" ht="13.5" thickBot="1" x14ac:dyDescent="0.25">
      <c r="A6" s="3" t="s">
        <v>22</v>
      </c>
      <c r="C6" s="22"/>
      <c r="D6" s="22"/>
      <c r="E6" s="22">
        <f>D6*1.05</f>
        <v>0</v>
      </c>
      <c r="F6" s="37">
        <f t="shared" si="1"/>
        <v>0</v>
      </c>
    </row>
    <row r="7" spans="1:6" ht="13.5" thickBot="1" x14ac:dyDescent="0.25">
      <c r="B7" s="4" t="s">
        <v>23</v>
      </c>
      <c r="C7" s="22">
        <f>C6*0.09</f>
        <v>0</v>
      </c>
      <c r="D7" s="22">
        <f t="shared" ref="D7:E7" si="3">D6*0.09</f>
        <v>0</v>
      </c>
      <c r="E7" s="22">
        <f t="shared" si="3"/>
        <v>0</v>
      </c>
      <c r="F7" s="37">
        <f t="shared" si="1"/>
        <v>0</v>
      </c>
    </row>
    <row r="8" spans="1:6" ht="13.5" thickBot="1" x14ac:dyDescent="0.25">
      <c r="C8" s="22"/>
      <c r="D8" s="22"/>
      <c r="E8" s="22"/>
      <c r="F8" s="37"/>
    </row>
    <row r="9" spans="1:6" ht="13.5" thickBot="1" x14ac:dyDescent="0.25">
      <c r="A9" s="1" t="s">
        <v>6</v>
      </c>
      <c r="B9" s="15"/>
      <c r="C9" s="23"/>
      <c r="D9" s="32"/>
      <c r="E9" s="32"/>
      <c r="F9" s="37">
        <f>SUM(C9:D9)</f>
        <v>0</v>
      </c>
    </row>
    <row r="10" spans="1:6" ht="26.25" thickBot="1" x14ac:dyDescent="0.25">
      <c r="A10" s="7" t="s">
        <v>7</v>
      </c>
      <c r="B10" s="52">
        <v>1500</v>
      </c>
      <c r="C10" s="24">
        <v>3000</v>
      </c>
      <c r="D10" s="24">
        <v>3000</v>
      </c>
      <c r="E10" s="24">
        <v>3000</v>
      </c>
      <c r="F10" s="37">
        <f t="shared" ref="F10:F17" si="4">SUM(C10:E10)</f>
        <v>9000</v>
      </c>
    </row>
    <row r="11" spans="1:6" ht="13.5" thickBot="1" x14ac:dyDescent="0.25">
      <c r="A11" s="3" t="s">
        <v>24</v>
      </c>
      <c r="B11" s="4" t="s">
        <v>8</v>
      </c>
      <c r="C11" s="22">
        <v>3000</v>
      </c>
      <c r="D11" s="22">
        <v>3000</v>
      </c>
      <c r="E11" s="22">
        <v>0</v>
      </c>
      <c r="F11" s="37">
        <f t="shared" si="4"/>
        <v>6000</v>
      </c>
    </row>
    <row r="12" spans="1:6" ht="13.5" thickBot="1" x14ac:dyDescent="0.25">
      <c r="B12" s="14"/>
      <c r="C12" s="22"/>
      <c r="F12" s="37">
        <f t="shared" si="4"/>
        <v>0</v>
      </c>
    </row>
    <row r="13" spans="1:6" ht="13.5" thickBot="1" x14ac:dyDescent="0.25">
      <c r="A13" s="1" t="s">
        <v>9</v>
      </c>
      <c r="B13" s="2"/>
      <c r="C13" s="23"/>
      <c r="D13" s="32"/>
      <c r="E13" s="32"/>
      <c r="F13" s="37">
        <f t="shared" si="4"/>
        <v>0</v>
      </c>
    </row>
    <row r="14" spans="1:6" ht="13.5" thickBot="1" x14ac:dyDescent="0.25">
      <c r="A14" s="5" t="s">
        <v>10</v>
      </c>
      <c r="B14" s="6"/>
      <c r="C14" s="25">
        <f>800+500</f>
        <v>1300</v>
      </c>
      <c r="D14" s="25">
        <f>800+500</f>
        <v>1300</v>
      </c>
      <c r="E14" s="25">
        <f>800+500</f>
        <v>1300</v>
      </c>
      <c r="F14" s="37">
        <f t="shared" si="4"/>
        <v>3900</v>
      </c>
    </row>
    <row r="15" spans="1:6" ht="13.5" thickBot="1" x14ac:dyDescent="0.25">
      <c r="A15" s="10"/>
      <c r="B15" s="11"/>
      <c r="C15" s="26"/>
      <c r="D15" s="34"/>
      <c r="E15" s="34"/>
      <c r="F15" s="37">
        <f t="shared" si="4"/>
        <v>0</v>
      </c>
    </row>
    <row r="16" spans="1:6" ht="13.5" thickBot="1" x14ac:dyDescent="0.25">
      <c r="A16" s="10"/>
      <c r="B16" s="11"/>
      <c r="C16" s="26"/>
      <c r="D16" s="26"/>
      <c r="E16" s="26"/>
      <c r="F16" s="37">
        <f t="shared" si="4"/>
        <v>0</v>
      </c>
    </row>
    <row r="17" spans="1:6" ht="77.25" thickBot="1" x14ac:dyDescent="0.25">
      <c r="A17" s="48" t="s">
        <v>11</v>
      </c>
      <c r="B17" s="49" t="s">
        <v>25</v>
      </c>
      <c r="C17" s="50">
        <v>0</v>
      </c>
      <c r="D17" s="50">
        <f>C17*1.1</f>
        <v>0</v>
      </c>
      <c r="E17" s="51">
        <f>D17*1.1</f>
        <v>0</v>
      </c>
      <c r="F17" s="37">
        <f t="shared" si="4"/>
        <v>0</v>
      </c>
    </row>
    <row r="18" spans="1:6" ht="13.5" thickBot="1" x14ac:dyDescent="0.25">
      <c r="A18" s="44"/>
      <c r="B18" s="45"/>
      <c r="C18" s="46"/>
      <c r="D18" s="46"/>
      <c r="E18" s="47"/>
      <c r="F18" s="38"/>
    </row>
    <row r="19" spans="1:6" ht="13.5" thickBot="1" x14ac:dyDescent="0.25">
      <c r="B19" s="14"/>
      <c r="C19" s="22"/>
      <c r="F19" s="38"/>
    </row>
    <row r="20" spans="1:6" ht="13.5" thickBot="1" x14ac:dyDescent="0.25">
      <c r="A20" s="1" t="s">
        <v>12</v>
      </c>
      <c r="B20" s="2"/>
      <c r="C20" s="18"/>
      <c r="D20" s="32"/>
      <c r="E20" s="32"/>
      <c r="F20" s="39">
        <f>SUM(C20:D20)</f>
        <v>0</v>
      </c>
    </row>
    <row r="21" spans="1:6" x14ac:dyDescent="0.2">
      <c r="A21" s="8"/>
      <c r="B21" s="9"/>
      <c r="C21" s="27"/>
      <c r="D21" s="31"/>
      <c r="E21" s="31"/>
      <c r="F21" s="37">
        <f>SUM(C21:D21)</f>
        <v>0</v>
      </c>
    </row>
    <row r="22" spans="1:6" x14ac:dyDescent="0.2">
      <c r="A22" s="10"/>
      <c r="B22" s="11"/>
      <c r="C22" s="20"/>
      <c r="D22" s="34"/>
      <c r="E22" s="34"/>
      <c r="F22" s="40">
        <f>SUM(C22:D22)</f>
        <v>0</v>
      </c>
    </row>
    <row r="23" spans="1:6" ht="13.5" thickBot="1" x14ac:dyDescent="0.25">
      <c r="A23" s="16"/>
      <c r="B23" s="17"/>
      <c r="C23" s="28"/>
      <c r="D23" s="35"/>
      <c r="E23" s="35"/>
      <c r="F23" s="41">
        <f>SUM(C23:D23)</f>
        <v>0</v>
      </c>
    </row>
    <row r="24" spans="1:6" ht="13.5" thickBot="1" x14ac:dyDescent="0.25">
      <c r="A24" s="12" t="s">
        <v>13</v>
      </c>
      <c r="B24" s="13"/>
      <c r="C24" s="29">
        <f>SUM(C2:C23)</f>
        <v>92852.550666666662</v>
      </c>
      <c r="D24" s="29">
        <f>SUM(D2:D23)</f>
        <v>98145.046600000001</v>
      </c>
      <c r="E24" s="29">
        <f>SUM(E2:E23)</f>
        <v>99687.298930000004</v>
      </c>
      <c r="F24" s="42">
        <f>SUM(F2:F23)</f>
        <v>290684.89619666664</v>
      </c>
    </row>
    <row r="25" spans="1:6" ht="13.5" thickBot="1" x14ac:dyDescent="0.25">
      <c r="A25" s="12" t="s">
        <v>14</v>
      </c>
      <c r="B25" s="13"/>
      <c r="C25" s="29">
        <f>C24-(C21+C17)</f>
        <v>92852.550666666662</v>
      </c>
      <c r="D25" s="29">
        <f>D24-(D21+D17)</f>
        <v>98145.046600000001</v>
      </c>
      <c r="E25" s="29">
        <f>E24-(E21+E17)</f>
        <v>99687.298930000004</v>
      </c>
      <c r="F25" s="42">
        <f>SUM(C25:E25)</f>
        <v>290684.89619666664</v>
      </c>
    </row>
    <row r="26" spans="1:6" ht="13.5" thickBot="1" x14ac:dyDescent="0.25">
      <c r="A26" s="12" t="s">
        <v>26</v>
      </c>
      <c r="B26" s="13"/>
      <c r="C26" s="29">
        <f>C25*0.453</f>
        <v>42062.205452000002</v>
      </c>
      <c r="D26" s="29">
        <f>D25*0.453</f>
        <v>44459.706109800005</v>
      </c>
      <c r="E26" s="29">
        <f>E25*0.453</f>
        <v>45158.346415290005</v>
      </c>
      <c r="F26" s="29">
        <f>F25*0.434</f>
        <v>126157.24494935332</v>
      </c>
    </row>
    <row r="27" spans="1:6" ht="13.5" thickBot="1" x14ac:dyDescent="0.25">
      <c r="A27" s="12" t="s">
        <v>16</v>
      </c>
      <c r="B27" s="13"/>
      <c r="C27" s="29">
        <f>C24+C26</f>
        <v>134914.75611866667</v>
      </c>
      <c r="D27" s="29">
        <f>D24+D26</f>
        <v>142604.7527098</v>
      </c>
      <c r="E27" s="29">
        <f>E24+E26</f>
        <v>144845.64534529002</v>
      </c>
      <c r="F27" s="42">
        <f>SUM(C27:E27)</f>
        <v>422365.15417375666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05bcd70-f59b-4b02-8d4b-d5c872a6c2ec">
      <Terms xmlns="http://schemas.microsoft.com/office/infopath/2007/PartnerControls"/>
    </lcf76f155ced4ddcb4097134ff3c332f>
    <TaxCatchAll xmlns="c4c6f437-7a45-48d7-a31d-1f801e209e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7A5265D2267D4EB214890806CEC750" ma:contentTypeVersion="18" ma:contentTypeDescription="Create a new document." ma:contentTypeScope="" ma:versionID="7feac26a7eba8834f33093326f49f28b">
  <xsd:schema xmlns:xsd="http://www.w3.org/2001/XMLSchema" xmlns:xs="http://www.w3.org/2001/XMLSchema" xmlns:p="http://schemas.microsoft.com/office/2006/metadata/properties" xmlns:ns1="http://schemas.microsoft.com/sharepoint/v3" xmlns:ns2="c4c6f437-7a45-48d7-a31d-1f801e209eae" xmlns:ns3="d05bcd70-f59b-4b02-8d4b-d5c872a6c2ec" targetNamespace="http://schemas.microsoft.com/office/2006/metadata/properties" ma:root="true" ma:fieldsID="2ba167fe9ed71b27aea686a1889936aa" ns1:_="" ns2:_="" ns3:_="">
    <xsd:import namespace="http://schemas.microsoft.com/sharepoint/v3"/>
    <xsd:import namespace="c4c6f437-7a45-48d7-a31d-1f801e209eae"/>
    <xsd:import namespace="d05bcd70-f59b-4b02-8d4b-d5c872a6c2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6f437-7a45-48d7-a31d-1f801e209e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07ee552a-d78a-428e-b559-aa5e599d5319}" ma:internalName="TaxCatchAll" ma:showField="CatchAllData" ma:web="c4c6f437-7a45-48d7-a31d-1f801e209e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bcd70-f59b-4b02-8d4b-d5c872a6c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f924f0ff-682f-4b97-8273-0421c1f819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FA69F2-2181-4F7A-AE05-F09094A09AC3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c4c6f437-7a45-48d7-a31d-1f801e209eae"/>
    <ds:schemaRef ds:uri="http://schemas.openxmlformats.org/package/2006/metadata/core-properties"/>
    <ds:schemaRef ds:uri="d05bcd70-f59b-4b02-8d4b-d5c872a6c2ec"/>
    <ds:schemaRef ds:uri="http://schemas.microsoft.com/sharepoint/v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60ADBE-BFEB-4D7D-A3AB-FFAF223636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B29BC6-D982-4AE6-924F-823D07BE0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4c6f437-7a45-48d7-a31d-1f801e209eae"/>
    <ds:schemaRef ds:uri="d05bcd70-f59b-4b02-8d4b-d5c872a6c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budget full grad</vt:lpstr>
      <vt:lpstr>Sheet1</vt:lpstr>
    </vt:vector>
  </TitlesOfParts>
  <Manager/>
  <Company>University of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 Joyce</dc:creator>
  <cp:keywords/>
  <dc:description/>
  <cp:lastModifiedBy>Eric Everett</cp:lastModifiedBy>
  <cp:revision/>
  <dcterms:created xsi:type="dcterms:W3CDTF">2002-04-25T16:47:34Z</dcterms:created>
  <dcterms:modified xsi:type="dcterms:W3CDTF">2022-09-22T20:14:58Z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0x010100047A5265D2267D4EB214890806CEC750</vt:lpwstr>
  </property>
  <property fmtid="{D5CDD505-2E9C-101B-9397-08002B2CF9AE}" pid="3" name="Order">
    <vt:r8>8437400</vt:r8>
  </property>
  <property fmtid="{D5CDD505-2E9C-101B-9397-08002B2CF9AE}" pid="4" name="MediaServiceImageTags">
    <vt:lpwstr/>
  </property>
</Properties>
</file>