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mbernards_uidaho_edu/Documents/NSF Poly 2020/DMR Submission 2022/"/>
    </mc:Choice>
  </mc:AlternateContent>
  <xr:revisionPtr revIDLastSave="0" documentId="8_{3733AB60-C67C-8148-B539-11BEF0995552}" xr6:coauthVersionLast="47" xr6:coauthVersionMax="47" xr10:uidLastSave="{00000000-0000-0000-0000-000000000000}"/>
  <bookViews>
    <workbookView xWindow="7680" yWindow="500" windowWidth="18320" windowHeight="14380" activeTab="1" xr2:uid="{B9ABFE93-F694-6C4B-9E27-46D59609AC6A}"/>
  </bookViews>
  <sheets>
    <sheet name="Final Budget" sheetId="1" r:id="rId1"/>
    <sheet name="Budget Spli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8" i="1" l="1"/>
  <c r="C55" i="1"/>
  <c r="E55" i="1"/>
  <c r="F55" i="1"/>
  <c r="F32" i="3"/>
  <c r="K22" i="3"/>
  <c r="K23" i="3"/>
  <c r="K20" i="3"/>
  <c r="H22" i="3"/>
  <c r="I21" i="3"/>
  <c r="I22" i="3" s="1"/>
  <c r="J20" i="3"/>
  <c r="I20" i="3"/>
  <c r="H20" i="3"/>
  <c r="I19" i="3"/>
  <c r="J19" i="3"/>
  <c r="I12" i="3"/>
  <c r="I11" i="3"/>
  <c r="H12" i="3"/>
  <c r="H11" i="3"/>
  <c r="D55" i="1"/>
  <c r="F27" i="1"/>
  <c r="H34" i="1"/>
  <c r="F33" i="1"/>
  <c r="I10" i="1"/>
  <c r="I11" i="1"/>
  <c r="F29" i="3"/>
  <c r="I29" i="3"/>
  <c r="F27" i="3"/>
  <c r="F19" i="3"/>
  <c r="C56" i="1"/>
  <c r="F47" i="1"/>
  <c r="F43" i="1"/>
  <c r="E21" i="1"/>
  <c r="D21" i="1"/>
  <c r="C21" i="1"/>
  <c r="N45" i="1"/>
  <c r="L44" i="1"/>
  <c r="D18" i="1"/>
  <c r="E18" i="1" s="1"/>
  <c r="I32" i="1"/>
  <c r="I33" i="1" s="1"/>
  <c r="I34" i="1" s="1"/>
  <c r="I30" i="1"/>
  <c r="I29" i="1"/>
  <c r="J29" i="1" s="1"/>
  <c r="C6" i="1"/>
  <c r="J25" i="1"/>
  <c r="K25" i="1" s="1"/>
  <c r="O20" i="1"/>
  <c r="O21" i="1" s="1"/>
  <c r="O36" i="1"/>
  <c r="D19" i="1"/>
  <c r="D22" i="1" s="1"/>
  <c r="C19" i="1"/>
  <c r="C13" i="1"/>
  <c r="J5" i="1"/>
  <c r="C5" i="1" s="1"/>
  <c r="L5" i="1" s="1"/>
  <c r="C14" i="1"/>
  <c r="C22" i="1"/>
  <c r="D12" i="1"/>
  <c r="D13" i="1" s="1"/>
  <c r="D14" i="1"/>
  <c r="F12" i="1"/>
  <c r="F13" i="1"/>
  <c r="F14" i="1" s="1"/>
  <c r="F20" i="1"/>
  <c r="F21" i="1"/>
  <c r="C31" i="1"/>
  <c r="C47" i="1" s="1"/>
  <c r="F49" i="1"/>
  <c r="D50" i="1"/>
  <c r="E50" i="1"/>
  <c r="F50" i="1"/>
  <c r="D51" i="1"/>
  <c r="E51" i="1"/>
  <c r="F51" i="1"/>
  <c r="F52" i="1"/>
  <c r="D44" i="1"/>
  <c r="E44" i="1"/>
  <c r="F44" i="1"/>
  <c r="D45" i="1"/>
  <c r="E45" i="1" s="1"/>
  <c r="F45" i="1" s="1"/>
  <c r="D46" i="1"/>
  <c r="E46" i="1" s="1"/>
  <c r="F46" i="1" s="1"/>
  <c r="F41" i="1"/>
  <c r="F42" i="1"/>
  <c r="D39" i="1"/>
  <c r="E39" i="1"/>
  <c r="F39" i="1"/>
  <c r="F36" i="1"/>
  <c r="D29" i="1"/>
  <c r="E29" i="1" s="1"/>
  <c r="D30" i="1"/>
  <c r="D53" i="1"/>
  <c r="E53" i="1"/>
  <c r="F53" i="1"/>
  <c r="C53" i="1"/>
  <c r="Q34" i="1"/>
  <c r="R34" i="1"/>
  <c r="T34" i="1"/>
  <c r="J51" i="1"/>
  <c r="J50" i="1"/>
  <c r="F22" i="3"/>
  <c r="O28" i="1"/>
  <c r="I53" i="1"/>
  <c r="I54" i="1"/>
  <c r="K33" i="1"/>
  <c r="L33" i="1"/>
  <c r="K20" i="1"/>
  <c r="F21" i="3"/>
  <c r="F7" i="3"/>
  <c r="F11" i="3"/>
  <c r="F12" i="3"/>
  <c r="F16" i="3"/>
  <c r="F26" i="3"/>
  <c r="I20" i="1"/>
  <c r="K40" i="1"/>
  <c r="L51" i="1" l="1"/>
  <c r="Q36" i="1"/>
  <c r="R36" i="1" s="1"/>
  <c r="T36" i="1" s="1"/>
  <c r="O22" i="1"/>
  <c r="O24" i="1" s="1"/>
  <c r="I22" i="1"/>
  <c r="I41" i="1"/>
  <c r="L46" i="1"/>
  <c r="C9" i="3"/>
  <c r="F18" i="1"/>
  <c r="I12" i="1" s="1"/>
  <c r="E19" i="1"/>
  <c r="E22" i="1" s="1"/>
  <c r="D31" i="1"/>
  <c r="D47" i="1" s="1"/>
  <c r="F29" i="1"/>
  <c r="O30" i="1"/>
  <c r="F9" i="3"/>
  <c r="E30" i="1"/>
  <c r="F30" i="1" s="1"/>
  <c r="H31" i="1" s="1"/>
  <c r="E31" i="1"/>
  <c r="E47" i="1" s="1"/>
  <c r="D8" i="3"/>
  <c r="F8" i="3" s="1"/>
  <c r="D5" i="1"/>
  <c r="M5" i="1" s="1"/>
  <c r="M42" i="1" l="1"/>
  <c r="F19" i="1"/>
  <c r="F22" i="1" s="1"/>
  <c r="F31" i="1"/>
  <c r="E5" i="1"/>
  <c r="N5" i="1" s="1"/>
  <c r="O5" i="1" s="1"/>
  <c r="F5" i="1" l="1"/>
  <c r="D5" i="3" l="1"/>
  <c r="F6" i="3" l="1"/>
  <c r="D13" i="3" l="1"/>
  <c r="D31" i="3" s="1"/>
  <c r="D32" i="3" s="1"/>
  <c r="D33" i="3" l="1"/>
  <c r="D34" i="3" l="1"/>
  <c r="I6" i="1"/>
  <c r="L6" i="1" l="1"/>
  <c r="D6" i="1"/>
  <c r="C7" i="1"/>
  <c r="C8" i="1" l="1"/>
  <c r="C27" i="1" s="1"/>
  <c r="C9" i="1"/>
  <c r="M6" i="1"/>
  <c r="E6" i="1"/>
  <c r="D7" i="1"/>
  <c r="F6" i="1"/>
  <c r="H6" i="1" s="1"/>
  <c r="F7" i="1" l="1"/>
  <c r="C5" i="3"/>
  <c r="D8" i="1"/>
  <c r="D27" i="1" s="1"/>
  <c r="D9" i="1"/>
  <c r="N6" i="1"/>
  <c r="O6" i="1" s="1"/>
  <c r="E7" i="1"/>
  <c r="C24" i="1"/>
  <c r="C25" i="1"/>
  <c r="C33" i="1"/>
  <c r="C57" i="1" l="1"/>
  <c r="E8" i="1"/>
  <c r="E27" i="1" s="1"/>
  <c r="E9" i="1"/>
  <c r="D24" i="1"/>
  <c r="D25" i="1"/>
  <c r="D33" i="1"/>
  <c r="C13" i="3"/>
  <c r="C31" i="3" s="1"/>
  <c r="C32" i="3" s="1"/>
  <c r="F5" i="3"/>
  <c r="F13" i="3" s="1"/>
  <c r="F31" i="3" s="1"/>
  <c r="F8" i="1"/>
  <c r="H16" i="1" s="1"/>
  <c r="F9" i="1"/>
  <c r="F25" i="1" l="1"/>
  <c r="F24" i="1"/>
  <c r="K13" i="1"/>
  <c r="C33" i="3"/>
  <c r="D56" i="1"/>
  <c r="D57" i="1" s="1"/>
  <c r="D58" i="1" s="1"/>
  <c r="E25" i="1"/>
  <c r="E24" i="1"/>
  <c r="E33" i="1"/>
  <c r="C58" i="1"/>
  <c r="E56" i="1" l="1"/>
  <c r="E57" i="1" s="1"/>
  <c r="F33" i="3"/>
  <c r="F34" i="3" s="1"/>
  <c r="C34" i="3"/>
  <c r="C39" i="3" s="1"/>
  <c r="F56" i="1"/>
  <c r="F57" i="1" s="1"/>
  <c r="F58" i="1" s="1"/>
  <c r="E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Kristopher Waynant</author>
  </authors>
  <commentList>
    <comment ref="F33" authorId="0" shapeId="0" xr:uid="{A608F07A-3BEF-EC4B-B158-4AD187CD58B8}">
      <text>
        <r>
          <rPr>
            <b/>
            <sz val="10"/>
            <color rgb="FF000000"/>
            <rFont val="Tahoma"/>
            <family val="2"/>
          </rPr>
          <t>Kristopher Waynant: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<sst xmlns="http://schemas.openxmlformats.org/spreadsheetml/2006/main" count="105" uniqueCount="97">
  <si>
    <t>"Proposal Title: Molecular Design of Zwitterionic Cross-Linkers Project Dates: 8/15/2023 - 8/14/2026"</t>
  </si>
  <si>
    <t>Sh Cr % aka RIF</t>
  </si>
  <si>
    <t>Year 1</t>
  </si>
  <si>
    <t>Year 2</t>
  </si>
  <si>
    <t>Year 3</t>
  </si>
  <si>
    <t>Total</t>
  </si>
  <si>
    <t>Add 3% to current base for the Year 1 Salary</t>
  </si>
  <si>
    <t>A. Senior Personnel</t>
  </si>
  <si>
    <t>fringe</t>
  </si>
  <si>
    <t>1. PI - Kristopher Waynant, 1 mo SS, 2% ann increase</t>
  </si>
  <si>
    <t>kw</t>
  </si>
  <si>
    <t>2. Co-PI - Matthew Bernards, 0.5 mo SS, 2% ann increase</t>
  </si>
  <si>
    <t>mb</t>
  </si>
  <si>
    <t>Fringe on Senior Personnel</t>
  </si>
  <si>
    <t>Total salary and fringe</t>
  </si>
  <si>
    <t>B. Additional Personnel</t>
  </si>
  <si>
    <t>Post-Doctoral Research Associate (1.0 FTE, 12 months, 2% annual increase)</t>
  </si>
  <si>
    <t>Fringe for Postdoc</t>
  </si>
  <si>
    <t>Total B</t>
  </si>
  <si>
    <t>C. Student Personnel</t>
  </si>
  <si>
    <t>1. GRA (Ph.D. level)</t>
  </si>
  <si>
    <t>0.5 FTE, 12 months [$26,000/yr, 5% ann increase]</t>
  </si>
  <si>
    <t>1. FRINGE Benefits on Full-time*</t>
  </si>
  <si>
    <t>2. Undergraduate Employee</t>
  </si>
  <si>
    <t>Fringe benefits on ug</t>
  </si>
  <si>
    <t>Total C</t>
  </si>
  <si>
    <t>Total Salaries</t>
  </si>
  <si>
    <t>Total A + B + C + D</t>
  </si>
  <si>
    <t>D. Fringe Benefits</t>
  </si>
  <si>
    <t>2021/22</t>
  </si>
  <si>
    <t>22/23</t>
  </si>
  <si>
    <t>tution?</t>
  </si>
  <si>
    <t>Student Fees</t>
  </si>
  <si>
    <t>2. Tuition for GRA + Fees ($4956/semester +2% ann inc)+$549 per summer</t>
  </si>
  <si>
    <t>Based on FY2022 $4956 Tutition and fees</t>
  </si>
  <si>
    <t>3. Medical Insurance for GRA ($2385/yr + 2% ann inc)</t>
  </si>
  <si>
    <t>Total D</t>
  </si>
  <si>
    <t xml:space="preserve">TOTAL A + B + C + D </t>
  </si>
  <si>
    <t>tuition</t>
  </si>
  <si>
    <t>fees</t>
  </si>
  <si>
    <t>Total/Sem</t>
  </si>
  <si>
    <t>summer</t>
  </si>
  <si>
    <t>A. Equipment (over $5,000)</t>
  </si>
  <si>
    <t>Lyophilizer (Labconco)</t>
  </si>
  <si>
    <t>Lyophilizer</t>
  </si>
  <si>
    <t>B. Travel</t>
  </si>
  <si>
    <t>Domestic - Professional Annual Conferences (4 trips/year)</t>
  </si>
  <si>
    <t>3 trips in YR 3</t>
  </si>
  <si>
    <t>C. Materials and Supplies</t>
  </si>
  <si>
    <t>Teacher Supply kits</t>
  </si>
  <si>
    <t>D. Other - Conference/Workshops</t>
  </si>
  <si>
    <t>1. Confocal Microscopy Facility @ $900.00/qtr (5% ann increase)</t>
  </si>
  <si>
    <t>2. NMR @ $7.50/hour (5% ann increase)</t>
  </si>
  <si>
    <t>3. Mass Spectrometry @ $40/sample (5% ann increase)</t>
  </si>
  <si>
    <t>Not as much NMR and MS in YR 3</t>
  </si>
  <si>
    <t>total</t>
  </si>
  <si>
    <t>F. Participant Support Costs</t>
  </si>
  <si>
    <t>1. Stipend ($300 x 6 participants each summer)</t>
  </si>
  <si>
    <t>2. Lodging for Participants ($100 / night)</t>
  </si>
  <si>
    <t>5% increase</t>
  </si>
  <si>
    <t>3. Participant per diem</t>
  </si>
  <si>
    <t>4. Professional Development Credit ($60/p)</t>
  </si>
  <si>
    <t>Total Participant Support Costs</t>
  </si>
  <si>
    <t>Total Direct Costs</t>
  </si>
  <si>
    <t>Modified Total Direct Cost Base (MTDC)</t>
  </si>
  <si>
    <t>Facilities &amp; Administrative (F&amp;A) Costs (50% MTDC, FY22)</t>
  </si>
  <si>
    <t>Total Project Costs</t>
  </si>
  <si>
    <t>Expense Category</t>
  </si>
  <si>
    <t>ChE</t>
  </si>
  <si>
    <t>Chem</t>
  </si>
  <si>
    <t>A.  Senior Personnel</t>
  </si>
  <si>
    <t xml:space="preserve">     1.  Senior Personnel</t>
  </si>
  <si>
    <t xml:space="preserve">     2.  Senior Fringe</t>
  </si>
  <si>
    <t>Post-Doc</t>
  </si>
  <si>
    <t>Post-Doc Fringe</t>
  </si>
  <si>
    <t xml:space="preserve">     3.  GRA</t>
  </si>
  <si>
    <t>4. GRA Fringe</t>
  </si>
  <si>
    <t>5. GRA Tuition and Fees</t>
  </si>
  <si>
    <t>UGRA and Fringe</t>
  </si>
  <si>
    <t>Total Personnel</t>
  </si>
  <si>
    <r>
      <t xml:space="preserve">A.  Equipment </t>
    </r>
    <r>
      <rPr>
        <i/>
        <sz val="10"/>
        <rFont val="Arial"/>
        <family val="2"/>
      </rPr>
      <t>(over $5,000)</t>
    </r>
  </si>
  <si>
    <t>B.  Travel</t>
  </si>
  <si>
    <t xml:space="preserve">      Domestic - Professional Annual Conferences (5 trips/year)</t>
  </si>
  <si>
    <t>C.  Materials and Supplies</t>
  </si>
  <si>
    <t>D.   Other</t>
  </si>
  <si>
    <t xml:space="preserve">     1.  Confocal Microscopy Facility @ $900.00/qtr (5% ann increase)</t>
  </si>
  <si>
    <t xml:space="preserve">     2.  NMR @ $7.50/hour (5% ann increase)</t>
  </si>
  <si>
    <t xml:space="preserve">     3.  Mass Spectrometry @ $40/sample (5% ann increase)</t>
  </si>
  <si>
    <t xml:space="preserve">     1. Workshop</t>
  </si>
  <si>
    <r>
      <t>Modified Total Direct Cost Base</t>
    </r>
    <r>
      <rPr>
        <b/>
        <i/>
        <sz val="8"/>
        <rFont val="Arial"/>
        <family val="2"/>
      </rPr>
      <t xml:space="preserve"> </t>
    </r>
    <r>
      <rPr>
        <b/>
        <sz val="8"/>
        <rFont val="Arial"/>
        <family val="2"/>
      </rPr>
      <t>(MTDC)</t>
    </r>
  </si>
  <si>
    <t>Facilities &amp; Administrative (F&amp;A) Costs (50% MTDC, FY22-23)</t>
  </si>
  <si>
    <t>Fringe Rates</t>
  </si>
  <si>
    <t>Senior Personnel</t>
  </si>
  <si>
    <t>4. Conference Registrations</t>
  </si>
  <si>
    <t>teacher supply kits</t>
  </si>
  <si>
    <t>Percent</t>
  </si>
  <si>
    <t>Proposal Title: Molecular Design of Zwitterionic Cross-Linkers
Project Dates: 8/15/2023 - 8/14/2026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</si>
</sst>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7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8"/>
      <color indexed="10"/>
      <name val="Arial"/>
      <family val="2"/>
    </font>
    <font>
      <u/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5">
    <xf numFmtId="0" fontId="0" fillId="0" borderId="0" xfId="0"/>
    <xf numFmtId="9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5" fillId="0" borderId="1" xfId="0" applyFont="1" applyBorder="1" applyAlignment="1">
      <alignment wrapText="1"/>
    </xf>
    <xf numFmtId="164" fontId="0" fillId="0" borderId="3" xfId="1" applyNumberFormat="1" applyFont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164" fontId="8" fillId="0" borderId="4" xfId="1" applyNumberFormat="1" applyFont="1" applyBorder="1" applyAlignment="1">
      <alignment horizontal="center" wrapText="1"/>
    </xf>
    <xf numFmtId="164" fontId="8" fillId="0" borderId="5" xfId="1" applyNumberFormat="1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10" fillId="0" borderId="6" xfId="0" applyFont="1" applyBorder="1" applyAlignment="1">
      <alignment horizontal="left"/>
    </xf>
    <xf numFmtId="3" fontId="11" fillId="0" borderId="0" xfId="0" applyNumberFormat="1" applyFont="1" applyAlignment="1">
      <alignment horizontal="left"/>
    </xf>
    <xf numFmtId="164" fontId="0" fillId="0" borderId="0" xfId="1" applyNumberFormat="1" applyFont="1"/>
    <xf numFmtId="164" fontId="0" fillId="0" borderId="7" xfId="1" applyNumberFormat="1" applyFont="1" applyBorder="1"/>
    <xf numFmtId="0" fontId="0" fillId="0" borderId="6" xfId="0" applyBorder="1"/>
    <xf numFmtId="9" fontId="0" fillId="0" borderId="0" xfId="2" applyFont="1"/>
    <xf numFmtId="0" fontId="7" fillId="0" borderId="0" xfId="0" applyFont="1"/>
    <xf numFmtId="43" fontId="0" fillId="0" borderId="0" xfId="1" applyFont="1"/>
    <xf numFmtId="164" fontId="0" fillId="0" borderId="0" xfId="0" applyNumberFormat="1"/>
    <xf numFmtId="9" fontId="0" fillId="0" borderId="0" xfId="2" applyFont="1" applyBorder="1"/>
    <xf numFmtId="164" fontId="0" fillId="0" borderId="0" xfId="1" applyNumberFormat="1" applyFont="1" applyBorder="1"/>
    <xf numFmtId="49" fontId="0" fillId="0" borderId="0" xfId="0" applyNumberFormat="1"/>
    <xf numFmtId="4" fontId="0" fillId="0" borderId="0" xfId="1" applyNumberFormat="1" applyFont="1" applyFill="1"/>
    <xf numFmtId="9" fontId="0" fillId="0" borderId="8" xfId="2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8" fillId="0" borderId="6" xfId="0" applyFont="1" applyBorder="1"/>
    <xf numFmtId="9" fontId="8" fillId="0" borderId="0" xfId="2" applyFont="1"/>
    <xf numFmtId="43" fontId="0" fillId="0" borderId="0" xfId="0" applyNumberFormat="1"/>
    <xf numFmtId="164" fontId="0" fillId="0" borderId="0" xfId="1" applyNumberFormat="1" applyFont="1" applyFill="1"/>
    <xf numFmtId="0" fontId="7" fillId="0" borderId="6" xfId="0" applyFont="1" applyBorder="1"/>
    <xf numFmtId="0" fontId="13" fillId="0" borderId="0" xfId="0" applyFont="1"/>
    <xf numFmtId="165" fontId="0" fillId="0" borderId="0" xfId="1" applyNumberFormat="1" applyFont="1"/>
    <xf numFmtId="0" fontId="7" fillId="0" borderId="6" xfId="0" quotePrefix="1" applyFont="1" applyBorder="1"/>
    <xf numFmtId="0" fontId="8" fillId="2" borderId="6" xfId="0" applyFont="1" applyFill="1" applyBorder="1"/>
    <xf numFmtId="0" fontId="0" fillId="2" borderId="0" xfId="0" applyFill="1"/>
    <xf numFmtId="164" fontId="0" fillId="2" borderId="0" xfId="1" applyNumberFormat="1" applyFont="1" applyFill="1"/>
    <xf numFmtId="164" fontId="0" fillId="2" borderId="7" xfId="1" applyNumberFormat="1" applyFont="1" applyFill="1" applyBorder="1"/>
    <xf numFmtId="0" fontId="14" fillId="0" borderId="6" xfId="0" applyFont="1" applyBorder="1"/>
    <xf numFmtId="0" fontId="14" fillId="0" borderId="0" xfId="0" applyFont="1"/>
    <xf numFmtId="164" fontId="8" fillId="0" borderId="0" xfId="1" applyNumberFormat="1" applyFont="1"/>
    <xf numFmtId="164" fontId="8" fillId="0" borderId="7" xfId="1" applyNumberFormat="1" applyFont="1" applyFill="1" applyBorder="1"/>
    <xf numFmtId="16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/>
    <xf numFmtId="164" fontId="0" fillId="0" borderId="10" xfId="1" applyNumberFormat="1" applyFont="1" applyBorder="1"/>
    <xf numFmtId="164" fontId="7" fillId="0" borderId="0" xfId="0" applyNumberFormat="1" applyFont="1" applyAlignment="1">
      <alignment horizontal="left"/>
    </xf>
    <xf numFmtId="0" fontId="16" fillId="0" borderId="11" xfId="0" applyFont="1" applyBorder="1"/>
    <xf numFmtId="0" fontId="16" fillId="0" borderId="2" xfId="0" applyFont="1" applyBorder="1"/>
    <xf numFmtId="164" fontId="16" fillId="0" borderId="2" xfId="1" applyNumberFormat="1" applyFont="1" applyBorder="1"/>
    <xf numFmtId="164" fontId="16" fillId="0" borderId="10" xfId="1" applyNumberFormat="1" applyFont="1" applyBorder="1"/>
    <xf numFmtId="164" fontId="0" fillId="0" borderId="0" xfId="0" applyNumberFormat="1" applyAlignment="1">
      <alignment horizontal="center"/>
    </xf>
    <xf numFmtId="10" fontId="0" fillId="0" borderId="0" xfId="2" applyNumberFormat="1" applyFont="1"/>
    <xf numFmtId="0" fontId="0" fillId="0" borderId="6" xfId="0" applyBorder="1" applyAlignment="1">
      <alignment horizontal="left"/>
    </xf>
    <xf numFmtId="164" fontId="0" fillId="0" borderId="12" xfId="1" applyNumberFormat="1" applyFont="1" applyBorder="1"/>
    <xf numFmtId="0" fontId="4" fillId="0" borderId="0" xfId="0" applyFont="1"/>
    <xf numFmtId="3" fontId="4" fillId="0" borderId="0" xfId="0" applyNumberFormat="1" applyFont="1"/>
    <xf numFmtId="1" fontId="0" fillId="0" borderId="7" xfId="1" applyNumberFormat="1" applyFont="1" applyBorder="1"/>
    <xf numFmtId="9" fontId="4" fillId="0" borderId="0" xfId="0" applyNumberFormat="1" applyFont="1"/>
    <xf numFmtId="0" fontId="0" fillId="3" borderId="0" xfId="0" applyFill="1"/>
    <xf numFmtId="10" fontId="0" fillId="0" borderId="0" xfId="0" applyNumberFormat="1"/>
    <xf numFmtId="0" fontId="6" fillId="0" borderId="2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6EFE-9932-074B-9440-5E13D9F98CA0}">
  <dimension ref="A1:T58"/>
  <sheetViews>
    <sheetView topLeftCell="A42" workbookViewId="0">
      <selection activeCell="H59" sqref="H59"/>
    </sheetView>
  </sheetViews>
  <sheetFormatPr baseColWidth="10" defaultColWidth="11" defaultRowHeight="16" x14ac:dyDescent="0.2"/>
  <cols>
    <col min="1" max="1" width="42.33203125" customWidth="1"/>
    <col min="2" max="2" width="15.33203125" customWidth="1"/>
    <col min="3" max="3" width="9.5" customWidth="1"/>
    <col min="4" max="4" width="8.33203125" customWidth="1"/>
    <col min="5" max="5" width="8.83203125" customWidth="1"/>
    <col min="6" max="6" width="9.1640625" customWidth="1"/>
    <col min="7" max="7" width="5" customWidth="1"/>
  </cols>
  <sheetData>
    <row r="1" spans="1:15" x14ac:dyDescent="0.2">
      <c r="A1" t="s">
        <v>0</v>
      </c>
    </row>
    <row r="2" spans="1:1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5" x14ac:dyDescent="0.2">
      <c r="A3" t="s">
        <v>6</v>
      </c>
    </row>
    <row r="4" spans="1:15" x14ac:dyDescent="0.2">
      <c r="A4" t="s">
        <v>7</v>
      </c>
      <c r="L4" t="s">
        <v>8</v>
      </c>
    </row>
    <row r="5" spans="1:15" x14ac:dyDescent="0.2">
      <c r="A5" t="s">
        <v>9</v>
      </c>
      <c r="B5" s="1">
        <v>0.51</v>
      </c>
      <c r="C5" s="2">
        <f>J5</f>
        <v>8051.333333333333</v>
      </c>
      <c r="D5" s="2">
        <f>C5*1.02</f>
        <v>8212.36</v>
      </c>
      <c r="E5" s="2">
        <f>D5*1.02</f>
        <v>8376.6072000000004</v>
      </c>
      <c r="F5" s="2">
        <f>SUM(C5:E5)</f>
        <v>24640.300533333335</v>
      </c>
      <c r="I5">
        <v>72462</v>
      </c>
      <c r="J5">
        <f>I5/9</f>
        <v>8051.333333333333</v>
      </c>
      <c r="K5" t="s">
        <v>10</v>
      </c>
      <c r="L5">
        <f>C5*0.301</f>
        <v>2423.451333333333</v>
      </c>
      <c r="M5">
        <f t="shared" ref="M5:N6" si="0">D5*0.301</f>
        <v>2471.9203600000001</v>
      </c>
      <c r="N5">
        <f t="shared" si="0"/>
        <v>2521.3587671999999</v>
      </c>
      <c r="O5">
        <f>SUM(L5:N5)</f>
        <v>7416.730460533332</v>
      </c>
    </row>
    <row r="6" spans="1:15" x14ac:dyDescent="0.2">
      <c r="A6" t="s">
        <v>11</v>
      </c>
      <c r="B6" s="1">
        <v>0.49</v>
      </c>
      <c r="C6" s="2">
        <f>J6*80</f>
        <v>6250.4</v>
      </c>
      <c r="D6" s="2">
        <f>C6*1.02</f>
        <v>6375.4079999999994</v>
      </c>
      <c r="E6" s="2">
        <f>D6*1.02</f>
        <v>6502.9161599999998</v>
      </c>
      <c r="F6" s="2">
        <f>SUM(C6:E6)</f>
        <v>19128.724159999998</v>
      </c>
      <c r="H6" s="2">
        <f>SUM(F5:F6)</f>
        <v>43769.024693333333</v>
      </c>
      <c r="I6" s="62">
        <f>J6*1560</f>
        <v>121882.79999999999</v>
      </c>
      <c r="J6">
        <v>78.13</v>
      </c>
      <c r="K6" t="s">
        <v>12</v>
      </c>
      <c r="L6">
        <f>C6*0.301</f>
        <v>1881.3703999999998</v>
      </c>
      <c r="M6">
        <f t="shared" si="0"/>
        <v>1918.9978079999998</v>
      </c>
      <c r="N6">
        <f t="shared" si="0"/>
        <v>1957.37776416</v>
      </c>
      <c r="O6">
        <f>SUM(L6:N6)</f>
        <v>5757.7459721599998</v>
      </c>
    </row>
    <row r="7" spans="1:15" x14ac:dyDescent="0.2">
      <c r="A7" t="s">
        <v>5</v>
      </c>
      <c r="B7" s="1">
        <v>1</v>
      </c>
      <c r="C7" s="2">
        <f>SUM(C5:C6)</f>
        <v>14301.733333333334</v>
      </c>
      <c r="D7" s="2">
        <f>SUM(D5:D6)</f>
        <v>14587.768</v>
      </c>
      <c r="E7" s="2">
        <f>SUM(E5:E6)</f>
        <v>14879.523359999999</v>
      </c>
      <c r="F7" s="2">
        <f>SUM(F5:F6)</f>
        <v>43769.024693333333</v>
      </c>
    </row>
    <row r="8" spans="1:15" x14ac:dyDescent="0.2">
      <c r="A8" t="s">
        <v>13</v>
      </c>
      <c r="B8" s="1"/>
      <c r="C8" s="2">
        <f>C7*0.301</f>
        <v>4304.8217333333332</v>
      </c>
      <c r="D8" s="2">
        <f>D7*0.301</f>
        <v>4390.9181680000002</v>
      </c>
      <c r="E8" s="2">
        <f>E7*0.301</f>
        <v>4478.7365313599994</v>
      </c>
      <c r="F8" s="2">
        <f>F7*0.301</f>
        <v>13174.476432693333</v>
      </c>
      <c r="I8" s="63">
        <v>0.30099999999999999</v>
      </c>
    </row>
    <row r="9" spans="1:15" s="58" customFormat="1" x14ac:dyDescent="0.2">
      <c r="A9" s="58" t="s">
        <v>14</v>
      </c>
      <c r="B9" s="61"/>
      <c r="C9" s="59">
        <f>SUM(C7:C8)</f>
        <v>18606.555066666668</v>
      </c>
      <c r="D9" s="59">
        <f t="shared" ref="D9:F9" si="1">SUM(D7:D8)</f>
        <v>18978.686168</v>
      </c>
      <c r="E9" s="59">
        <f t="shared" si="1"/>
        <v>19358.259891359998</v>
      </c>
      <c r="F9" s="59">
        <f t="shared" si="1"/>
        <v>56943.501126026662</v>
      </c>
    </row>
    <row r="10" spans="1:15" x14ac:dyDescent="0.2">
      <c r="B10" s="1"/>
      <c r="C10" s="2"/>
      <c r="D10" s="2"/>
      <c r="E10" s="2"/>
      <c r="F10" s="2"/>
      <c r="I10">
        <f>F5*0.301</f>
        <v>7416.7304605333338</v>
      </c>
    </row>
    <row r="11" spans="1:15" x14ac:dyDescent="0.2">
      <c r="A11" t="s">
        <v>15</v>
      </c>
      <c r="B11" s="1"/>
      <c r="C11" s="2"/>
      <c r="D11" s="2"/>
      <c r="E11" s="2"/>
      <c r="F11" s="2"/>
      <c r="I11">
        <f>F6*0.301</f>
        <v>5757.7459721599989</v>
      </c>
    </row>
    <row r="12" spans="1:15" x14ac:dyDescent="0.2">
      <c r="A12" t="s">
        <v>16</v>
      </c>
      <c r="B12" s="1"/>
      <c r="C12" s="2">
        <v>45000</v>
      </c>
      <c r="D12" s="2">
        <f>C12*1.02</f>
        <v>45900</v>
      </c>
      <c r="E12" s="2"/>
      <c r="F12" s="2">
        <f>SUM(C12:D12)</f>
        <v>90900</v>
      </c>
      <c r="I12" s="2">
        <f>F12+F18+F20</f>
        <v>187865</v>
      </c>
    </row>
    <row r="13" spans="1:15" x14ac:dyDescent="0.2">
      <c r="A13" t="s">
        <v>17</v>
      </c>
      <c r="C13">
        <f>C12*0.42</f>
        <v>18900</v>
      </c>
      <c r="D13" s="4">
        <f>D12*0.42</f>
        <v>19278</v>
      </c>
      <c r="F13" s="4">
        <f>SUM(C13:D13)</f>
        <v>38178</v>
      </c>
      <c r="I13" s="1">
        <v>0.42</v>
      </c>
      <c r="K13" s="2" t="e">
        <f>F8+F13+F19+#REF!</f>
        <v>#REF!</v>
      </c>
    </row>
    <row r="14" spans="1:15" s="58" customFormat="1" x14ac:dyDescent="0.2">
      <c r="A14" s="58" t="s">
        <v>18</v>
      </c>
      <c r="C14" s="59">
        <f>SUM(C12:C13)</f>
        <v>63900</v>
      </c>
      <c r="D14" s="59">
        <f t="shared" ref="D14:F14" si="2">SUM(D12:D13)</f>
        <v>65178</v>
      </c>
      <c r="E14" s="59"/>
      <c r="F14" s="59">
        <f t="shared" si="2"/>
        <v>129078</v>
      </c>
    </row>
    <row r="15" spans="1:15" x14ac:dyDescent="0.2">
      <c r="C15" s="2"/>
      <c r="D15" s="2"/>
      <c r="E15" s="2"/>
      <c r="F15" s="2"/>
    </row>
    <row r="16" spans="1:15" x14ac:dyDescent="0.2">
      <c r="A16" t="s">
        <v>19</v>
      </c>
      <c r="H16" s="2">
        <f>SUM(F8+F13+F19+F21)</f>
        <v>55473.216432693334</v>
      </c>
    </row>
    <row r="17" spans="1:15" x14ac:dyDescent="0.2">
      <c r="A17" t="s">
        <v>20</v>
      </c>
    </row>
    <row r="18" spans="1:15" x14ac:dyDescent="0.2">
      <c r="A18" t="s">
        <v>21</v>
      </c>
      <c r="B18">
        <v>1</v>
      </c>
      <c r="C18" s="2">
        <v>26000</v>
      </c>
      <c r="D18" s="2">
        <f>C18*1.05</f>
        <v>27300</v>
      </c>
      <c r="E18" s="2">
        <f>D18*1.05</f>
        <v>28665</v>
      </c>
      <c r="F18" s="2">
        <f>SUM(C18:E18)</f>
        <v>81965</v>
      </c>
    </row>
    <row r="19" spans="1:15" x14ac:dyDescent="0.2">
      <c r="A19" t="s">
        <v>22</v>
      </c>
      <c r="C19" s="2">
        <f>C18*0.036</f>
        <v>935.99999999999989</v>
      </c>
      <c r="D19" s="2">
        <f>D18*0.036</f>
        <v>982.8</v>
      </c>
      <c r="E19" s="2">
        <f>E18*0.036</f>
        <v>1031.9399999999998</v>
      </c>
      <c r="F19" s="2">
        <f>SUM(C19:E19)</f>
        <v>2950.74</v>
      </c>
    </row>
    <row r="20" spans="1:15" x14ac:dyDescent="0.2">
      <c r="A20" t="s">
        <v>23</v>
      </c>
      <c r="C20" s="2">
        <v>5000</v>
      </c>
      <c r="D20" s="2">
        <v>5000</v>
      </c>
      <c r="E20" s="2">
        <v>5000</v>
      </c>
      <c r="F20" s="2">
        <f>SUM(C20:E20)</f>
        <v>15000</v>
      </c>
      <c r="I20">
        <f>E20/400</f>
        <v>12.5</v>
      </c>
      <c r="K20">
        <f>C20*0.03</f>
        <v>150</v>
      </c>
      <c r="O20">
        <f>1956*1.05</f>
        <v>2053.8000000000002</v>
      </c>
    </row>
    <row r="21" spans="1:15" x14ac:dyDescent="0.2">
      <c r="A21" t="s">
        <v>24</v>
      </c>
      <c r="C21" s="2">
        <f>C20*0.078</f>
        <v>390</v>
      </c>
      <c r="D21" s="2">
        <f>D20*0.078</f>
        <v>390</v>
      </c>
      <c r="E21" s="2">
        <f>E20*0.078</f>
        <v>390</v>
      </c>
      <c r="F21" s="2">
        <f>SUM(C21:E21)</f>
        <v>1170</v>
      </c>
      <c r="O21">
        <f>SUM(O19:O20)</f>
        <v>2053.8000000000002</v>
      </c>
    </row>
    <row r="22" spans="1:15" s="58" customFormat="1" x14ac:dyDescent="0.2">
      <c r="A22" s="58" t="s">
        <v>25</v>
      </c>
      <c r="C22" s="59">
        <f>SUM(C18:C21)</f>
        <v>32326</v>
      </c>
      <c r="D22" s="59">
        <f>SUM(D18:D21)</f>
        <v>33672.800000000003</v>
      </c>
      <c r="E22" s="59">
        <f>SUM(E18:E21)</f>
        <v>35086.94</v>
      </c>
      <c r="F22" s="59">
        <f>SUM(F18:F21)</f>
        <v>101085.74</v>
      </c>
      <c r="I22" s="58">
        <f>SUM(F20:F21)/2</f>
        <v>8085</v>
      </c>
      <c r="O22" s="58">
        <f>O36*2</f>
        <v>10407.6</v>
      </c>
    </row>
    <row r="23" spans="1:15" x14ac:dyDescent="0.2">
      <c r="C23" s="2"/>
      <c r="D23" s="2"/>
      <c r="E23" s="2"/>
      <c r="F23" s="2"/>
    </row>
    <row r="24" spans="1:15" x14ac:dyDescent="0.2">
      <c r="A24" s="58" t="s">
        <v>26</v>
      </c>
      <c r="C24" s="59">
        <f>C9+C14+C22</f>
        <v>114832.55506666667</v>
      </c>
      <c r="D24" s="59">
        <f t="shared" ref="D24:F24" si="3">D9+D14+D22</f>
        <v>117829.486168</v>
      </c>
      <c r="E24" s="59">
        <f t="shared" si="3"/>
        <v>54445.199891359996</v>
      </c>
      <c r="F24" s="59">
        <f t="shared" si="3"/>
        <v>287107.24112602667</v>
      </c>
      <c r="O24">
        <f>O22+S36</f>
        <v>11012.6</v>
      </c>
    </row>
    <row r="25" spans="1:15" x14ac:dyDescent="0.2">
      <c r="A25" t="s">
        <v>27</v>
      </c>
      <c r="C25" s="2">
        <f>C9+C14+C22</f>
        <v>114832.55506666667</v>
      </c>
      <c r="D25" s="2">
        <f t="shared" ref="D25:F25" si="4">D9+D14+D22</f>
        <v>117829.486168</v>
      </c>
      <c r="E25" s="2">
        <f t="shared" si="4"/>
        <v>54445.199891359996</v>
      </c>
      <c r="F25" s="2">
        <f t="shared" si="4"/>
        <v>287107.24112602667</v>
      </c>
      <c r="J25">
        <f>549*1.05</f>
        <v>576.45000000000005</v>
      </c>
      <c r="K25">
        <f>J25*1.05</f>
        <v>605.27250000000004</v>
      </c>
    </row>
    <row r="27" spans="1:15" x14ac:dyDescent="0.2">
      <c r="A27" s="58" t="s">
        <v>28</v>
      </c>
      <c r="B27" s="58"/>
      <c r="C27" s="59">
        <f>C21+C19+C13+C8</f>
        <v>24530.821733333334</v>
      </c>
      <c r="D27" s="59">
        <f>D21+D19+D13+D8</f>
        <v>25041.718167999999</v>
      </c>
      <c r="E27" s="59">
        <f>E21+E19+E13+E8</f>
        <v>5900.676531359999</v>
      </c>
      <c r="F27" s="59">
        <f>SUM(C27:E27)</f>
        <v>55473.216432693334</v>
      </c>
      <c r="N27" t="s">
        <v>29</v>
      </c>
      <c r="O27" t="s">
        <v>30</v>
      </c>
    </row>
    <row r="28" spans="1:15" x14ac:dyDescent="0.2">
      <c r="I28" t="s">
        <v>31</v>
      </c>
      <c r="M28" t="s">
        <v>32</v>
      </c>
      <c r="N28">
        <v>1079</v>
      </c>
      <c r="O28">
        <f>N28*1.02</f>
        <v>1100.58</v>
      </c>
    </row>
    <row r="29" spans="1:15" x14ac:dyDescent="0.2">
      <c r="A29" t="s">
        <v>33</v>
      </c>
      <c r="C29">
        <v>10659</v>
      </c>
      <c r="D29" s="4">
        <f>C29*1.02</f>
        <v>10872.18</v>
      </c>
      <c r="E29" s="4">
        <f>D29*1.02</f>
        <v>11089.623600000001</v>
      </c>
      <c r="F29" s="2">
        <f>SUM(C29:E29)</f>
        <v>32620.803599999999</v>
      </c>
      <c r="I29">
        <f>4956*1.02</f>
        <v>5055.12</v>
      </c>
      <c r="J29">
        <f>(I29*2)+549</f>
        <v>10659.24</v>
      </c>
      <c r="K29" t="s">
        <v>34</v>
      </c>
    </row>
    <row r="30" spans="1:15" x14ac:dyDescent="0.2">
      <c r="A30" t="s">
        <v>35</v>
      </c>
      <c r="C30" s="2">
        <v>2433</v>
      </c>
      <c r="D30" s="2">
        <f>C30*1.02</f>
        <v>2481.66</v>
      </c>
      <c r="E30" s="2">
        <f>D30*1.02</f>
        <v>2531.2932000000001</v>
      </c>
      <c r="F30" s="2">
        <f>SUM(C30:E30)</f>
        <v>7445.9531999999999</v>
      </c>
      <c r="I30">
        <f>951*2+483</f>
        <v>2385</v>
      </c>
      <c r="O30">
        <f>J29+O28</f>
        <v>11759.82</v>
      </c>
    </row>
    <row r="31" spans="1:15" x14ac:dyDescent="0.2">
      <c r="A31" t="s">
        <v>36</v>
      </c>
      <c r="C31" s="2">
        <f>SUM(C29:C30)</f>
        <v>13092</v>
      </c>
      <c r="D31" s="2">
        <f t="shared" ref="D31:F31" si="5">SUM(D29:D30)</f>
        <v>13353.84</v>
      </c>
      <c r="E31" s="2">
        <f t="shared" si="5"/>
        <v>13620.916800000001</v>
      </c>
      <c r="F31" s="2">
        <f t="shared" si="5"/>
        <v>40066.756800000003</v>
      </c>
      <c r="H31" s="2">
        <f>SUM(F29:F30)</f>
        <v>40066.756800000003</v>
      </c>
    </row>
    <row r="32" spans="1:15" x14ac:dyDescent="0.2">
      <c r="I32">
        <f>951*2</f>
        <v>1902</v>
      </c>
    </row>
    <row r="33" spans="1:20" x14ac:dyDescent="0.2">
      <c r="A33" s="58" t="s">
        <v>37</v>
      </c>
      <c r="B33" s="58"/>
      <c r="C33" s="59">
        <f>C9+C14+C22</f>
        <v>114832.55506666667</v>
      </c>
      <c r="D33" s="59">
        <f t="shared" ref="D33:F33" si="6">D9+D14+D22</f>
        <v>117829.486168</v>
      </c>
      <c r="E33" s="59">
        <f t="shared" si="6"/>
        <v>54445.199891359996</v>
      </c>
      <c r="F33" s="59">
        <f>F9+F14+F22</f>
        <v>287107.24112602667</v>
      </c>
      <c r="I33">
        <f>I32+483</f>
        <v>2385</v>
      </c>
      <c r="K33">
        <f>15000*0.03</f>
        <v>450</v>
      </c>
      <c r="L33">
        <f>7500+K33/2</f>
        <v>7725</v>
      </c>
      <c r="O33" t="s">
        <v>38</v>
      </c>
      <c r="P33" t="s">
        <v>39</v>
      </c>
      <c r="Q33" t="s">
        <v>40</v>
      </c>
      <c r="S33" t="s">
        <v>41</v>
      </c>
    </row>
    <row r="34" spans="1:20" x14ac:dyDescent="0.2">
      <c r="H34" s="2">
        <f>F33+F31</f>
        <v>327173.9979260267</v>
      </c>
      <c r="I34">
        <f>I33*1.02</f>
        <v>2432.6999999999998</v>
      </c>
      <c r="O34">
        <v>4956</v>
      </c>
      <c r="P34">
        <v>1079</v>
      </c>
      <c r="Q34">
        <f>SUM(O34:P34)</f>
        <v>6035</v>
      </c>
      <c r="R34">
        <f>Q34*2</f>
        <v>12070</v>
      </c>
      <c r="S34">
        <v>549</v>
      </c>
      <c r="T34">
        <f>SUM(R34:S34)</f>
        <v>12619</v>
      </c>
    </row>
    <row r="35" spans="1:20" x14ac:dyDescent="0.2">
      <c r="A35" t="s">
        <v>42</v>
      </c>
    </row>
    <row r="36" spans="1:20" x14ac:dyDescent="0.2">
      <c r="A36" t="s">
        <v>43</v>
      </c>
      <c r="C36" s="2">
        <v>25000</v>
      </c>
      <c r="F36" s="59">
        <f>SUM(C36:E36)</f>
        <v>25000</v>
      </c>
      <c r="I36" t="s">
        <v>44</v>
      </c>
      <c r="O36">
        <f>4956*1.05</f>
        <v>5203.8</v>
      </c>
      <c r="P36">
        <v>1079</v>
      </c>
      <c r="Q36">
        <f>SUM(O36:P36)</f>
        <v>6282.8</v>
      </c>
      <c r="R36">
        <f>Q36*2</f>
        <v>12565.6</v>
      </c>
      <c r="S36">
        <v>605</v>
      </c>
      <c r="T36">
        <f>SUM(R36:S36)</f>
        <v>13170.6</v>
      </c>
    </row>
    <row r="38" spans="1:20" x14ac:dyDescent="0.2">
      <c r="A38" t="s">
        <v>45</v>
      </c>
    </row>
    <row r="39" spans="1:20" x14ac:dyDescent="0.2">
      <c r="A39" t="s">
        <v>46</v>
      </c>
      <c r="C39" s="2">
        <v>8000</v>
      </c>
      <c r="D39" s="2">
        <f>C39*1.05</f>
        <v>8400</v>
      </c>
      <c r="E39" s="2">
        <f>(D39*1.05)*0.75</f>
        <v>6615</v>
      </c>
      <c r="F39" s="59">
        <f>SUM(C39:E39)</f>
        <v>23015</v>
      </c>
      <c r="H39" t="s">
        <v>47</v>
      </c>
      <c r="K39">
        <v>1800</v>
      </c>
    </row>
    <row r="40" spans="1:20" x14ac:dyDescent="0.2">
      <c r="K40">
        <f>K39*4</f>
        <v>7200</v>
      </c>
    </row>
    <row r="41" spans="1:20" x14ac:dyDescent="0.2">
      <c r="A41" t="s">
        <v>48</v>
      </c>
      <c r="C41" s="2">
        <v>15000</v>
      </c>
      <c r="D41" s="2">
        <v>15000</v>
      </c>
      <c r="E41" s="2">
        <v>10000</v>
      </c>
      <c r="F41" s="2">
        <f t="shared" ref="F41:F47" si="7">SUM(C41:E41)</f>
        <v>40000</v>
      </c>
      <c r="I41" s="2">
        <f>SUM(F41:F46)</f>
        <v>68577.90625</v>
      </c>
    </row>
    <row r="42" spans="1:20" x14ac:dyDescent="0.2">
      <c r="A42" t="s">
        <v>49</v>
      </c>
      <c r="C42" s="2">
        <v>2400</v>
      </c>
      <c r="D42" s="2">
        <v>2400</v>
      </c>
      <c r="E42" s="2">
        <v>2400</v>
      </c>
      <c r="F42" s="2">
        <f t="shared" si="7"/>
        <v>7200</v>
      </c>
      <c r="M42" s="2">
        <f>L46+H31+F41+F42</f>
        <v>103144.66305</v>
      </c>
    </row>
    <row r="43" spans="1:20" x14ac:dyDescent="0.2">
      <c r="A43" t="s">
        <v>50</v>
      </c>
      <c r="C43">
        <v>2000</v>
      </c>
      <c r="D43">
        <v>2000</v>
      </c>
      <c r="E43">
        <v>1500</v>
      </c>
      <c r="F43">
        <f t="shared" si="7"/>
        <v>5500</v>
      </c>
    </row>
    <row r="44" spans="1:20" x14ac:dyDescent="0.2">
      <c r="A44" t="s">
        <v>51</v>
      </c>
      <c r="C44" s="2">
        <v>0</v>
      </c>
      <c r="D44">
        <f>(1800*1.05)*2</f>
        <v>3780</v>
      </c>
      <c r="E44" s="2">
        <f>D44*1.05</f>
        <v>3969</v>
      </c>
      <c r="F44" s="2">
        <f t="shared" si="7"/>
        <v>7749</v>
      </c>
      <c r="I44" s="2"/>
      <c r="L44">
        <f>7.5*150</f>
        <v>1125</v>
      </c>
    </row>
    <row r="45" spans="1:20" x14ac:dyDescent="0.2">
      <c r="A45" t="s">
        <v>52</v>
      </c>
      <c r="C45">
        <v>1125</v>
      </c>
      <c r="D45" s="4">
        <f>C45*1.05</f>
        <v>1181.25</v>
      </c>
      <c r="E45" s="4">
        <f>(D45*1.05)/2</f>
        <v>620.15625</v>
      </c>
      <c r="F45" s="2">
        <f t="shared" si="7"/>
        <v>2926.40625</v>
      </c>
      <c r="N45">
        <f>40*50</f>
        <v>2000</v>
      </c>
    </row>
    <row r="46" spans="1:20" x14ac:dyDescent="0.2">
      <c r="A46" t="s">
        <v>53</v>
      </c>
      <c r="C46" s="2">
        <v>2000</v>
      </c>
      <c r="D46" s="2">
        <f>C46*1.05</f>
        <v>2100</v>
      </c>
      <c r="E46" s="2">
        <f>(D46*1.05)/2</f>
        <v>1102.5</v>
      </c>
      <c r="F46" s="2">
        <f t="shared" si="7"/>
        <v>5202.5</v>
      </c>
      <c r="H46" t="s">
        <v>54</v>
      </c>
      <c r="K46" t="s">
        <v>55</v>
      </c>
      <c r="L46" s="2">
        <f>SUM(F44:F46)</f>
        <v>15877.90625</v>
      </c>
    </row>
    <row r="47" spans="1:20" x14ac:dyDescent="0.2">
      <c r="C47" s="2">
        <f>SUM(C41:C46)+C31</f>
        <v>35617</v>
      </c>
      <c r="D47" s="2">
        <f>SUM(D41:D46)+D31</f>
        <v>39815.089999999997</v>
      </c>
      <c r="E47" s="2">
        <f>SUM(E41:E46)+E31</f>
        <v>33212.573049999999</v>
      </c>
      <c r="F47" s="59">
        <f t="shared" si="7"/>
        <v>108644.66305</v>
      </c>
    </row>
    <row r="48" spans="1:20" x14ac:dyDescent="0.2">
      <c r="A48" t="s">
        <v>56</v>
      </c>
    </row>
    <row r="49" spans="1:12" x14ac:dyDescent="0.2">
      <c r="A49" t="s">
        <v>57</v>
      </c>
      <c r="C49" s="2">
        <v>1800</v>
      </c>
      <c r="D49" s="2">
        <v>1800</v>
      </c>
      <c r="E49" s="2">
        <v>1800</v>
      </c>
      <c r="F49" s="2">
        <f>SUM(C49:E49)</f>
        <v>5400</v>
      </c>
    </row>
    <row r="50" spans="1:12" x14ac:dyDescent="0.2">
      <c r="A50" t="s">
        <v>58</v>
      </c>
      <c r="C50">
        <v>1200</v>
      </c>
      <c r="D50">
        <f>C50*1.05</f>
        <v>1260</v>
      </c>
      <c r="E50">
        <f>D50*1.05</f>
        <v>1323</v>
      </c>
      <c r="F50" s="2">
        <f>SUM(C50:E50)</f>
        <v>3783</v>
      </c>
      <c r="H50" t="s">
        <v>59</v>
      </c>
      <c r="J50" s="2">
        <f>SUM(F50:F51)</f>
        <v>5674.5</v>
      </c>
    </row>
    <row r="51" spans="1:12" x14ac:dyDescent="0.2">
      <c r="A51" t="s">
        <v>60</v>
      </c>
      <c r="C51">
        <v>600</v>
      </c>
      <c r="D51">
        <f>C51*1.05</f>
        <v>630</v>
      </c>
      <c r="E51" s="4">
        <f>D51*1.05</f>
        <v>661.5</v>
      </c>
      <c r="F51" s="2">
        <f>SUM(C51:E51)</f>
        <v>1891.5</v>
      </c>
      <c r="H51" t="s">
        <v>59</v>
      </c>
      <c r="J51" s="2">
        <f>F53+F42</f>
        <v>19354.5</v>
      </c>
      <c r="L51">
        <f>SUM(C50:E51)</f>
        <v>5674.5</v>
      </c>
    </row>
    <row r="52" spans="1:12" x14ac:dyDescent="0.2">
      <c r="A52" t="s">
        <v>61</v>
      </c>
      <c r="C52">
        <v>360</v>
      </c>
      <c r="D52">
        <v>360</v>
      </c>
      <c r="E52">
        <v>360</v>
      </c>
      <c r="F52" s="2">
        <f>SUM(C52:E52)</f>
        <v>1080</v>
      </c>
    </row>
    <row r="53" spans="1:12" x14ac:dyDescent="0.2">
      <c r="A53" s="58" t="s">
        <v>62</v>
      </c>
      <c r="B53" s="58"/>
      <c r="C53" s="59">
        <f>SUM(C49:C52)</f>
        <v>3960</v>
      </c>
      <c r="D53" s="59">
        <f t="shared" ref="D53:E53" si="8">SUM(D49:D52)</f>
        <v>4050</v>
      </c>
      <c r="E53" s="59">
        <f t="shared" si="8"/>
        <v>4144.5</v>
      </c>
      <c r="F53" s="59">
        <f>SUM(F49:F52)</f>
        <v>12154.5</v>
      </c>
      <c r="I53" s="2">
        <f>SUM(F53+F42)</f>
        <v>19354.5</v>
      </c>
    </row>
    <row r="54" spans="1:12" x14ac:dyDescent="0.2">
      <c r="I54">
        <f>I53/2</f>
        <v>9677.25</v>
      </c>
    </row>
    <row r="55" spans="1:12" x14ac:dyDescent="0.2">
      <c r="A55" t="s">
        <v>63</v>
      </c>
      <c r="C55" s="2">
        <f>SUM(C49:C52)+SUM(C44:C46)+C41+C42+C43+C39+C36+C33+C31</f>
        <v>187409.55506666668</v>
      </c>
      <c r="D55" s="2">
        <f>SUM(D49:D52)+SUM(D44:D46)+D41+D42+D43+D39+D36+D33+D31</f>
        <v>170094.576168</v>
      </c>
      <c r="E55" s="2">
        <f>SUM(E49:E52)+SUM(E44:E46)+E41+E42+E43+E39+E36+E33+E31</f>
        <v>98417.272941360003</v>
      </c>
      <c r="F55" s="2">
        <f>SUM(F49:F52)+SUM(F44:F46)+F41+F42+F43+F39+F36+F33+F31</f>
        <v>455921.4041760267</v>
      </c>
    </row>
    <row r="56" spans="1:12" x14ac:dyDescent="0.2">
      <c r="A56" t="s">
        <v>64</v>
      </c>
      <c r="C56" s="2">
        <f>C55-(SUM(C53+C31+C36))</f>
        <v>145357.55506666668</v>
      </c>
      <c r="D56" s="2">
        <f>D55-(SUM(D53+D31+D36))</f>
        <v>152690.736168</v>
      </c>
      <c r="E56" s="2">
        <f>E55-(SUM(E53+E31+E36))</f>
        <v>80651.856141360011</v>
      </c>
      <c r="F56" s="2">
        <f>F55-(SUM(F53+F31+F36))</f>
        <v>378700.14737602673</v>
      </c>
    </row>
    <row r="57" spans="1:12" x14ac:dyDescent="0.2">
      <c r="A57" t="s">
        <v>65</v>
      </c>
      <c r="C57" s="2">
        <f>C56*0.5</f>
        <v>72678.777533333341</v>
      </c>
      <c r="D57" s="2">
        <f>D56*0.5</f>
        <v>76345.368084000002</v>
      </c>
      <c r="E57" s="2">
        <f>E56*0.5</f>
        <v>40325.928070680005</v>
      </c>
      <c r="F57" s="2">
        <f>F56*0.5</f>
        <v>189350.07368801336</v>
      </c>
    </row>
    <row r="58" spans="1:12" x14ac:dyDescent="0.2">
      <c r="A58" t="s">
        <v>66</v>
      </c>
      <c r="C58" s="2">
        <f>C55+C57</f>
        <v>260088.33260000002</v>
      </c>
      <c r="D58" s="2">
        <f>D55+D57</f>
        <v>246439.94425200002</v>
      </c>
      <c r="E58" s="2">
        <f>E55+E57</f>
        <v>138743.20101204002</v>
      </c>
      <c r="F58" s="2">
        <f>SUM(F57+F55)</f>
        <v>645271.47786404006</v>
      </c>
      <c r="H58" s="2">
        <f>SUM(C58:E58)</f>
        <v>645271.47786404006</v>
      </c>
      <c r="I58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CB49-EE9D-4F4B-9641-1A6F6D47924D}">
  <dimension ref="A1:M77"/>
  <sheetViews>
    <sheetView tabSelected="1" topLeftCell="A17" workbookViewId="0">
      <selection activeCell="E39" sqref="E39"/>
    </sheetView>
  </sheetViews>
  <sheetFormatPr baseColWidth="10" defaultColWidth="8.83203125" defaultRowHeight="16" x14ac:dyDescent="0.2"/>
  <cols>
    <col min="1" max="1" width="51.33203125" style="17" customWidth="1"/>
    <col min="2" max="2" width="8.33203125" customWidth="1"/>
    <col min="3" max="5" width="9.6640625" style="15" customWidth="1"/>
    <col min="6" max="6" width="15.33203125" style="57" customWidth="1"/>
    <col min="7" max="7" width="12.33203125" customWidth="1"/>
    <col min="8" max="8" width="9.33203125" bestFit="1" customWidth="1"/>
    <col min="9" max="9" width="9.33203125" customWidth="1"/>
    <col min="10" max="10" width="10.33203125" bestFit="1" customWidth="1"/>
    <col min="11" max="11" width="10.6640625" customWidth="1"/>
  </cols>
  <sheetData>
    <row r="1" spans="1:13" s="7" customFormat="1" ht="47" thickBot="1" x14ac:dyDescent="0.25">
      <c r="A1" s="5" t="s">
        <v>96</v>
      </c>
      <c r="B1" s="64"/>
      <c r="C1" s="64"/>
      <c r="D1" s="64"/>
      <c r="E1" s="64"/>
      <c r="F1" s="6"/>
    </row>
    <row r="2" spans="1:13" s="12" customFormat="1" ht="24" customHeight="1" x14ac:dyDescent="0.15">
      <c r="A2" s="8" t="s">
        <v>67</v>
      </c>
      <c r="B2" s="9" t="s">
        <v>1</v>
      </c>
      <c r="C2" s="10" t="s">
        <v>68</v>
      </c>
      <c r="D2" s="10" t="s">
        <v>69</v>
      </c>
      <c r="E2" s="10"/>
      <c r="F2" s="11" t="s">
        <v>5</v>
      </c>
    </row>
    <row r="3" spans="1:13" x14ac:dyDescent="0.2">
      <c r="A3" s="13" t="s">
        <v>6</v>
      </c>
      <c r="B3" s="14"/>
      <c r="F3" s="16"/>
    </row>
    <row r="4" spans="1:13" x14ac:dyDescent="0.2">
      <c r="A4" s="17" t="s">
        <v>70</v>
      </c>
      <c r="B4" s="2"/>
      <c r="F4" s="16"/>
    </row>
    <row r="5" spans="1:13" x14ac:dyDescent="0.2">
      <c r="A5" s="17" t="s">
        <v>71</v>
      </c>
      <c r="B5" s="18"/>
      <c r="C5" s="2">
        <f>'Final Budget'!F6</f>
        <v>19128.724159999998</v>
      </c>
      <c r="D5" s="2">
        <f>'Final Budget'!F5</f>
        <v>24640.300533333335</v>
      </c>
      <c r="F5" s="16">
        <f>SUM(C5:E5)</f>
        <v>43769.024693333333</v>
      </c>
      <c r="G5" s="19"/>
      <c r="K5" s="20"/>
      <c r="M5" s="21"/>
    </row>
    <row r="6" spans="1:13" x14ac:dyDescent="0.2">
      <c r="A6" s="17" t="s">
        <v>72</v>
      </c>
      <c r="B6" s="18"/>
      <c r="C6" s="15">
        <v>5758</v>
      </c>
      <c r="D6" s="15">
        <v>7417</v>
      </c>
      <c r="F6" s="16">
        <f>SUM(C6:E6)</f>
        <v>13175</v>
      </c>
      <c r="J6" s="3"/>
      <c r="K6" s="20"/>
      <c r="M6" s="21"/>
    </row>
    <row r="7" spans="1:13" x14ac:dyDescent="0.2">
      <c r="A7" s="17" t="s">
        <v>73</v>
      </c>
      <c r="B7" s="18"/>
      <c r="D7" s="15">
        <v>90900</v>
      </c>
      <c r="F7" s="16">
        <f>SUM(C7:D7)</f>
        <v>90900</v>
      </c>
      <c r="J7" s="3"/>
      <c r="K7" s="20"/>
      <c r="M7" s="21"/>
    </row>
    <row r="8" spans="1:13" x14ac:dyDescent="0.2">
      <c r="A8" s="17" t="s">
        <v>74</v>
      </c>
      <c r="B8" s="18"/>
      <c r="D8" s="4">
        <f>'Final Budget'!F13</f>
        <v>38178</v>
      </c>
      <c r="F8" s="16">
        <f>SUM(C8:D8)</f>
        <v>38178</v>
      </c>
      <c r="J8" s="3"/>
      <c r="K8" s="20"/>
      <c r="M8" s="21"/>
    </row>
    <row r="9" spans="1:13" x14ac:dyDescent="0.2">
      <c r="A9" s="17" t="s">
        <v>75</v>
      </c>
      <c r="B9" s="18"/>
      <c r="C9" s="2">
        <f>SUM('Final Budget'!C18:E18)</f>
        <v>81965</v>
      </c>
      <c r="F9" s="16">
        <f>SUM(C9:E9)</f>
        <v>81965</v>
      </c>
      <c r="J9" s="3"/>
      <c r="K9" s="20"/>
      <c r="M9" s="21"/>
    </row>
    <row r="10" spans="1:13" x14ac:dyDescent="0.2">
      <c r="A10" s="17" t="s">
        <v>76</v>
      </c>
      <c r="B10" s="18"/>
      <c r="C10" s="15">
        <v>2951</v>
      </c>
      <c r="F10" s="16">
        <v>2951</v>
      </c>
      <c r="J10" s="3"/>
      <c r="K10" s="20"/>
      <c r="M10" s="21"/>
    </row>
    <row r="11" spans="1:13" x14ac:dyDescent="0.2">
      <c r="A11" s="17" t="s">
        <v>77</v>
      </c>
      <c r="B11" s="22"/>
      <c r="C11" s="2">
        <v>40067</v>
      </c>
      <c r="D11" s="23"/>
      <c r="E11" s="23"/>
      <c r="F11" s="16">
        <f>SUM(C11:E11)</f>
        <v>40067</v>
      </c>
      <c r="G11" s="24"/>
      <c r="H11">
        <f>10000*0.078</f>
        <v>780</v>
      </c>
      <c r="I11">
        <f>5000*0.078</f>
        <v>390</v>
      </c>
      <c r="J11" s="25"/>
      <c r="K11" s="20"/>
    </row>
    <row r="12" spans="1:13" x14ac:dyDescent="0.2">
      <c r="A12" s="17" t="s">
        <v>78</v>
      </c>
      <c r="B12" s="26"/>
      <c r="C12" s="27">
        <v>10780</v>
      </c>
      <c r="D12" s="27">
        <v>5390</v>
      </c>
      <c r="E12" s="27"/>
      <c r="F12" s="28">
        <f>SUM(C12:E12)</f>
        <v>16170</v>
      </c>
      <c r="G12" s="24"/>
      <c r="H12">
        <f>H11+10000</f>
        <v>10780</v>
      </c>
      <c r="I12">
        <f>I11+5000</f>
        <v>5390</v>
      </c>
      <c r="J12" s="25"/>
      <c r="K12" s="20"/>
    </row>
    <row r="13" spans="1:13" x14ac:dyDescent="0.2">
      <c r="A13" s="29" t="s">
        <v>79</v>
      </c>
      <c r="B13" s="30"/>
      <c r="C13" s="15">
        <f>SUM(C5:C12)</f>
        <v>160649.72415999998</v>
      </c>
      <c r="D13" s="15">
        <f>SUM(D5:D12)</f>
        <v>166525.30053333333</v>
      </c>
      <c r="F13" s="16">
        <f>SUM(F5:F12)</f>
        <v>327175.02469333331</v>
      </c>
    </row>
    <row r="14" spans="1:13" x14ac:dyDescent="0.2">
      <c r="F14" s="16"/>
      <c r="H14" s="31"/>
    </row>
    <row r="15" spans="1:13" x14ac:dyDescent="0.2">
      <c r="F15" s="16"/>
    </row>
    <row r="16" spans="1:13" x14ac:dyDescent="0.2">
      <c r="A16" s="17" t="s">
        <v>80</v>
      </c>
      <c r="D16" s="32">
        <v>25000</v>
      </c>
      <c r="F16" s="16">
        <f>SUM(D16:E16)</f>
        <v>25000</v>
      </c>
      <c r="G16" s="19"/>
    </row>
    <row r="17" spans="1:11" x14ac:dyDescent="0.2">
      <c r="F17" s="16"/>
      <c r="G17" s="19"/>
    </row>
    <row r="18" spans="1:11" x14ac:dyDescent="0.2">
      <c r="A18" s="17" t="s">
        <v>81</v>
      </c>
      <c r="F18" s="16"/>
      <c r="I18" s="31"/>
    </row>
    <row r="19" spans="1:11" x14ac:dyDescent="0.2">
      <c r="A19" s="33" t="s">
        <v>82</v>
      </c>
      <c r="C19" s="15">
        <v>12610</v>
      </c>
      <c r="D19" s="15">
        <v>10405</v>
      </c>
      <c r="F19" s="16">
        <f>SUM(C19:D19)</f>
        <v>23015</v>
      </c>
      <c r="G19" s="34"/>
      <c r="H19">
        <v>2000</v>
      </c>
      <c r="I19">
        <f>H19*1.05</f>
        <v>2100</v>
      </c>
      <c r="J19">
        <f>I19*1.05</f>
        <v>2205</v>
      </c>
    </row>
    <row r="20" spans="1:11" x14ac:dyDescent="0.2">
      <c r="F20" s="16"/>
      <c r="H20">
        <f>H19*2</f>
        <v>4000</v>
      </c>
      <c r="I20">
        <f>I19*2</f>
        <v>4200</v>
      </c>
      <c r="J20">
        <f>J19*2</f>
        <v>4410</v>
      </c>
      <c r="K20">
        <f>SUM(H20:J20)</f>
        <v>12610</v>
      </c>
    </row>
    <row r="21" spans="1:11" x14ac:dyDescent="0.2">
      <c r="A21" s="17" t="s">
        <v>83</v>
      </c>
      <c r="C21" s="15">
        <v>17500</v>
      </c>
      <c r="D21" s="15">
        <v>22500</v>
      </c>
      <c r="F21" s="16">
        <f>SUM(C21:D21)</f>
        <v>40000</v>
      </c>
      <c r="H21">
        <v>2000</v>
      </c>
      <c r="I21">
        <f>H21*1.05</f>
        <v>2100</v>
      </c>
    </row>
    <row r="22" spans="1:11" x14ac:dyDescent="0.2">
      <c r="A22" s="17" t="s">
        <v>94</v>
      </c>
      <c r="C22" s="15">
        <v>3600</v>
      </c>
      <c r="D22" s="15">
        <v>3600</v>
      </c>
      <c r="F22" s="16">
        <f>SUM(C22:D22)</f>
        <v>7200</v>
      </c>
      <c r="H22">
        <f>H21*2</f>
        <v>4000</v>
      </c>
      <c r="I22">
        <f>I21*2</f>
        <v>4200</v>
      </c>
      <c r="J22">
        <v>2205</v>
      </c>
      <c r="K22">
        <f>SUM(H22:J22)</f>
        <v>10405</v>
      </c>
    </row>
    <row r="23" spans="1:11" x14ac:dyDescent="0.2">
      <c r="A23" s="17" t="s">
        <v>84</v>
      </c>
      <c r="F23" s="16"/>
      <c r="K23">
        <f>K22+K20</f>
        <v>23015</v>
      </c>
    </row>
    <row r="24" spans="1:11" x14ac:dyDescent="0.2">
      <c r="A24" s="17" t="s">
        <v>85</v>
      </c>
      <c r="B24" s="7"/>
      <c r="C24" s="15">
        <v>7749</v>
      </c>
      <c r="D24" s="35"/>
      <c r="E24" s="35"/>
      <c r="F24" s="16">
        <v>7749</v>
      </c>
      <c r="G24" s="19"/>
    </row>
    <row r="25" spans="1:11" x14ac:dyDescent="0.2">
      <c r="A25" s="33" t="s">
        <v>86</v>
      </c>
      <c r="B25" s="7"/>
      <c r="D25" s="15">
        <v>2926</v>
      </c>
      <c r="E25" s="35"/>
      <c r="F25" s="16">
        <v>2926</v>
      </c>
      <c r="G25" s="19"/>
    </row>
    <row r="26" spans="1:11" x14ac:dyDescent="0.2">
      <c r="A26" s="33" t="s">
        <v>87</v>
      </c>
      <c r="B26" s="7"/>
      <c r="D26" s="15">
        <v>5203</v>
      </c>
      <c r="E26" s="35"/>
      <c r="F26" s="16">
        <f>SUM(C26:E26)</f>
        <v>5203</v>
      </c>
      <c r="G26" s="19"/>
    </row>
    <row r="27" spans="1:11" x14ac:dyDescent="0.2">
      <c r="A27" s="33" t="s">
        <v>93</v>
      </c>
      <c r="B27" s="7"/>
      <c r="C27" s="15">
        <v>3000</v>
      </c>
      <c r="D27" s="35">
        <v>2500</v>
      </c>
      <c r="E27" s="35"/>
      <c r="F27" s="16">
        <f>SUM(C27:D27)</f>
        <v>5500</v>
      </c>
      <c r="G27" s="19"/>
    </row>
    <row r="28" spans="1:11" x14ac:dyDescent="0.2">
      <c r="A28" s="33" t="s">
        <v>56</v>
      </c>
      <c r="B28" s="7"/>
      <c r="D28" s="35"/>
      <c r="E28" s="35"/>
      <c r="F28" s="16"/>
      <c r="G28" s="19"/>
    </row>
    <row r="29" spans="1:11" x14ac:dyDescent="0.2">
      <c r="A29" s="36" t="s">
        <v>88</v>
      </c>
      <c r="B29" s="7"/>
      <c r="C29" s="15">
        <v>6077</v>
      </c>
      <c r="D29" s="15">
        <v>6078</v>
      </c>
      <c r="F29" s="60">
        <f>SUM(C29:D29)</f>
        <v>12155</v>
      </c>
      <c r="I29">
        <f>12155/2</f>
        <v>6077.5</v>
      </c>
    </row>
    <row r="30" spans="1:11" x14ac:dyDescent="0.2">
      <c r="B30" s="7"/>
      <c r="F30" s="16"/>
    </row>
    <row r="31" spans="1:11" s="38" customFormat="1" x14ac:dyDescent="0.2">
      <c r="A31" s="37" t="s">
        <v>63</v>
      </c>
      <c r="C31" s="39">
        <f>SUM(C13:C30)</f>
        <v>211185.72415999998</v>
      </c>
      <c r="D31" s="39">
        <f>SUM(D13:D30)</f>
        <v>244737.30053333333</v>
      </c>
      <c r="E31" s="39"/>
      <c r="F31" s="40">
        <f>SUM(F13:F30)</f>
        <v>455923.02469333331</v>
      </c>
    </row>
    <row r="32" spans="1:11" s="47" customFormat="1" ht="13" x14ac:dyDescent="0.15">
      <c r="A32" s="41" t="s">
        <v>89</v>
      </c>
      <c r="B32" s="42"/>
      <c r="C32" s="43">
        <f>C31-C29-C11</f>
        <v>165041.72415999998</v>
      </c>
      <c r="D32" s="43">
        <f>D31-D29-D16</f>
        <v>213659.30053333333</v>
      </c>
      <c r="E32" s="43"/>
      <c r="F32" s="44">
        <f>SUM(C32:D32)</f>
        <v>378701.02469333331</v>
      </c>
      <c r="G32" s="45"/>
      <c r="H32" s="46"/>
      <c r="I32" s="46"/>
    </row>
    <row r="33" spans="1:9" ht="17.25" customHeight="1" thickBot="1" x14ac:dyDescent="0.25">
      <c r="A33" s="17" t="s">
        <v>90</v>
      </c>
      <c r="C33" s="15">
        <f>0.5*C32</f>
        <v>82520.862079999992</v>
      </c>
      <c r="D33" s="15">
        <f>0.5*D32</f>
        <v>106829.65026666666</v>
      </c>
      <c r="F33" s="48">
        <f>SUM(C33:E33)</f>
        <v>189350.51234666666</v>
      </c>
      <c r="G33" s="49"/>
    </row>
    <row r="34" spans="1:9" ht="17" thickBot="1" x14ac:dyDescent="0.25">
      <c r="A34" s="50" t="s">
        <v>66</v>
      </c>
      <c r="B34" s="51"/>
      <c r="C34" s="52">
        <f>SUM(C31+C33)</f>
        <v>293706.58623999998</v>
      </c>
      <c r="D34" s="52">
        <f t="shared" ref="D34" si="0">SUM(D31+D33)</f>
        <v>351566.95079999999</v>
      </c>
      <c r="E34" s="52"/>
      <c r="F34" s="53">
        <f>SUM(F31+F33)</f>
        <v>645273.53703999997</v>
      </c>
      <c r="G34" s="54"/>
      <c r="H34" s="21"/>
      <c r="I34" s="21"/>
    </row>
    <row r="35" spans="1:9" x14ac:dyDescent="0.2">
      <c r="F35"/>
    </row>
    <row r="36" spans="1:9" x14ac:dyDescent="0.2">
      <c r="A36" s="17" t="s">
        <v>91</v>
      </c>
      <c r="C36" s="55"/>
      <c r="D36" s="55"/>
      <c r="E36" s="55"/>
      <c r="F36"/>
      <c r="G36" s="19"/>
    </row>
    <row r="37" spans="1:9" x14ac:dyDescent="0.2">
      <c r="A37" s="17" t="s">
        <v>92</v>
      </c>
      <c r="C37" s="55"/>
      <c r="D37" s="55"/>
      <c r="E37" s="55"/>
      <c r="F37"/>
    </row>
    <row r="38" spans="1:9" x14ac:dyDescent="0.2">
      <c r="A38" s="56"/>
      <c r="C38" s="55"/>
      <c r="D38" s="55"/>
      <c r="E38" s="55"/>
      <c r="F38" s="15"/>
    </row>
    <row r="39" spans="1:9" x14ac:dyDescent="0.2">
      <c r="B39" t="s">
        <v>95</v>
      </c>
      <c r="C39" s="15">
        <f>C34/F34*100</f>
        <v>45.516601779036435</v>
      </c>
      <c r="D39" s="15">
        <v>54</v>
      </c>
      <c r="F39" s="15"/>
    </row>
    <row r="40" spans="1:9" x14ac:dyDescent="0.2">
      <c r="F40" s="15"/>
    </row>
    <row r="41" spans="1:9" x14ac:dyDescent="0.2">
      <c r="F41" s="15"/>
    </row>
    <row r="42" spans="1:9" x14ac:dyDescent="0.2">
      <c r="F42" s="15"/>
    </row>
    <row r="43" spans="1:9" x14ac:dyDescent="0.2">
      <c r="F43" s="15"/>
    </row>
    <row r="44" spans="1:9" x14ac:dyDescent="0.2">
      <c r="F44" s="15"/>
    </row>
    <row r="45" spans="1:9" x14ac:dyDescent="0.2">
      <c r="F45" s="15"/>
    </row>
    <row r="46" spans="1:9" x14ac:dyDescent="0.2">
      <c r="F46" s="15"/>
    </row>
    <row r="47" spans="1:9" x14ac:dyDescent="0.2">
      <c r="F47" s="15"/>
    </row>
    <row r="48" spans="1:9" x14ac:dyDescent="0.2">
      <c r="F48" s="15"/>
    </row>
    <row r="49" spans="6:6" x14ac:dyDescent="0.2">
      <c r="F49" s="15"/>
    </row>
    <row r="50" spans="6:6" x14ac:dyDescent="0.2">
      <c r="F50" s="15"/>
    </row>
    <row r="51" spans="6:6" x14ac:dyDescent="0.2">
      <c r="F51" s="15"/>
    </row>
    <row r="52" spans="6:6" x14ac:dyDescent="0.2">
      <c r="F52" s="15"/>
    </row>
    <row r="53" spans="6:6" x14ac:dyDescent="0.2">
      <c r="F53" s="15"/>
    </row>
    <row r="54" spans="6:6" x14ac:dyDescent="0.2">
      <c r="F54" s="15"/>
    </row>
    <row r="55" spans="6:6" x14ac:dyDescent="0.2">
      <c r="F55" s="15"/>
    </row>
    <row r="56" spans="6:6" x14ac:dyDescent="0.2">
      <c r="F56" s="15"/>
    </row>
    <row r="57" spans="6:6" x14ac:dyDescent="0.2">
      <c r="F57" s="15"/>
    </row>
    <row r="58" spans="6:6" x14ac:dyDescent="0.2">
      <c r="F58" s="15"/>
    </row>
    <row r="59" spans="6:6" x14ac:dyDescent="0.2">
      <c r="F59" s="15"/>
    </row>
    <row r="60" spans="6:6" x14ac:dyDescent="0.2">
      <c r="F60" s="15"/>
    </row>
    <row r="61" spans="6:6" x14ac:dyDescent="0.2">
      <c r="F61" s="15"/>
    </row>
    <row r="62" spans="6:6" x14ac:dyDescent="0.2">
      <c r="F62" s="15"/>
    </row>
    <row r="63" spans="6:6" x14ac:dyDescent="0.2">
      <c r="F63" s="15"/>
    </row>
    <row r="64" spans="6:6" x14ac:dyDescent="0.2">
      <c r="F64" s="15"/>
    </row>
    <row r="65" spans="6:6" x14ac:dyDescent="0.2">
      <c r="F65" s="15"/>
    </row>
    <row r="66" spans="6:6" x14ac:dyDescent="0.2">
      <c r="F66" s="15"/>
    </row>
    <row r="67" spans="6:6" x14ac:dyDescent="0.2">
      <c r="F67" s="15"/>
    </row>
    <row r="68" spans="6:6" x14ac:dyDescent="0.2">
      <c r="F68" s="15"/>
    </row>
    <row r="69" spans="6:6" x14ac:dyDescent="0.2">
      <c r="F69" s="15"/>
    </row>
    <row r="70" spans="6:6" x14ac:dyDescent="0.2">
      <c r="F70" s="15"/>
    </row>
    <row r="71" spans="6:6" x14ac:dyDescent="0.2">
      <c r="F71" s="15"/>
    </row>
    <row r="72" spans="6:6" x14ac:dyDescent="0.2">
      <c r="F72" s="15"/>
    </row>
    <row r="73" spans="6:6" x14ac:dyDescent="0.2">
      <c r="F73" s="15"/>
    </row>
    <row r="74" spans="6:6" x14ac:dyDescent="0.2">
      <c r="F74" s="15"/>
    </row>
    <row r="75" spans="6:6" x14ac:dyDescent="0.2">
      <c r="F75" s="15"/>
    </row>
    <row r="76" spans="6:6" x14ac:dyDescent="0.2">
      <c r="F76" s="15"/>
    </row>
    <row r="77" spans="6:6" x14ac:dyDescent="0.2">
      <c r="F77" s="15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Budget</vt:lpstr>
      <vt:lpstr>Budget Split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Kristopher Waynant</dc:creator>
  <cp:keywords/>
  <dc:description/>
  <cp:lastModifiedBy>Waynant, Kristopher (kwaynant@uidaho.edu)</cp:lastModifiedBy>
  <cp:revision/>
  <dcterms:created xsi:type="dcterms:W3CDTF">2021-06-29T08:31:24Z</dcterms:created>
  <dcterms:modified xsi:type="dcterms:W3CDTF">2022-11-01T19:15:19Z</dcterms:modified>
  <cp:category/>
  <cp:contentStatus/>
</cp:coreProperties>
</file>