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filterPrivacy="1" codeName="ThisWorkbook" autoCompressPictures="0"/>
  <xr:revisionPtr revIDLastSave="0" documentId="13_ncr:1_{96B1F7C9-6D06-DE4C-A779-DE6D39BAF5F5}" xr6:coauthVersionLast="45" xr6:coauthVersionMax="45" xr10:uidLastSave="{00000000-0000-0000-0000-000000000000}"/>
  <bookViews>
    <workbookView xWindow="-26820" yWindow="7480" windowWidth="24460" windowHeight="14240" xr2:uid="{00000000-000D-0000-FFFF-FFFF00000000}"/>
  </bookViews>
  <sheets>
    <sheet name="UIMTDC" sheetId="3" r:id="rId1"/>
    <sheet name="Sheet1" sheetId="2" r:id="rId2"/>
  </sheets>
  <definedNames>
    <definedName name="__IntlFixup" hidden="1">TRUE</definedName>
    <definedName name="__IntlFixupTable" localSheetId="0" hidden="1">#REF!</definedName>
    <definedName name="__IntlFixupTable" hidden="1">#REF!</definedName>
    <definedName name="_Order1" hidden="1">0</definedName>
    <definedName name="AA.Report.Files" localSheetId="0" hidden="1">#REF!</definedName>
    <definedName name="AA.Report.Files" hidden="1">#REF!</definedName>
    <definedName name="AA.Reports.Available" localSheetId="0" hidden="1">#REF!</definedName>
    <definedName name="AA.Reports.Available" hidden="1">#REF!</definedName>
    <definedName name="Database.File" localSheetId="0" hidden="1">#REF!</definedName>
    <definedName name="Database.File" hidden="1">#REF!</definedName>
    <definedName name="File.Type" localSheetId="0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UIMTDC!$B$3:$J$90</definedName>
    <definedName name="Show.Acct.Update.Warning" localSheetId="0" hidden="1">#REF!</definedName>
    <definedName name="Show.Acct.Update.Warning" hidden="1">#REF!</definedName>
    <definedName name="Show.MDB.Update.Warning" localSheetId="0" hidden="1">#REF!</definedName>
    <definedName name="Show.MDB.Update.Warning" hidden="1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3" l="1"/>
  <c r="G57" i="3" l="1"/>
  <c r="E57" i="3" l="1"/>
  <c r="F57" i="3"/>
  <c r="H55" i="2" l="1"/>
  <c r="G55" i="2"/>
  <c r="F55" i="2"/>
  <c r="E55" i="2"/>
  <c r="D55" i="2"/>
  <c r="H48" i="2"/>
  <c r="G48" i="2"/>
  <c r="F48" i="2"/>
  <c r="E48" i="2"/>
  <c r="D48" i="2"/>
  <c r="H41" i="2"/>
  <c r="G41" i="2"/>
  <c r="F41" i="2"/>
  <c r="E41" i="2"/>
  <c r="D41" i="2"/>
  <c r="H34" i="2"/>
  <c r="G34" i="2"/>
  <c r="F34" i="2"/>
  <c r="E34" i="2"/>
  <c r="D34" i="2"/>
  <c r="F27" i="2"/>
  <c r="E27" i="2"/>
  <c r="F20" i="2"/>
  <c r="E20" i="2"/>
  <c r="G25" i="2"/>
  <c r="D52" i="2" l="1"/>
  <c r="D45" i="2"/>
  <c r="D38" i="2"/>
  <c r="D31" i="2"/>
  <c r="D24" i="2"/>
  <c r="D27" i="2" s="1"/>
  <c r="D17" i="2"/>
  <c r="D20" i="2" s="1"/>
  <c r="H54" i="2"/>
  <c r="G54" i="2"/>
  <c r="I54" i="2" s="1"/>
  <c r="G53" i="2"/>
  <c r="I53" i="2" s="1"/>
  <c r="H52" i="2"/>
  <c r="I52" i="2" s="1"/>
  <c r="I56" i="2" s="1"/>
  <c r="I60" i="2" s="1"/>
  <c r="G43" i="3" s="1"/>
  <c r="G52" i="2"/>
  <c r="H47" i="2"/>
  <c r="G47" i="2"/>
  <c r="G46" i="2"/>
  <c r="I46" i="2" s="1"/>
  <c r="H45" i="2"/>
  <c r="G45" i="2"/>
  <c r="H40" i="2"/>
  <c r="G40" i="2"/>
  <c r="I40" i="2" s="1"/>
  <c r="G39" i="2"/>
  <c r="I39" i="2" s="1"/>
  <c r="H38" i="2"/>
  <c r="G38" i="2"/>
  <c r="H33" i="2"/>
  <c r="G33" i="2"/>
  <c r="G32" i="2"/>
  <c r="I32" i="2" s="1"/>
  <c r="H31" i="2"/>
  <c r="G31" i="2"/>
  <c r="H26" i="2"/>
  <c r="G26" i="2"/>
  <c r="I25" i="2"/>
  <c r="H24" i="2"/>
  <c r="G24" i="2"/>
  <c r="G19" i="2"/>
  <c r="G18" i="2"/>
  <c r="G17" i="2"/>
  <c r="I18" i="2"/>
  <c r="H19" i="2"/>
  <c r="H20" i="2" s="1"/>
  <c r="H17" i="2"/>
  <c r="G24" i="3"/>
  <c r="F24" i="3"/>
  <c r="E24" i="3"/>
  <c r="H13" i="2"/>
  <c r="H12" i="2"/>
  <c r="H8" i="2"/>
  <c r="H9" i="2"/>
  <c r="G13" i="2"/>
  <c r="G12" i="2"/>
  <c r="F13" i="2"/>
  <c r="F12" i="2"/>
  <c r="G42" i="3"/>
  <c r="F42" i="3"/>
  <c r="F55" i="3"/>
  <c r="G80" i="3"/>
  <c r="F80" i="3"/>
  <c r="E80" i="3"/>
  <c r="D9" i="3"/>
  <c r="G20" i="2" l="1"/>
  <c r="I26" i="2"/>
  <c r="G27" i="2"/>
  <c r="H27" i="2"/>
  <c r="I33" i="2"/>
  <c r="I38" i="2"/>
  <c r="I42" i="2" s="1"/>
  <c r="I31" i="2"/>
  <c r="I35" i="2" s="1"/>
  <c r="I45" i="2"/>
  <c r="I49" i="2" s="1"/>
  <c r="I59" i="2" s="1"/>
  <c r="F43" i="3" s="1"/>
  <c r="I47" i="2"/>
  <c r="I24" i="2"/>
  <c r="I28" i="2" l="1"/>
  <c r="J42" i="3"/>
  <c r="D8" i="3"/>
  <c r="E8" i="3"/>
  <c r="F8" i="3" s="1"/>
  <c r="E9" i="3"/>
  <c r="D16" i="3"/>
  <c r="D69" i="2"/>
  <c r="G68" i="2" s="1"/>
  <c r="G69" i="2" s="1"/>
  <c r="G8" i="2"/>
  <c r="I8" i="2" s="1"/>
  <c r="G9" i="2"/>
  <c r="I9" i="2" s="1"/>
  <c r="E51" i="3"/>
  <c r="F51" i="3"/>
  <c r="G51" i="3"/>
  <c r="G59" i="3" s="1"/>
  <c r="I12" i="2"/>
  <c r="I13" i="2"/>
  <c r="F59" i="3"/>
  <c r="H13" i="3"/>
  <c r="H21" i="3"/>
  <c r="H24" i="3"/>
  <c r="H25" i="3"/>
  <c r="H34" i="3" s="1"/>
  <c r="H29" i="3"/>
  <c r="H46" i="3"/>
  <c r="H59" i="3"/>
  <c r="H70" i="3"/>
  <c r="H77" i="3"/>
  <c r="H84" i="3"/>
  <c r="I13" i="3"/>
  <c r="I21" i="3"/>
  <c r="I24" i="3"/>
  <c r="I25" i="3"/>
  <c r="I34" i="3" s="1"/>
  <c r="I29" i="3"/>
  <c r="I46" i="3"/>
  <c r="I59" i="3"/>
  <c r="I70" i="3"/>
  <c r="I77" i="3"/>
  <c r="I84" i="3"/>
  <c r="I17" i="2"/>
  <c r="I21" i="2" s="1"/>
  <c r="I58" i="2" s="1"/>
  <c r="I19" i="2"/>
  <c r="E59" i="3"/>
  <c r="E81" i="3"/>
  <c r="F81" i="3"/>
  <c r="G81" i="3"/>
  <c r="J81" i="3" s="1"/>
  <c r="J68" i="3"/>
  <c r="F70" i="3"/>
  <c r="E70" i="3"/>
  <c r="E77" i="3"/>
  <c r="E91" i="2"/>
  <c r="F91" i="2"/>
  <c r="E92" i="2"/>
  <c r="F92" i="2" s="1"/>
  <c r="E84" i="3"/>
  <c r="E93" i="2"/>
  <c r="F93" i="2" s="1"/>
  <c r="G93" i="2" s="1"/>
  <c r="F77" i="3"/>
  <c r="E94" i="2"/>
  <c r="F94" i="2" s="1"/>
  <c r="G94" i="2" s="1"/>
  <c r="G77" i="3"/>
  <c r="G70" i="3"/>
  <c r="J55" i="3"/>
  <c r="J57" i="3"/>
  <c r="J45" i="3"/>
  <c r="J44" i="3"/>
  <c r="J54" i="3"/>
  <c r="J52" i="3"/>
  <c r="J53" i="3"/>
  <c r="M98" i="3"/>
  <c r="J82" i="3"/>
  <c r="J83" i="3"/>
  <c r="J76" i="3"/>
  <c r="J75" i="3"/>
  <c r="J74" i="3"/>
  <c r="J73" i="3"/>
  <c r="J69" i="3"/>
  <c r="J56" i="3"/>
  <c r="J50" i="3"/>
  <c r="J49" i="3"/>
  <c r="J38" i="3"/>
  <c r="J20" i="3"/>
  <c r="J19" i="3"/>
  <c r="J18" i="3"/>
  <c r="J17" i="3"/>
  <c r="J11" i="3"/>
  <c r="J10" i="3"/>
  <c r="E13" i="3" l="1"/>
  <c r="E25" i="3"/>
  <c r="E43" i="3"/>
  <c r="J43" i="3" s="1"/>
  <c r="I61" i="2"/>
  <c r="I35" i="3"/>
  <c r="I62" i="3" s="1"/>
  <c r="I86" i="3" s="1"/>
  <c r="I88" i="3" s="1"/>
  <c r="I90" i="3" s="1"/>
  <c r="I14" i="2"/>
  <c r="I10" i="2"/>
  <c r="F40" i="3" s="1"/>
  <c r="J70" i="3"/>
  <c r="J59" i="3"/>
  <c r="F9" i="3"/>
  <c r="F25" i="3" s="1"/>
  <c r="G84" i="3"/>
  <c r="F84" i="3"/>
  <c r="G41" i="3"/>
  <c r="J8" i="3"/>
  <c r="G8" i="3"/>
  <c r="G92" i="2"/>
  <c r="G95" i="2" s="1"/>
  <c r="H35" i="3"/>
  <c r="H62" i="3" s="1"/>
  <c r="H86" i="3" s="1"/>
  <c r="E68" i="2"/>
  <c r="E69" i="2" s="1"/>
  <c r="H69" i="2" s="1"/>
  <c r="J51" i="3"/>
  <c r="J77" i="3"/>
  <c r="J80" i="3" l="1"/>
  <c r="J84" i="3" s="1"/>
  <c r="F13" i="3"/>
  <c r="G9" i="3"/>
  <c r="G25" i="3" s="1"/>
  <c r="H88" i="3"/>
  <c r="H90" i="3" s="1"/>
  <c r="E46" i="3"/>
  <c r="J39" i="3"/>
  <c r="J40" i="3"/>
  <c r="F46" i="3"/>
  <c r="J69" i="2"/>
  <c r="H72" i="2"/>
  <c r="E16" i="3" s="1"/>
  <c r="H73" i="2"/>
  <c r="G46" i="3"/>
  <c r="J41" i="3"/>
  <c r="J9" i="3" l="1"/>
  <c r="J25" i="3"/>
  <c r="G13" i="3"/>
  <c r="J13" i="3" s="1"/>
  <c r="J24" i="3"/>
  <c r="H74" i="2"/>
  <c r="G16" i="3" s="1"/>
  <c r="F16" i="3"/>
  <c r="E21" i="3"/>
  <c r="E29" i="3"/>
  <c r="J46" i="3"/>
  <c r="J16" i="3" l="1"/>
  <c r="E34" i="3"/>
  <c r="G29" i="3"/>
  <c r="G34" i="3" s="1"/>
  <c r="G21" i="3"/>
  <c r="F29" i="3"/>
  <c r="F34" i="3" s="1"/>
  <c r="F21" i="3"/>
  <c r="G35" i="3" l="1"/>
  <c r="G62" i="3" s="1"/>
  <c r="G86" i="3" s="1"/>
  <c r="F35" i="3"/>
  <c r="F62" i="3" s="1"/>
  <c r="F88" i="3" s="1"/>
  <c r="J34" i="3"/>
  <c r="J21" i="3"/>
  <c r="E35" i="3"/>
  <c r="E62" i="3" s="1"/>
  <c r="J29" i="3"/>
  <c r="G88" i="3" l="1"/>
  <c r="G90" i="3" s="1"/>
  <c r="J35" i="3"/>
  <c r="F86" i="3"/>
  <c r="F90" i="3" s="1"/>
  <c r="E88" i="3"/>
  <c r="J62" i="3"/>
  <c r="E86" i="3"/>
  <c r="J88" i="3" l="1"/>
  <c r="E90" i="3"/>
  <c r="J90" i="3" s="1"/>
  <c r="J8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8" authorId="0" shapeId="0" xr:uid="{00000000-0006-0000-0000-000001000000}">
      <text>
        <r>
          <rPr>
            <sz val="10"/>
            <color rgb="FF000000"/>
            <rFont val="Arial"/>
            <family val="2"/>
          </rPr>
          <t>why only first $25K?</t>
        </r>
      </text>
    </comment>
    <comment ref="E80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Includes $200 for course fees</t>
        </r>
      </text>
    </comment>
  </commentList>
</comments>
</file>

<file path=xl/sharedStrings.xml><?xml version="1.0" encoding="utf-8"?>
<sst xmlns="http://schemas.openxmlformats.org/spreadsheetml/2006/main" count="167" uniqueCount="118">
  <si>
    <t>Budget</t>
  </si>
  <si>
    <t>Senior Salaries</t>
  </si>
  <si>
    <t>Months</t>
  </si>
  <si>
    <t>Year 1</t>
  </si>
  <si>
    <t>Year 2</t>
  </si>
  <si>
    <t>Year 3</t>
  </si>
  <si>
    <t>Year 4</t>
  </si>
  <si>
    <t>Year 5</t>
  </si>
  <si>
    <t>Total</t>
  </si>
  <si>
    <t>Bartholomaus</t>
  </si>
  <si>
    <t>Faculty</t>
  </si>
  <si>
    <t>Staff</t>
  </si>
  <si>
    <t>(Excludes non-PERSI Eligible IH)</t>
  </si>
  <si>
    <t>Total Salaries</t>
  </si>
  <si>
    <t xml:space="preserve">IH </t>
  </si>
  <si>
    <t>Student/IH Salaries</t>
  </si>
  <si>
    <t>(non-PERSI Eligible)</t>
  </si>
  <si>
    <t>Ph.D. Student</t>
  </si>
  <si>
    <t>Students</t>
  </si>
  <si>
    <t>Total Student/IH Salaries</t>
  </si>
  <si>
    <t>Fringe</t>
  </si>
  <si>
    <t>Rate</t>
  </si>
  <si>
    <t>Out of State Per Diem = $51 per day</t>
  </si>
  <si>
    <t>Total  Fringe</t>
  </si>
  <si>
    <t>Total Salaries and Fringe</t>
  </si>
  <si>
    <t>Travel</t>
  </si>
  <si>
    <t>AGU 2021</t>
  </si>
  <si>
    <t>Fieldwork</t>
  </si>
  <si>
    <t>Total Travel</t>
  </si>
  <si>
    <t>Other Direct Costs (include 1st $25,000 of Subawards here)</t>
  </si>
  <si>
    <t>Publication Costs</t>
  </si>
  <si>
    <t>Student Computer Workstation</t>
  </si>
  <si>
    <t>Network Computing</t>
  </si>
  <si>
    <t>Field clothing for student</t>
  </si>
  <si>
    <t>Shipping</t>
  </si>
  <si>
    <t>Expendable materials and supplies</t>
  </si>
  <si>
    <t>Total Other Direct Costs</t>
  </si>
  <si>
    <t>Total Modified Direct Costs</t>
  </si>
  <si>
    <t>Enter Only Costs Excluded From F&amp;A Below This Point</t>
  </si>
  <si>
    <t>Subaward &gt;$25,000</t>
  </si>
  <si>
    <t>Total Subaward &gt;$25,000</t>
  </si>
  <si>
    <t>Tuition</t>
  </si>
  <si>
    <t>Student health insurance</t>
  </si>
  <si>
    <t>Total Tuition</t>
  </si>
  <si>
    <t>Total Direct Costs</t>
  </si>
  <si>
    <t>Indirect Costs</t>
  </si>
  <si>
    <t xml:space="preserve">Rate </t>
  </si>
  <si>
    <t>Total Budget (Direct + Indirect Costs)</t>
  </si>
  <si>
    <t>AGU</t>
  </si>
  <si>
    <t>Registration</t>
  </si>
  <si>
    <t>Airfare</t>
  </si>
  <si>
    <t>Ground transport</t>
  </si>
  <si>
    <t>PerDiem</t>
  </si>
  <si>
    <t>Hotel</t>
  </si>
  <si>
    <t>PI</t>
  </si>
  <si>
    <t>SF</t>
  </si>
  <si>
    <t>Student</t>
  </si>
  <si>
    <t>Grad Student Salary</t>
  </si>
  <si>
    <t>Academic Year</t>
  </si>
  <si>
    <t>Summer</t>
  </si>
  <si>
    <t>Half/fulltime</t>
  </si>
  <si>
    <t>Graduate student rate</t>
  </si>
  <si>
    <t>9 month salary:</t>
  </si>
  <si>
    <t>Monthly rate</t>
  </si>
  <si>
    <t>Raises</t>
  </si>
  <si>
    <t>20.52/hr</t>
  </si>
  <si>
    <t>20 hrs/week</t>
  </si>
  <si>
    <t>9 months</t>
  </si>
  <si>
    <t>per semester</t>
  </si>
  <si>
    <t>Health care</t>
  </si>
  <si>
    <t>5% per year</t>
  </si>
  <si>
    <t>906/semester</t>
  </si>
  <si>
    <t>semester</t>
  </si>
  <si>
    <t>out of state is waived, pay for in-state</t>
  </si>
  <si>
    <t>Ras, I pay for the instate</t>
  </si>
  <si>
    <t xml:space="preserve">Per semester </t>
  </si>
  <si>
    <t>per year</t>
  </si>
  <si>
    <t>No overhead on tuition and fees, or insurance</t>
  </si>
  <si>
    <t>We don't pay course fees</t>
  </si>
  <si>
    <t>Ugrad Salary</t>
  </si>
  <si>
    <t>salary</t>
  </si>
  <si>
    <t>hrs/week</t>
  </si>
  <si>
    <t>weeks</t>
  </si>
  <si>
    <t>year 1</t>
  </si>
  <si>
    <t>year 2</t>
  </si>
  <si>
    <t>year 3</t>
  </si>
  <si>
    <t>Tuition and fees</t>
  </si>
  <si>
    <t>Greenland seds Budget 2019</t>
  </si>
  <si>
    <t>Monthly Salary</t>
  </si>
  <si>
    <t>AGU 2022</t>
  </si>
  <si>
    <t>AGU 2023</t>
  </si>
  <si>
    <t>FY20 Year Round UI Fringe Rates</t>
  </si>
  <si>
    <t>UI mileage rate = $0.58 mi</t>
  </si>
  <si>
    <t>In State Per Diem = $49 per day</t>
  </si>
  <si>
    <t>Participant Support Costs</t>
  </si>
  <si>
    <t>Total PSC</t>
  </si>
  <si>
    <t>Aug 2020-Jul 2021</t>
  </si>
  <si>
    <t>Aug 2021-Jul 2022</t>
  </si>
  <si>
    <t>Research Scientist Beaud</t>
  </si>
  <si>
    <t>Aug 2022-Jul 2023</t>
  </si>
  <si>
    <t>Weather stations</t>
  </si>
  <si>
    <t>Northwest Glaciologists Meeting</t>
  </si>
  <si>
    <t>NW Glaciologists</t>
  </si>
  <si>
    <t>days</t>
  </si>
  <si>
    <t>Research Sci</t>
  </si>
  <si>
    <t>helo</t>
  </si>
  <si>
    <t>install</t>
  </si>
  <si>
    <t>Total for trip:</t>
  </si>
  <si>
    <t>demob</t>
  </si>
  <si>
    <t>quick trip</t>
  </si>
  <si>
    <t>spring work</t>
  </si>
  <si>
    <t>main service</t>
  </si>
  <si>
    <t>Total for year 1</t>
  </si>
  <si>
    <t>Grand total</t>
  </si>
  <si>
    <t>Total for year 2</t>
  </si>
  <si>
    <t>Total for year 3</t>
  </si>
  <si>
    <t>Ice auger flights</t>
  </si>
  <si>
    <t>Batteries and enclosures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</si>
</sst>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&quot;$&quot;#,##0;[Red]&quot;$&quot;#,##0"/>
  </numFmts>
  <fonts count="5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  <font>
      <u/>
      <sz val="10"/>
      <color theme="11"/>
      <name val="Arial"/>
      <family val="2"/>
    </font>
    <font>
      <sz val="10"/>
      <color theme="0" tint="-0.1499984740745262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0" tint="-0.3499862666707357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14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 applyProtection="1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170" fontId="42" fillId="0" borderId="0" xfId="36" applyNumberFormat="1" applyFont="1" applyFill="1" applyAlignment="1" applyProtection="1">
      <alignment horizontal="centerContinuous"/>
      <protection locked="0"/>
    </xf>
    <xf numFmtId="0" fontId="4" fillId="0" borderId="0" xfId="0" applyFont="1" applyFill="1" applyAlignment="1" applyProtection="1">
      <alignment horizontal="centerContinuous"/>
    </xf>
    <xf numFmtId="172" fontId="37" fillId="0" borderId="0" xfId="0" applyNumberFormat="1" applyFont="1" applyFill="1" applyBorder="1" applyAlignment="1" applyProtection="1">
      <alignment horizontal="right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0" borderId="0" xfId="0" applyNumberFormat="1" applyFont="1" applyFill="1" applyAlignment="1" applyProtection="1">
      <alignment horizontal="right"/>
      <protection locked="0"/>
    </xf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Border="1" applyProtection="1"/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1" fillId="29" borderId="0" xfId="0" applyFont="1" applyFill="1" applyBorder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0" fontId="37" fillId="30" borderId="0" xfId="0" applyFont="1" applyFill="1" applyBorder="1" applyProtection="1"/>
    <xf numFmtId="0" fontId="1" fillId="30" borderId="0" xfId="0" applyFont="1" applyFill="1" applyBorder="1" applyProtection="1"/>
    <xf numFmtId="173" fontId="37" fillId="30" borderId="0" xfId="0" applyNumberFormat="1" applyFont="1" applyFill="1" applyBorder="1" applyProtection="1"/>
    <xf numFmtId="173" fontId="37" fillId="30" borderId="25" xfId="0" applyNumberFormat="1" applyFont="1" applyFill="1" applyBorder="1" applyProtection="1"/>
    <xf numFmtId="0" fontId="1" fillId="30" borderId="24" xfId="0" applyFont="1" applyFill="1" applyBorder="1" applyProtection="1"/>
    <xf numFmtId="0" fontId="1" fillId="30" borderId="25" xfId="0" applyFont="1" applyFill="1" applyBorder="1" applyProtection="1"/>
    <xf numFmtId="0" fontId="37" fillId="30" borderId="24" xfId="0" applyFont="1" applyFill="1" applyBorder="1" applyProtection="1"/>
    <xf numFmtId="0" fontId="37" fillId="30" borderId="25" xfId="0" applyFont="1" applyFill="1" applyBorder="1" applyProtection="1"/>
    <xf numFmtId="0" fontId="1" fillId="30" borderId="26" xfId="0" applyFont="1" applyFill="1" applyBorder="1" applyProtection="1"/>
    <xf numFmtId="0" fontId="1" fillId="30" borderId="27" xfId="0" applyFont="1" applyFill="1" applyBorder="1" applyProtection="1"/>
    <xf numFmtId="0" fontId="1" fillId="30" borderId="28" xfId="0" applyFont="1" applyFill="1" applyBorder="1" applyProtection="1"/>
    <xf numFmtId="0" fontId="1" fillId="31" borderId="21" xfId="0" applyFont="1" applyFill="1" applyBorder="1" applyProtection="1"/>
    <xf numFmtId="0" fontId="1" fillId="31" borderId="22" xfId="0" applyFont="1" applyFill="1" applyBorder="1" applyProtection="1"/>
    <xf numFmtId="0" fontId="1" fillId="31" borderId="23" xfId="0" applyFont="1" applyFill="1" applyBorder="1" applyProtection="1"/>
    <xf numFmtId="0" fontId="1" fillId="30" borderId="0" xfId="0" applyFont="1" applyFill="1" applyProtection="1"/>
    <xf numFmtId="0" fontId="0" fillId="32" borderId="0" xfId="0" applyFill="1" applyBorder="1"/>
    <xf numFmtId="0" fontId="0" fillId="0" borderId="0" xfId="0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4" fontId="46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0" fontId="1" fillId="0" borderId="0" xfId="0" applyFont="1" applyFill="1" applyBorder="1" applyProtection="1"/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10" fontId="37" fillId="30" borderId="25" xfId="0" applyNumberFormat="1" applyFont="1" applyFill="1" applyBorder="1" applyProtection="1"/>
    <xf numFmtId="173" fontId="37" fillId="0" borderId="0" xfId="0" applyNumberFormat="1" applyFont="1" applyFill="1" applyBorder="1" applyProtection="1"/>
    <xf numFmtId="0" fontId="37" fillId="0" borderId="0" xfId="0" applyFont="1" applyFill="1" applyBorder="1" applyProtection="1"/>
    <xf numFmtId="0" fontId="0" fillId="0" borderId="0" xfId="0" applyBorder="1"/>
    <xf numFmtId="0" fontId="47" fillId="32" borderId="0" xfId="0" applyFont="1" applyFill="1" applyBorder="1" applyAlignment="1">
      <alignment horizontal="center" vertical="center"/>
    </xf>
    <xf numFmtId="0" fontId="0" fillId="32" borderId="0" xfId="0" applyFill="1" applyBorder="1" applyAlignment="1"/>
    <xf numFmtId="0" fontId="49" fillId="0" borderId="0" xfId="53" applyFont="1" applyFill="1" applyAlignment="1" applyProtection="1">
      <alignment horizontal="center" vertical="center"/>
    </xf>
    <xf numFmtId="10" fontId="4" fillId="33" borderId="29" xfId="0" applyNumberFormat="1" applyFont="1" applyFill="1" applyBorder="1" applyProtection="1"/>
    <xf numFmtId="0" fontId="37" fillId="29" borderId="0" xfId="0" applyFont="1" applyFill="1" applyBorder="1" applyAlignment="1" applyProtection="1"/>
    <xf numFmtId="0" fontId="1" fillId="29" borderId="21" xfId="0" applyFont="1" applyFill="1" applyBorder="1" applyProtection="1"/>
    <xf numFmtId="0" fontId="1" fillId="29" borderId="22" xfId="0" applyFont="1" applyFill="1" applyBorder="1" applyProtection="1"/>
    <xf numFmtId="0" fontId="1" fillId="29" borderId="23" xfId="0" applyFont="1" applyFill="1" applyBorder="1" applyProtection="1"/>
    <xf numFmtId="0" fontId="1" fillId="29" borderId="24" xfId="0" applyFont="1" applyFill="1" applyBorder="1" applyProtection="1"/>
    <xf numFmtId="0" fontId="0" fillId="29" borderId="0" xfId="0" applyFill="1" applyBorder="1" applyAlignment="1"/>
    <xf numFmtId="0" fontId="0" fillId="29" borderId="25" xfId="0" applyFill="1" applyBorder="1" applyAlignment="1"/>
    <xf numFmtId="0" fontId="0" fillId="29" borderId="24" xfId="0" applyFill="1" applyBorder="1" applyAlignment="1"/>
    <xf numFmtId="0" fontId="1" fillId="29" borderId="25" xfId="0" applyFont="1" applyFill="1" applyBorder="1" applyProtection="1"/>
    <xf numFmtId="0" fontId="1" fillId="29" borderId="26" xfId="0" applyFont="1" applyFill="1" applyBorder="1" applyProtection="1"/>
    <xf numFmtId="0" fontId="1" fillId="29" borderId="27" xfId="0" applyFont="1" applyFill="1" applyBorder="1" applyProtection="1"/>
    <xf numFmtId="0" fontId="1" fillId="29" borderId="28" xfId="0" applyFont="1" applyFill="1" applyBorder="1" applyProtection="1"/>
    <xf numFmtId="0" fontId="37" fillId="29" borderId="0" xfId="0" applyFont="1" applyFill="1" applyBorder="1" applyProtection="1"/>
    <xf numFmtId="173" fontId="1" fillId="30" borderId="0" xfId="0" applyNumberFormat="1" applyFont="1" applyFill="1" applyProtection="1"/>
    <xf numFmtId="2" fontId="4" fillId="0" borderId="0" xfId="0" applyNumberFormat="1" applyFont="1" applyFill="1" applyProtection="1">
      <protection locked="0"/>
    </xf>
    <xf numFmtId="0" fontId="1" fillId="0" borderId="0" xfId="0" applyFont="1" applyBorder="1" applyProtection="1"/>
    <xf numFmtId="0" fontId="46" fillId="0" borderId="0" xfId="0" applyFont="1" applyBorder="1" applyAlignment="1">
      <alignment horizontal="center" vertical="center" wrapText="1"/>
    </xf>
    <xf numFmtId="0" fontId="1" fillId="0" borderId="0" xfId="53" applyFont="1" applyAlignment="1" applyProtection="1">
      <alignment horizontal="left" vertical="center"/>
    </xf>
    <xf numFmtId="0" fontId="37" fillId="0" borderId="0" xfId="0" applyFont="1"/>
    <xf numFmtId="0" fontId="51" fillId="0" borderId="0" xfId="0" applyFont="1"/>
    <xf numFmtId="0" fontId="0" fillId="0" borderId="0" xfId="0" applyFont="1" applyProtection="1"/>
    <xf numFmtId="0" fontId="0" fillId="0" borderId="0" xfId="0" applyFont="1"/>
    <xf numFmtId="0" fontId="39" fillId="0" borderId="0" xfId="53" applyFont="1" applyAlignment="1" applyProtection="1">
      <alignment horizontal="left" vertical="center"/>
    </xf>
    <xf numFmtId="3" fontId="3" fillId="28" borderId="0" xfId="0" applyNumberFormat="1" applyFont="1" applyFill="1" applyAlignment="1" applyProtection="1">
      <alignment horizontal="centerContinuous" vertical="center"/>
    </xf>
    <xf numFmtId="3" fontId="4" fillId="0" borderId="0" xfId="0" applyNumberFormat="1" applyFont="1" applyFill="1" applyAlignment="1" applyProtection="1">
      <alignment horizontal="centerContinuous"/>
    </xf>
    <xf numFmtId="3" fontId="42" fillId="27" borderId="19" xfId="0" applyNumberFormat="1" applyFont="1" applyFill="1" applyBorder="1" applyAlignment="1" applyProtection="1">
      <alignment horizontal="left"/>
    </xf>
    <xf numFmtId="3" fontId="42" fillId="27" borderId="19" xfId="0" applyNumberFormat="1" applyFont="1" applyFill="1" applyBorder="1" applyAlignment="1" applyProtection="1">
      <alignment horizontal="centerContinuous"/>
    </xf>
    <xf numFmtId="3" fontId="42" fillId="28" borderId="0" xfId="0" applyNumberFormat="1" applyFont="1" applyFill="1" applyAlignment="1" applyProtection="1">
      <alignment horizontal="center"/>
    </xf>
    <xf numFmtId="3" fontId="4" fillId="28" borderId="0" xfId="0" applyNumberFormat="1" applyFont="1" applyFill="1" applyBorder="1" applyProtection="1"/>
    <xf numFmtId="3" fontId="4" fillId="0" borderId="0" xfId="0" applyNumberFormat="1" applyFont="1" applyFill="1" applyProtection="1">
      <protection locked="0"/>
    </xf>
    <xf numFmtId="3" fontId="42" fillId="28" borderId="20" xfId="0" applyNumberFormat="1" applyFont="1" applyFill="1" applyBorder="1" applyProtection="1"/>
    <xf numFmtId="3" fontId="42" fillId="28" borderId="20" xfId="0" applyNumberFormat="1" applyFont="1" applyFill="1" applyBorder="1" applyProtection="1">
      <protection locked="0"/>
    </xf>
    <xf numFmtId="3" fontId="4" fillId="0" borderId="0" xfId="0" applyNumberFormat="1" applyFont="1" applyFill="1" applyBorder="1" applyProtection="1"/>
    <xf numFmtId="3" fontId="4" fillId="0" borderId="0" xfId="0" applyNumberFormat="1" applyFont="1" applyFill="1" applyBorder="1" applyProtection="1">
      <protection locked="0"/>
    </xf>
    <xf numFmtId="3" fontId="0" fillId="0" borderId="0" xfId="0" applyNumberFormat="1" applyFont="1" applyProtection="1"/>
    <xf numFmtId="3" fontId="37" fillId="28" borderId="0" xfId="0" applyNumberFormat="1" applyFont="1" applyFill="1" applyAlignment="1" applyProtection="1">
      <alignment horizontal="center"/>
    </xf>
    <xf numFmtId="3" fontId="35" fillId="0" borderId="0" xfId="0" applyNumberFormat="1" applyFont="1" applyFill="1" applyProtection="1"/>
    <xf numFmtId="3" fontId="2" fillId="0" borderId="0" xfId="0" applyNumberFormat="1" applyFont="1" applyProtection="1"/>
    <xf numFmtId="3" fontId="4" fillId="0" borderId="18" xfId="0" applyNumberFormat="1" applyFont="1" applyFill="1" applyBorder="1" applyProtection="1"/>
    <xf numFmtId="3" fontId="1" fillId="0" borderId="0" xfId="0" applyNumberFormat="1" applyFont="1" applyBorder="1" applyProtection="1"/>
    <xf numFmtId="3" fontId="46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17" fontId="1" fillId="0" borderId="0" xfId="0" applyNumberFormat="1" applyFont="1"/>
    <xf numFmtId="0" fontId="55" fillId="0" borderId="0" xfId="0" applyFont="1"/>
    <xf numFmtId="0" fontId="37" fillId="0" borderId="0" xfId="0" applyFont="1" applyAlignment="1">
      <alignment horizontal="right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7" fillId="30" borderId="24" xfId="0" applyFont="1" applyFill="1" applyBorder="1" applyAlignment="1" applyProtection="1">
      <alignment horizontal="left"/>
    </xf>
    <xf numFmtId="0" fontId="37" fillId="30" borderId="0" xfId="0" applyFont="1" applyFill="1" applyBorder="1" applyAlignment="1">
      <alignment horizontal="left"/>
    </xf>
    <xf numFmtId="0" fontId="42" fillId="29" borderId="31" xfId="0" applyFont="1" applyFill="1" applyBorder="1" applyAlignment="1" applyProtection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</cellXfs>
  <cellStyles count="11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0" xfId="32" xr:uid="{00000000-0005-0000-0000-00001F000000}"/>
    <cellStyle name="DarkBlueOutline" xfId="33" xr:uid="{00000000-0005-0000-0000-000020000000}"/>
    <cellStyle name="DarkBlueOutlineYellow" xfId="34" xr:uid="{00000000-0005-0000-0000-000021000000}"/>
    <cellStyle name="Date" xfId="35" xr:uid="{00000000-0005-0000-0000-000022000000}"/>
    <cellStyle name="Date_simple" xfId="36" xr:uid="{00000000-0005-0000-0000-000023000000}"/>
    <cellStyle name="Dezimal [0]_Compiling Utility Macros" xfId="37" xr:uid="{00000000-0005-0000-0000-000024000000}"/>
    <cellStyle name="Dezimal_Compiling Utility Macros" xfId="38" xr:uid="{00000000-0005-0000-0000-000025000000}"/>
    <cellStyle name="Explanatory Text" xfId="39" builtinId="53" customBuiltin="1"/>
    <cellStyle name="Fixed" xfId="40" xr:uid="{00000000-0005-0000-0000-000027000000}"/>
    <cellStyle name="Followed Hyperlink" xfId="93" builtinId="9" hidden="1"/>
    <cellStyle name="Followed Hyperlink" xfId="92" builtinId="9" hidden="1"/>
    <cellStyle name="Followed Hyperlink" xfId="91" builtinId="9" hidden="1"/>
    <cellStyle name="Followed Hyperlink" xfId="108" builtinId="9" hidden="1"/>
    <cellStyle name="Followed Hyperlink" xfId="101" builtinId="9" hidden="1"/>
    <cellStyle name="Followed Hyperlink" xfId="110" builtinId="9" hidden="1"/>
    <cellStyle name="Followed Hyperlink" xfId="87" builtinId="9" hidden="1"/>
    <cellStyle name="Followed Hyperlink" xfId="90" builtinId="9" hidden="1"/>
    <cellStyle name="Followed Hyperlink" xfId="79" builtinId="9" hidden="1"/>
    <cellStyle name="Followed Hyperlink" xfId="78" builtinId="9" hidden="1"/>
    <cellStyle name="Followed Hyperlink" xfId="88" builtinId="9" hidden="1"/>
    <cellStyle name="Followed Hyperlink" xfId="77" builtinId="9" hidden="1"/>
    <cellStyle name="Followed Hyperlink" xfId="76" builtinId="9" hidden="1"/>
    <cellStyle name="Followed Hyperlink" xfId="106" builtinId="9" hidden="1"/>
    <cellStyle name="Followed Hyperlink" xfId="102" builtinId="9" hidden="1"/>
    <cellStyle name="Followed Hyperlink" xfId="113" builtinId="9" hidden="1"/>
    <cellStyle name="Followed Hyperlink" xfId="112" builtinId="9" hidden="1"/>
    <cellStyle name="Followed Hyperlink" xfId="111" builtinId="9" hidden="1"/>
    <cellStyle name="Followed Hyperlink" xfId="98" builtinId="9" hidden="1"/>
    <cellStyle name="Followed Hyperlink" xfId="85" builtinId="9" hidden="1"/>
    <cellStyle name="Followed Hyperlink" xfId="80" builtinId="9" hidden="1"/>
    <cellStyle name="Followed Hyperlink" xfId="86" builtinId="9" hidden="1"/>
    <cellStyle name="Followed Hyperlink" xfId="97" builtinId="9" hidden="1"/>
    <cellStyle name="Followed Hyperlink" xfId="96" builtinId="9" hidden="1"/>
    <cellStyle name="Followed Hyperlink" xfId="109" builtinId="9" hidden="1"/>
    <cellStyle name="Followed Hyperlink" xfId="99" builtinId="9" hidden="1"/>
    <cellStyle name="Followed Hyperlink" xfId="100" builtinId="9" hidden="1"/>
    <cellStyle name="Followed Hyperlink" xfId="103" builtinId="9" hidden="1"/>
    <cellStyle name="Followed Hyperlink" xfId="107" builtinId="9" hidden="1"/>
    <cellStyle name="Followed Hyperlink" xfId="104" builtinId="9" hidden="1"/>
    <cellStyle name="Followed Hyperlink" xfId="95" builtinId="9" hidden="1"/>
    <cellStyle name="Followed Hyperlink" xfId="105" builtinId="9" hidden="1"/>
    <cellStyle name="Followed Hyperlink" xfId="89" builtinId="9" hidden="1"/>
    <cellStyle name="Followed Hyperlink" xfId="81" builtinId="9" hidden="1"/>
    <cellStyle name="Followed Hyperlink" xfId="94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Good" xfId="41" builtinId="26" customBuiltin="1"/>
    <cellStyle name="GRAY" xfId="42" xr:uid="{00000000-0005-0000-0000-00004F000000}"/>
    <cellStyle name="Gross Margin" xfId="43" xr:uid="{00000000-0005-0000-0000-000050000000}"/>
    <cellStyle name="header" xfId="44" xr:uid="{00000000-0005-0000-0000-000051000000}"/>
    <cellStyle name="Header Total" xfId="45" xr:uid="{00000000-0005-0000-0000-000052000000}"/>
    <cellStyle name="Header1" xfId="46" xr:uid="{00000000-0005-0000-0000-000053000000}"/>
    <cellStyle name="Header2" xfId="47" xr:uid="{00000000-0005-0000-0000-000054000000}"/>
    <cellStyle name="Header3" xfId="48" xr:uid="{00000000-0005-0000-0000-000055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5C000000}"/>
    <cellStyle name="Linked Cell" xfId="56" builtinId="24" customBuiltin="1"/>
    <cellStyle name="Major Total" xfId="57" xr:uid="{00000000-0005-0000-0000-00005E000000}"/>
    <cellStyle name="Neutral" xfId="58" builtinId="28" customBuiltin="1"/>
    <cellStyle name="NonPrint_TemTitle" xfId="59" xr:uid="{00000000-0005-0000-0000-000060000000}"/>
    <cellStyle name="Normal" xfId="0" builtinId="0"/>
    <cellStyle name="Normal 2" xfId="60" xr:uid="{00000000-0005-0000-0000-000062000000}"/>
    <cellStyle name="NormalRed" xfId="61" xr:uid="{00000000-0005-0000-0000-000063000000}"/>
    <cellStyle name="Note" xfId="62" builtinId="10" customBuiltin="1"/>
    <cellStyle name="Output" xfId="63" builtinId="21" customBuiltin="1"/>
    <cellStyle name="Percent.0" xfId="64" xr:uid="{00000000-0005-0000-0000-000066000000}"/>
    <cellStyle name="Percent.00" xfId="65" xr:uid="{00000000-0005-0000-0000-000067000000}"/>
    <cellStyle name="RED POSTED" xfId="66" xr:uid="{00000000-0005-0000-0000-000068000000}"/>
    <cellStyle name="Standard_Anpassen der Amortisation" xfId="67" xr:uid="{00000000-0005-0000-0000-000069000000}"/>
    <cellStyle name="Text_simple" xfId="68" xr:uid="{00000000-0005-0000-0000-00006A000000}"/>
    <cellStyle name="Title" xfId="69" builtinId="15" customBuiltin="1"/>
    <cellStyle name="TmsRmn10BlueItalic" xfId="70" xr:uid="{00000000-0005-0000-0000-00006C000000}"/>
    <cellStyle name="TmsRmn10Bold" xfId="71" xr:uid="{00000000-0005-0000-0000-00006D000000}"/>
    <cellStyle name="Total" xfId="72" builtinId="25" customBuiltin="1"/>
    <cellStyle name="Währung [0]_Compiling Utility Macros" xfId="73" xr:uid="{00000000-0005-0000-0000-00006F000000}"/>
    <cellStyle name="Währung_Compiling Utility Macros" xfId="74" xr:uid="{00000000-0005-0000-0000-000070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Q118"/>
  <sheetViews>
    <sheetView tabSelected="1" zoomScale="118" zoomScaleNormal="340" workbookViewId="0">
      <selection activeCell="G11" sqref="G11"/>
    </sheetView>
  </sheetViews>
  <sheetFormatPr baseColWidth="10" defaultColWidth="8.83203125" defaultRowHeight="13"/>
  <cols>
    <col min="1" max="1" width="1.6640625" style="1" customWidth="1"/>
    <col min="2" max="2" width="24.33203125" style="1" customWidth="1"/>
    <col min="3" max="3" width="11.6640625" style="1" customWidth="1"/>
    <col min="4" max="4" width="15.6640625" style="1" customWidth="1"/>
    <col min="5" max="7" width="15.6640625" style="120" customWidth="1"/>
    <col min="8" max="9" width="15.6640625" style="120" hidden="1" customWidth="1"/>
    <col min="10" max="10" width="15.6640625" style="120" customWidth="1"/>
    <col min="11" max="11" width="4.6640625" style="1" customWidth="1"/>
    <col min="12" max="12" width="9.1640625" style="1" customWidth="1"/>
    <col min="13" max="13" width="34.33203125" style="1" customWidth="1"/>
    <col min="14" max="14" width="12.5" style="1" customWidth="1"/>
    <col min="15" max="15" width="6.83203125" style="1" customWidth="1"/>
    <col min="16" max="16" width="7" style="1" hidden="1" customWidth="1"/>
    <col min="17" max="17" width="10.1640625" style="1" customWidth="1"/>
    <col min="18" max="16384" width="8.83203125" style="1"/>
  </cols>
  <sheetData>
    <row r="1" spans="2:17" ht="8.25" customHeight="1">
      <c r="B1" s="4"/>
      <c r="C1" s="4"/>
      <c r="D1" s="4"/>
      <c r="E1" s="21"/>
      <c r="F1" s="21"/>
      <c r="G1" s="21"/>
      <c r="H1" s="21"/>
      <c r="I1" s="21"/>
      <c r="J1" s="21"/>
      <c r="K1" s="4"/>
      <c r="L1" s="4"/>
      <c r="M1" s="4"/>
      <c r="N1" s="4"/>
      <c r="O1" s="4"/>
      <c r="P1" s="4"/>
      <c r="Q1" s="4"/>
    </row>
    <row r="2" spans="2:17" ht="8.25" customHeight="1">
      <c r="B2" s="4"/>
      <c r="C2" s="4"/>
      <c r="D2" s="4"/>
      <c r="E2" s="21"/>
      <c r="F2" s="21"/>
      <c r="G2" s="21"/>
      <c r="H2" s="21"/>
      <c r="I2" s="21"/>
      <c r="J2" s="21"/>
      <c r="K2" s="4"/>
      <c r="L2" s="4"/>
      <c r="M2" s="4"/>
      <c r="N2" s="4"/>
      <c r="O2" s="4"/>
      <c r="P2" s="4"/>
      <c r="Q2" s="4"/>
    </row>
    <row r="3" spans="2:17" ht="15" customHeight="1">
      <c r="B3" s="5" t="s">
        <v>0</v>
      </c>
      <c r="C3" s="3"/>
      <c r="D3" s="3"/>
      <c r="E3" s="106"/>
      <c r="F3" s="106"/>
      <c r="G3" s="106"/>
      <c r="H3" s="106"/>
      <c r="I3" s="106"/>
      <c r="J3" s="106"/>
      <c r="K3" s="4"/>
      <c r="L3" s="129" t="s">
        <v>87</v>
      </c>
      <c r="M3" s="130"/>
      <c r="N3" s="130"/>
      <c r="O3" s="130"/>
      <c r="P3" s="131"/>
      <c r="Q3" s="131"/>
    </row>
    <row r="4" spans="2:17" s="4" customFormat="1" ht="13" customHeight="1" thickBot="1">
      <c r="B4" s="10"/>
      <c r="C4" s="11"/>
      <c r="D4" s="11"/>
      <c r="E4" s="107"/>
      <c r="F4" s="107"/>
      <c r="G4" s="107"/>
      <c r="H4" s="107"/>
      <c r="I4" s="107"/>
      <c r="J4" s="107"/>
      <c r="L4" s="132"/>
      <c r="M4" s="133"/>
      <c r="N4" s="133"/>
      <c r="O4" s="12"/>
      <c r="P4" s="134"/>
      <c r="Q4" s="135"/>
    </row>
    <row r="5" spans="2:17" s="4" customFormat="1" ht="13" customHeight="1" thickTop="1">
      <c r="B5" s="2"/>
      <c r="C5" s="2"/>
      <c r="D5" s="2"/>
      <c r="E5" s="20"/>
      <c r="F5" s="20"/>
      <c r="G5" s="20"/>
      <c r="H5" s="20"/>
      <c r="I5" s="20"/>
      <c r="J5" s="20"/>
      <c r="L5" s="53"/>
      <c r="M5" s="54"/>
      <c r="N5" s="54"/>
      <c r="O5" s="55"/>
      <c r="P5" s="54"/>
      <c r="Q5" s="67"/>
    </row>
    <row r="6" spans="2:17" s="4" customFormat="1" ht="13" customHeight="1">
      <c r="B6" s="13"/>
      <c r="C6" s="13"/>
      <c r="D6" s="14"/>
      <c r="E6" s="108" t="s">
        <v>96</v>
      </c>
      <c r="F6" s="108" t="s">
        <v>97</v>
      </c>
      <c r="G6" s="108" t="s">
        <v>99</v>
      </c>
      <c r="H6" s="109"/>
      <c r="I6" s="109"/>
      <c r="J6" s="109"/>
      <c r="L6" s="136"/>
      <c r="M6" s="137"/>
      <c r="N6" s="137"/>
      <c r="O6" s="45"/>
      <c r="P6" s="43"/>
      <c r="Q6" s="76"/>
    </row>
    <row r="7" spans="2:17" s="4" customFormat="1" ht="13" customHeight="1">
      <c r="B7" s="15" t="s">
        <v>1</v>
      </c>
      <c r="C7" s="16" t="s">
        <v>2</v>
      </c>
      <c r="D7" s="16" t="s">
        <v>88</v>
      </c>
      <c r="E7" s="17" t="s">
        <v>3</v>
      </c>
      <c r="F7" s="18" t="s">
        <v>4</v>
      </c>
      <c r="G7" s="18" t="s">
        <v>5</v>
      </c>
      <c r="H7" s="18" t="s">
        <v>6</v>
      </c>
      <c r="I7" s="18" t="s">
        <v>7</v>
      </c>
      <c r="J7" s="17" t="s">
        <v>8</v>
      </c>
      <c r="L7" s="46"/>
      <c r="M7" s="42" t="s">
        <v>91</v>
      </c>
      <c r="N7" s="42"/>
      <c r="O7" s="49"/>
      <c r="P7" s="42"/>
      <c r="Q7" s="67"/>
    </row>
    <row r="8" spans="2:17" s="4" customFormat="1" ht="13" customHeight="1">
      <c r="B8" s="2" t="s">
        <v>9</v>
      </c>
      <c r="C8" s="2">
        <v>1</v>
      </c>
      <c r="D8" s="97">
        <f>76892.4/9</f>
        <v>8543.5999999999985</v>
      </c>
      <c r="E8" s="20">
        <f>ROUND(D8*C8*1.04,0)</f>
        <v>8885</v>
      </c>
      <c r="F8" s="20">
        <f>ROUND(E8*1.04,0)</f>
        <v>9240</v>
      </c>
      <c r="G8" s="20">
        <f>ROUND(F8*1.04,0)</f>
        <v>9610</v>
      </c>
      <c r="H8" s="20">
        <v>0</v>
      </c>
      <c r="I8" s="20">
        <v>0</v>
      </c>
      <c r="J8" s="20">
        <f>SUM(E8:I8)</f>
        <v>27735</v>
      </c>
      <c r="K8" s="21"/>
      <c r="L8" s="46"/>
      <c r="M8" s="42"/>
      <c r="N8" s="42"/>
      <c r="O8" s="49"/>
      <c r="P8" s="42"/>
      <c r="Q8" s="67"/>
    </row>
    <row r="9" spans="2:17" s="4" customFormat="1" ht="13" customHeight="1">
      <c r="B9" s="2" t="s">
        <v>98</v>
      </c>
      <c r="C9" s="2">
        <v>3</v>
      </c>
      <c r="D9" s="97">
        <f>70000/12</f>
        <v>5833.333333333333</v>
      </c>
      <c r="E9" s="20">
        <f>ROUND(D9*C9*1.04,0)</f>
        <v>18200</v>
      </c>
      <c r="F9" s="20">
        <f>ROUND(E9*1.04,0)</f>
        <v>18928</v>
      </c>
      <c r="G9" s="20">
        <f>ROUND(F9*1.04,0)</f>
        <v>19685</v>
      </c>
      <c r="H9" s="20">
        <v>0</v>
      </c>
      <c r="I9" s="20">
        <v>0</v>
      </c>
      <c r="J9" s="20">
        <f t="shared" ref="J9:J11" si="0">SUM(E9:I9)</f>
        <v>56813</v>
      </c>
      <c r="K9" s="21"/>
      <c r="L9" s="48"/>
      <c r="M9" s="42" t="s">
        <v>10</v>
      </c>
      <c r="N9" s="44">
        <v>0.309</v>
      </c>
      <c r="O9" s="75"/>
      <c r="P9" s="42"/>
      <c r="Q9" s="77"/>
    </row>
    <row r="10" spans="2:17" s="4" customFormat="1" ht="13" customHeight="1">
      <c r="B10" s="2"/>
      <c r="C10" s="2"/>
      <c r="D10" s="19"/>
      <c r="E10" s="20"/>
      <c r="F10" s="20"/>
      <c r="G10" s="20"/>
      <c r="H10" s="20">
        <v>0</v>
      </c>
      <c r="I10" s="20">
        <v>0</v>
      </c>
      <c r="J10" s="20">
        <f t="shared" si="0"/>
        <v>0</v>
      </c>
      <c r="K10" s="21"/>
      <c r="L10" s="48"/>
      <c r="M10" s="42"/>
      <c r="N10" s="44"/>
      <c r="O10" s="49"/>
      <c r="P10" s="42"/>
      <c r="Q10" s="77"/>
    </row>
    <row r="11" spans="2:17" s="4" customFormat="1" ht="13" customHeight="1">
      <c r="B11" s="2"/>
      <c r="C11" s="2"/>
      <c r="D11" s="19"/>
      <c r="E11" s="20"/>
      <c r="F11" s="20"/>
      <c r="G11" s="20"/>
      <c r="H11" s="20">
        <v>0</v>
      </c>
      <c r="I11" s="20">
        <v>0</v>
      </c>
      <c r="J11" s="20">
        <f t="shared" si="0"/>
        <v>0</v>
      </c>
      <c r="K11" s="21"/>
      <c r="L11" s="48"/>
      <c r="M11" s="42" t="s">
        <v>11</v>
      </c>
      <c r="N11" s="44">
        <v>0.40500000000000003</v>
      </c>
      <c r="O11" s="75"/>
      <c r="P11" s="42"/>
      <c r="Q11" s="67"/>
    </row>
    <row r="12" spans="2:17" s="4" customFormat="1" ht="13" customHeight="1">
      <c r="B12" s="2"/>
      <c r="C12" s="2"/>
      <c r="D12" s="22"/>
      <c r="E12" s="20"/>
      <c r="F12" s="20"/>
      <c r="G12" s="20"/>
      <c r="H12" s="20">
        <v>0</v>
      </c>
      <c r="I12" s="20">
        <v>0</v>
      </c>
      <c r="J12" s="20">
        <v>0</v>
      </c>
      <c r="L12" s="46"/>
      <c r="M12" s="42" t="s">
        <v>12</v>
      </c>
      <c r="N12" s="44"/>
      <c r="O12" s="49"/>
      <c r="P12" s="42"/>
      <c r="Q12" s="67"/>
    </row>
    <row r="13" spans="2:17" s="4" customFormat="1" ht="13" customHeight="1">
      <c r="B13" s="23" t="s">
        <v>13</v>
      </c>
      <c r="C13" s="23"/>
      <c r="D13" s="24"/>
      <c r="E13" s="25">
        <f>SUM(E8:E12)</f>
        <v>27085</v>
      </c>
      <c r="F13" s="25">
        <f>SUM(F8:F12)</f>
        <v>28168</v>
      </c>
      <c r="G13" s="25">
        <f>SUM(G8:G12)</f>
        <v>29295</v>
      </c>
      <c r="H13" s="25">
        <f>SUM(H8:H12)</f>
        <v>0</v>
      </c>
      <c r="I13" s="25">
        <f>SUM(I8:I12)</f>
        <v>0</v>
      </c>
      <c r="J13" s="25">
        <f>SUM(E13:I13)</f>
        <v>84548</v>
      </c>
      <c r="L13" s="46"/>
      <c r="M13" s="56"/>
      <c r="N13" s="96"/>
      <c r="O13" s="47"/>
      <c r="P13" s="42"/>
      <c r="Q13" s="67"/>
    </row>
    <row r="14" spans="2:17" s="4" customFormat="1" ht="13" customHeight="1">
      <c r="B14" s="2"/>
      <c r="C14" s="2"/>
      <c r="D14" s="19"/>
      <c r="E14" s="20"/>
      <c r="F14" s="20"/>
      <c r="G14" s="20"/>
      <c r="H14" s="20"/>
      <c r="I14" s="20"/>
      <c r="J14" s="20"/>
      <c r="L14" s="46"/>
      <c r="M14" s="42" t="s">
        <v>14</v>
      </c>
      <c r="N14" s="44">
        <v>8.8999999999999996E-2</v>
      </c>
      <c r="O14" s="75"/>
      <c r="P14" s="43"/>
      <c r="Q14" s="67"/>
    </row>
    <row r="15" spans="2:17" s="4" customFormat="1" ht="13" customHeight="1">
      <c r="B15" s="26" t="s">
        <v>15</v>
      </c>
      <c r="C15" s="26"/>
      <c r="D15" s="27"/>
      <c r="E15" s="110"/>
      <c r="F15" s="110"/>
      <c r="G15" s="110"/>
      <c r="H15" s="110"/>
      <c r="I15" s="110"/>
      <c r="J15" s="110"/>
      <c r="L15" s="46"/>
      <c r="M15" s="42" t="s">
        <v>16</v>
      </c>
      <c r="N15" s="44"/>
      <c r="O15" s="49"/>
      <c r="P15" s="43"/>
      <c r="Q15" s="67"/>
    </row>
    <row r="16" spans="2:17" s="4" customFormat="1" ht="13" customHeight="1">
      <c r="B16" s="2" t="s">
        <v>17</v>
      </c>
      <c r="C16" s="2"/>
      <c r="D16" s="19">
        <f>3000*1.333</f>
        <v>3999</v>
      </c>
      <c r="E16" s="20">
        <f>ROUND(Sheet1!H72,0)</f>
        <v>29993</v>
      </c>
      <c r="F16" s="20">
        <f>ROUND(Sheet1!H73,0)</f>
        <v>30892</v>
      </c>
      <c r="G16" s="20">
        <f>ROUND(Sheet1!H74,0)</f>
        <v>31819</v>
      </c>
      <c r="H16" s="20">
        <v>0</v>
      </c>
      <c r="I16" s="20">
        <v>0</v>
      </c>
      <c r="J16" s="20">
        <f>SUM(E16:I16)</f>
        <v>92704</v>
      </c>
      <c r="L16" s="46"/>
      <c r="M16" s="42"/>
      <c r="N16" s="44"/>
      <c r="O16" s="49"/>
      <c r="P16" s="43"/>
      <c r="Q16" s="67"/>
    </row>
    <row r="17" spans="2:17" s="4" customFormat="1" ht="13" customHeight="1">
      <c r="B17" s="2"/>
      <c r="C17" s="2"/>
      <c r="D17" s="19"/>
      <c r="E17" s="20"/>
      <c r="F17" s="20"/>
      <c r="G17" s="20"/>
      <c r="H17" s="20">
        <v>0</v>
      </c>
      <c r="I17" s="20">
        <v>0</v>
      </c>
      <c r="J17" s="20">
        <f t="shared" ref="J17:J20" si="1">SUM(E17:I17)</f>
        <v>0</v>
      </c>
      <c r="L17" s="46"/>
      <c r="M17" s="42" t="s">
        <v>18</v>
      </c>
      <c r="N17" s="44">
        <v>3.4000000000000002E-2</v>
      </c>
      <c r="O17" s="75"/>
      <c r="P17" s="43"/>
      <c r="Q17" s="67"/>
    </row>
    <row r="18" spans="2:17" s="4" customFormat="1" ht="13" customHeight="1" thickBot="1">
      <c r="B18" s="2"/>
      <c r="C18" s="2"/>
      <c r="D18" s="19"/>
      <c r="E18" s="20"/>
      <c r="F18" s="20"/>
      <c r="G18" s="20"/>
      <c r="H18" s="20">
        <v>0</v>
      </c>
      <c r="I18" s="20">
        <v>0</v>
      </c>
      <c r="J18" s="20">
        <f t="shared" si="1"/>
        <v>0</v>
      </c>
      <c r="L18" s="50"/>
      <c r="M18" s="51"/>
      <c r="N18" s="51"/>
      <c r="O18" s="52"/>
      <c r="P18" s="51"/>
      <c r="Q18" s="67"/>
    </row>
    <row r="19" spans="2:17" s="4" customFormat="1" ht="13" customHeight="1" thickTop="1" thickBot="1">
      <c r="B19" s="2"/>
      <c r="C19" s="2"/>
      <c r="D19" s="19"/>
      <c r="E19" s="20"/>
      <c r="F19" s="20"/>
      <c r="G19" s="20"/>
      <c r="H19" s="20">
        <v>0</v>
      </c>
      <c r="I19" s="20">
        <v>0</v>
      </c>
      <c r="J19" s="20">
        <f t="shared" si="1"/>
        <v>0</v>
      </c>
    </row>
    <row r="20" spans="2:17" s="4" customFormat="1" ht="13" customHeight="1" thickTop="1">
      <c r="B20" s="2"/>
      <c r="C20" s="2"/>
      <c r="D20" s="19"/>
      <c r="E20" s="20"/>
      <c r="F20" s="20"/>
      <c r="G20" s="20"/>
      <c r="H20" s="20">
        <v>0</v>
      </c>
      <c r="I20" s="20">
        <v>0</v>
      </c>
      <c r="J20" s="20">
        <f t="shared" si="1"/>
        <v>0</v>
      </c>
      <c r="L20" s="84"/>
      <c r="M20" s="85"/>
      <c r="N20" s="85"/>
      <c r="O20" s="86"/>
    </row>
    <row r="21" spans="2:17" s="4" customFormat="1" ht="13" customHeight="1">
      <c r="B21" s="23" t="s">
        <v>19</v>
      </c>
      <c r="C21" s="23"/>
      <c r="D21" s="24"/>
      <c r="E21" s="25">
        <f>SUM(E16:E20)</f>
        <v>29993</v>
      </c>
      <c r="F21" s="25">
        <f>SUM(F16:F20)</f>
        <v>30892</v>
      </c>
      <c r="G21" s="25">
        <f>SUM(G16:G20)</f>
        <v>31819</v>
      </c>
      <c r="H21" s="25">
        <f>SUM(H16:H20)</f>
        <v>0</v>
      </c>
      <c r="I21" s="25">
        <f>SUM(I16:I20)</f>
        <v>0</v>
      </c>
      <c r="J21" s="25">
        <f>SUM(E21:I21)</f>
        <v>92704</v>
      </c>
      <c r="L21" s="87"/>
      <c r="M21" s="83" t="s">
        <v>92</v>
      </c>
      <c r="N21" s="88"/>
      <c r="O21" s="89"/>
    </row>
    <row r="22" spans="2:17" s="4" customFormat="1" ht="13" customHeight="1">
      <c r="B22" s="2"/>
      <c r="C22" s="2"/>
      <c r="D22" s="19"/>
      <c r="E22" s="20"/>
      <c r="F22" s="20"/>
      <c r="G22" s="20"/>
      <c r="H22" s="20"/>
      <c r="I22" s="20"/>
      <c r="J22" s="20"/>
      <c r="L22" s="87"/>
      <c r="M22" s="88"/>
      <c r="N22" s="88"/>
      <c r="O22" s="89"/>
    </row>
    <row r="23" spans="2:17" s="4" customFormat="1" ht="13" customHeight="1">
      <c r="B23" s="28" t="s">
        <v>20</v>
      </c>
      <c r="C23" s="23"/>
      <c r="D23" s="29" t="s">
        <v>21</v>
      </c>
      <c r="E23" s="25"/>
      <c r="F23" s="25"/>
      <c r="G23" s="25"/>
      <c r="H23" s="25"/>
      <c r="I23" s="25"/>
      <c r="J23" s="25"/>
      <c r="L23" s="87"/>
      <c r="M23" s="83" t="s">
        <v>93</v>
      </c>
      <c r="N23" s="88"/>
      <c r="O23" s="89"/>
    </row>
    <row r="24" spans="2:17" s="4" customFormat="1" ht="13" customHeight="1">
      <c r="B24" s="2" t="s">
        <v>9</v>
      </c>
      <c r="C24" s="2"/>
      <c r="D24" s="30">
        <v>0.309</v>
      </c>
      <c r="E24" s="20">
        <f t="shared" ref="E24:G25" si="2">ROUND(E8*$D24,0)</f>
        <v>2745</v>
      </c>
      <c r="F24" s="20">
        <f t="shared" si="2"/>
        <v>2855</v>
      </c>
      <c r="G24" s="20">
        <f t="shared" si="2"/>
        <v>2969</v>
      </c>
      <c r="H24" s="20">
        <f>SUM(D24*H8)</f>
        <v>0</v>
      </c>
      <c r="I24" s="20">
        <f>SUM(D24*I8)</f>
        <v>0</v>
      </c>
      <c r="J24" s="20">
        <f>SUM(E24:G24)</f>
        <v>8569</v>
      </c>
      <c r="L24" s="87"/>
      <c r="M24" s="88"/>
      <c r="N24" s="88"/>
      <c r="O24" s="89"/>
    </row>
    <row r="25" spans="2:17" s="4" customFormat="1" ht="13" customHeight="1">
      <c r="B25" s="2" t="s">
        <v>98</v>
      </c>
      <c r="C25" s="2"/>
      <c r="D25" s="30">
        <v>0.40500000000000003</v>
      </c>
      <c r="E25" s="20">
        <f t="shared" si="2"/>
        <v>7371</v>
      </c>
      <c r="F25" s="20">
        <f t="shared" si="2"/>
        <v>7666</v>
      </c>
      <c r="G25" s="20">
        <f t="shared" si="2"/>
        <v>7972</v>
      </c>
      <c r="H25" s="20">
        <f>SUM(D25*H9)</f>
        <v>0</v>
      </c>
      <c r="I25" s="20">
        <f>SUM(D25*I9)</f>
        <v>0</v>
      </c>
      <c r="J25" s="20">
        <f>SUM(E25:G25)</f>
        <v>23009</v>
      </c>
      <c r="L25" s="87"/>
      <c r="M25" s="83" t="s">
        <v>22</v>
      </c>
      <c r="N25" s="88"/>
      <c r="O25" s="89"/>
    </row>
    <row r="26" spans="2:17" s="4" customFormat="1" ht="13" customHeight="1">
      <c r="B26" s="2"/>
      <c r="C26" s="2"/>
      <c r="D26" s="30"/>
      <c r="E26" s="20"/>
      <c r="F26" s="20"/>
      <c r="G26" s="20"/>
      <c r="H26" s="20"/>
      <c r="I26" s="20"/>
      <c r="J26" s="20"/>
      <c r="L26" s="90"/>
      <c r="M26" s="88"/>
      <c r="N26" s="88"/>
      <c r="O26" s="89"/>
    </row>
    <row r="27" spans="2:17" s="4" customFormat="1" ht="13" customHeight="1">
      <c r="B27" s="2"/>
      <c r="C27" s="2"/>
      <c r="D27" s="30"/>
      <c r="E27" s="20"/>
      <c r="F27" s="20"/>
      <c r="G27" s="20"/>
      <c r="H27" s="20"/>
      <c r="I27" s="20"/>
      <c r="J27" s="20"/>
      <c r="L27" s="87"/>
      <c r="M27" s="95"/>
      <c r="N27" s="35"/>
      <c r="O27" s="91"/>
    </row>
    <row r="28" spans="2:17" s="4" customFormat="1" ht="13" customHeight="1">
      <c r="B28" s="2"/>
      <c r="C28" s="2"/>
      <c r="D28" s="30"/>
      <c r="E28" s="20"/>
      <c r="F28" s="20"/>
      <c r="G28" s="20"/>
      <c r="H28" s="20"/>
      <c r="I28" s="20"/>
      <c r="J28" s="20"/>
      <c r="L28" s="87"/>
      <c r="M28" s="95"/>
      <c r="N28" s="35"/>
      <c r="O28" s="91"/>
    </row>
    <row r="29" spans="2:17" s="4" customFormat="1" ht="13" customHeight="1" thickBot="1">
      <c r="B29" s="2" t="s">
        <v>17</v>
      </c>
      <c r="C29" s="2"/>
      <c r="D29" s="30">
        <v>3.4000000000000002E-2</v>
      </c>
      <c r="E29" s="20">
        <f>ROUND(SUM(D29*E16),0)</f>
        <v>1020</v>
      </c>
      <c r="F29" s="20">
        <f>ROUND(SUM(D29*F16),0)</f>
        <v>1050</v>
      </c>
      <c r="G29" s="20">
        <f>ROUND(SUM(D29*G16),0)</f>
        <v>1082</v>
      </c>
      <c r="H29" s="20">
        <f>SUM(D29*H16)</f>
        <v>0</v>
      </c>
      <c r="I29" s="20">
        <f>SUM(D29*I16)</f>
        <v>0</v>
      </c>
      <c r="J29" s="20">
        <f t="shared" ref="J29" si="3">SUM(E29:I29)</f>
        <v>3152</v>
      </c>
      <c r="L29" s="92"/>
      <c r="M29" s="93"/>
      <c r="N29" s="93"/>
      <c r="O29" s="94"/>
    </row>
    <row r="30" spans="2:17" s="4" customFormat="1" ht="13" customHeight="1" thickTop="1">
      <c r="B30" s="2"/>
      <c r="C30" s="2"/>
      <c r="D30" s="30"/>
      <c r="E30" s="20"/>
      <c r="F30" s="20"/>
      <c r="G30" s="20"/>
      <c r="H30" s="20"/>
      <c r="I30" s="20"/>
      <c r="J30" s="20"/>
    </row>
    <row r="31" spans="2:17" s="4" customFormat="1" ht="13" customHeight="1">
      <c r="B31" s="2"/>
      <c r="C31" s="2"/>
      <c r="D31" s="30"/>
      <c r="E31" s="20"/>
      <c r="F31" s="20"/>
      <c r="G31" s="20"/>
      <c r="H31" s="20"/>
      <c r="I31" s="20"/>
      <c r="J31" s="20"/>
    </row>
    <row r="32" spans="2:17" s="4" customFormat="1" ht="13" customHeight="1">
      <c r="B32" s="2"/>
      <c r="C32" s="2"/>
      <c r="D32" s="30"/>
      <c r="E32" s="20"/>
      <c r="F32" s="20"/>
      <c r="G32" s="20"/>
      <c r="H32" s="20"/>
      <c r="I32" s="20"/>
      <c r="J32" s="20"/>
    </row>
    <row r="33" spans="2:14" s="4" customFormat="1" ht="13" customHeight="1">
      <c r="B33" s="2"/>
      <c r="C33" s="2"/>
      <c r="D33" s="30"/>
      <c r="E33" s="20"/>
      <c r="F33" s="20"/>
      <c r="G33" s="20"/>
      <c r="H33" s="20"/>
      <c r="I33" s="20"/>
      <c r="J33" s="20"/>
    </row>
    <row r="34" spans="2:14" s="4" customFormat="1" ht="13" customHeight="1">
      <c r="B34" s="23" t="s">
        <v>23</v>
      </c>
      <c r="C34" s="23"/>
      <c r="D34" s="31"/>
      <c r="E34" s="111">
        <f>SUM(E24:E33)</f>
        <v>11136</v>
      </c>
      <c r="F34" s="111">
        <f>SUM(F24:F33)</f>
        <v>11571</v>
      </c>
      <c r="G34" s="111">
        <f>SUM(G24:G33)</f>
        <v>12023</v>
      </c>
      <c r="H34" s="111">
        <f>SUM(H24:H33)</f>
        <v>0</v>
      </c>
      <c r="I34" s="111">
        <f>SUM(I24:I33)</f>
        <v>0</v>
      </c>
      <c r="J34" s="111">
        <f>SUM(E34:G34)</f>
        <v>34730</v>
      </c>
    </row>
    <row r="35" spans="2:14" s="4" customFormat="1" ht="13" customHeight="1">
      <c r="B35" s="23" t="s">
        <v>24</v>
      </c>
      <c r="C35" s="23"/>
      <c r="D35" s="32"/>
      <c r="E35" s="25">
        <f>SUM(E13+E21+E34)</f>
        <v>68214</v>
      </c>
      <c r="F35" s="25">
        <f>SUM(F13+F21+F34)</f>
        <v>70631</v>
      </c>
      <c r="G35" s="25">
        <f t="shared" ref="G35:I35" si="4">SUM(G13+G21+G34)</f>
        <v>73137</v>
      </c>
      <c r="H35" s="25">
        <f t="shared" si="4"/>
        <v>0</v>
      </c>
      <c r="I35" s="25">
        <f t="shared" si="4"/>
        <v>0</v>
      </c>
      <c r="J35" s="25">
        <f>SUM(J13+J21+J34)</f>
        <v>211982</v>
      </c>
    </row>
    <row r="36" spans="2:14" s="4" customFormat="1" ht="13" customHeight="1">
      <c r="B36" s="2"/>
      <c r="C36" s="2"/>
      <c r="D36" s="33"/>
      <c r="E36" s="20"/>
      <c r="F36" s="20"/>
      <c r="G36" s="20"/>
      <c r="H36" s="20"/>
      <c r="I36" s="20"/>
      <c r="J36" s="20"/>
    </row>
    <row r="37" spans="2:14" s="4" customFormat="1" ht="13" customHeight="1">
      <c r="B37" s="28" t="s">
        <v>25</v>
      </c>
      <c r="C37" s="23"/>
      <c r="D37" s="32"/>
      <c r="E37" s="25"/>
      <c r="F37" s="25"/>
      <c r="G37" s="25"/>
      <c r="H37" s="25"/>
      <c r="I37" s="25"/>
      <c r="J37" s="25"/>
    </row>
    <row r="38" spans="2:14" s="4" customFormat="1" ht="13" customHeight="1">
      <c r="B38" s="34"/>
      <c r="C38" s="2"/>
      <c r="D38" s="33"/>
      <c r="E38" s="20"/>
      <c r="F38" s="20"/>
      <c r="G38" s="20"/>
      <c r="H38" s="20">
        <v>0</v>
      </c>
      <c r="I38" s="20">
        <v>0</v>
      </c>
      <c r="J38" s="20">
        <f>SUM(E38:I38)</f>
        <v>0</v>
      </c>
    </row>
    <row r="39" spans="2:14" s="4" customFormat="1" ht="13" customHeight="1">
      <c r="B39" s="34"/>
      <c r="C39" s="2"/>
      <c r="D39" s="33"/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f t="shared" ref="J39:J42" si="5">SUM(E39:I39)</f>
        <v>0</v>
      </c>
    </row>
    <row r="40" spans="2:14" s="4" customFormat="1" ht="13" customHeight="1">
      <c r="B40" s="34" t="s">
        <v>89</v>
      </c>
      <c r="C40" s="2"/>
      <c r="D40" s="33"/>
      <c r="E40" s="20">
        <v>0</v>
      </c>
      <c r="F40" s="20">
        <f>Sheet1!I10</f>
        <v>7238</v>
      </c>
      <c r="G40" s="20">
        <v>0</v>
      </c>
      <c r="H40" s="20">
        <v>0</v>
      </c>
      <c r="I40" s="20">
        <v>0</v>
      </c>
      <c r="J40" s="20">
        <f t="shared" si="5"/>
        <v>7238</v>
      </c>
    </row>
    <row r="41" spans="2:14" s="4" customFormat="1" ht="13" customHeight="1">
      <c r="B41" s="34" t="s">
        <v>90</v>
      </c>
      <c r="C41" s="2"/>
      <c r="D41" s="33"/>
      <c r="E41" s="20">
        <v>0</v>
      </c>
      <c r="F41" s="20">
        <v>0</v>
      </c>
      <c r="G41" s="20">
        <f>Sheet1!I10</f>
        <v>7238</v>
      </c>
      <c r="H41" s="20">
        <v>0</v>
      </c>
      <c r="I41" s="20">
        <v>0</v>
      </c>
      <c r="J41" s="20">
        <f t="shared" si="5"/>
        <v>7238</v>
      </c>
    </row>
    <row r="42" spans="2:14" s="4" customFormat="1" ht="13" customHeight="1">
      <c r="B42" s="34" t="s">
        <v>101</v>
      </c>
      <c r="C42" s="2"/>
      <c r="D42" s="33"/>
      <c r="E42" s="20">
        <v>0</v>
      </c>
      <c r="F42" s="20">
        <f>270*2+2*3*150+2*4*51</f>
        <v>1848</v>
      </c>
      <c r="G42" s="20">
        <f>270*2+2*3*150+2*4*51</f>
        <v>1848</v>
      </c>
      <c r="H42" s="20"/>
      <c r="I42" s="20"/>
      <c r="J42" s="20">
        <f t="shared" si="5"/>
        <v>3696</v>
      </c>
    </row>
    <row r="43" spans="2:14" s="4" customFormat="1" ht="13" customHeight="1">
      <c r="B43" s="34" t="s">
        <v>27</v>
      </c>
      <c r="C43" s="2"/>
      <c r="D43" s="33"/>
      <c r="E43" s="20">
        <f>Sheet1!I58</f>
        <v>80060</v>
      </c>
      <c r="F43" s="20">
        <f>Sheet1!I59</f>
        <v>19010</v>
      </c>
      <c r="G43" s="20">
        <f>Sheet1!I60</f>
        <v>23030</v>
      </c>
      <c r="H43" s="20">
        <v>0</v>
      </c>
      <c r="I43" s="20">
        <v>0</v>
      </c>
      <c r="J43" s="20">
        <f>SUM(E43:I43)</f>
        <v>122100</v>
      </c>
      <c r="L43" s="21"/>
      <c r="M43" s="21"/>
      <c r="N43" s="21"/>
    </row>
    <row r="44" spans="2:14" s="4" customFormat="1" ht="13" customHeight="1">
      <c r="B44" s="34"/>
      <c r="C44" s="2"/>
      <c r="D44" s="33"/>
      <c r="E44" s="20"/>
      <c r="F44" s="20"/>
      <c r="G44" s="20"/>
      <c r="H44" s="20"/>
      <c r="I44" s="20"/>
      <c r="J44" s="20">
        <f>SUM(E44:I44)</f>
        <v>0</v>
      </c>
    </row>
    <row r="45" spans="2:14" s="4" customFormat="1" ht="13" customHeight="1">
      <c r="B45" s="34"/>
      <c r="C45" s="2"/>
      <c r="D45" s="33"/>
      <c r="E45" s="20"/>
      <c r="F45" s="20"/>
      <c r="G45" s="20"/>
      <c r="H45" s="20"/>
      <c r="I45" s="20"/>
      <c r="J45" s="20">
        <f>SUM(E45:I45)</f>
        <v>0</v>
      </c>
    </row>
    <row r="46" spans="2:14" s="4" customFormat="1" ht="13" customHeight="1">
      <c r="B46" s="23" t="s">
        <v>28</v>
      </c>
      <c r="C46" s="23"/>
      <c r="D46" s="32"/>
      <c r="E46" s="25">
        <f>SUM(E38:E45)</f>
        <v>80060</v>
      </c>
      <c r="F46" s="25">
        <f>SUM(F38:F45)</f>
        <v>28096</v>
      </c>
      <c r="G46" s="25">
        <f>SUM(G38:G45)</f>
        <v>32116</v>
      </c>
      <c r="H46" s="25">
        <f>SUM(H38:H43)</f>
        <v>0</v>
      </c>
      <c r="I46" s="25">
        <f>SUM(I38:I43)</f>
        <v>0</v>
      </c>
      <c r="J46" s="25">
        <f>SUM(E46:I46)</f>
        <v>140272</v>
      </c>
    </row>
    <row r="47" spans="2:14" s="4" customFormat="1" ht="13" customHeight="1">
      <c r="B47" s="2"/>
      <c r="C47" s="2"/>
      <c r="D47" s="33"/>
      <c r="E47" s="20"/>
      <c r="F47" s="20"/>
      <c r="G47" s="20"/>
      <c r="H47" s="20"/>
      <c r="I47" s="20"/>
      <c r="J47" s="20"/>
    </row>
    <row r="48" spans="2:14" s="4" customFormat="1" ht="13" customHeight="1">
      <c r="B48" s="28" t="s">
        <v>29</v>
      </c>
      <c r="C48" s="23"/>
      <c r="D48" s="32"/>
      <c r="E48" s="25"/>
      <c r="F48" s="25"/>
      <c r="G48" s="25"/>
      <c r="H48" s="25"/>
      <c r="I48" s="25"/>
      <c r="J48" s="25"/>
    </row>
    <row r="49" spans="1:16" s="4" customFormat="1" ht="13" customHeight="1">
      <c r="B49" s="2" t="s">
        <v>30</v>
      </c>
      <c r="C49" s="2"/>
      <c r="D49" s="33"/>
      <c r="E49" s="20">
        <v>0</v>
      </c>
      <c r="F49" s="20">
        <v>3000</v>
      </c>
      <c r="G49" s="20">
        <v>5000</v>
      </c>
      <c r="H49" s="20">
        <v>0</v>
      </c>
      <c r="I49" s="20">
        <v>0</v>
      </c>
      <c r="J49" s="20">
        <f>SUM(E49:I49)</f>
        <v>8000</v>
      </c>
    </row>
    <row r="50" spans="1:16" s="4" customFormat="1" ht="13" customHeight="1">
      <c r="B50" s="2" t="s">
        <v>31</v>
      </c>
      <c r="C50" s="2"/>
      <c r="D50" s="33"/>
      <c r="E50" s="20">
        <v>2600</v>
      </c>
      <c r="F50" s="20">
        <v>0</v>
      </c>
      <c r="G50" s="20">
        <v>0</v>
      </c>
      <c r="H50" s="20">
        <v>0</v>
      </c>
      <c r="I50" s="20">
        <v>0</v>
      </c>
      <c r="J50" s="20">
        <f t="shared" ref="J50:J57" si="6">SUM(E50:I50)</f>
        <v>2600</v>
      </c>
    </row>
    <row r="51" spans="1:16" s="4" customFormat="1" ht="13" customHeight="1">
      <c r="B51" s="2" t="s">
        <v>32</v>
      </c>
      <c r="C51" s="2"/>
      <c r="D51" s="33"/>
      <c r="E51" s="20">
        <f>1500+240</f>
        <v>1740</v>
      </c>
      <c r="F51" s="20">
        <f>ROUND(E51*1.05,0)</f>
        <v>1827</v>
      </c>
      <c r="G51" s="20">
        <f>ROUND(F51*1.05,0)</f>
        <v>1918</v>
      </c>
      <c r="H51" s="20">
        <v>0</v>
      </c>
      <c r="I51" s="20">
        <v>0</v>
      </c>
      <c r="J51" s="20">
        <f t="shared" si="6"/>
        <v>5485</v>
      </c>
    </row>
    <row r="52" spans="1:16" s="4" customFormat="1" ht="13" customHeight="1">
      <c r="B52" s="2" t="s">
        <v>33</v>
      </c>
      <c r="C52" s="2"/>
      <c r="D52" s="33"/>
      <c r="E52" s="20">
        <v>1000</v>
      </c>
      <c r="F52" s="20">
        <v>0</v>
      </c>
      <c r="G52" s="20">
        <v>0</v>
      </c>
      <c r="H52" s="20">
        <v>0</v>
      </c>
      <c r="I52" s="20">
        <v>0</v>
      </c>
      <c r="J52" s="20">
        <f t="shared" si="6"/>
        <v>1000</v>
      </c>
      <c r="L52" s="67"/>
      <c r="M52" s="67"/>
      <c r="N52" s="67"/>
      <c r="O52" s="67"/>
      <c r="P52" s="67"/>
    </row>
    <row r="53" spans="1:16" s="4" customFormat="1" ht="13" customHeight="1">
      <c r="B53" s="2" t="s">
        <v>34</v>
      </c>
      <c r="C53" s="2"/>
      <c r="D53" s="33"/>
      <c r="E53" s="20">
        <v>1000</v>
      </c>
      <c r="F53" s="20">
        <v>400</v>
      </c>
      <c r="G53" s="20">
        <v>1000</v>
      </c>
      <c r="H53" s="20">
        <v>0</v>
      </c>
      <c r="I53" s="20">
        <v>0</v>
      </c>
      <c r="J53" s="20">
        <f t="shared" ref="J53" si="7">SUM(E53:I53)</f>
        <v>2400</v>
      </c>
      <c r="L53" s="67"/>
      <c r="M53" s="67"/>
      <c r="N53" s="67"/>
      <c r="O53" s="67"/>
      <c r="P53" s="67"/>
    </row>
    <row r="54" spans="1:16" s="4" customFormat="1" ht="13" customHeight="1">
      <c r="B54" s="2" t="s">
        <v>35</v>
      </c>
      <c r="C54" s="2"/>
      <c r="D54" s="33"/>
      <c r="E54" s="20">
        <v>1000</v>
      </c>
      <c r="F54" s="20">
        <v>0</v>
      </c>
      <c r="G54" s="20">
        <v>0</v>
      </c>
      <c r="H54" s="20">
        <v>0</v>
      </c>
      <c r="I54" s="20">
        <v>0</v>
      </c>
      <c r="J54" s="20">
        <f t="shared" ref="J54:J55" si="8">SUM(E54:I54)</f>
        <v>1000</v>
      </c>
      <c r="L54" s="67"/>
      <c r="M54" s="67"/>
      <c r="N54" s="67"/>
      <c r="O54" s="67"/>
      <c r="P54" s="67"/>
    </row>
    <row r="55" spans="1:16" s="4" customFormat="1" ht="13" customHeight="1">
      <c r="B55" s="2" t="s">
        <v>100</v>
      </c>
      <c r="C55" s="2"/>
      <c r="D55" s="33"/>
      <c r="E55" s="20">
        <f>2*(4241-560+250)*1.07</f>
        <v>8412.34</v>
      </c>
      <c r="F55" s="20">
        <f>2*560*1.07</f>
        <v>1198.4000000000001</v>
      </c>
      <c r="G55" s="20">
        <v>0</v>
      </c>
      <c r="H55" s="20"/>
      <c r="I55" s="20"/>
      <c r="J55" s="20">
        <f t="shared" si="8"/>
        <v>9610.74</v>
      </c>
      <c r="L55" s="67"/>
      <c r="M55" s="67"/>
      <c r="N55" s="67"/>
      <c r="O55" s="67"/>
      <c r="P55" s="67"/>
    </row>
    <row r="56" spans="1:16" s="4" customFormat="1" ht="13" customHeight="1">
      <c r="B56" s="2" t="s">
        <v>116</v>
      </c>
      <c r="C56" s="2"/>
      <c r="D56" s="33"/>
      <c r="E56" s="20">
        <v>900</v>
      </c>
      <c r="F56" s="20">
        <v>0</v>
      </c>
      <c r="G56" s="20">
        <v>0</v>
      </c>
      <c r="H56" s="20">
        <v>0</v>
      </c>
      <c r="I56" s="20">
        <v>0</v>
      </c>
      <c r="J56" s="20">
        <f t="shared" si="6"/>
        <v>900</v>
      </c>
      <c r="L56" s="67"/>
      <c r="M56" s="67"/>
      <c r="N56" s="67"/>
      <c r="O56" s="67"/>
      <c r="P56" s="67"/>
    </row>
    <row r="57" spans="1:16" s="4" customFormat="1" ht="13" customHeight="1">
      <c r="B57" s="2" t="s">
        <v>117</v>
      </c>
      <c r="C57" s="2"/>
      <c r="D57" s="33"/>
      <c r="E57" s="20">
        <f>10*1300+3800</f>
        <v>16800</v>
      </c>
      <c r="F57" s="20">
        <f>10*1300</f>
        <v>13000</v>
      </c>
      <c r="G57" s="20">
        <f>10*1300</f>
        <v>13000</v>
      </c>
      <c r="H57" s="20"/>
      <c r="I57" s="20"/>
      <c r="J57" s="20">
        <f t="shared" si="6"/>
        <v>42800</v>
      </c>
      <c r="L57" s="67"/>
      <c r="M57" s="67"/>
      <c r="N57" s="67"/>
      <c r="O57" s="67"/>
      <c r="P57" s="67"/>
    </row>
    <row r="58" spans="1:16" s="4" customFormat="1" ht="13" customHeight="1">
      <c r="B58" s="2"/>
      <c r="C58" s="2"/>
      <c r="D58" s="33"/>
      <c r="E58" s="20"/>
      <c r="F58" s="20"/>
      <c r="G58" s="20"/>
      <c r="H58" s="20"/>
      <c r="I58" s="20"/>
      <c r="J58" s="20"/>
      <c r="L58" s="67"/>
      <c r="M58" s="67"/>
      <c r="N58" s="67"/>
      <c r="O58" s="67"/>
      <c r="P58" s="67"/>
    </row>
    <row r="59" spans="1:16" s="4" customFormat="1" ht="13" customHeight="1">
      <c r="B59" s="23" t="s">
        <v>36</v>
      </c>
      <c r="C59" s="23"/>
      <c r="D59" s="32"/>
      <c r="E59" s="25">
        <f>SUM(E49:E58)</f>
        <v>33452.339999999997</v>
      </c>
      <c r="F59" s="25">
        <f>SUM(F49:F58)</f>
        <v>19425.400000000001</v>
      </c>
      <c r="G59" s="25">
        <f>SUM(G49:G58)</f>
        <v>20918</v>
      </c>
      <c r="H59" s="25">
        <f>SUM(H49:H56)</f>
        <v>0</v>
      </c>
      <c r="I59" s="25">
        <f>SUM(I49:I56)</f>
        <v>0</v>
      </c>
      <c r="J59" s="25">
        <f>SUM(E59:I59)</f>
        <v>73795.739999999991</v>
      </c>
      <c r="L59" s="123"/>
      <c r="M59" s="60"/>
      <c r="N59" s="60"/>
      <c r="O59" s="60"/>
      <c r="P59" s="60"/>
    </row>
    <row r="60" spans="1:16" s="4" customFormat="1" ht="13" customHeight="1">
      <c r="B60" s="34"/>
      <c r="C60" s="2"/>
      <c r="D60" s="33"/>
      <c r="E60" s="20"/>
      <c r="F60" s="20"/>
      <c r="G60" s="20"/>
      <c r="H60" s="20"/>
      <c r="I60" s="20"/>
      <c r="J60" s="20"/>
      <c r="L60" s="60"/>
      <c r="M60" s="60"/>
      <c r="N60" s="60"/>
      <c r="O60" s="60"/>
      <c r="P60" s="60"/>
    </row>
    <row r="61" spans="1:16" s="4" customFormat="1" ht="13" customHeight="1">
      <c r="B61" s="66"/>
      <c r="C61" s="2"/>
      <c r="D61" s="33"/>
      <c r="E61" s="112"/>
      <c r="F61" s="112"/>
      <c r="G61" s="112"/>
      <c r="H61" s="112"/>
      <c r="I61" s="112"/>
      <c r="J61" s="112"/>
      <c r="L61" s="64"/>
      <c r="M61" s="64"/>
      <c r="N61" s="64"/>
      <c r="O61" s="64"/>
      <c r="P61" s="64"/>
    </row>
    <row r="62" spans="1:16" s="4" customFormat="1" ht="13" customHeight="1">
      <c r="B62" s="28" t="s">
        <v>37</v>
      </c>
      <c r="C62" s="23"/>
      <c r="D62" s="32"/>
      <c r="E62" s="113">
        <f>SUM(E35+E46+E59)</f>
        <v>181726.34</v>
      </c>
      <c r="F62" s="113">
        <f>SUM(F35+F46+F59)</f>
        <v>118152.4</v>
      </c>
      <c r="G62" s="113">
        <f>SUM(G35+G46+G59)</f>
        <v>126171</v>
      </c>
      <c r="H62" s="113">
        <f>SUM(H35+H46+H59)</f>
        <v>0</v>
      </c>
      <c r="I62" s="113">
        <f>SUM(I35+I46+I59)</f>
        <v>0</v>
      </c>
      <c r="J62" s="114">
        <f>SUM(E62:G62)</f>
        <v>426049.74</v>
      </c>
      <c r="L62" s="69"/>
      <c r="M62" s="69"/>
      <c r="N62" s="69"/>
      <c r="O62" s="69"/>
      <c r="P62" s="69"/>
    </row>
    <row r="63" spans="1:16" s="4" customFormat="1" ht="13" customHeight="1" thickBot="1">
      <c r="A63" s="66"/>
      <c r="B63" s="34"/>
      <c r="C63" s="2"/>
      <c r="D63" s="33"/>
      <c r="E63" s="115"/>
      <c r="F63" s="115"/>
      <c r="G63" s="115"/>
      <c r="H63" s="115"/>
      <c r="I63" s="115"/>
      <c r="J63" s="116"/>
      <c r="K63" s="66"/>
      <c r="L63" s="69"/>
      <c r="M63" s="69"/>
      <c r="N63" s="69"/>
      <c r="O63" s="69"/>
      <c r="P63" s="69"/>
    </row>
    <row r="64" spans="1:16" s="4" customFormat="1" ht="13" customHeight="1" thickTop="1">
      <c r="A64" s="66"/>
      <c r="B64" s="138" t="s">
        <v>38</v>
      </c>
      <c r="C64" s="139"/>
      <c r="D64" s="139"/>
      <c r="E64" s="139"/>
      <c r="F64" s="139"/>
      <c r="G64" s="139"/>
      <c r="H64" s="139"/>
      <c r="I64" s="139"/>
      <c r="J64" s="139"/>
      <c r="K64" s="66"/>
      <c r="L64" s="69"/>
      <c r="M64" s="58"/>
      <c r="N64" s="58"/>
      <c r="O64" s="58"/>
      <c r="P64" s="58"/>
    </row>
    <row r="65" spans="2:16" s="4" customFormat="1" ht="13" customHeight="1" thickBot="1">
      <c r="B65" s="140"/>
      <c r="C65" s="140"/>
      <c r="D65" s="140"/>
      <c r="E65" s="140"/>
      <c r="F65" s="140"/>
      <c r="G65" s="140"/>
      <c r="H65" s="140"/>
      <c r="I65" s="140"/>
      <c r="J65" s="140"/>
      <c r="L65" s="58"/>
      <c r="M65" s="58"/>
      <c r="N65" s="60"/>
      <c r="O65" s="58"/>
      <c r="P65" s="58"/>
    </row>
    <row r="66" spans="2:16" s="4" customFormat="1" ht="13" customHeight="1" thickTop="1">
      <c r="E66" s="21"/>
      <c r="F66" s="21"/>
      <c r="G66" s="21"/>
      <c r="H66" s="21"/>
      <c r="I66" s="21"/>
      <c r="J66" s="21"/>
      <c r="L66" s="99"/>
      <c r="M66" s="98"/>
    </row>
    <row r="67" spans="2:16" s="4" customFormat="1" ht="13" customHeight="1">
      <c r="B67" s="28" t="s">
        <v>94</v>
      </c>
      <c r="C67" s="23"/>
      <c r="D67" s="32"/>
      <c r="E67" s="25"/>
      <c r="F67" s="25"/>
      <c r="G67" s="25"/>
      <c r="H67" s="25"/>
      <c r="I67" s="25"/>
      <c r="J67" s="25"/>
      <c r="L67" s="99"/>
      <c r="M67" s="98"/>
    </row>
    <row r="68" spans="2:16" s="4" customFormat="1" ht="13" customHeight="1">
      <c r="B68" s="2"/>
      <c r="C68" s="2"/>
      <c r="D68" s="33"/>
      <c r="E68" s="20">
        <v>0</v>
      </c>
      <c r="F68" s="20">
        <v>0</v>
      </c>
      <c r="G68" s="20">
        <v>0</v>
      </c>
      <c r="H68" s="20"/>
      <c r="I68" s="20"/>
      <c r="J68" s="21">
        <f>SUM(E68:I68)</f>
        <v>0</v>
      </c>
      <c r="L68" s="67"/>
      <c r="M68" s="67"/>
      <c r="N68" s="67"/>
      <c r="O68" s="67"/>
      <c r="P68" s="67"/>
    </row>
    <row r="69" spans="2:16" s="4" customFormat="1" ht="13" customHeight="1"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f>SUM(E69:I69)</f>
        <v>0</v>
      </c>
      <c r="L69" s="78"/>
      <c r="M69" s="98"/>
    </row>
    <row r="70" spans="2:16" s="4" customFormat="1" ht="13" customHeight="1">
      <c r="B70" s="23" t="s">
        <v>95</v>
      </c>
      <c r="C70" s="23"/>
      <c r="D70" s="32"/>
      <c r="E70" s="25">
        <f>SUM(E68:E69)</f>
        <v>0</v>
      </c>
      <c r="F70" s="25">
        <f>SUM(F68:F69)</f>
        <v>0</v>
      </c>
      <c r="G70" s="25">
        <f>SUM(G69:G69)</f>
        <v>0</v>
      </c>
      <c r="H70" s="25">
        <f>SUM(H69:H69)</f>
        <v>0</v>
      </c>
      <c r="I70" s="25">
        <f>SUM(I69:I69)</f>
        <v>0</v>
      </c>
      <c r="J70" s="25">
        <f>SUM(E70:I70)</f>
        <v>0</v>
      </c>
      <c r="L70" s="79"/>
      <c r="M70" s="98"/>
    </row>
    <row r="71" spans="2:16" s="4" customFormat="1" ht="13" customHeight="1">
      <c r="E71" s="21"/>
      <c r="F71" s="21"/>
      <c r="G71" s="21"/>
      <c r="H71" s="21"/>
      <c r="I71" s="21"/>
      <c r="J71" s="21"/>
      <c r="L71" s="79"/>
      <c r="M71" s="122"/>
    </row>
    <row r="72" spans="2:16" s="4" customFormat="1" ht="13" customHeight="1">
      <c r="B72" s="28" t="s">
        <v>39</v>
      </c>
      <c r="C72" s="23"/>
      <c r="D72" s="32"/>
      <c r="E72" s="25"/>
      <c r="F72" s="25"/>
      <c r="G72" s="25"/>
      <c r="H72" s="25"/>
      <c r="I72" s="25"/>
      <c r="J72" s="25"/>
      <c r="L72" s="57"/>
      <c r="M72" s="98"/>
    </row>
    <row r="73" spans="2:16" s="4" customFormat="1" ht="13" customHeight="1">
      <c r="B73" s="103"/>
      <c r="E73" s="117">
        <v>0</v>
      </c>
      <c r="F73" s="21">
        <v>0</v>
      </c>
      <c r="G73" s="21">
        <v>0</v>
      </c>
      <c r="H73" s="21">
        <v>0</v>
      </c>
      <c r="I73" s="21">
        <v>0</v>
      </c>
      <c r="J73" s="20">
        <f t="shared" ref="J73:J76" si="9">SUM(E73:I73)</f>
        <v>0</v>
      </c>
      <c r="L73" s="80"/>
      <c r="M73" s="98"/>
    </row>
    <row r="74" spans="2:16" s="4" customFormat="1" ht="13" customHeight="1">
      <c r="B74" s="2"/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0">
        <f t="shared" si="9"/>
        <v>0</v>
      </c>
      <c r="L74" s="80"/>
      <c r="M74" s="98"/>
    </row>
    <row r="75" spans="2:16" s="4" customFormat="1" ht="13" customHeight="1"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0">
        <f t="shared" si="9"/>
        <v>0</v>
      </c>
      <c r="L75" s="80"/>
      <c r="M75" s="98"/>
    </row>
    <row r="76" spans="2:16" s="4" customFormat="1" ht="13" customHeight="1"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0">
        <f t="shared" si="9"/>
        <v>0</v>
      </c>
      <c r="L76" s="80"/>
      <c r="M76" s="98"/>
    </row>
    <row r="77" spans="2:16" s="4" customFormat="1" ht="13" customHeight="1">
      <c r="B77" s="23" t="s">
        <v>40</v>
      </c>
      <c r="C77" s="23"/>
      <c r="D77" s="32"/>
      <c r="E77" s="25">
        <f>SUM(E73:E76)</f>
        <v>0</v>
      </c>
      <c r="F77" s="25">
        <f>SUM(F73:F76)</f>
        <v>0</v>
      </c>
      <c r="G77" s="25">
        <f>SUM(G73:G76)</f>
        <v>0</v>
      </c>
      <c r="H77" s="25">
        <f>SUM(H73:H76)</f>
        <v>0</v>
      </c>
      <c r="I77" s="25">
        <f>SUM(I73:I76)</f>
        <v>0</v>
      </c>
      <c r="J77" s="25">
        <f>SUM(E77:I77)</f>
        <v>0</v>
      </c>
      <c r="L77" s="80"/>
      <c r="M77" s="98"/>
    </row>
    <row r="78" spans="2:16" s="4" customFormat="1" ht="13" customHeight="1">
      <c r="E78" s="21"/>
      <c r="F78" s="21"/>
      <c r="G78" s="21"/>
      <c r="H78" s="21"/>
      <c r="I78" s="21"/>
      <c r="J78" s="21"/>
      <c r="L78" s="80"/>
      <c r="M78" s="98"/>
    </row>
    <row r="79" spans="2:16" s="4" customFormat="1" ht="13" customHeight="1">
      <c r="B79" s="6" t="s">
        <v>41</v>
      </c>
      <c r="C79" s="37"/>
      <c r="D79" s="37"/>
      <c r="E79" s="118"/>
      <c r="F79" s="118"/>
      <c r="G79" s="118"/>
      <c r="H79" s="118"/>
      <c r="I79" s="118"/>
      <c r="J79" s="118"/>
      <c r="L79" s="57"/>
      <c r="M79" s="98"/>
    </row>
    <row r="80" spans="2:16" s="4" customFormat="1" ht="13" customHeight="1">
      <c r="B80" s="105" t="s">
        <v>86</v>
      </c>
      <c r="C80" s="38"/>
      <c r="D80" s="38"/>
      <c r="E80" s="7">
        <f>ROUND((2*4938 + 624 + 200)*1.05,0)</f>
        <v>11235</v>
      </c>
      <c r="F80" s="7">
        <f>ROUND(E80*1.08,0)</f>
        <v>12134</v>
      </c>
      <c r="G80" s="7">
        <f>ROUND(F80*1.08,0)</f>
        <v>13105</v>
      </c>
      <c r="H80" s="7">
        <v>0</v>
      </c>
      <c r="I80" s="7">
        <v>0</v>
      </c>
      <c r="J80" s="20">
        <f>SUM(E80:I80)</f>
        <v>36474</v>
      </c>
      <c r="L80" s="57"/>
      <c r="M80" s="122"/>
    </row>
    <row r="81" spans="1:17" s="4" customFormat="1" ht="13" customHeight="1">
      <c r="B81" s="100" t="s">
        <v>42</v>
      </c>
      <c r="C81" s="38"/>
      <c r="D81" s="38"/>
      <c r="E81" s="7">
        <f>ROUND(905*2*1.1,0)</f>
        <v>1991</v>
      </c>
      <c r="F81" s="7">
        <f>ROUND(E81*1.1,0)</f>
        <v>2190</v>
      </c>
      <c r="G81" s="7">
        <f>ROUND(F81*1.1,0)</f>
        <v>2409</v>
      </c>
      <c r="H81" s="7">
        <v>0</v>
      </c>
      <c r="I81" s="7">
        <v>0</v>
      </c>
      <c r="J81" s="20">
        <f t="shared" ref="J81:J83" si="10">SUM(E81:I81)</f>
        <v>6590</v>
      </c>
      <c r="L81" s="57"/>
      <c r="M81" s="98"/>
    </row>
    <row r="82" spans="1:17" s="4" customFormat="1" ht="13" customHeight="1">
      <c r="B82" s="38"/>
      <c r="C82" s="38"/>
      <c r="D82" s="38"/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20">
        <f t="shared" si="10"/>
        <v>0</v>
      </c>
      <c r="L82" s="57"/>
      <c r="M82" s="98"/>
    </row>
    <row r="83" spans="1:17" s="4" customFormat="1" ht="13" customHeight="1">
      <c r="B83" s="38"/>
      <c r="C83" s="38"/>
      <c r="D83" s="38"/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20">
        <f t="shared" si="10"/>
        <v>0</v>
      </c>
      <c r="L83" s="57"/>
      <c r="M83" s="98"/>
    </row>
    <row r="84" spans="1:17" s="4" customFormat="1" ht="13" customHeight="1">
      <c r="B84" s="23" t="s">
        <v>43</v>
      </c>
      <c r="C84" s="23"/>
      <c r="D84" s="32"/>
      <c r="E84" s="25">
        <f t="shared" ref="E84:J84" si="11">SUM(E80:E83)</f>
        <v>13226</v>
      </c>
      <c r="F84" s="25">
        <f t="shared" si="11"/>
        <v>14324</v>
      </c>
      <c r="G84" s="25">
        <f t="shared" si="11"/>
        <v>15514</v>
      </c>
      <c r="H84" s="25">
        <f t="shared" si="11"/>
        <v>0</v>
      </c>
      <c r="I84" s="25">
        <f t="shared" si="11"/>
        <v>0</v>
      </c>
      <c r="J84" s="25">
        <f t="shared" si="11"/>
        <v>43064</v>
      </c>
      <c r="L84" s="57"/>
      <c r="M84" s="98"/>
    </row>
    <row r="85" spans="1:17" s="66" customFormat="1" ht="13" customHeight="1">
      <c r="B85" s="2"/>
      <c r="C85" s="2"/>
      <c r="D85" s="33"/>
      <c r="E85" s="20"/>
      <c r="F85" s="20"/>
      <c r="G85" s="20"/>
      <c r="H85" s="20"/>
      <c r="I85" s="20"/>
      <c r="J85" s="20"/>
      <c r="L85" s="57"/>
      <c r="M85" s="67"/>
    </row>
    <row r="86" spans="1:17" s="4" customFormat="1" ht="13" customHeight="1">
      <c r="B86" s="28" t="s">
        <v>44</v>
      </c>
      <c r="C86" s="40"/>
      <c r="D86" s="40"/>
      <c r="E86" s="70">
        <f>SUM(E62+E70+E77+E84)</f>
        <v>194952.34</v>
      </c>
      <c r="F86" s="70">
        <f>SUM(F62+F70+F77+F84)</f>
        <v>132476.4</v>
      </c>
      <c r="G86" s="70">
        <f>SUM(G62+G70+G77+G84)</f>
        <v>141685</v>
      </c>
      <c r="H86" s="70">
        <f>SUM(H62+H70+H77+H84)</f>
        <v>0</v>
      </c>
      <c r="I86" s="70">
        <f>SUM(I62+I70+I77+I84)</f>
        <v>0</v>
      </c>
      <c r="J86" s="71">
        <f>SUM(E86:G86)</f>
        <v>469113.74</v>
      </c>
      <c r="K86" s="21"/>
      <c r="L86" s="57"/>
      <c r="M86" s="98"/>
    </row>
    <row r="87" spans="1:17" s="4" customFormat="1" ht="13" customHeight="1" thickBot="1">
      <c r="B87" s="34"/>
      <c r="C87" s="68"/>
      <c r="D87" s="81"/>
      <c r="E87" s="72"/>
      <c r="F87" s="72"/>
      <c r="G87" s="72"/>
      <c r="H87" s="72"/>
      <c r="I87" s="72"/>
      <c r="J87" s="73"/>
      <c r="L87" s="57"/>
      <c r="M87" s="98"/>
    </row>
    <row r="88" spans="1:17" s="4" customFormat="1" ht="13" customHeight="1" thickBot="1">
      <c r="B88" s="28" t="s">
        <v>45</v>
      </c>
      <c r="C88" s="36" t="s">
        <v>46</v>
      </c>
      <c r="D88" s="82">
        <v>0.47499999999999998</v>
      </c>
      <c r="E88" s="74">
        <f>ROUND(SUM(D88*E62),0)</f>
        <v>86320</v>
      </c>
      <c r="F88" s="74">
        <f>ROUND(SUM(D88*F62),0)</f>
        <v>56122</v>
      </c>
      <c r="G88" s="74">
        <f>ROUND(SUM(D88*G62),0)</f>
        <v>59931</v>
      </c>
      <c r="H88" s="74">
        <f>SUM(D88*H86)</f>
        <v>0</v>
      </c>
      <c r="I88" s="74">
        <f>SUM(D88*I86)</f>
        <v>0</v>
      </c>
      <c r="J88" s="74">
        <f>SUM(E88:G88)</f>
        <v>202373</v>
      </c>
      <c r="K88" s="21"/>
      <c r="L88" s="57"/>
      <c r="M88" s="98"/>
    </row>
    <row r="89" spans="1:17" s="4" customFormat="1" ht="13" customHeight="1">
      <c r="B89" s="38"/>
      <c r="C89" s="38"/>
      <c r="D89" s="38"/>
      <c r="E89" s="7"/>
      <c r="F89" s="7"/>
      <c r="G89" s="7"/>
      <c r="H89" s="7"/>
      <c r="I89" s="7"/>
      <c r="J89" s="121"/>
      <c r="K89" s="21"/>
      <c r="L89" s="57"/>
      <c r="M89" s="98"/>
    </row>
    <row r="90" spans="1:17" s="4" customFormat="1" ht="13" customHeight="1" thickBot="1">
      <c r="B90" s="39" t="s">
        <v>47</v>
      </c>
      <c r="C90" s="40"/>
      <c r="D90" s="40"/>
      <c r="E90" s="41">
        <f>SUM(E86+E88)</f>
        <v>281272.33999999997</v>
      </c>
      <c r="F90" s="41">
        <f>SUM(F86+F88)</f>
        <v>188598.39999999999</v>
      </c>
      <c r="G90" s="41">
        <f t="shared" ref="G90:I90" si="12">SUM(G86+G88)</f>
        <v>201616</v>
      </c>
      <c r="H90" s="41">
        <f t="shared" si="12"/>
        <v>0</v>
      </c>
      <c r="I90" s="41">
        <f t="shared" si="12"/>
        <v>0</v>
      </c>
      <c r="J90" s="41">
        <f>SUM(E90:G90)</f>
        <v>671486.74</v>
      </c>
      <c r="K90" s="21"/>
      <c r="L90" s="57"/>
      <c r="M90" s="98"/>
    </row>
    <row r="91" spans="1:17" ht="15" customHeight="1" thickTop="1">
      <c r="A91" s="4"/>
      <c r="B91" s="9"/>
      <c r="C91" s="9"/>
      <c r="D91" s="9"/>
      <c r="E91" s="8"/>
      <c r="F91" s="8"/>
      <c r="G91" s="8"/>
      <c r="H91" s="8"/>
      <c r="I91" s="8"/>
      <c r="J91" s="119"/>
      <c r="K91" s="21"/>
      <c r="L91" s="58"/>
      <c r="M91" s="59"/>
      <c r="N91" s="60"/>
      <c r="O91" s="58"/>
      <c r="P91" s="58"/>
      <c r="Q91" s="98"/>
    </row>
    <row r="92" spans="1:17" ht="15">
      <c r="A92" s="4"/>
      <c r="B92" s="4"/>
      <c r="C92" s="4"/>
      <c r="D92" s="4"/>
      <c r="E92" s="21"/>
      <c r="F92" s="21"/>
      <c r="G92" s="21"/>
      <c r="H92" s="21"/>
      <c r="I92" s="21"/>
      <c r="J92" s="21"/>
      <c r="K92" s="4"/>
      <c r="L92" s="58"/>
      <c r="M92" s="60"/>
      <c r="N92" s="60"/>
      <c r="O92" s="58"/>
      <c r="P92" s="58"/>
      <c r="Q92" s="4"/>
    </row>
    <row r="93" spans="1:17" ht="15">
      <c r="A93" s="4"/>
      <c r="B93" s="4"/>
      <c r="C93" s="4"/>
      <c r="D93" s="4"/>
      <c r="E93" s="21"/>
      <c r="F93" s="21"/>
      <c r="G93" s="21"/>
      <c r="H93" s="21"/>
      <c r="I93" s="21"/>
      <c r="J93" s="21"/>
      <c r="K93" s="4"/>
      <c r="L93" s="58"/>
      <c r="M93" s="60"/>
      <c r="N93" s="60"/>
      <c r="O93" s="58"/>
      <c r="P93" s="58"/>
      <c r="Q93" s="4"/>
    </row>
    <row r="94" spans="1:17" ht="13.5" customHeight="1">
      <c r="A94" s="4"/>
      <c r="B94" s="4"/>
      <c r="C94" s="4"/>
      <c r="D94" s="4"/>
      <c r="E94" s="21"/>
      <c r="F94" s="21"/>
      <c r="G94" s="21"/>
      <c r="H94" s="21"/>
      <c r="I94" s="21"/>
      <c r="J94" s="21"/>
      <c r="K94" s="4"/>
      <c r="L94" s="58"/>
      <c r="M94" s="61"/>
      <c r="N94" s="58"/>
      <c r="O94" s="58"/>
      <c r="P94" s="58"/>
      <c r="Q94" s="4"/>
    </row>
    <row r="95" spans="1:17" ht="15">
      <c r="A95" s="4"/>
      <c r="B95" s="4"/>
      <c r="C95" s="4"/>
      <c r="D95" s="4"/>
      <c r="E95" s="21"/>
      <c r="F95" s="21"/>
      <c r="G95" s="21"/>
      <c r="H95" s="21"/>
      <c r="I95" s="21"/>
      <c r="J95" s="21"/>
      <c r="K95" s="4"/>
      <c r="L95" s="58"/>
      <c r="M95" s="61"/>
      <c r="N95" s="62"/>
      <c r="O95" s="58"/>
      <c r="P95" s="58"/>
      <c r="Q95" s="4"/>
    </row>
    <row r="96" spans="1:17" ht="14.25" customHeight="1">
      <c r="A96" s="4"/>
      <c r="B96" s="4"/>
      <c r="C96" s="4"/>
      <c r="D96" s="4"/>
      <c r="E96" s="21"/>
      <c r="F96" s="21"/>
      <c r="G96" s="21"/>
      <c r="H96" s="21"/>
      <c r="I96" s="21"/>
      <c r="J96" s="21"/>
      <c r="K96" s="4"/>
      <c r="L96" s="58"/>
      <c r="M96" s="60"/>
      <c r="N96" s="58"/>
      <c r="O96" s="58"/>
      <c r="P96" s="58"/>
      <c r="Q96" s="4"/>
    </row>
    <row r="97" spans="1:17" ht="13.5" customHeight="1">
      <c r="A97" s="4"/>
      <c r="B97" s="4"/>
      <c r="C97" s="4"/>
      <c r="D97" s="4"/>
      <c r="E97" s="21"/>
      <c r="F97" s="21"/>
      <c r="G97" s="21"/>
      <c r="H97" s="21"/>
      <c r="I97" s="21"/>
      <c r="J97" s="21"/>
      <c r="K97" s="4"/>
      <c r="L97" s="58"/>
      <c r="M97" s="61"/>
      <c r="N97" s="62"/>
      <c r="O97" s="58"/>
      <c r="P97" s="58"/>
      <c r="Q97" s="4"/>
    </row>
    <row r="98" spans="1:17">
      <c r="A98" s="4"/>
      <c r="B98" s="4"/>
      <c r="C98" s="4"/>
      <c r="D98" s="4"/>
      <c r="E98" s="21"/>
      <c r="F98" s="21"/>
      <c r="G98" s="21"/>
      <c r="H98" s="21"/>
      <c r="I98" s="21"/>
      <c r="J98" s="21"/>
      <c r="K98" s="4"/>
      <c r="L98" s="58"/>
      <c r="M98" s="63" t="e">
        <f>AVERAGE(0.453*#REF!+0.46*#REF!+0.475*#REF!)/SUM(#REF!+#REF!+#REF!)</f>
        <v>#REF!</v>
      </c>
      <c r="N98" s="58"/>
      <c r="O98" s="58"/>
      <c r="P98" s="58"/>
      <c r="Q98" s="4"/>
    </row>
    <row r="99" spans="1:17" ht="13.5" customHeight="1">
      <c r="A99" s="4"/>
      <c r="B99" s="4"/>
      <c r="C99" s="4"/>
      <c r="D99" s="4"/>
      <c r="E99" s="21"/>
      <c r="F99" s="21"/>
      <c r="G99" s="21"/>
      <c r="H99" s="21"/>
      <c r="I99" s="21"/>
      <c r="J99" s="21"/>
      <c r="K99" s="4"/>
      <c r="L99" s="4"/>
      <c r="M99" s="4"/>
      <c r="N99" s="4"/>
      <c r="O99" s="4"/>
      <c r="P99" s="4"/>
      <c r="Q99" s="4"/>
    </row>
    <row r="100" spans="1:17" ht="13.5" customHeight="1">
      <c r="A100" s="4"/>
      <c r="B100" s="4"/>
      <c r="C100" s="4"/>
      <c r="D100" s="4"/>
      <c r="E100" s="21"/>
      <c r="F100" s="21"/>
      <c r="G100" s="21"/>
      <c r="H100" s="21"/>
      <c r="I100" s="21"/>
      <c r="J100" s="21"/>
      <c r="K100" s="4"/>
      <c r="L100" s="4"/>
      <c r="M100" s="4"/>
      <c r="N100" s="4"/>
      <c r="O100" s="4"/>
      <c r="P100" s="4"/>
      <c r="Q100" s="4"/>
    </row>
    <row r="101" spans="1:17" ht="13.5" customHeight="1">
      <c r="A101" s="4"/>
      <c r="B101" s="4"/>
      <c r="C101" s="4"/>
      <c r="D101" s="4"/>
      <c r="E101" s="21"/>
      <c r="F101" s="21"/>
      <c r="G101" s="21"/>
      <c r="H101" s="21"/>
      <c r="I101" s="21"/>
      <c r="J101" s="21"/>
      <c r="K101" s="4"/>
      <c r="L101" s="58"/>
      <c r="M101" s="58"/>
      <c r="N101" s="58"/>
      <c r="O101" s="58"/>
      <c r="P101" s="58"/>
      <c r="Q101" s="4"/>
    </row>
    <row r="102" spans="1:17">
      <c r="A102" s="4"/>
      <c r="B102" s="4"/>
      <c r="C102" s="4"/>
      <c r="D102" s="4"/>
      <c r="E102" s="21"/>
      <c r="F102" s="21"/>
      <c r="G102" s="21"/>
      <c r="H102" s="21"/>
      <c r="I102" s="21"/>
      <c r="J102" s="21"/>
      <c r="K102" s="4"/>
      <c r="L102" s="4"/>
      <c r="M102" s="4"/>
      <c r="N102" s="4"/>
      <c r="O102" s="4"/>
      <c r="P102" s="4"/>
      <c r="Q102" s="4"/>
    </row>
    <row r="103" spans="1:17" ht="13.5" customHeight="1">
      <c r="A103" s="4"/>
      <c r="B103" s="4"/>
      <c r="C103" s="4"/>
      <c r="D103" s="4"/>
      <c r="E103" s="21"/>
      <c r="F103" s="21"/>
      <c r="G103" s="21"/>
      <c r="H103" s="21"/>
      <c r="I103" s="21"/>
      <c r="J103" s="21"/>
      <c r="K103" s="4"/>
      <c r="L103" s="4"/>
      <c r="M103" s="4"/>
      <c r="N103" s="4"/>
      <c r="O103" s="4"/>
      <c r="P103" s="4"/>
      <c r="Q103" s="4"/>
    </row>
    <row r="104" spans="1:17" ht="13.5" customHeight="1">
      <c r="A104" s="4"/>
      <c r="B104" s="4"/>
      <c r="C104" s="4"/>
      <c r="D104" s="4"/>
      <c r="E104" s="21"/>
      <c r="F104" s="21"/>
      <c r="G104" s="21"/>
      <c r="H104" s="21"/>
      <c r="I104" s="21"/>
      <c r="J104" s="21"/>
      <c r="K104" s="4"/>
      <c r="L104" s="4"/>
      <c r="M104" s="4"/>
      <c r="N104" s="4"/>
      <c r="O104" s="4"/>
      <c r="P104" s="4"/>
      <c r="Q104" s="4"/>
    </row>
    <row r="116" spans="1:17">
      <c r="A116" s="4"/>
      <c r="B116" s="4"/>
      <c r="C116" s="4"/>
      <c r="D116" s="4"/>
      <c r="E116" s="21"/>
      <c r="F116" s="21"/>
      <c r="G116" s="21"/>
      <c r="H116" s="21"/>
      <c r="I116" s="21"/>
      <c r="J116" s="21"/>
      <c r="K116" s="4"/>
      <c r="L116" s="4"/>
      <c r="M116" s="4"/>
      <c r="N116" s="4"/>
      <c r="O116" s="4"/>
      <c r="P116" s="4"/>
      <c r="Q116" s="4"/>
    </row>
    <row r="117" spans="1:17">
      <c r="A117" s="4"/>
      <c r="B117" s="4"/>
      <c r="C117" s="4"/>
      <c r="D117" s="4"/>
      <c r="E117" s="21"/>
      <c r="F117" s="21"/>
      <c r="G117" s="21"/>
      <c r="H117" s="21"/>
      <c r="I117" s="21"/>
      <c r="J117" s="21"/>
      <c r="K117" s="4"/>
      <c r="L117" s="64"/>
      <c r="M117" s="65"/>
      <c r="N117" s="65"/>
      <c r="O117" s="65"/>
      <c r="P117" s="64"/>
      <c r="Q117" s="4"/>
    </row>
    <row r="118" spans="1:17">
      <c r="A118" s="4"/>
      <c r="B118" s="4"/>
      <c r="C118" s="4"/>
      <c r="D118" s="4"/>
      <c r="E118" s="21"/>
      <c r="F118" s="21"/>
      <c r="G118" s="21"/>
      <c r="H118" s="21"/>
      <c r="I118" s="21"/>
      <c r="J118" s="21"/>
      <c r="K118" s="4"/>
      <c r="L118" s="4"/>
      <c r="M118" s="4"/>
      <c r="N118" s="4"/>
      <c r="O118" s="4"/>
      <c r="P118" s="4"/>
      <c r="Q118" s="4"/>
    </row>
  </sheetData>
  <mergeCells count="5">
    <mergeCell ref="L3:Q3"/>
    <mergeCell ref="L4:N4"/>
    <mergeCell ref="P4:Q4"/>
    <mergeCell ref="L6:N6"/>
    <mergeCell ref="B64:J65"/>
  </mergeCells>
  <phoneticPr fontId="17" type="noConversion"/>
  <printOptions horizontalCentered="1"/>
  <pageMargins left="0.23622047244094499" right="0.23622047244094499" top="0.74803149606299202" bottom="0.74803149606299202" header="0.23622047244094499" footer="0.511811023622047"/>
  <pageSetup scale="67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95"/>
  <sheetViews>
    <sheetView topLeftCell="B23" zoomScale="135" zoomScaleNormal="150" zoomScalePageLayoutView="150" workbookViewId="0">
      <selection activeCell="A55" sqref="A55:XFD55"/>
    </sheetView>
  </sheetViews>
  <sheetFormatPr baseColWidth="10" defaultColWidth="8.83203125" defaultRowHeight="13"/>
  <cols>
    <col min="4" max="4" width="12.6640625" customWidth="1"/>
  </cols>
  <sheetData>
    <row r="3" spans="2:9">
      <c r="C3" s="101" t="s">
        <v>25</v>
      </c>
    </row>
    <row r="6" spans="2:9">
      <c r="C6" s="101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</row>
    <row r="8" spans="2:9">
      <c r="B8" t="s">
        <v>26</v>
      </c>
      <c r="C8" t="s">
        <v>54</v>
      </c>
      <c r="D8">
        <v>560</v>
      </c>
      <c r="E8">
        <v>450</v>
      </c>
      <c r="F8">
        <v>40</v>
      </c>
      <c r="G8">
        <f>6*51</f>
        <v>306</v>
      </c>
      <c r="H8">
        <f>6*190</f>
        <v>1140</v>
      </c>
      <c r="I8">
        <f>SUM(D8:H8)</f>
        <v>2496</v>
      </c>
    </row>
    <row r="9" spans="2:9">
      <c r="B9" t="s">
        <v>55</v>
      </c>
      <c r="C9" t="s">
        <v>56</v>
      </c>
      <c r="D9">
        <v>310</v>
      </c>
      <c r="E9">
        <v>450</v>
      </c>
      <c r="F9">
        <v>40</v>
      </c>
      <c r="G9">
        <f>6*51</f>
        <v>306</v>
      </c>
      <c r="H9">
        <f>6*190</f>
        <v>1140</v>
      </c>
      <c r="I9">
        <f>SUM(D9:H9)</f>
        <v>2246</v>
      </c>
    </row>
    <row r="10" spans="2:9">
      <c r="I10">
        <f>2*I8+I9</f>
        <v>7238</v>
      </c>
    </row>
    <row r="12" spans="2:9">
      <c r="B12" s="104" t="s">
        <v>102</v>
      </c>
      <c r="C12" s="104"/>
      <c r="D12" s="104">
        <v>40</v>
      </c>
      <c r="E12" s="104">
        <v>250</v>
      </c>
      <c r="F12" s="104">
        <f>150</f>
        <v>150</v>
      </c>
      <c r="G12" s="104">
        <f>4*51</f>
        <v>204</v>
      </c>
      <c r="H12" s="104">
        <f>3*150</f>
        <v>450</v>
      </c>
      <c r="I12" s="104">
        <f>SUM(D12:H12)</f>
        <v>1094</v>
      </c>
    </row>
    <row r="13" spans="2:9">
      <c r="B13" s="104"/>
      <c r="C13" s="104"/>
      <c r="D13" s="104">
        <v>20</v>
      </c>
      <c r="E13" s="104">
        <v>250</v>
      </c>
      <c r="F13" s="104">
        <f>150</f>
        <v>150</v>
      </c>
      <c r="G13" s="104">
        <f>4*51</f>
        <v>204</v>
      </c>
      <c r="H13" s="104">
        <f>3*150</f>
        <v>450</v>
      </c>
      <c r="I13" s="104">
        <f>SUM(D13:H13)</f>
        <v>1074</v>
      </c>
    </row>
    <row r="14" spans="2:9">
      <c r="B14" s="104"/>
      <c r="C14" s="104"/>
      <c r="D14" s="104"/>
      <c r="E14" s="104"/>
      <c r="F14" s="104"/>
      <c r="G14" s="104"/>
      <c r="H14" s="104"/>
      <c r="I14" s="104">
        <f>2*I12+I13</f>
        <v>3262</v>
      </c>
    </row>
    <row r="15" spans="2:9">
      <c r="B15" s="102"/>
      <c r="C15" s="102"/>
      <c r="D15" s="102"/>
      <c r="E15" s="102"/>
      <c r="F15" s="102"/>
      <c r="G15" s="102"/>
      <c r="H15" s="102"/>
      <c r="I15" s="102"/>
    </row>
    <row r="16" spans="2:9">
      <c r="B16" s="102"/>
      <c r="C16" s="101" t="s">
        <v>27</v>
      </c>
      <c r="D16" t="s">
        <v>105</v>
      </c>
      <c r="E16" t="s">
        <v>103</v>
      </c>
      <c r="F16">
        <v>11</v>
      </c>
    </row>
    <row r="17" spans="2:9">
      <c r="B17" s="124" t="s">
        <v>106</v>
      </c>
      <c r="C17" t="s">
        <v>54</v>
      </c>
      <c r="D17">
        <f>900*4*6</f>
        <v>21600</v>
      </c>
      <c r="E17">
        <v>550</v>
      </c>
      <c r="F17">
        <v>150</v>
      </c>
      <c r="G17">
        <f>F16*40</f>
        <v>440</v>
      </c>
      <c r="H17">
        <f>F16*170</f>
        <v>1870</v>
      </c>
      <c r="I17">
        <f>SUM(D17:H17)</f>
        <v>24610</v>
      </c>
    </row>
    <row r="18" spans="2:9">
      <c r="B18" s="126">
        <v>44044</v>
      </c>
      <c r="C18" t="s">
        <v>104</v>
      </c>
      <c r="E18" s="127">
        <v>550</v>
      </c>
      <c r="F18" s="127"/>
      <c r="G18" s="127">
        <f>F16*40</f>
        <v>440</v>
      </c>
      <c r="H18" s="127">
        <v>0</v>
      </c>
      <c r="I18" s="127">
        <f>SUM(D18:H18)</f>
        <v>990</v>
      </c>
    </row>
    <row r="19" spans="2:9">
      <c r="B19" s="102"/>
      <c r="C19" t="s">
        <v>56</v>
      </c>
      <c r="E19">
        <v>550</v>
      </c>
      <c r="G19">
        <f>F16*40</f>
        <v>440</v>
      </c>
      <c r="H19">
        <f>F16*170</f>
        <v>1870</v>
      </c>
      <c r="I19">
        <f>SUM(D19:H19)</f>
        <v>2860</v>
      </c>
    </row>
    <row r="20" spans="2:9">
      <c r="B20" s="102"/>
      <c r="D20">
        <f>D17</f>
        <v>21600</v>
      </c>
      <c r="E20">
        <f>E19+E17</f>
        <v>1100</v>
      </c>
      <c r="F20">
        <f>F19+F17</f>
        <v>150</v>
      </c>
      <c r="G20">
        <f>G19+G17</f>
        <v>880</v>
      </c>
      <c r="H20">
        <f>H19+H17</f>
        <v>3740</v>
      </c>
    </row>
    <row r="21" spans="2:9">
      <c r="H21" s="125" t="s">
        <v>107</v>
      </c>
      <c r="I21">
        <f>I17+I19</f>
        <v>27470</v>
      </c>
    </row>
    <row r="22" spans="2:9">
      <c r="H22" s="125"/>
    </row>
    <row r="23" spans="2:9">
      <c r="B23" s="102"/>
      <c r="C23" s="101" t="s">
        <v>27</v>
      </c>
      <c r="D23" t="s">
        <v>105</v>
      </c>
      <c r="E23" t="s">
        <v>103</v>
      </c>
      <c r="F23">
        <v>6</v>
      </c>
    </row>
    <row r="24" spans="2:9">
      <c r="B24" s="124" t="s">
        <v>109</v>
      </c>
      <c r="C24" t="s">
        <v>54</v>
      </c>
      <c r="D24">
        <f>900*4*3</f>
        <v>10800</v>
      </c>
      <c r="E24">
        <v>550</v>
      </c>
      <c r="F24">
        <v>150</v>
      </c>
      <c r="G24">
        <f>F23*40</f>
        <v>240</v>
      </c>
      <c r="H24">
        <f>F23*170</f>
        <v>1020</v>
      </c>
      <c r="I24">
        <f>SUM(D24:H24)</f>
        <v>12760</v>
      </c>
    </row>
    <row r="25" spans="2:9">
      <c r="B25" s="126">
        <v>44105</v>
      </c>
      <c r="C25" t="s">
        <v>104</v>
      </c>
      <c r="E25" s="127">
        <v>550</v>
      </c>
      <c r="F25" s="127"/>
      <c r="G25" s="127">
        <f>F23*40</f>
        <v>240</v>
      </c>
      <c r="H25" s="127">
        <v>0</v>
      </c>
      <c r="I25" s="127">
        <f>SUM(D25:H25)</f>
        <v>790</v>
      </c>
    </row>
    <row r="26" spans="2:9">
      <c r="B26" s="102"/>
      <c r="C26" t="s">
        <v>56</v>
      </c>
      <c r="E26">
        <v>550</v>
      </c>
      <c r="G26">
        <f>F23*40</f>
        <v>240</v>
      </c>
      <c r="H26">
        <f>F23*170</f>
        <v>1020</v>
      </c>
      <c r="I26">
        <f>SUM(D26:H26)</f>
        <v>1810</v>
      </c>
    </row>
    <row r="27" spans="2:9">
      <c r="B27" s="102"/>
      <c r="D27">
        <f>D24</f>
        <v>10800</v>
      </c>
      <c r="E27">
        <f>E26+E24</f>
        <v>1100</v>
      </c>
      <c r="F27">
        <f>F26+F24</f>
        <v>150</v>
      </c>
      <c r="G27">
        <f>G26+G24</f>
        <v>480</v>
      </c>
      <c r="H27">
        <f>H26+H24</f>
        <v>2040</v>
      </c>
    </row>
    <row r="28" spans="2:9">
      <c r="H28" s="125" t="s">
        <v>107</v>
      </c>
      <c r="I28">
        <f>I24+I26</f>
        <v>14570</v>
      </c>
    </row>
    <row r="29" spans="2:9">
      <c r="H29" s="125"/>
    </row>
    <row r="30" spans="2:9">
      <c r="B30" s="102"/>
      <c r="C30" s="101" t="s">
        <v>27</v>
      </c>
      <c r="D30" t="s">
        <v>105</v>
      </c>
      <c r="E30" t="s">
        <v>103</v>
      </c>
      <c r="F30">
        <v>8</v>
      </c>
    </row>
    <row r="31" spans="2:9">
      <c r="B31" s="124" t="s">
        <v>110</v>
      </c>
      <c r="C31" t="s">
        <v>54</v>
      </c>
      <c r="D31">
        <f>900*4*4</f>
        <v>14400</v>
      </c>
      <c r="E31">
        <v>550</v>
      </c>
      <c r="F31">
        <v>150</v>
      </c>
      <c r="G31">
        <f>F30*40</f>
        <v>320</v>
      </c>
      <c r="H31">
        <f>F30*170</f>
        <v>1360</v>
      </c>
      <c r="I31">
        <f>SUM(D31:H31)</f>
        <v>16780</v>
      </c>
    </row>
    <row r="32" spans="2:9">
      <c r="B32" s="126">
        <v>44317</v>
      </c>
      <c r="C32" t="s">
        <v>104</v>
      </c>
      <c r="E32" s="127">
        <v>550</v>
      </c>
      <c r="F32" s="127"/>
      <c r="G32" s="127">
        <f>F30*40</f>
        <v>320</v>
      </c>
      <c r="H32" s="127">
        <v>0</v>
      </c>
      <c r="I32" s="127">
        <f>SUM(D32:H32)</f>
        <v>870</v>
      </c>
    </row>
    <row r="33" spans="2:9">
      <c r="B33" s="102"/>
      <c r="C33" t="s">
        <v>56</v>
      </c>
      <c r="E33">
        <v>550</v>
      </c>
      <c r="G33">
        <f>F30*40</f>
        <v>320</v>
      </c>
      <c r="H33">
        <f>F30*170</f>
        <v>1360</v>
      </c>
      <c r="I33">
        <f>SUM(D33:H33)</f>
        <v>2230</v>
      </c>
    </row>
    <row r="34" spans="2:9">
      <c r="B34" s="102"/>
      <c r="D34">
        <f>D31</f>
        <v>14400</v>
      </c>
      <c r="E34">
        <f>E33+E31</f>
        <v>1100</v>
      </c>
      <c r="F34">
        <f>F33+F31</f>
        <v>150</v>
      </c>
      <c r="G34">
        <f>G33+G31</f>
        <v>640</v>
      </c>
      <c r="H34">
        <f>H33+H31</f>
        <v>2720</v>
      </c>
    </row>
    <row r="35" spans="2:9">
      <c r="H35" s="125" t="s">
        <v>107</v>
      </c>
      <c r="I35">
        <f>I31+I33</f>
        <v>19010</v>
      </c>
    </row>
    <row r="36" spans="2:9">
      <c r="H36" s="125"/>
    </row>
    <row r="37" spans="2:9">
      <c r="B37" s="102"/>
      <c r="C37" s="101" t="s">
        <v>27</v>
      </c>
      <c r="D37" t="s">
        <v>105</v>
      </c>
      <c r="E37" t="s">
        <v>103</v>
      </c>
      <c r="F37">
        <v>8</v>
      </c>
    </row>
    <row r="38" spans="2:9">
      <c r="B38" s="124" t="s">
        <v>111</v>
      </c>
      <c r="C38" t="s">
        <v>54</v>
      </c>
      <c r="D38">
        <f>900*4*4</f>
        <v>14400</v>
      </c>
      <c r="E38">
        <v>550</v>
      </c>
      <c r="F38">
        <v>150</v>
      </c>
      <c r="G38">
        <f>F37*40</f>
        <v>320</v>
      </c>
      <c r="H38">
        <f>F37*170</f>
        <v>1360</v>
      </c>
      <c r="I38">
        <f>SUM(D38:H38)</f>
        <v>16780</v>
      </c>
    </row>
    <row r="39" spans="2:9">
      <c r="B39" s="126">
        <v>44378</v>
      </c>
      <c r="C39" t="s">
        <v>104</v>
      </c>
      <c r="E39" s="127">
        <v>550</v>
      </c>
      <c r="F39" s="127"/>
      <c r="G39" s="127">
        <f>F37*40</f>
        <v>320</v>
      </c>
      <c r="H39" s="127">
        <v>0</v>
      </c>
      <c r="I39" s="127">
        <f>SUM(D39:H39)</f>
        <v>870</v>
      </c>
    </row>
    <row r="40" spans="2:9">
      <c r="B40" s="102"/>
      <c r="C40" t="s">
        <v>56</v>
      </c>
      <c r="E40">
        <v>550</v>
      </c>
      <c r="G40">
        <f>F37*40</f>
        <v>320</v>
      </c>
      <c r="H40">
        <f>F37*170</f>
        <v>1360</v>
      </c>
      <c r="I40">
        <f>SUM(D40:H40)</f>
        <v>2230</v>
      </c>
    </row>
    <row r="41" spans="2:9">
      <c r="B41" s="102"/>
      <c r="D41">
        <f>D38</f>
        <v>14400</v>
      </c>
      <c r="E41">
        <f>E40+E38</f>
        <v>1100</v>
      </c>
      <c r="F41">
        <f>F40+F38</f>
        <v>150</v>
      </c>
      <c r="G41">
        <f>G40+G38</f>
        <v>640</v>
      </c>
      <c r="H41">
        <f>H40+H38</f>
        <v>2720</v>
      </c>
    </row>
    <row r="42" spans="2:9">
      <c r="H42" s="125" t="s">
        <v>107</v>
      </c>
      <c r="I42">
        <f>I38+I40</f>
        <v>19010</v>
      </c>
    </row>
    <row r="43" spans="2:9">
      <c r="H43" s="125"/>
    </row>
    <row r="44" spans="2:9">
      <c r="B44" s="102"/>
      <c r="C44" s="101" t="s">
        <v>27</v>
      </c>
      <c r="D44" t="s">
        <v>105</v>
      </c>
      <c r="E44" t="s">
        <v>103</v>
      </c>
      <c r="F44">
        <v>8</v>
      </c>
    </row>
    <row r="45" spans="2:9">
      <c r="B45" s="124" t="s">
        <v>111</v>
      </c>
      <c r="C45" t="s">
        <v>54</v>
      </c>
      <c r="D45">
        <f>900*4*4</f>
        <v>14400</v>
      </c>
      <c r="E45">
        <v>550</v>
      </c>
      <c r="F45">
        <v>150</v>
      </c>
      <c r="G45">
        <f>F44*40</f>
        <v>320</v>
      </c>
      <c r="H45">
        <f>F44*170</f>
        <v>1360</v>
      </c>
      <c r="I45">
        <f>SUM(D45:H45)</f>
        <v>16780</v>
      </c>
    </row>
    <row r="46" spans="2:9">
      <c r="B46" s="126">
        <v>44743</v>
      </c>
      <c r="C46" t="s">
        <v>104</v>
      </c>
      <c r="E46" s="127">
        <v>550</v>
      </c>
      <c r="F46" s="127"/>
      <c r="G46" s="127">
        <f>F44*40</f>
        <v>320</v>
      </c>
      <c r="H46" s="127">
        <v>0</v>
      </c>
      <c r="I46" s="127">
        <f>SUM(D46:H46)</f>
        <v>870</v>
      </c>
    </row>
    <row r="47" spans="2:9">
      <c r="B47" s="102"/>
      <c r="C47" t="s">
        <v>56</v>
      </c>
      <c r="E47">
        <v>550</v>
      </c>
      <c r="G47">
        <f>F44*40</f>
        <v>320</v>
      </c>
      <c r="H47">
        <f>F44*170</f>
        <v>1360</v>
      </c>
      <c r="I47">
        <f>SUM(D47:H47)</f>
        <v>2230</v>
      </c>
    </row>
    <row r="48" spans="2:9">
      <c r="B48" s="102"/>
      <c r="D48">
        <f>D45</f>
        <v>14400</v>
      </c>
      <c r="E48">
        <f>E47+E45</f>
        <v>1100</v>
      </c>
      <c r="F48">
        <f>F47+F45</f>
        <v>150</v>
      </c>
      <c r="G48">
        <f>G47+G45</f>
        <v>640</v>
      </c>
      <c r="H48">
        <f>H47+H45</f>
        <v>2720</v>
      </c>
    </row>
    <row r="49" spans="2:9">
      <c r="H49" s="125" t="s">
        <v>107</v>
      </c>
      <c r="I49">
        <f>I45+I47</f>
        <v>19010</v>
      </c>
    </row>
    <row r="50" spans="2:9">
      <c r="H50" s="125"/>
    </row>
    <row r="51" spans="2:9">
      <c r="B51" s="102"/>
      <c r="C51" s="101" t="s">
        <v>27</v>
      </c>
      <c r="D51" t="s">
        <v>105</v>
      </c>
      <c r="E51" t="s">
        <v>103</v>
      </c>
      <c r="F51">
        <v>9</v>
      </c>
    </row>
    <row r="52" spans="2:9">
      <c r="B52" s="124" t="s">
        <v>108</v>
      </c>
      <c r="C52" t="s">
        <v>54</v>
      </c>
      <c r="D52">
        <f>900*4*5</f>
        <v>18000</v>
      </c>
      <c r="E52">
        <v>550</v>
      </c>
      <c r="F52">
        <v>150</v>
      </c>
      <c r="G52">
        <f>F51*40</f>
        <v>360</v>
      </c>
      <c r="H52">
        <f>F51*170</f>
        <v>1530</v>
      </c>
      <c r="I52">
        <f>SUM(D52:H52)</f>
        <v>20590</v>
      </c>
    </row>
    <row r="53" spans="2:9">
      <c r="B53" s="126">
        <v>45108</v>
      </c>
      <c r="C53" t="s">
        <v>104</v>
      </c>
      <c r="E53" s="127">
        <v>550</v>
      </c>
      <c r="F53" s="127"/>
      <c r="G53" s="127">
        <f>F51*40</f>
        <v>360</v>
      </c>
      <c r="H53" s="127">
        <v>0</v>
      </c>
      <c r="I53" s="127">
        <f>SUM(D53:H53)</f>
        <v>910</v>
      </c>
    </row>
    <row r="54" spans="2:9">
      <c r="B54" s="102"/>
      <c r="C54" t="s">
        <v>56</v>
      </c>
      <c r="E54">
        <v>550</v>
      </c>
      <c r="G54">
        <f>F51*40</f>
        <v>360</v>
      </c>
      <c r="H54">
        <f>F51*170</f>
        <v>1530</v>
      </c>
      <c r="I54">
        <f>SUM(D54:H54)</f>
        <v>2440</v>
      </c>
    </row>
    <row r="55" spans="2:9">
      <c r="B55" s="102"/>
      <c r="D55">
        <f>D52</f>
        <v>18000</v>
      </c>
      <c r="E55">
        <f>E54+E52</f>
        <v>1100</v>
      </c>
      <c r="F55">
        <f>F54+F52</f>
        <v>150</v>
      </c>
      <c r="G55">
        <f>G54+G52</f>
        <v>720</v>
      </c>
      <c r="H55">
        <f>H54+H52</f>
        <v>3060</v>
      </c>
    </row>
    <row r="56" spans="2:9">
      <c r="H56" s="125" t="s">
        <v>107</v>
      </c>
      <c r="I56">
        <f>I52+I54</f>
        <v>23030</v>
      </c>
    </row>
    <row r="58" spans="2:9">
      <c r="H58" s="125" t="s">
        <v>112</v>
      </c>
      <c r="I58">
        <f>I21+I28+I35+I42</f>
        <v>80060</v>
      </c>
    </row>
    <row r="59" spans="2:9">
      <c r="H59" s="125" t="s">
        <v>114</v>
      </c>
      <c r="I59">
        <f>I49</f>
        <v>19010</v>
      </c>
    </row>
    <row r="60" spans="2:9">
      <c r="H60" s="125" t="s">
        <v>115</v>
      </c>
      <c r="I60">
        <f>I56</f>
        <v>23030</v>
      </c>
    </row>
    <row r="61" spans="2:9">
      <c r="H61" s="128" t="s">
        <v>113</v>
      </c>
      <c r="I61" s="101">
        <f>SUM(I58:I60)</f>
        <v>122100</v>
      </c>
    </row>
    <row r="64" spans="2:9">
      <c r="C64" s="101" t="s">
        <v>57</v>
      </c>
    </row>
    <row r="65" spans="3:11">
      <c r="E65" t="s">
        <v>58</v>
      </c>
      <c r="G65" t="s">
        <v>59</v>
      </c>
    </row>
    <row r="66" spans="3:11">
      <c r="D66" t="s">
        <v>2</v>
      </c>
      <c r="E66">
        <v>9</v>
      </c>
      <c r="G66">
        <v>3</v>
      </c>
    </row>
    <row r="67" spans="3:11">
      <c r="D67" t="s">
        <v>60</v>
      </c>
      <c r="E67">
        <v>0.5</v>
      </c>
      <c r="G67">
        <v>1</v>
      </c>
    </row>
    <row r="68" spans="3:11">
      <c r="C68" t="s">
        <v>61</v>
      </c>
      <c r="E68">
        <f>D69</f>
        <v>3999</v>
      </c>
      <c r="G68">
        <f>D69</f>
        <v>3999</v>
      </c>
      <c r="J68" t="s">
        <v>62</v>
      </c>
    </row>
    <row r="69" spans="3:11">
      <c r="C69" t="s">
        <v>63</v>
      </c>
      <c r="D69">
        <f>UIMTDC!D16</f>
        <v>3999</v>
      </c>
      <c r="E69">
        <f>E68*E67*E66</f>
        <v>17995.5</v>
      </c>
      <c r="G69">
        <f>G68*G67*G66</f>
        <v>11997</v>
      </c>
      <c r="H69">
        <f>SUM(E69:G69)</f>
        <v>29992.5</v>
      </c>
      <c r="J69">
        <f>H69*9/12</f>
        <v>22494.375</v>
      </c>
    </row>
    <row r="71" spans="3:11">
      <c r="G71" t="s">
        <v>64</v>
      </c>
    </row>
    <row r="72" spans="3:11">
      <c r="F72" t="s">
        <v>3</v>
      </c>
      <c r="H72">
        <f>H69</f>
        <v>29992.5</v>
      </c>
    </row>
    <row r="73" spans="3:11">
      <c r="F73" t="s">
        <v>4</v>
      </c>
      <c r="G73">
        <v>1.03</v>
      </c>
      <c r="H73">
        <f>H69*G73</f>
        <v>30892.275000000001</v>
      </c>
    </row>
    <row r="74" spans="3:11">
      <c r="F74" t="s">
        <v>5</v>
      </c>
      <c r="G74">
        <v>1.03</v>
      </c>
      <c r="H74">
        <f>G74*H73</f>
        <v>31819.043250000002</v>
      </c>
    </row>
    <row r="78" spans="3:11">
      <c r="J78" t="s">
        <v>65</v>
      </c>
      <c r="K78" t="s">
        <v>66</v>
      </c>
    </row>
    <row r="79" spans="3:11">
      <c r="I79">
        <v>16000</v>
      </c>
      <c r="J79" t="s">
        <v>67</v>
      </c>
    </row>
    <row r="81" spans="2:10">
      <c r="F81" t="s">
        <v>41</v>
      </c>
      <c r="G81">
        <v>4265</v>
      </c>
      <c r="H81" t="s">
        <v>68</v>
      </c>
    </row>
    <row r="82" spans="2:10">
      <c r="F82" t="s">
        <v>69</v>
      </c>
      <c r="G82">
        <v>2000</v>
      </c>
      <c r="H82" t="s">
        <v>70</v>
      </c>
    </row>
    <row r="83" spans="2:10">
      <c r="G83" t="s">
        <v>71</v>
      </c>
      <c r="H83" t="s">
        <v>72</v>
      </c>
      <c r="I83" t="s">
        <v>73</v>
      </c>
      <c r="J83" t="s">
        <v>74</v>
      </c>
    </row>
    <row r="84" spans="2:10">
      <c r="I84" t="s">
        <v>75</v>
      </c>
    </row>
    <row r="85" spans="2:10">
      <c r="G85">
        <v>1812</v>
      </c>
      <c r="H85" t="s">
        <v>76</v>
      </c>
      <c r="I85" t="s">
        <v>77</v>
      </c>
    </row>
    <row r="86" spans="2:10">
      <c r="I86" t="s">
        <v>78</v>
      </c>
    </row>
    <row r="89" spans="2:10">
      <c r="C89" t="s">
        <v>79</v>
      </c>
    </row>
    <row r="90" spans="2:10">
      <c r="C90" t="s">
        <v>80</v>
      </c>
      <c r="D90" t="s">
        <v>81</v>
      </c>
      <c r="E90" t="s">
        <v>82</v>
      </c>
      <c r="F90" t="s">
        <v>80</v>
      </c>
    </row>
    <row r="91" spans="2:10">
      <c r="B91" t="s">
        <v>83</v>
      </c>
      <c r="C91">
        <v>8.5</v>
      </c>
      <c r="D91">
        <v>0</v>
      </c>
      <c r="E91">
        <f>52*3/4</f>
        <v>39</v>
      </c>
      <c r="F91">
        <f>C91*D91*E91</f>
        <v>0</v>
      </c>
    </row>
    <row r="92" spans="2:10">
      <c r="C92">
        <v>8.75</v>
      </c>
      <c r="D92">
        <v>0</v>
      </c>
      <c r="E92">
        <f>52/4</f>
        <v>13</v>
      </c>
      <c r="F92">
        <f>C92*D92*E92</f>
        <v>0</v>
      </c>
      <c r="G92">
        <f>SUM(F91:F92)</f>
        <v>0</v>
      </c>
    </row>
    <row r="93" spans="2:10">
      <c r="B93" t="s">
        <v>84</v>
      </c>
      <c r="C93">
        <v>9</v>
      </c>
      <c r="D93">
        <v>0</v>
      </c>
      <c r="E93">
        <f>52*3/4</f>
        <v>39</v>
      </c>
      <c r="F93">
        <f>C93*D93*E93</f>
        <v>0</v>
      </c>
      <c r="G93">
        <f>F93</f>
        <v>0</v>
      </c>
    </row>
    <row r="94" spans="2:10">
      <c r="B94" t="s">
        <v>85</v>
      </c>
      <c r="C94">
        <v>9.25</v>
      </c>
      <c r="D94">
        <v>0</v>
      </c>
      <c r="E94">
        <f>52*3/4</f>
        <v>39</v>
      </c>
      <c r="F94">
        <f>C94*D94*E94</f>
        <v>0</v>
      </c>
      <c r="G94">
        <f>F94</f>
        <v>0</v>
      </c>
    </row>
    <row r="95" spans="2:10">
      <c r="G95">
        <f>SUM(G92:G94)</f>
        <v>0</v>
      </c>
    </row>
  </sheetData>
  <pageMargins left="0.7" right="0.7" top="0.75" bottom="0.75" header="0.3" footer="0.3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2011-06-03T14:56:01Z</dcterms:created>
  <dcterms:modified xsi:type="dcterms:W3CDTF">2019-09-17T18:31:47Z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