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rimes\Dropbox (JG at UI)\PIs\Xing\V19764 NSF MRI AY19-20 new\final day\"/>
    </mc:Choice>
  </mc:AlternateContent>
  <bookViews>
    <workbookView xWindow="0" yWindow="1572" windowWidth="21408" windowHeight="15996" activeTab="2"/>
  </bookViews>
  <sheets>
    <sheet name="Objet500 (3D Printer)" sheetId="2" r:id="rId1"/>
    <sheet name="Objet500 3D Printer - rev. copy" sheetId="4" r:id="rId2"/>
    <sheet name="Cost share review copy" sheetId="5" r:id="rId3"/>
    <sheet name="Sheet 1" sheetId="1" r:id="rId4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Show.Acct.Update.Warning" hidden="1">#REF!</definedName>
    <definedName name="Show.MDB.Update.Warning" hidden="1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5" l="1"/>
  <c r="O29" i="5"/>
  <c r="O30" i="5"/>
  <c r="N29" i="5"/>
  <c r="N30" i="5"/>
  <c r="M30" i="5"/>
  <c r="L30" i="5"/>
  <c r="K30" i="5"/>
  <c r="J30" i="5"/>
  <c r="I30" i="5"/>
  <c r="H30" i="5"/>
  <c r="C11" i="5"/>
  <c r="H11" i="5"/>
  <c r="C12" i="5"/>
  <c r="H12" i="5"/>
  <c r="C13" i="5"/>
  <c r="H13" i="5"/>
  <c r="H20" i="5"/>
  <c r="R19" i="4"/>
  <c r="D14" i="5"/>
  <c r="D11" i="5"/>
  <c r="D12" i="5"/>
  <c r="D13" i="5"/>
  <c r="D20" i="5"/>
  <c r="C20" i="5"/>
  <c r="H24" i="5"/>
  <c r="I24" i="5"/>
  <c r="T11" i="4"/>
  <c r="I14" i="4"/>
  <c r="R9" i="4"/>
  <c r="R8" i="4"/>
  <c r="U8" i="4"/>
  <c r="V8" i="4"/>
  <c r="R3" i="4"/>
  <c r="S3" i="4"/>
  <c r="T3" i="4"/>
  <c r="U3" i="4"/>
  <c r="C6" i="4"/>
  <c r="C7" i="4"/>
  <c r="D18" i="4"/>
  <c r="D19" i="4"/>
  <c r="E22" i="5"/>
  <c r="D20" i="4"/>
  <c r="D21" i="4"/>
  <c r="H8" i="5"/>
  <c r="F8" i="5"/>
  <c r="I8" i="5"/>
  <c r="E21" i="5"/>
  <c r="E24" i="5"/>
  <c r="E23" i="5"/>
  <c r="B20" i="5"/>
  <c r="D19" i="5"/>
  <c r="D18" i="5"/>
  <c r="D17" i="5"/>
  <c r="D16" i="5"/>
  <c r="D15" i="5"/>
  <c r="D16" i="4"/>
  <c r="R4" i="4"/>
  <c r="R5" i="4"/>
  <c r="R6" i="4"/>
  <c r="R7" i="4"/>
  <c r="S4" i="4"/>
  <c r="S5" i="4"/>
  <c r="S6" i="4"/>
  <c r="S7" i="4"/>
  <c r="T4" i="4"/>
  <c r="T5" i="4"/>
  <c r="T6" i="4"/>
  <c r="T7" i="4"/>
  <c r="U7" i="4"/>
  <c r="U9" i="4"/>
  <c r="U5" i="4"/>
  <c r="U6" i="4"/>
  <c r="U4" i="4"/>
  <c r="R21" i="2"/>
  <c r="R3" i="2"/>
  <c r="R4" i="2"/>
  <c r="D20" i="2"/>
  <c r="R25" i="2"/>
  <c r="R5" i="2"/>
  <c r="R6" i="2"/>
  <c r="R8" i="2"/>
  <c r="R24" i="2"/>
  <c r="R26" i="2"/>
  <c r="N17" i="2"/>
  <c r="C4" i="2"/>
  <c r="L11" i="2"/>
  <c r="C31" i="2"/>
  <c r="L17" i="2"/>
  <c r="L19" i="2"/>
  <c r="J26" i="2"/>
  <c r="L26" i="2"/>
  <c r="C22" i="2"/>
  <c r="C34" i="2"/>
  <c r="N35" i="2"/>
  <c r="L28" i="2"/>
  <c r="L14" i="2"/>
  <c r="C24" i="2"/>
  <c r="N14" i="2"/>
  <c r="C26" i="2"/>
  <c r="C29" i="2"/>
  <c r="L18" i="2"/>
  <c r="L15" i="2"/>
  <c r="L16" i="2"/>
  <c r="L29" i="2"/>
  <c r="L31" i="2"/>
  <c r="N18" i="2"/>
  <c r="N15" i="2"/>
  <c r="N16" i="2"/>
  <c r="N19" i="2"/>
  <c r="L23" i="2"/>
</calcChain>
</file>

<file path=xl/comments1.xml><?xml version="1.0" encoding="utf-8"?>
<comments xmlns="http://schemas.openxmlformats.org/spreadsheetml/2006/main">
  <authors>
    <author>JG</author>
  </authors>
  <commentList>
    <comment ref="C6" authorId="0" shapeId="0">
      <text>
        <r>
          <rPr>
            <sz val="9"/>
            <color indexed="81"/>
            <rFont val="Tahoma"/>
            <family val="2"/>
          </rPr>
          <t>&lt;- .15  FTE/year w 3% increase in Y1 - Y3</t>
        </r>
      </text>
    </comment>
  </commentList>
</comments>
</file>

<file path=xl/sharedStrings.xml><?xml version="1.0" encoding="utf-8"?>
<sst xmlns="http://schemas.openxmlformats.org/spreadsheetml/2006/main" count="147" uniqueCount="106">
  <si>
    <t>1. Senior Personnel</t>
  </si>
  <si>
    <t>Salary</t>
  </si>
  <si>
    <t>Fringe</t>
  </si>
  <si>
    <t>3. Cash from Departments/College/University</t>
  </si>
  <si>
    <t>Mechanical engineering</t>
  </si>
  <si>
    <t>A</t>
  </si>
  <si>
    <t>Civil Engineering</t>
  </si>
  <si>
    <t>Physics</t>
  </si>
  <si>
    <t>B</t>
  </si>
  <si>
    <t>Senior cost</t>
  </si>
  <si>
    <t>C</t>
  </si>
  <si>
    <t>total project cost</t>
  </si>
  <si>
    <t>CALS</t>
  </si>
  <si>
    <t>D</t>
  </si>
  <si>
    <t>Cost share needed</t>
  </si>
  <si>
    <t>College of Engineering</t>
  </si>
  <si>
    <t>E</t>
  </si>
  <si>
    <t>Cost share (cash)</t>
  </si>
  <si>
    <t>F</t>
  </si>
  <si>
    <t>Cost share available</t>
  </si>
  <si>
    <t>G</t>
  </si>
  <si>
    <t>funds from NSF</t>
  </si>
  <si>
    <t>4. Indirect cost (%47.5 of direct cost)</t>
  </si>
  <si>
    <t>H</t>
  </si>
  <si>
    <t>Cost share shortage</t>
  </si>
  <si>
    <t>5. Salary, Finge, F&amp;A</t>
  </si>
  <si>
    <t>6. Total Project Cost</t>
  </si>
  <si>
    <t>L=0.3*equip</t>
  </si>
  <si>
    <t>7. Total Cost share needed</t>
  </si>
  <si>
    <t>R=cash+0.7*senior cost</t>
  </si>
  <si>
    <t>8. Funds needed from NSF</t>
  </si>
  <si>
    <t>9. Total cost share available</t>
  </si>
  <si>
    <t>Cash from VPR</t>
  </si>
  <si>
    <t>Equipment+shipping</t>
  </si>
  <si>
    <t>Chemistry</t>
  </si>
  <si>
    <t xml:space="preserve">  Total</t>
  </si>
  <si>
    <t>Equip+shipping+maint</t>
  </si>
  <si>
    <t>Cost-sharing at the level of (precisely) 30% of the total project cost is required</t>
  </si>
  <si>
    <t>Second year Maintenance</t>
  </si>
  <si>
    <t>Chemistry (peter)</t>
  </si>
  <si>
    <t>NSF MRI 3D printer Objet500 with 2 Years of maintenance and $37,000 in resin credit</t>
  </si>
  <si>
    <t>Dr. Vibhav Durgesh's startup</t>
  </si>
  <si>
    <t>JG budget review</t>
  </si>
  <si>
    <t>EQ</t>
  </si>
  <si>
    <t>Personnel comp</t>
  </si>
  <si>
    <t>Cost Share</t>
  </si>
  <si>
    <t>Cost Share Total</t>
  </si>
  <si>
    <t>F&amp;A on comp only</t>
  </si>
  <si>
    <t>Personnel total</t>
  </si>
  <si>
    <t>Total Project Costs</t>
  </si>
  <si>
    <t>NSF request</t>
  </si>
  <si>
    <t>ME</t>
  </si>
  <si>
    <t>CEE</t>
  </si>
  <si>
    <t>Phy</t>
  </si>
  <si>
    <t>BE</t>
  </si>
  <si>
    <t>Durgesh</t>
  </si>
  <si>
    <t>COE</t>
  </si>
  <si>
    <t>VPR</t>
  </si>
  <si>
    <t>Unspecified Cost Share</t>
  </si>
  <si>
    <t xml:space="preserve">@ 33.1% </t>
  </si>
  <si>
    <t>UI Cost Shares</t>
  </si>
  <si>
    <t>Bryn Martin's startup</t>
  </si>
  <si>
    <t>JG budget review, revised 1-15-2020</t>
  </si>
  <si>
    <t>all calculations lead back to the equipment costs in this cell</t>
  </si>
  <si>
    <t>Total</t>
  </si>
  <si>
    <t>Y1</t>
  </si>
  <si>
    <t>Y2</t>
  </si>
  <si>
    <t>Y3</t>
  </si>
  <si>
    <t>3% COLA assumed for all years; .15 FTE per year</t>
  </si>
  <si>
    <t>Fringe @ 40.5%</t>
  </si>
  <si>
    <t>Total Direct Costs</t>
  </si>
  <si>
    <t>MTDC base</t>
  </si>
  <si>
    <t>F&amp;A only on A Gupta sal and fr</t>
  </si>
  <si>
    <t>Indirect cost @ 47.5%</t>
  </si>
  <si>
    <t>DOE Cost Share</t>
  </si>
  <si>
    <t>source: DOE-FOA-0002029</t>
  </si>
  <si>
    <t>Total project costs and estimated 25% Cost Share</t>
  </si>
  <si>
    <t>$ Federal Share</t>
  </si>
  <si>
    <t>% Federal Share</t>
  </si>
  <si>
    <t>UI Cost Share</t>
  </si>
  <si>
    <t>10/1/19-12/31/19</t>
  </si>
  <si>
    <t>Fed Request</t>
  </si>
  <si>
    <t>Staff Engr. salary</t>
  </si>
  <si>
    <t>project costs</t>
  </si>
  <si>
    <t>Staff Engr. fringe</t>
  </si>
  <si>
    <t>Staff Engr. F&amp;A</t>
  </si>
  <si>
    <t>Matching funds</t>
  </si>
  <si>
    <t>Totals</t>
  </si>
  <si>
    <t>Required match @ 30%:</t>
  </si>
  <si>
    <t>UI match</t>
  </si>
  <si>
    <t>delta</t>
  </si>
  <si>
    <t>% delta</t>
  </si>
  <si>
    <t>federal request</t>
  </si>
  <si>
    <t>Department</t>
  </si>
  <si>
    <t>Dep Cost Share</t>
  </si>
  <si>
    <t>Dept Index</t>
  </si>
  <si>
    <t>F&amp;A</t>
  </si>
  <si>
    <t>ME salary</t>
  </si>
  <si>
    <t>ME fringe</t>
  </si>
  <si>
    <t>Item</t>
  </si>
  <si>
    <t>Year 1</t>
  </si>
  <si>
    <t>Year 2</t>
  </si>
  <si>
    <t>Year 3</t>
  </si>
  <si>
    <t>NSF Request</t>
  </si>
  <si>
    <t>Cost Sharing</t>
  </si>
  <si>
    <t>1. Statasys Object500 Connex3 3D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</si>
</sst>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&quot;$&quot;* #,##0_);_(&quot;$&quot;* \(#,##0\);_(&quot;$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name val="Times New Roman"/>
      <family val="1"/>
      <charset val="204"/>
    </font>
    <font>
      <sz val="14"/>
      <color theme="0" tint="-0.249977111117893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5D9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1" applyNumberFormat="1" applyFont="1"/>
    <xf numFmtId="0" fontId="7" fillId="0" borderId="0" xfId="0" applyFont="1" applyAlignment="1">
      <alignment horizontal="center"/>
    </xf>
    <xf numFmtId="164" fontId="7" fillId="0" borderId="0" xfId="1" applyNumberFormat="1" applyFont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1" applyNumberFormat="1" applyFont="1"/>
    <xf numFmtId="0" fontId="9" fillId="0" borderId="0" xfId="0" applyFont="1"/>
    <xf numFmtId="164" fontId="9" fillId="0" borderId="0" xfId="1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164" fontId="10" fillId="0" borderId="0" xfId="1" applyNumberFormat="1" applyFont="1"/>
    <xf numFmtId="0" fontId="11" fillId="0" borderId="0" xfId="0" applyFont="1"/>
    <xf numFmtId="164" fontId="11" fillId="0" borderId="0" xfId="1" applyNumberFormat="1" applyFont="1"/>
    <xf numFmtId="164" fontId="11" fillId="2" borderId="0" xfId="1" applyNumberFormat="1" applyFont="1" applyFill="1"/>
    <xf numFmtId="0" fontId="1" fillId="2" borderId="0" xfId="0" applyFont="1" applyFill="1" applyAlignment="1">
      <alignment horizontal="left"/>
    </xf>
    <xf numFmtId="0" fontId="0" fillId="2" borderId="0" xfId="0" applyFill="1"/>
    <xf numFmtId="164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164" fontId="12" fillId="2" borderId="0" xfId="1" applyNumberFormat="1" applyFont="1" applyFill="1"/>
    <xf numFmtId="0" fontId="12" fillId="0" borderId="0" xfId="0" applyFont="1" applyAlignment="1">
      <alignment horizontal="center"/>
    </xf>
    <xf numFmtId="164" fontId="12" fillId="0" borderId="0" xfId="1" applyNumberFormat="1" applyFont="1"/>
    <xf numFmtId="0" fontId="12" fillId="0" borderId="0" xfId="0" applyFont="1" applyAlignment="1">
      <alignment horizontal="left"/>
    </xf>
    <xf numFmtId="0" fontId="5" fillId="3" borderId="0" xfId="0" applyFont="1" applyFill="1"/>
    <xf numFmtId="0" fontId="0" fillId="3" borderId="0" xfId="0" applyFill="1"/>
    <xf numFmtId="164" fontId="5" fillId="3" borderId="0" xfId="1" applyNumberFormat="1" applyFont="1" applyFill="1"/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quotePrefix="1"/>
    <xf numFmtId="164" fontId="0" fillId="4" borderId="0" xfId="1" applyNumberFormat="1" applyFont="1" applyFill="1"/>
    <xf numFmtId="0" fontId="13" fillId="0" borderId="0" xfId="0" applyFont="1" applyAlignment="1">
      <alignment horizontal="right"/>
    </xf>
    <xf numFmtId="164" fontId="13" fillId="4" borderId="0" xfId="1" applyNumberFormat="1" applyFont="1" applyFill="1"/>
    <xf numFmtId="0" fontId="0" fillId="0" borderId="0" xfId="0" applyFont="1" applyAlignment="1">
      <alignment horizontal="right"/>
    </xf>
    <xf numFmtId="164" fontId="2" fillId="4" borderId="0" xfId="1" applyNumberFormat="1" applyFont="1" applyFill="1"/>
    <xf numFmtId="0" fontId="14" fillId="0" borderId="0" xfId="0" applyFont="1" applyAlignment="1">
      <alignment horizontal="right"/>
    </xf>
    <xf numFmtId="0" fontId="14" fillId="0" borderId="0" xfId="0" applyFont="1"/>
    <xf numFmtId="164" fontId="14" fillId="4" borderId="0" xfId="1" applyNumberFormat="1" applyFont="1" applyFill="1"/>
    <xf numFmtId="0" fontId="13" fillId="5" borderId="1" xfId="0" applyFont="1" applyFill="1" applyBorder="1"/>
    <xf numFmtId="0" fontId="13" fillId="5" borderId="2" xfId="0" applyFont="1" applyFill="1" applyBorder="1" applyAlignment="1">
      <alignment horizontal="right"/>
    </xf>
    <xf numFmtId="164" fontId="13" fillId="5" borderId="2" xfId="1" applyNumberFormat="1" applyFont="1" applyFill="1" applyBorder="1"/>
    <xf numFmtId="0" fontId="0" fillId="5" borderId="3" xfId="0" applyFill="1" applyBorder="1"/>
    <xf numFmtId="0" fontId="13" fillId="5" borderId="4" xfId="0" applyFont="1" applyFill="1" applyBorder="1"/>
    <xf numFmtId="0" fontId="13" fillId="5" borderId="0" xfId="0" applyFont="1" applyFill="1" applyBorder="1" applyAlignment="1">
      <alignment horizontal="right"/>
    </xf>
    <xf numFmtId="164" fontId="13" fillId="5" borderId="0" xfId="1" applyNumberFormat="1" applyFont="1" applyFill="1" applyBorder="1"/>
    <xf numFmtId="0" fontId="0" fillId="5" borderId="5" xfId="0" applyFill="1" applyBorder="1"/>
    <xf numFmtId="0" fontId="13" fillId="5" borderId="6" xfId="0" applyFont="1" applyFill="1" applyBorder="1"/>
    <xf numFmtId="0" fontId="13" fillId="5" borderId="7" xfId="0" applyFont="1" applyFill="1" applyBorder="1" applyAlignment="1">
      <alignment horizontal="right"/>
    </xf>
    <xf numFmtId="164" fontId="13" fillId="5" borderId="7" xfId="1" applyNumberFormat="1" applyFont="1" applyFill="1" applyBorder="1"/>
    <xf numFmtId="0" fontId="0" fillId="5" borderId="8" xfId="0" applyFill="1" applyBorder="1"/>
    <xf numFmtId="0" fontId="5" fillId="0" borderId="9" xfId="0" applyFont="1" applyBorder="1"/>
    <xf numFmtId="0" fontId="5" fillId="0" borderId="10" xfId="0" applyFont="1" applyBorder="1"/>
    <xf numFmtId="164" fontId="5" fillId="0" borderId="10" xfId="1" applyNumberFormat="1" applyFont="1" applyBorder="1"/>
    <xf numFmtId="164" fontId="5" fillId="0" borderId="11" xfId="1" applyNumberFormat="1" applyFont="1" applyBorder="1"/>
    <xf numFmtId="0" fontId="5" fillId="3" borderId="12" xfId="0" applyFont="1" applyFill="1" applyBorder="1"/>
    <xf numFmtId="0" fontId="5" fillId="3" borderId="13" xfId="0" applyFont="1" applyFill="1" applyBorder="1"/>
    <xf numFmtId="164" fontId="5" fillId="3" borderId="13" xfId="1" applyNumberFormat="1" applyFont="1" applyFill="1" applyBorder="1"/>
    <xf numFmtId="164" fontId="5" fillId="3" borderId="14" xfId="1" applyNumberFormat="1" applyFont="1" applyFill="1" applyBorder="1"/>
    <xf numFmtId="0" fontId="5" fillId="0" borderId="15" xfId="0" applyFont="1" applyBorder="1"/>
    <xf numFmtId="0" fontId="5" fillId="0" borderId="16" xfId="0" applyFont="1" applyBorder="1"/>
    <xf numFmtId="164" fontId="5" fillId="0" borderId="16" xfId="1" applyNumberFormat="1" applyFont="1" applyBorder="1"/>
    <xf numFmtId="164" fontId="5" fillId="0" borderId="17" xfId="1" applyNumberFormat="1" applyFont="1" applyBorder="1"/>
    <xf numFmtId="0" fontId="15" fillId="4" borderId="0" xfId="0" applyFont="1" applyFill="1" applyAlignment="1"/>
    <xf numFmtId="164" fontId="7" fillId="6" borderId="0" xfId="1" applyNumberFormat="1" applyFont="1" applyFill="1"/>
    <xf numFmtId="164" fontId="16" fillId="4" borderId="0" xfId="1" applyNumberFormat="1" applyFont="1" applyFill="1"/>
    <xf numFmtId="43" fontId="15" fillId="5" borderId="0" xfId="1" applyFont="1" applyFill="1" applyAlignment="1">
      <alignment horizontal="center"/>
    </xf>
    <xf numFmtId="0" fontId="16" fillId="0" borderId="0" xfId="0" applyFont="1" applyAlignment="1">
      <alignment horizontal="right"/>
    </xf>
    <xf numFmtId="164" fontId="16" fillId="5" borderId="0" xfId="1" applyNumberFormat="1" applyFont="1" applyFill="1"/>
    <xf numFmtId="0" fontId="17" fillId="0" borderId="0" xfId="0" applyFont="1" applyAlignment="1">
      <alignment horizontal="right"/>
    </xf>
    <xf numFmtId="164" fontId="17" fillId="5" borderId="0" xfId="1" applyNumberFormat="1" applyFont="1" applyFill="1"/>
    <xf numFmtId="0" fontId="5" fillId="4" borderId="0" xfId="0" applyFont="1" applyFill="1"/>
    <xf numFmtId="164" fontId="18" fillId="4" borderId="0" xfId="1" applyNumberFormat="1" applyFont="1" applyFill="1"/>
    <xf numFmtId="0" fontId="15" fillId="0" borderId="0" xfId="0" applyFont="1" applyAlignment="1">
      <alignment horizontal="right"/>
    </xf>
    <xf numFmtId="164" fontId="15" fillId="4" borderId="0" xfId="1" applyNumberFormat="1" applyFont="1" applyFill="1"/>
    <xf numFmtId="0" fontId="19" fillId="0" borderId="0" xfId="0" applyFont="1" applyAlignment="1">
      <alignment horizontal="right"/>
    </xf>
    <xf numFmtId="164" fontId="19" fillId="5" borderId="0" xfId="1" applyNumberFormat="1" applyFont="1" applyFill="1"/>
    <xf numFmtId="164" fontId="17" fillId="4" borderId="0" xfId="1" applyNumberFormat="1" applyFont="1" applyFill="1"/>
    <xf numFmtId="0" fontId="16" fillId="4" borderId="0" xfId="0" applyFont="1" applyFill="1"/>
    <xf numFmtId="164" fontId="16" fillId="0" borderId="0" xfId="1" applyNumberFormat="1" applyFont="1"/>
    <xf numFmtId="0" fontId="16" fillId="0" borderId="0" xfId="0" applyFont="1"/>
    <xf numFmtId="164" fontId="9" fillId="0" borderId="0" xfId="1" applyNumberFormat="1" applyFont="1" applyFill="1"/>
    <xf numFmtId="0" fontId="5" fillId="3" borderId="15" xfId="0" applyFont="1" applyFill="1" applyBorder="1"/>
    <xf numFmtId="0" fontId="6" fillId="0" borderId="0" xfId="0" applyFont="1"/>
    <xf numFmtId="0" fontId="13" fillId="0" borderId="0" xfId="0" applyFont="1"/>
    <xf numFmtId="0" fontId="4" fillId="0" borderId="0" xfId="0" applyFont="1" applyAlignment="1">
      <alignment horizontal="left"/>
    </xf>
    <xf numFmtId="0" fontId="13" fillId="0" borderId="0" xfId="3" applyFont="1"/>
    <xf numFmtId="0" fontId="2" fillId="0" borderId="0" xfId="3"/>
    <xf numFmtId="164" fontId="21" fillId="7" borderId="18" xfId="4" applyNumberFormat="1" applyFont="1" applyFill="1" applyBorder="1" applyAlignment="1">
      <alignment vertical="top" wrapText="1"/>
    </xf>
    <xf numFmtId="164" fontId="21" fillId="7" borderId="19" xfId="4" applyNumberFormat="1" applyFont="1" applyFill="1" applyBorder="1" applyAlignment="1">
      <alignment horizontal="left" vertical="top" wrapText="1"/>
    </xf>
    <xf numFmtId="164" fontId="21" fillId="7" borderId="20" xfId="4" applyNumberFormat="1" applyFont="1" applyFill="1" applyBorder="1" applyAlignment="1">
      <alignment horizontal="left" vertical="top" wrapText="1"/>
    </xf>
    <xf numFmtId="3" fontId="23" fillId="8" borderId="21" xfId="5" applyNumberFormat="1" applyFont="1" applyFill="1" applyBorder="1" applyProtection="1"/>
    <xf numFmtId="9" fontId="2" fillId="0" borderId="13" xfId="6" applyFont="1" applyBorder="1"/>
    <xf numFmtId="164" fontId="2" fillId="0" borderId="13" xfId="4" applyNumberFormat="1" applyFont="1" applyBorder="1"/>
    <xf numFmtId="164" fontId="2" fillId="2" borderId="13" xfId="4" applyNumberFormat="1" applyFont="1" applyFill="1" applyBorder="1"/>
    <xf numFmtId="0" fontId="2" fillId="0" borderId="0" xfId="3" applyAlignment="1"/>
    <xf numFmtId="43" fontId="2" fillId="0" borderId="0" xfId="3" applyNumberFormat="1"/>
    <xf numFmtId="0" fontId="13" fillId="0" borderId="0" xfId="3" applyFont="1" applyAlignment="1">
      <alignment wrapText="1"/>
    </xf>
    <xf numFmtId="0" fontId="13" fillId="0" borderId="13" xfId="3" applyFont="1" applyBorder="1" applyAlignment="1">
      <alignment wrapText="1"/>
    </xf>
    <xf numFmtId="0" fontId="13" fillId="4" borderId="13" xfId="3" applyFont="1" applyFill="1" applyBorder="1" applyAlignment="1">
      <alignment wrapText="1"/>
    </xf>
    <xf numFmtId="0" fontId="13" fillId="9" borderId="13" xfId="3" applyFont="1" applyFill="1" applyBorder="1" applyAlignment="1">
      <alignment wrapText="1"/>
    </xf>
    <xf numFmtId="0" fontId="2" fillId="0" borderId="0" xfId="3" applyAlignment="1">
      <alignment wrapText="1"/>
    </xf>
    <xf numFmtId="164" fontId="0" fillId="0" borderId="13" xfId="4" applyNumberFormat="1" applyFont="1" applyBorder="1"/>
    <xf numFmtId="164" fontId="0" fillId="4" borderId="13" xfId="4" applyNumberFormat="1" applyFont="1" applyFill="1" applyBorder="1"/>
    <xf numFmtId="164" fontId="0" fillId="10" borderId="13" xfId="4" applyNumberFormat="1" applyFont="1" applyFill="1" applyBorder="1"/>
    <xf numFmtId="0" fontId="0" fillId="10" borderId="0" xfId="3" applyFont="1" applyFill="1"/>
    <xf numFmtId="0" fontId="24" fillId="0" borderId="0" xfId="3" applyFont="1" applyAlignment="1">
      <alignment vertical="top" wrapText="1"/>
    </xf>
    <xf numFmtId="164" fontId="0" fillId="10" borderId="0" xfId="4" applyNumberFormat="1" applyFont="1" applyFill="1"/>
    <xf numFmtId="164" fontId="16" fillId="0" borderId="0" xfId="4" applyNumberFormat="1" applyFont="1" applyAlignment="1">
      <alignment vertical="top" wrapText="1"/>
    </xf>
    <xf numFmtId="0" fontId="2" fillId="0" borderId="0" xfId="3" applyFont="1"/>
    <xf numFmtId="164" fontId="21" fillId="0" borderId="0" xfId="4" applyNumberFormat="1" applyFont="1" applyAlignment="1">
      <alignment horizontal="left" vertical="top"/>
    </xf>
    <xf numFmtId="164" fontId="0" fillId="6" borderId="13" xfId="4" applyNumberFormat="1" applyFont="1" applyFill="1" applyBorder="1"/>
    <xf numFmtId="43" fontId="0" fillId="4" borderId="13" xfId="4" applyNumberFormat="1" applyFont="1" applyFill="1" applyBorder="1"/>
    <xf numFmtId="164" fontId="2" fillId="0" borderId="0" xfId="4" applyNumberFormat="1" applyFont="1"/>
    <xf numFmtId="164" fontId="0" fillId="9" borderId="13" xfId="4" applyNumberFormat="1" applyFont="1" applyFill="1" applyBorder="1"/>
    <xf numFmtId="164" fontId="0" fillId="9" borderId="0" xfId="4" applyNumberFormat="1" applyFont="1" applyFill="1"/>
    <xf numFmtId="0" fontId="13" fillId="0" borderId="13" xfId="3" applyFont="1" applyBorder="1"/>
    <xf numFmtId="164" fontId="0" fillId="0" borderId="0" xfId="4" applyNumberFormat="1" applyFont="1"/>
    <xf numFmtId="0" fontId="0" fillId="0" borderId="0" xfId="3" applyFont="1"/>
    <xf numFmtId="164" fontId="2" fillId="2" borderId="0" xfId="3" applyNumberFormat="1" applyFill="1"/>
    <xf numFmtId="164" fontId="2" fillId="0" borderId="0" xfId="3" applyNumberFormat="1"/>
    <xf numFmtId="164" fontId="2" fillId="0" borderId="0" xfId="1" applyNumberFormat="1"/>
    <xf numFmtId="10" fontId="2" fillId="0" borderId="0" xfId="2" applyNumberFormat="1"/>
    <xf numFmtId="0" fontId="13" fillId="4" borderId="0" xfId="0" applyFont="1" applyFill="1" applyAlignment="1">
      <alignment horizontal="center"/>
    </xf>
    <xf numFmtId="0" fontId="13" fillId="0" borderId="0" xfId="3" applyFont="1" applyAlignment="1">
      <alignment horizontal="center"/>
    </xf>
    <xf numFmtId="0" fontId="13" fillId="0" borderId="14" xfId="3" applyFont="1" applyBorder="1" applyAlignment="1">
      <alignment horizontal="center"/>
    </xf>
    <xf numFmtId="0" fontId="13" fillId="0" borderId="22" xfId="3" applyFont="1" applyBorder="1" applyAlignment="1">
      <alignment horizontal="center"/>
    </xf>
    <xf numFmtId="0" fontId="13" fillId="0" borderId="12" xfId="3" applyFont="1" applyBorder="1" applyAlignment="1">
      <alignment horizontal="center"/>
    </xf>
    <xf numFmtId="164" fontId="25" fillId="0" borderId="0" xfId="0" applyNumberFormat="1" applyFont="1" applyAlignment="1">
      <alignment horizontal="center"/>
    </xf>
    <xf numFmtId="164" fontId="16" fillId="0" borderId="0" xfId="0" applyNumberFormat="1" applyFont="1"/>
    <xf numFmtId="164" fontId="0" fillId="2" borderId="0" xfId="4" applyNumberFormat="1" applyFont="1" applyFill="1"/>
    <xf numFmtId="164" fontId="0" fillId="11" borderId="0" xfId="4" applyNumberFormat="1" applyFont="1" applyFill="1"/>
    <xf numFmtId="0" fontId="0" fillId="0" borderId="13" xfId="3" applyFont="1" applyBorder="1"/>
    <xf numFmtId="164" fontId="2" fillId="0" borderId="13" xfId="3" applyNumberFormat="1" applyBorder="1"/>
    <xf numFmtId="0" fontId="2" fillId="0" borderId="13" xfId="3" applyBorder="1"/>
    <xf numFmtId="0" fontId="13" fillId="0" borderId="13" xfId="3" applyFont="1" applyFill="1" applyBorder="1"/>
    <xf numFmtId="0" fontId="24" fillId="0" borderId="13" xfId="3" applyFont="1" applyBorder="1" applyAlignment="1">
      <alignment vertical="top" wrapText="1"/>
    </xf>
    <xf numFmtId="164" fontId="16" fillId="0" borderId="13" xfId="4" applyNumberFormat="1" applyFont="1" applyBorder="1" applyAlignment="1">
      <alignment vertical="top" wrapText="1"/>
    </xf>
    <xf numFmtId="164" fontId="16" fillId="2" borderId="13" xfId="4" applyNumberFormat="1" applyFont="1" applyFill="1" applyBorder="1"/>
    <xf numFmtId="164" fontId="0" fillId="12" borderId="13" xfId="4" applyNumberFormat="1" applyFont="1" applyFill="1" applyBorder="1"/>
    <xf numFmtId="43" fontId="0" fillId="12" borderId="13" xfId="4" applyNumberFormat="1" applyFont="1" applyFill="1" applyBorder="1"/>
    <xf numFmtId="0" fontId="13" fillId="0" borderId="13" xfId="3" applyFont="1" applyBorder="1" applyAlignment="1">
      <alignment horizontal="center"/>
    </xf>
    <xf numFmtId="0" fontId="0" fillId="0" borderId="13" xfId="3" applyFont="1" applyBorder="1" applyAlignment="1">
      <alignment wrapText="1"/>
    </xf>
    <xf numFmtId="165" fontId="16" fillId="0" borderId="0" xfId="1" applyNumberFormat="1" applyFont="1"/>
    <xf numFmtId="0" fontId="13" fillId="0" borderId="16" xfId="3" applyFont="1" applyBorder="1" applyAlignment="1">
      <alignment horizontal="center"/>
    </xf>
    <xf numFmtId="0" fontId="13" fillId="0" borderId="10" xfId="3" applyFont="1" applyBorder="1" applyAlignment="1">
      <alignment horizontal="center"/>
    </xf>
    <xf numFmtId="166" fontId="2" fillId="0" borderId="13" xfId="1" applyNumberFormat="1" applyBorder="1"/>
    <xf numFmtId="166" fontId="2" fillId="0" borderId="13" xfId="7" applyNumberFormat="1" applyBorder="1"/>
    <xf numFmtId="0" fontId="13" fillId="0" borderId="13" xfId="3" applyFont="1" applyBorder="1" applyAlignment="1">
      <alignment horizontal="right"/>
    </xf>
    <xf numFmtId="166" fontId="13" fillId="0" borderId="13" xfId="1" applyNumberFormat="1" applyFont="1" applyBorder="1"/>
    <xf numFmtId="0" fontId="26" fillId="0" borderId="0" xfId="0" applyFont="1"/>
  </cellXfs>
  <cellStyles count="8">
    <cellStyle name="Comma" xfId="1" builtinId="3"/>
    <cellStyle name="Comma 2" xfId="4"/>
    <cellStyle name="Currency" xfId="7" builtinId="4"/>
    <cellStyle name="Normal" xfId="0" builtinId="0"/>
    <cellStyle name="Normal 2" xfId="5"/>
    <cellStyle name="Normal 3" xfId="3"/>
    <cellStyle name="Percent" xfId="2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A16" zoomScale="85" zoomScaleNormal="85" workbookViewId="0">
      <selection activeCell="D17" sqref="D17"/>
    </sheetView>
  </sheetViews>
  <sheetFormatPr defaultRowHeight="14.4" x14ac:dyDescent="0.3"/>
  <cols>
    <col min="2" max="2" width="33.6640625" customWidth="1"/>
    <col min="3" max="3" width="16" customWidth="1"/>
    <col min="4" max="4" width="13.109375" customWidth="1"/>
    <col min="5" max="6" width="0" hidden="1" customWidth="1"/>
    <col min="7" max="7" width="9.109375" hidden="1" customWidth="1"/>
    <col min="8" max="8" width="0" hidden="1" customWidth="1"/>
    <col min="10" max="10" width="27" bestFit="1" customWidth="1"/>
    <col min="11" max="11" width="11.33203125" customWidth="1"/>
    <col min="12" max="12" width="13.44140625" customWidth="1"/>
    <col min="13" max="13" width="1" customWidth="1"/>
    <col min="14" max="14" width="13.33203125" customWidth="1"/>
    <col min="17" max="17" width="8.88671875" style="41"/>
    <col min="18" max="18" width="11.6640625" style="30" bestFit="1" customWidth="1"/>
  </cols>
  <sheetData>
    <row r="1" spans="1:20" ht="21" x14ac:dyDescent="0.4">
      <c r="A1" s="7"/>
      <c r="B1" s="7"/>
      <c r="C1" s="8" t="s">
        <v>40</v>
      </c>
      <c r="D1" s="9"/>
      <c r="E1" s="10"/>
      <c r="F1" s="7"/>
      <c r="I1" s="11"/>
      <c r="J1" s="12"/>
      <c r="K1" s="12"/>
      <c r="L1" s="13"/>
      <c r="R1" s="135" t="s">
        <v>42</v>
      </c>
      <c r="S1" s="135"/>
    </row>
    <row r="2" spans="1:20" ht="21" x14ac:dyDescent="0.4">
      <c r="A2" s="14"/>
      <c r="B2" s="7" t="s">
        <v>33</v>
      </c>
      <c r="C2" s="15">
        <v>296075.5</v>
      </c>
      <c r="D2" s="9"/>
      <c r="E2" s="10"/>
      <c r="F2" s="16"/>
      <c r="I2" s="11"/>
      <c r="J2" s="12"/>
      <c r="K2" s="12"/>
      <c r="L2" s="13"/>
      <c r="Q2" s="41" t="s">
        <v>1</v>
      </c>
      <c r="R2" s="43">
        <v>17748</v>
      </c>
      <c r="S2" s="40"/>
    </row>
    <row r="3" spans="1:20" ht="21" x14ac:dyDescent="0.4">
      <c r="A3" s="14"/>
      <c r="B3" s="7" t="s">
        <v>38</v>
      </c>
      <c r="C3" s="15">
        <v>0</v>
      </c>
      <c r="D3" s="9"/>
      <c r="E3" s="10"/>
      <c r="F3" s="16"/>
      <c r="I3" s="11"/>
      <c r="J3" s="12"/>
      <c r="K3" s="12"/>
      <c r="L3" s="13"/>
      <c r="Q3" s="41" t="s">
        <v>2</v>
      </c>
      <c r="R3" s="43">
        <f>R2*0.331</f>
        <v>5874.5880000000006</v>
      </c>
      <c r="S3" s="40"/>
      <c r="T3" s="42" t="s">
        <v>59</v>
      </c>
    </row>
    <row r="4" spans="1:20" ht="21" x14ac:dyDescent="0.4">
      <c r="A4" s="14"/>
      <c r="B4" s="7" t="s">
        <v>35</v>
      </c>
      <c r="C4" s="15">
        <f>SUM(C2:C3)</f>
        <v>296075.5</v>
      </c>
      <c r="D4" s="9"/>
      <c r="E4" s="10"/>
      <c r="F4" s="16"/>
      <c r="I4" s="11"/>
      <c r="J4" s="12"/>
      <c r="K4" s="12"/>
      <c r="L4" s="13"/>
      <c r="P4" s="49"/>
      <c r="Q4" s="48" t="s">
        <v>44</v>
      </c>
      <c r="R4" s="50">
        <f>SUM(R2:R3)</f>
        <v>23622.588</v>
      </c>
      <c r="S4" s="40"/>
    </row>
    <row r="5" spans="1:20" ht="21" x14ac:dyDescent="0.4">
      <c r="A5" s="7"/>
      <c r="B5" s="7"/>
      <c r="C5" s="9"/>
      <c r="D5" s="9"/>
      <c r="E5" s="10"/>
      <c r="F5" s="7"/>
      <c r="I5" s="11"/>
      <c r="J5" s="12"/>
      <c r="K5" s="12"/>
      <c r="L5" s="13"/>
      <c r="P5" s="5"/>
      <c r="Q5" s="46" t="s">
        <v>47</v>
      </c>
      <c r="R5" s="47">
        <f>R4*0.475</f>
        <v>11220.729299999999</v>
      </c>
      <c r="S5" s="40"/>
    </row>
    <row r="6" spans="1:20" ht="21" x14ac:dyDescent="0.4">
      <c r="A6" s="7" t="s">
        <v>0</v>
      </c>
      <c r="B6" s="7"/>
      <c r="C6" s="9"/>
      <c r="D6" s="9"/>
      <c r="E6" s="10"/>
      <c r="F6" s="7"/>
      <c r="I6" s="11"/>
      <c r="J6" s="12"/>
      <c r="K6" s="12"/>
      <c r="L6" s="13"/>
      <c r="P6" s="49"/>
      <c r="Q6" s="48" t="s">
        <v>48</v>
      </c>
      <c r="R6" s="50">
        <f>SUM(R4:R5)</f>
        <v>34843.317299999995</v>
      </c>
      <c r="S6" s="40"/>
    </row>
    <row r="7" spans="1:20" ht="21" x14ac:dyDescent="0.4">
      <c r="A7" s="7"/>
      <c r="B7" s="7" t="s">
        <v>1</v>
      </c>
      <c r="C7" s="9">
        <v>31219</v>
      </c>
      <c r="D7" s="9"/>
      <c r="E7" s="10"/>
      <c r="F7" s="7"/>
      <c r="I7" s="11"/>
      <c r="J7" s="12">
        <v>20033</v>
      </c>
      <c r="K7" s="12"/>
      <c r="L7" s="13"/>
      <c r="P7" s="49"/>
      <c r="Q7" s="48" t="s">
        <v>43</v>
      </c>
      <c r="R7" s="50">
        <v>279723</v>
      </c>
      <c r="S7" s="40"/>
    </row>
    <row r="8" spans="1:20" ht="21" x14ac:dyDescent="0.4">
      <c r="A8" s="7"/>
      <c r="B8" s="7" t="s">
        <v>2</v>
      </c>
      <c r="C8" s="9">
        <v>12644</v>
      </c>
      <c r="D8" s="9"/>
      <c r="E8" s="10"/>
      <c r="F8" s="7"/>
      <c r="I8" s="11"/>
      <c r="J8" s="12">
        <v>6631</v>
      </c>
      <c r="K8" s="12"/>
      <c r="L8" s="13"/>
      <c r="Q8" s="44" t="s">
        <v>49</v>
      </c>
      <c r="R8" s="45">
        <f>SUM(R6:R7)</f>
        <v>314566.3173</v>
      </c>
      <c r="S8" s="40"/>
    </row>
    <row r="9" spans="1:20" ht="21" x14ac:dyDescent="0.4">
      <c r="A9" s="7"/>
      <c r="B9" s="7"/>
      <c r="C9" s="9"/>
      <c r="D9" s="9"/>
      <c r="E9" s="10"/>
      <c r="F9" s="7"/>
      <c r="I9" s="11"/>
      <c r="J9" s="12"/>
      <c r="K9" s="12"/>
      <c r="L9" s="13"/>
      <c r="R9" s="43"/>
      <c r="S9" s="40"/>
    </row>
    <row r="10" spans="1:20" ht="21" x14ac:dyDescent="0.4">
      <c r="A10" s="7" t="s">
        <v>3</v>
      </c>
      <c r="B10" s="7"/>
      <c r="C10" s="9"/>
      <c r="D10" s="9"/>
      <c r="E10" s="10"/>
      <c r="F10" s="7"/>
      <c r="I10" s="11"/>
      <c r="J10" s="12"/>
      <c r="K10" s="12"/>
      <c r="L10" s="13"/>
      <c r="R10" s="43"/>
      <c r="S10" s="40"/>
    </row>
    <row r="11" spans="1:20" ht="21" x14ac:dyDescent="0.4">
      <c r="A11" s="7"/>
      <c r="B11" s="7" t="s">
        <v>4</v>
      </c>
      <c r="C11" s="9"/>
      <c r="D11" s="9">
        <v>2000</v>
      </c>
      <c r="E11" s="10"/>
      <c r="F11" s="7"/>
      <c r="I11" s="11" t="s">
        <v>5</v>
      </c>
      <c r="J11" s="12" t="s">
        <v>36</v>
      </c>
      <c r="K11" s="12"/>
      <c r="L11" s="13">
        <f>C4</f>
        <v>296075.5</v>
      </c>
      <c r="N11" s="30">
        <v>277177</v>
      </c>
      <c r="P11" s="41" t="s">
        <v>45</v>
      </c>
      <c r="Q11" s="41" t="s">
        <v>51</v>
      </c>
      <c r="R11" s="43">
        <v>3001</v>
      </c>
      <c r="S11" s="40"/>
    </row>
    <row r="12" spans="1:20" ht="21" x14ac:dyDescent="0.4">
      <c r="A12" s="7"/>
      <c r="B12" s="7" t="s">
        <v>6</v>
      </c>
      <c r="C12" s="9"/>
      <c r="D12" s="9">
        <v>0</v>
      </c>
      <c r="E12" s="10"/>
      <c r="F12" s="7"/>
      <c r="I12" s="11"/>
      <c r="J12" s="12"/>
      <c r="K12" s="12"/>
      <c r="L12" s="13"/>
      <c r="N12" s="30"/>
      <c r="Q12" s="41" t="s">
        <v>52</v>
      </c>
      <c r="R12" s="43">
        <v>3000</v>
      </c>
      <c r="S12" s="40"/>
    </row>
    <row r="13" spans="1:20" ht="21" x14ac:dyDescent="0.4">
      <c r="A13" s="7"/>
      <c r="B13" s="7" t="s">
        <v>7</v>
      </c>
      <c r="C13" s="9"/>
      <c r="D13" s="9">
        <v>2000</v>
      </c>
      <c r="E13" s="10"/>
      <c r="F13" s="7"/>
      <c r="I13" s="11"/>
      <c r="J13" s="12"/>
      <c r="K13" s="12"/>
      <c r="L13" s="13"/>
      <c r="N13" s="30"/>
      <c r="Q13" s="41" t="s">
        <v>53</v>
      </c>
      <c r="R13" s="43">
        <v>3000</v>
      </c>
      <c r="S13" s="40"/>
    </row>
    <row r="14" spans="1:20" ht="21" x14ac:dyDescent="0.4">
      <c r="A14" s="63"/>
      <c r="B14" s="64" t="s">
        <v>61</v>
      </c>
      <c r="C14" s="65"/>
      <c r="D14" s="66">
        <v>0</v>
      </c>
      <c r="E14" s="10"/>
      <c r="F14" s="7"/>
      <c r="I14" s="11" t="s">
        <v>8</v>
      </c>
      <c r="J14" s="12" t="s">
        <v>9</v>
      </c>
      <c r="K14" s="12"/>
      <c r="L14" s="13">
        <f>C7+C8+C22</f>
        <v>64698</v>
      </c>
      <c r="N14" s="30">
        <f>C24</f>
        <v>64698</v>
      </c>
      <c r="Q14" s="41" t="s">
        <v>54</v>
      </c>
      <c r="R14" s="43">
        <v>3000</v>
      </c>
      <c r="S14" s="40"/>
    </row>
    <row r="15" spans="1:20" ht="21" x14ac:dyDescent="0.4">
      <c r="A15" s="67"/>
      <c r="B15" s="68" t="s">
        <v>41</v>
      </c>
      <c r="C15" s="69"/>
      <c r="D15" s="70">
        <v>0</v>
      </c>
      <c r="E15" s="10"/>
      <c r="F15" s="7"/>
      <c r="I15" s="11" t="s">
        <v>10</v>
      </c>
      <c r="J15" s="12" t="s">
        <v>11</v>
      </c>
      <c r="K15" s="12"/>
      <c r="L15" s="13">
        <f>L11+L14</f>
        <v>360773.5</v>
      </c>
      <c r="N15" s="30">
        <f>SUM(N11:N14)</f>
        <v>341875</v>
      </c>
      <c r="Q15" s="41" t="s">
        <v>55</v>
      </c>
      <c r="R15" s="43">
        <v>3764</v>
      </c>
      <c r="S15" s="40"/>
    </row>
    <row r="16" spans="1:20" ht="21" x14ac:dyDescent="0.4">
      <c r="A16" s="71"/>
      <c r="B16" s="72" t="s">
        <v>12</v>
      </c>
      <c r="C16" s="73"/>
      <c r="D16" s="74">
        <v>5000</v>
      </c>
      <c r="E16" s="10"/>
      <c r="F16" s="7"/>
      <c r="I16" s="17" t="s">
        <v>13</v>
      </c>
      <c r="J16" s="18" t="s">
        <v>14</v>
      </c>
      <c r="K16" s="18"/>
      <c r="L16" s="19">
        <f>0.3*L15</f>
        <v>108232.05</v>
      </c>
      <c r="N16" s="30">
        <f>0.3*N15</f>
        <v>102562.5</v>
      </c>
      <c r="O16" t="s">
        <v>37</v>
      </c>
      <c r="Q16" s="41" t="s">
        <v>12</v>
      </c>
      <c r="R16" s="43">
        <v>5000</v>
      </c>
      <c r="S16" s="40"/>
    </row>
    <row r="17" spans="1:19" ht="21" x14ac:dyDescent="0.4">
      <c r="A17" s="16"/>
      <c r="B17" s="20" t="s">
        <v>15</v>
      </c>
      <c r="C17" s="21"/>
      <c r="D17" s="21">
        <v>27717</v>
      </c>
      <c r="E17" s="14"/>
      <c r="F17" s="16"/>
      <c r="G17" s="4"/>
      <c r="H17" s="4"/>
      <c r="I17" s="22" t="s">
        <v>16</v>
      </c>
      <c r="J17" s="23" t="s">
        <v>17</v>
      </c>
      <c r="K17" s="23"/>
      <c r="L17" s="24">
        <f>SUM(D11:D19)</f>
        <v>43534</v>
      </c>
      <c r="N17" s="30">
        <f>SUM(D11:D18)</f>
        <v>36717</v>
      </c>
      <c r="Q17" s="41" t="s">
        <v>56</v>
      </c>
      <c r="R17" s="43">
        <v>30000</v>
      </c>
      <c r="S17" s="40"/>
    </row>
    <row r="18" spans="1:19" ht="21" x14ac:dyDescent="0.4">
      <c r="A18" s="16"/>
      <c r="B18" s="37" t="s">
        <v>39</v>
      </c>
      <c r="C18" s="38"/>
      <c r="D18" s="39">
        <v>0</v>
      </c>
      <c r="E18" s="14"/>
      <c r="F18" s="16"/>
      <c r="G18" s="4"/>
      <c r="H18" s="4"/>
      <c r="I18" s="17" t="s">
        <v>18</v>
      </c>
      <c r="J18" s="18" t="s">
        <v>19</v>
      </c>
      <c r="K18" s="18"/>
      <c r="L18" s="19">
        <f>L17+L14</f>
        <v>108232</v>
      </c>
      <c r="N18" s="30">
        <f>N14+N17</f>
        <v>101415</v>
      </c>
      <c r="Q18" s="41" t="s">
        <v>34</v>
      </c>
      <c r="R18" s="43">
        <v>2000</v>
      </c>
      <c r="S18" s="40"/>
    </row>
    <row r="19" spans="1:19" ht="21" x14ac:dyDescent="0.4">
      <c r="A19" s="7"/>
      <c r="B19" s="25" t="s">
        <v>32</v>
      </c>
      <c r="C19" s="26"/>
      <c r="D19" s="27">
        <v>6817</v>
      </c>
      <c r="E19" s="10"/>
      <c r="F19" s="7"/>
      <c r="I19" s="11" t="s">
        <v>20</v>
      </c>
      <c r="J19" s="12" t="s">
        <v>21</v>
      </c>
      <c r="K19" s="12"/>
      <c r="L19" s="13">
        <f>L11-L17</f>
        <v>252541.5</v>
      </c>
      <c r="N19" s="30">
        <f>N11-N16</f>
        <v>174614.5</v>
      </c>
      <c r="Q19" s="41" t="s">
        <v>57</v>
      </c>
      <c r="R19" s="43">
        <v>6817</v>
      </c>
      <c r="S19" s="40"/>
    </row>
    <row r="20" spans="1:19" ht="21" x14ac:dyDescent="0.4">
      <c r="A20" s="7"/>
      <c r="B20" s="7"/>
      <c r="C20" s="9"/>
      <c r="D20" s="9">
        <f>SUM(D11:D19)</f>
        <v>43534</v>
      </c>
      <c r="E20" s="10"/>
      <c r="F20" s="7"/>
      <c r="I20" s="11"/>
      <c r="J20" s="12"/>
      <c r="K20" s="12"/>
      <c r="L20" s="13"/>
      <c r="N20" s="30"/>
      <c r="Q20" s="41" t="s">
        <v>58</v>
      </c>
      <c r="R20" s="43">
        <v>34764</v>
      </c>
      <c r="S20" s="40"/>
    </row>
    <row r="21" spans="1:19" ht="21" x14ac:dyDescent="0.4">
      <c r="A21" s="7" t="s">
        <v>22</v>
      </c>
      <c r="B21" s="7"/>
      <c r="C21" s="9"/>
      <c r="D21" s="9"/>
      <c r="E21" s="10"/>
      <c r="F21" s="7"/>
      <c r="I21" s="11"/>
      <c r="J21" s="12"/>
      <c r="K21" s="12"/>
      <c r="L21" s="13"/>
      <c r="N21" s="30"/>
      <c r="Q21" s="44" t="s">
        <v>46</v>
      </c>
      <c r="R21" s="45">
        <f>SUM(R11:R20)</f>
        <v>94346</v>
      </c>
      <c r="S21" s="40"/>
    </row>
    <row r="22" spans="1:19" ht="21" x14ac:dyDescent="0.4">
      <c r="A22" s="7"/>
      <c r="B22" s="7"/>
      <c r="C22" s="9">
        <f>ROUND((C7+C8)*0.475,0)</f>
        <v>20835</v>
      </c>
      <c r="D22" s="9"/>
      <c r="E22" s="10"/>
      <c r="F22" s="7"/>
      <c r="I22" s="11"/>
      <c r="J22" s="12"/>
      <c r="K22" s="12"/>
      <c r="L22" s="13"/>
      <c r="N22" s="30"/>
      <c r="R22" s="43"/>
      <c r="S22" s="40"/>
    </row>
    <row r="23" spans="1:19" ht="21.6" thickBot="1" x14ac:dyDescent="0.45">
      <c r="A23" s="7"/>
      <c r="B23" s="7"/>
      <c r="C23" s="9"/>
      <c r="D23" s="9"/>
      <c r="E23" s="10"/>
      <c r="F23" s="7"/>
      <c r="I23" s="11" t="s">
        <v>23</v>
      </c>
      <c r="J23" s="12" t="s">
        <v>24</v>
      </c>
      <c r="K23" s="12"/>
      <c r="L23" s="19">
        <f>L16-L18</f>
        <v>5.0000000002910383E-2</v>
      </c>
      <c r="N23" s="30"/>
      <c r="R23" s="40"/>
      <c r="S23" s="40"/>
    </row>
    <row r="24" spans="1:19" ht="21" x14ac:dyDescent="0.4">
      <c r="A24" s="7" t="s">
        <v>25</v>
      </c>
      <c r="B24" s="7"/>
      <c r="C24" s="9">
        <f>C7+C8+C22</f>
        <v>64698</v>
      </c>
      <c r="D24" s="9"/>
      <c r="E24" s="10"/>
      <c r="F24" s="7"/>
      <c r="I24" s="11"/>
      <c r="J24" s="12"/>
      <c r="K24" s="12"/>
      <c r="L24" s="13"/>
      <c r="N24" s="30"/>
      <c r="P24" s="51" t="s">
        <v>49</v>
      </c>
      <c r="Q24" s="52"/>
      <c r="R24" s="53">
        <f>SUM(R6:R7)</f>
        <v>314566.3173</v>
      </c>
      <c r="S24" s="54"/>
    </row>
    <row r="25" spans="1:19" ht="21" x14ac:dyDescent="0.4">
      <c r="A25" s="7"/>
      <c r="B25" s="7"/>
      <c r="C25" s="9"/>
      <c r="D25" s="9"/>
      <c r="E25" s="10"/>
      <c r="F25" s="7"/>
      <c r="I25" s="11"/>
      <c r="J25" s="12"/>
      <c r="K25" s="12"/>
      <c r="L25" s="13"/>
      <c r="N25" s="30"/>
      <c r="P25" s="55" t="s">
        <v>60</v>
      </c>
      <c r="Q25" s="56"/>
      <c r="R25" s="57">
        <f>R21</f>
        <v>94346</v>
      </c>
      <c r="S25" s="58"/>
    </row>
    <row r="26" spans="1:19" ht="21.6" thickBot="1" x14ac:dyDescent="0.45">
      <c r="A26" s="7" t="s">
        <v>26</v>
      </c>
      <c r="B26" s="7"/>
      <c r="C26" s="9">
        <f>C24+C4</f>
        <v>360773.5</v>
      </c>
      <c r="D26" s="9"/>
      <c r="E26" s="10"/>
      <c r="F26" s="7"/>
      <c r="I26" s="11"/>
      <c r="J26" s="12">
        <f>L11-L17</f>
        <v>252541.5</v>
      </c>
      <c r="K26" s="12"/>
      <c r="L26" s="13">
        <f>J26/0.7</f>
        <v>360773.57142857148</v>
      </c>
      <c r="N26" s="30"/>
      <c r="P26" s="59" t="s">
        <v>50</v>
      </c>
      <c r="Q26" s="60"/>
      <c r="R26" s="61">
        <f>R24-R25</f>
        <v>220220.3173</v>
      </c>
      <c r="S26" s="62"/>
    </row>
    <row r="27" spans="1:19" ht="21" x14ac:dyDescent="0.4">
      <c r="A27" s="7"/>
      <c r="B27" s="7"/>
      <c r="C27" s="9"/>
      <c r="D27" s="9"/>
      <c r="E27" s="10"/>
      <c r="F27" s="7"/>
      <c r="I27" s="11"/>
      <c r="J27" s="12"/>
      <c r="K27" s="12"/>
      <c r="L27" s="13"/>
      <c r="N27" s="30"/>
      <c r="R27" s="43"/>
      <c r="S27" s="40"/>
    </row>
    <row r="28" spans="1:19" ht="21" x14ac:dyDescent="0.4">
      <c r="A28" s="7"/>
      <c r="B28" s="7"/>
      <c r="C28" s="9"/>
      <c r="D28" s="9"/>
      <c r="E28" s="10"/>
      <c r="F28" s="7"/>
      <c r="I28" s="11"/>
      <c r="J28" s="12" t="s">
        <v>27</v>
      </c>
      <c r="K28" s="12"/>
      <c r="L28" s="13">
        <f>0.3*L11</f>
        <v>88822.65</v>
      </c>
      <c r="N28" s="30"/>
      <c r="R28" s="43"/>
      <c r="S28" s="40"/>
    </row>
    <row r="29" spans="1:19" ht="21" x14ac:dyDescent="0.4">
      <c r="A29" s="7" t="s">
        <v>28</v>
      </c>
      <c r="B29" s="7"/>
      <c r="C29" s="15">
        <f>ROUND(0.3*C26,0)</f>
        <v>108232</v>
      </c>
      <c r="D29" s="9"/>
      <c r="E29" s="10"/>
      <c r="F29" s="7"/>
      <c r="I29" s="11"/>
      <c r="J29" s="12" t="s">
        <v>29</v>
      </c>
      <c r="K29" s="12"/>
      <c r="L29" s="13">
        <f>L17+0.7*L14</f>
        <v>88822.6</v>
      </c>
      <c r="N29" s="30"/>
      <c r="R29" s="43"/>
      <c r="S29" s="40"/>
    </row>
    <row r="30" spans="1:19" ht="21" x14ac:dyDescent="0.4">
      <c r="A30" s="7"/>
      <c r="B30" s="7"/>
      <c r="C30" s="21"/>
      <c r="D30" s="9"/>
      <c r="E30" s="10"/>
      <c r="F30" s="7"/>
      <c r="I30" s="11"/>
      <c r="J30" s="12"/>
      <c r="K30" s="12"/>
      <c r="L30" s="13"/>
      <c r="N30" s="30"/>
      <c r="R30" s="43"/>
      <c r="S30" s="40"/>
    </row>
    <row r="31" spans="1:19" ht="21" x14ac:dyDescent="0.4">
      <c r="A31" s="7" t="s">
        <v>30</v>
      </c>
      <c r="B31" s="7"/>
      <c r="C31" s="15">
        <f>C4-SUM(D11:D19)</f>
        <v>252541.5</v>
      </c>
      <c r="D31" s="9"/>
      <c r="E31" s="10"/>
      <c r="F31" s="7"/>
      <c r="I31" s="11"/>
      <c r="J31" s="12"/>
      <c r="K31" s="12"/>
      <c r="L31" s="13">
        <f>L28-L29</f>
        <v>4.9999999988358468E-2</v>
      </c>
      <c r="N31" s="30"/>
      <c r="R31" s="43"/>
      <c r="S31" s="40"/>
    </row>
    <row r="32" spans="1:19" ht="21" x14ac:dyDescent="0.4">
      <c r="A32" s="7"/>
      <c r="B32" s="7"/>
      <c r="C32" s="9"/>
      <c r="D32" s="9"/>
      <c r="E32" s="10"/>
      <c r="F32" s="7"/>
      <c r="I32" s="11"/>
      <c r="J32" s="12"/>
      <c r="K32" s="12"/>
      <c r="L32" s="13"/>
      <c r="N32" s="30"/>
      <c r="R32" s="43"/>
      <c r="S32" s="40"/>
    </row>
    <row r="33" spans="1:19" ht="21" x14ac:dyDescent="0.4">
      <c r="A33" s="7"/>
      <c r="B33" s="7"/>
      <c r="C33" s="9"/>
      <c r="D33" s="9"/>
      <c r="E33" s="10"/>
      <c r="F33" s="7"/>
      <c r="I33" s="11"/>
      <c r="J33" s="12"/>
      <c r="K33" s="12"/>
      <c r="L33" s="13"/>
      <c r="N33" s="30"/>
      <c r="R33" s="43"/>
      <c r="S33" s="40"/>
    </row>
    <row r="34" spans="1:19" ht="21" x14ac:dyDescent="0.4">
      <c r="A34" s="7" t="s">
        <v>31</v>
      </c>
      <c r="B34" s="7"/>
      <c r="C34" s="15">
        <f>C7+C8+SUM(D11:D19)+C22</f>
        <v>108232</v>
      </c>
      <c r="D34" s="9"/>
      <c r="E34" s="10"/>
      <c r="F34" s="7"/>
      <c r="I34" s="11"/>
      <c r="J34" s="12"/>
      <c r="K34" s="12"/>
      <c r="L34" s="13"/>
      <c r="N34" s="30"/>
      <c r="R34" s="43"/>
      <c r="S34" s="40"/>
    </row>
    <row r="35" spans="1:19" ht="21" x14ac:dyDescent="0.4">
      <c r="A35" s="7"/>
      <c r="B35" s="7"/>
      <c r="C35" s="9"/>
      <c r="D35" s="9"/>
      <c r="E35" s="10"/>
      <c r="F35" s="7"/>
      <c r="I35" s="11"/>
      <c r="J35" s="12"/>
      <c r="K35" s="12"/>
      <c r="L35" s="13"/>
      <c r="N35" s="31">
        <f>C34-R21</f>
        <v>13886</v>
      </c>
      <c r="R35" s="43"/>
      <c r="S35" s="40"/>
    </row>
    <row r="36" spans="1:19" ht="21" x14ac:dyDescent="0.4">
      <c r="A36" s="7"/>
      <c r="B36" s="7"/>
      <c r="C36" s="9"/>
      <c r="D36" s="9"/>
      <c r="E36" s="10"/>
      <c r="F36" s="7"/>
      <c r="I36" s="11"/>
      <c r="J36" s="12"/>
      <c r="K36" s="12"/>
      <c r="L36" s="13"/>
    </row>
    <row r="37" spans="1:19" ht="21" x14ac:dyDescent="0.4">
      <c r="A37" s="7"/>
      <c r="B37" s="7"/>
      <c r="C37" s="9"/>
      <c r="D37" s="9"/>
      <c r="E37" s="10"/>
      <c r="F37" s="7"/>
      <c r="I37" s="11"/>
      <c r="J37" s="12"/>
      <c r="K37" s="12"/>
      <c r="L37" s="13"/>
    </row>
    <row r="38" spans="1:19" ht="21" x14ac:dyDescent="0.4">
      <c r="A38" s="7"/>
      <c r="B38" s="7"/>
      <c r="C38" s="9"/>
      <c r="D38" s="9"/>
      <c r="E38" s="10"/>
      <c r="F38" s="7"/>
      <c r="I38" s="11"/>
      <c r="J38" s="12"/>
      <c r="K38" s="12"/>
      <c r="L38" s="13"/>
    </row>
    <row r="39" spans="1:19" ht="21" x14ac:dyDescent="0.4">
      <c r="A39" s="7"/>
      <c r="B39" s="7"/>
      <c r="C39" s="9"/>
      <c r="D39" s="9"/>
      <c r="E39" s="10"/>
      <c r="F39" s="7"/>
      <c r="I39" s="11"/>
      <c r="J39" s="12"/>
      <c r="K39" s="12"/>
      <c r="L39" s="13"/>
    </row>
    <row r="40" spans="1:19" ht="21" x14ac:dyDescent="0.4">
      <c r="A40" s="7"/>
      <c r="B40" s="7"/>
      <c r="C40" s="9"/>
      <c r="D40" s="9"/>
      <c r="E40" s="10"/>
      <c r="F40" s="7"/>
      <c r="I40" s="11"/>
      <c r="J40" s="12"/>
      <c r="K40" s="12"/>
      <c r="L40" s="13"/>
    </row>
  </sheetData>
  <mergeCells count="1">
    <mergeCell ref="R1:S1"/>
  </mergeCells>
  <pageMargins left="0.25" right="0" top="0.75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"/>
  <sheetViews>
    <sheetView zoomScale="70" zoomScaleNormal="70" workbookViewId="0">
      <selection activeCell="R19" sqref="R19"/>
    </sheetView>
  </sheetViews>
  <sheetFormatPr defaultRowHeight="14.4" x14ac:dyDescent="0.3"/>
  <cols>
    <col min="2" max="2" width="33.6640625" customWidth="1"/>
    <col min="3" max="3" width="16" customWidth="1"/>
    <col min="4" max="4" width="13.5546875" bestFit="1" customWidth="1"/>
    <col min="5" max="6" width="0" hidden="1" customWidth="1"/>
    <col min="7" max="7" width="9.109375" hidden="1" customWidth="1"/>
    <col min="8" max="8" width="0" hidden="1" customWidth="1"/>
    <col min="9" max="9" width="9.88671875" bestFit="1" customWidth="1"/>
    <col min="10" max="10" width="27" bestFit="1" customWidth="1"/>
    <col min="11" max="11" width="11.33203125" customWidth="1"/>
    <col min="12" max="12" width="13.44140625" customWidth="1"/>
    <col min="13" max="13" width="1" customWidth="1"/>
    <col min="14" max="14" width="13.33203125" customWidth="1"/>
    <col min="17" max="17" width="8.88671875" style="41"/>
    <col min="18" max="18" width="11.6640625" style="91" customWidth="1"/>
    <col min="19" max="19" width="8.88671875" style="92"/>
    <col min="20" max="20" width="9.44140625" style="92" bestFit="1" customWidth="1"/>
    <col min="21" max="21" width="11.6640625" style="91" bestFit="1" customWidth="1"/>
  </cols>
  <sheetData>
    <row r="1" spans="1:22" ht="21" x14ac:dyDescent="0.4">
      <c r="A1" s="7"/>
      <c r="B1" s="7"/>
      <c r="C1" s="8" t="s">
        <v>40</v>
      </c>
      <c r="D1" s="9"/>
      <c r="E1" s="10"/>
      <c r="F1" s="7"/>
      <c r="I1" s="11"/>
      <c r="J1" s="12"/>
      <c r="K1" s="12"/>
      <c r="L1" s="13"/>
      <c r="R1" s="75"/>
      <c r="S1" s="75"/>
      <c r="T1" s="75"/>
      <c r="U1" s="75" t="s">
        <v>62</v>
      </c>
    </row>
    <row r="2" spans="1:22" ht="21" x14ac:dyDescent="0.4">
      <c r="A2" s="14"/>
      <c r="B2" s="7" t="s">
        <v>33</v>
      </c>
      <c r="C2" s="76">
        <v>296076</v>
      </c>
      <c r="D2" s="9" t="s">
        <v>63</v>
      </c>
      <c r="E2" s="10"/>
      <c r="F2" s="16"/>
      <c r="I2" s="11"/>
      <c r="J2" s="12"/>
      <c r="K2" s="12"/>
      <c r="L2" s="13"/>
      <c r="R2" s="78" t="s">
        <v>65</v>
      </c>
      <c r="S2" s="78" t="s">
        <v>66</v>
      </c>
      <c r="T2" s="78" t="s">
        <v>67</v>
      </c>
      <c r="U2" s="77" t="s">
        <v>64</v>
      </c>
    </row>
    <row r="3" spans="1:22" ht="21" x14ac:dyDescent="0.4">
      <c r="A3" s="14"/>
      <c r="B3" s="7"/>
      <c r="C3" s="15"/>
      <c r="D3" s="9"/>
      <c r="E3" s="10"/>
      <c r="F3" s="16"/>
      <c r="I3" s="11"/>
      <c r="J3" s="12"/>
      <c r="K3" s="12"/>
      <c r="L3" s="13"/>
      <c r="Q3" s="79" t="s">
        <v>1</v>
      </c>
      <c r="R3" s="80">
        <f>65374.4*0.15*1.03</f>
        <v>10100.344800000001</v>
      </c>
      <c r="S3" s="80">
        <f>R3*1.03</f>
        <v>10403.355144000001</v>
      </c>
      <c r="T3" s="80">
        <f>S3*1.03</f>
        <v>10715.455798320001</v>
      </c>
      <c r="U3" s="77">
        <f>SUM(R3:T3)</f>
        <v>31219.155742319999</v>
      </c>
      <c r="V3" t="s">
        <v>68</v>
      </c>
    </row>
    <row r="4" spans="1:22" ht="21" x14ac:dyDescent="0.4">
      <c r="A4" s="7"/>
      <c r="B4" s="7"/>
      <c r="C4" s="9"/>
      <c r="D4" s="9"/>
      <c r="E4" s="10"/>
      <c r="F4" s="7"/>
      <c r="I4" s="11"/>
      <c r="J4" s="12"/>
      <c r="K4" s="12"/>
      <c r="L4" s="13"/>
      <c r="Q4" s="79" t="s">
        <v>2</v>
      </c>
      <c r="R4" s="80">
        <f>R3*0.405</f>
        <v>4090.6396440000008</v>
      </c>
      <c r="S4" s="80">
        <f>S3*0.405</f>
        <v>4213.3588333200005</v>
      </c>
      <c r="T4" s="80">
        <f>T3*0.405</f>
        <v>4339.7595983196006</v>
      </c>
      <c r="U4" s="77">
        <f>SUM(R4:T4)</f>
        <v>12643.758075639602</v>
      </c>
      <c r="V4" s="42"/>
    </row>
    <row r="5" spans="1:22" ht="21" x14ac:dyDescent="0.4">
      <c r="A5" s="7" t="s">
        <v>0</v>
      </c>
      <c r="B5" s="7"/>
      <c r="C5" s="9"/>
      <c r="D5" s="9"/>
      <c r="E5" s="10"/>
      <c r="F5" s="7"/>
      <c r="I5" s="11"/>
      <c r="J5" s="12"/>
      <c r="K5" s="12"/>
      <c r="L5" s="13"/>
      <c r="P5" s="49"/>
      <c r="Q5" s="81" t="s">
        <v>44</v>
      </c>
      <c r="R5" s="82">
        <f>SUM(R3:R4)</f>
        <v>14190.984444000002</v>
      </c>
      <c r="S5" s="82">
        <f>SUM(S3:S4)</f>
        <v>14616.713977320002</v>
      </c>
      <c r="T5" s="82">
        <f>SUM(T3:T4)</f>
        <v>15055.215396639602</v>
      </c>
      <c r="U5" s="77">
        <f>SUM(R5:T5)</f>
        <v>43862.913817959605</v>
      </c>
    </row>
    <row r="6" spans="1:22" ht="21" x14ac:dyDescent="0.4">
      <c r="A6" s="7"/>
      <c r="B6" s="83" t="s">
        <v>1</v>
      </c>
      <c r="C6" s="84">
        <f>U3</f>
        <v>31219.155742319999</v>
      </c>
      <c r="D6" s="9"/>
      <c r="E6" s="10"/>
      <c r="F6" s="7"/>
      <c r="I6" s="11"/>
      <c r="J6" s="12"/>
      <c r="K6" s="12"/>
      <c r="L6" s="13"/>
      <c r="P6" s="5"/>
      <c r="Q6" s="85" t="s">
        <v>47</v>
      </c>
      <c r="R6" s="80">
        <f>R5*0.475</f>
        <v>6740.7176109000002</v>
      </c>
      <c r="S6" s="80">
        <f>S5*0.475</f>
        <v>6942.9391392269999</v>
      </c>
      <c r="T6" s="80">
        <f>T5*0.475</f>
        <v>7151.2273134038105</v>
      </c>
      <c r="U6" s="86">
        <f>U5*0.475</f>
        <v>20834.884063530812</v>
      </c>
    </row>
    <row r="7" spans="1:22" ht="21" x14ac:dyDescent="0.4">
      <c r="A7" s="7"/>
      <c r="B7" s="83" t="s">
        <v>69</v>
      </c>
      <c r="C7" s="84">
        <f>C6*0.405</f>
        <v>12643.7580756396</v>
      </c>
      <c r="D7" s="9"/>
      <c r="E7" s="10"/>
      <c r="F7" s="7"/>
      <c r="I7" s="11"/>
      <c r="J7" s="12"/>
      <c r="K7" s="12"/>
      <c r="L7" s="13"/>
      <c r="P7" s="49"/>
      <c r="Q7" s="87" t="s">
        <v>48</v>
      </c>
      <c r="R7" s="88">
        <f>SUM(R5:R6)</f>
        <v>20931.702054900001</v>
      </c>
      <c r="S7" s="88">
        <f>SUM(S5:S6)</f>
        <v>21559.653116547001</v>
      </c>
      <c r="T7" s="88">
        <f>SUM(T5:T6)</f>
        <v>22206.442710043411</v>
      </c>
      <c r="U7" s="86">
        <f>SUM(R7:T7)</f>
        <v>64697.797881490413</v>
      </c>
    </row>
    <row r="8" spans="1:22" ht="21" x14ac:dyDescent="0.4">
      <c r="A8" s="7"/>
      <c r="B8" s="7"/>
      <c r="C8" s="9"/>
      <c r="D8" s="9"/>
      <c r="E8" s="10"/>
      <c r="F8" s="7"/>
      <c r="I8" s="11"/>
      <c r="J8" s="12"/>
      <c r="K8" s="12"/>
      <c r="L8" s="13"/>
      <c r="P8" s="49"/>
      <c r="Q8" s="48" t="s">
        <v>43</v>
      </c>
      <c r="R8" s="86">
        <f>U8</f>
        <v>296076</v>
      </c>
      <c r="S8" s="90"/>
      <c r="T8" s="90"/>
      <c r="U8" s="89">
        <f>C2</f>
        <v>296076</v>
      </c>
      <c r="V8" s="89" t="str">
        <f>D2</f>
        <v>all calculations lead back to the equipment costs in this cell</v>
      </c>
    </row>
    <row r="9" spans="1:22" ht="21" x14ac:dyDescent="0.4">
      <c r="A9" s="7" t="s">
        <v>3</v>
      </c>
      <c r="B9" s="7"/>
      <c r="C9" s="9"/>
      <c r="D9" s="9"/>
      <c r="E9" s="10"/>
      <c r="F9" s="7"/>
      <c r="I9" s="11"/>
      <c r="J9" s="12"/>
      <c r="K9" s="12"/>
      <c r="L9" s="13"/>
      <c r="Q9" s="44" t="s">
        <v>49</v>
      </c>
      <c r="R9" s="86">
        <f>SUM(R7:R8)</f>
        <v>317007.7020549</v>
      </c>
      <c r="S9" s="90"/>
      <c r="T9" s="90"/>
      <c r="U9" s="86">
        <f>SUM(U7,U8)</f>
        <v>360773.79788149043</v>
      </c>
    </row>
    <row r="10" spans="1:22" ht="21" x14ac:dyDescent="0.4">
      <c r="A10" s="7"/>
      <c r="B10" s="7" t="s">
        <v>4</v>
      </c>
      <c r="C10" s="9"/>
      <c r="D10" s="9">
        <v>2000</v>
      </c>
      <c r="E10" s="10"/>
      <c r="F10" s="7"/>
      <c r="I10" s="11"/>
      <c r="J10" s="12"/>
      <c r="K10" s="12"/>
      <c r="L10" s="13"/>
      <c r="N10" s="30"/>
    </row>
    <row r="11" spans="1:22" ht="21" x14ac:dyDescent="0.4">
      <c r="A11" s="7"/>
      <c r="B11" s="7" t="s">
        <v>7</v>
      </c>
      <c r="C11" s="9"/>
      <c r="D11" s="9">
        <v>2000</v>
      </c>
      <c r="E11" s="10"/>
      <c r="F11" s="7"/>
      <c r="I11" s="11"/>
      <c r="J11" s="12"/>
      <c r="K11" s="12"/>
      <c r="L11" s="13"/>
      <c r="N11" s="30"/>
      <c r="R11" s="91" t="s">
        <v>92</v>
      </c>
      <c r="T11" s="141">
        <f>R9-U7</f>
        <v>252309.9041734096</v>
      </c>
    </row>
    <row r="12" spans="1:22" ht="21" x14ac:dyDescent="0.4">
      <c r="A12" s="7"/>
      <c r="B12" s="7" t="s">
        <v>12</v>
      </c>
      <c r="C12" s="9"/>
      <c r="D12" s="9">
        <v>5000</v>
      </c>
      <c r="E12" s="10"/>
      <c r="F12" s="7"/>
      <c r="I12" s="11"/>
      <c r="J12" s="12"/>
      <c r="K12" s="12"/>
      <c r="L12" s="13"/>
      <c r="N12" s="30"/>
    </row>
    <row r="13" spans="1:22" ht="21" x14ac:dyDescent="0.4">
      <c r="A13" s="63"/>
      <c r="B13" s="20" t="s">
        <v>15</v>
      </c>
      <c r="C13" s="21"/>
      <c r="D13" s="21">
        <v>27717</v>
      </c>
      <c r="E13" s="10"/>
      <c r="F13" s="7"/>
      <c r="I13" s="11"/>
      <c r="J13" s="12"/>
      <c r="K13" s="12"/>
      <c r="L13" s="13"/>
      <c r="N13" s="30"/>
    </row>
    <row r="14" spans="1:22" ht="21" x14ac:dyDescent="0.4">
      <c r="A14" s="67"/>
      <c r="B14" s="20" t="s">
        <v>32</v>
      </c>
      <c r="C14" s="21"/>
      <c r="D14" s="93">
        <v>6817</v>
      </c>
      <c r="E14" s="10"/>
      <c r="F14" s="7"/>
      <c r="I14" s="140">
        <f>SUM(D10:D14)</f>
        <v>43534</v>
      </c>
      <c r="J14" s="12"/>
      <c r="K14" s="12"/>
      <c r="L14" s="13"/>
      <c r="N14" s="30"/>
    </row>
    <row r="15" spans="1:22" ht="21" x14ac:dyDescent="0.4">
      <c r="A15" s="94"/>
      <c r="B15" s="20"/>
      <c r="C15" s="21"/>
      <c r="D15" s="93"/>
      <c r="E15" s="10"/>
      <c r="F15" s="7"/>
      <c r="I15" s="11"/>
      <c r="J15" s="12"/>
      <c r="K15" s="18"/>
      <c r="L15" s="19"/>
      <c r="N15" s="30"/>
    </row>
    <row r="16" spans="1:22" ht="21" x14ac:dyDescent="0.4">
      <c r="A16" s="71"/>
      <c r="B16" s="95" t="s">
        <v>70</v>
      </c>
      <c r="C16" s="96"/>
      <c r="D16" s="8">
        <f>SUM(C6:C7)</f>
        <v>43862.913817959598</v>
      </c>
      <c r="E16" s="10"/>
      <c r="F16" s="7"/>
      <c r="I16" s="17"/>
      <c r="J16" s="18"/>
      <c r="K16" s="23"/>
      <c r="L16" s="24"/>
      <c r="N16" s="30"/>
    </row>
    <row r="17" spans="1:18" ht="21" x14ac:dyDescent="0.4">
      <c r="A17" s="16"/>
      <c r="B17" s="7"/>
      <c r="C17" s="9"/>
      <c r="D17" s="9"/>
      <c r="E17" s="10"/>
      <c r="F17" s="7"/>
      <c r="I17" s="11"/>
      <c r="J17" s="23"/>
      <c r="K17" s="18"/>
      <c r="L17" s="19"/>
      <c r="N17" s="30"/>
    </row>
    <row r="18" spans="1:18" ht="21" x14ac:dyDescent="0.4">
      <c r="A18" s="16"/>
      <c r="B18" s="95" t="s">
        <v>70</v>
      </c>
      <c r="C18" s="96"/>
      <c r="D18" s="8">
        <f>C2+C6+C7</f>
        <v>339938.9138179596</v>
      </c>
      <c r="E18" s="10"/>
      <c r="F18" s="7"/>
      <c r="I18" s="11"/>
      <c r="J18" s="18"/>
      <c r="K18" s="12"/>
      <c r="L18" s="13"/>
      <c r="N18" s="30"/>
    </row>
    <row r="19" spans="1:18" ht="21" x14ac:dyDescent="0.4">
      <c r="A19" s="7"/>
      <c r="B19" s="7" t="s">
        <v>71</v>
      </c>
      <c r="C19" s="21"/>
      <c r="D19" s="9">
        <f>D18-C2</f>
        <v>43862.913817959605</v>
      </c>
      <c r="E19" s="10"/>
      <c r="F19" s="7"/>
      <c r="I19" s="97" t="s">
        <v>72</v>
      </c>
      <c r="J19" s="12"/>
      <c r="K19" s="12"/>
      <c r="L19" s="13"/>
      <c r="N19" s="30"/>
      <c r="R19" s="155">
        <f>U5/'Cost share review copy'!H20</f>
        <v>0.40526827306322477</v>
      </c>
    </row>
    <row r="20" spans="1:18" ht="21" x14ac:dyDescent="0.4">
      <c r="A20" s="7"/>
      <c r="B20" s="95" t="s">
        <v>73</v>
      </c>
      <c r="C20" s="96"/>
      <c r="D20" s="8">
        <f>D19*0.475</f>
        <v>20834.884063530812</v>
      </c>
      <c r="E20" s="10"/>
      <c r="F20" s="7"/>
      <c r="I20" s="11"/>
      <c r="J20" s="12"/>
      <c r="K20" s="12"/>
      <c r="L20" s="13"/>
      <c r="N20" s="30"/>
    </row>
    <row r="21" spans="1:18" ht="21" x14ac:dyDescent="0.4">
      <c r="A21" s="7"/>
      <c r="B21" s="95" t="s">
        <v>49</v>
      </c>
      <c r="C21" s="8"/>
      <c r="D21" s="8">
        <f>D20+D18</f>
        <v>360773.79788149043</v>
      </c>
      <c r="E21" s="10"/>
      <c r="F21" s="7"/>
      <c r="I21" s="11"/>
      <c r="J21" s="12"/>
    </row>
  </sheetData>
  <pageMargins left="0.25" right="0" top="0.75" bottom="0.75" header="0.3" footer="0.3"/>
  <pageSetup scale="8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4" workbookViewId="0">
      <selection activeCell="G10" sqref="G10:I15"/>
    </sheetView>
  </sheetViews>
  <sheetFormatPr defaultColWidth="8.6640625" defaultRowHeight="14.4" x14ac:dyDescent="0.3"/>
  <cols>
    <col min="1" max="1" width="21.33203125" style="99" bestFit="1" customWidth="1"/>
    <col min="2" max="2" width="10.109375" style="99" bestFit="1" customWidth="1"/>
    <col min="3" max="3" width="12.5546875" style="99" customWidth="1"/>
    <col min="4" max="4" width="10.109375" style="99" bestFit="1" customWidth="1"/>
    <col min="5" max="5" width="14.6640625" style="99" bestFit="1" customWidth="1"/>
    <col min="6" max="6" width="12.33203125" style="99" bestFit="1" customWidth="1"/>
    <col min="7" max="7" width="21.33203125" style="99" bestFit="1" customWidth="1"/>
    <col min="8" max="8" width="12.44140625" style="99" customWidth="1"/>
    <col min="9" max="9" width="8.88671875" style="99" bestFit="1" customWidth="1"/>
    <col min="10" max="10" width="8.6640625" style="99"/>
    <col min="11" max="11" width="11.44140625" style="99" bestFit="1" customWidth="1"/>
    <col min="12" max="12" width="7.77734375" style="99" bestFit="1" customWidth="1"/>
    <col min="13" max="13" width="11" style="99" bestFit="1" customWidth="1"/>
    <col min="14" max="14" width="11.109375" style="99" bestFit="1" customWidth="1"/>
    <col min="15" max="15" width="11" style="99" bestFit="1" customWidth="1"/>
    <col min="16" max="16" width="11.109375" style="99" bestFit="1" customWidth="1"/>
    <col min="17" max="17" width="11" style="99" bestFit="1" customWidth="1"/>
    <col min="18" max="18" width="11.109375" style="99" bestFit="1" customWidth="1"/>
    <col min="19" max="19" width="11" style="99" bestFit="1" customWidth="1"/>
    <col min="20" max="16384" width="8.6640625" style="99"/>
  </cols>
  <sheetData>
    <row r="1" spans="1:11" x14ac:dyDescent="0.3">
      <c r="A1" s="98" t="s">
        <v>74</v>
      </c>
      <c r="C1" s="99" t="s">
        <v>75</v>
      </c>
    </row>
    <row r="5" spans="1:11" x14ac:dyDescent="0.3">
      <c r="F5" s="136" t="s">
        <v>76</v>
      </c>
      <c r="G5" s="136"/>
      <c r="H5" s="136"/>
      <c r="I5" s="136"/>
    </row>
    <row r="7" spans="1:11" ht="28.8" x14ac:dyDescent="0.3">
      <c r="F7" s="100" t="s">
        <v>77</v>
      </c>
      <c r="G7" s="101" t="s">
        <v>78</v>
      </c>
      <c r="H7" s="101" t="s">
        <v>49</v>
      </c>
      <c r="I7" s="102" t="s">
        <v>79</v>
      </c>
    </row>
    <row r="8" spans="1:11" ht="15" thickBot="1" x14ac:dyDescent="0.35">
      <c r="F8" s="103">
        <f>G8*H8</f>
        <v>252541.65851704328</v>
      </c>
      <c r="G8" s="104">
        <v>0.7</v>
      </c>
      <c r="H8" s="105">
        <f>'Objet500 3D Printer - rev. copy'!D21</f>
        <v>360773.79788149043</v>
      </c>
      <c r="I8" s="106">
        <f>H8-F8</f>
        <v>108232.13936444715</v>
      </c>
    </row>
    <row r="9" spans="1:11" ht="15" thickTop="1" x14ac:dyDescent="0.3">
      <c r="B9" s="137" t="s">
        <v>80</v>
      </c>
      <c r="C9" s="138"/>
      <c r="D9" s="139"/>
      <c r="E9" s="107"/>
      <c r="F9" s="107"/>
      <c r="G9" s="107"/>
      <c r="H9" s="108"/>
    </row>
    <row r="10" spans="1:11" s="113" customFormat="1" ht="28.8" x14ac:dyDescent="0.3">
      <c r="A10" s="109"/>
      <c r="B10" s="110" t="s">
        <v>81</v>
      </c>
      <c r="C10" s="111" t="s">
        <v>79</v>
      </c>
      <c r="D10" s="112" t="s">
        <v>64</v>
      </c>
      <c r="E10" s="109"/>
      <c r="G10" s="110" t="s">
        <v>93</v>
      </c>
      <c r="H10" s="110" t="s">
        <v>94</v>
      </c>
      <c r="I10" s="110" t="s">
        <v>95</v>
      </c>
    </row>
    <row r="11" spans="1:11" ht="15.6" x14ac:dyDescent="0.3">
      <c r="A11" s="98" t="s">
        <v>82</v>
      </c>
      <c r="B11" s="114"/>
      <c r="C11" s="115">
        <f>'Objet500 3D Printer - rev. copy'!C6</f>
        <v>31219.155742319999</v>
      </c>
      <c r="D11" s="116">
        <f>SUM(B11,C11)</f>
        <v>31219.155742319999</v>
      </c>
      <c r="E11" s="117" t="s">
        <v>83</v>
      </c>
      <c r="G11" s="144" t="s">
        <v>97</v>
      </c>
      <c r="H11" s="145">
        <f>C11</f>
        <v>31219.155742319999</v>
      </c>
      <c r="I11" s="162">
        <v>843952</v>
      </c>
      <c r="J11" s="118"/>
    </row>
    <row r="12" spans="1:11" ht="15.6" x14ac:dyDescent="0.3">
      <c r="A12" s="98" t="s">
        <v>84</v>
      </c>
      <c r="B12" s="114"/>
      <c r="C12" s="115">
        <f>'Objet500 3D Printer - rev. copy'!C7</f>
        <v>12643.7580756396</v>
      </c>
      <c r="D12" s="116">
        <f t="shared" ref="D12:D19" si="0">SUM(B12,C12)</f>
        <v>12643.7580756396</v>
      </c>
      <c r="E12" s="119"/>
      <c r="G12" s="144" t="s">
        <v>98</v>
      </c>
      <c r="H12" s="145">
        <f>C12</f>
        <v>12643.7580756396</v>
      </c>
      <c r="I12" s="162">
        <v>843952</v>
      </c>
      <c r="J12" s="120"/>
      <c r="K12" s="121"/>
    </row>
    <row r="13" spans="1:11" ht="15.6" x14ac:dyDescent="0.3">
      <c r="A13" s="98" t="s">
        <v>85</v>
      </c>
      <c r="B13" s="114"/>
      <c r="C13" s="115">
        <f>'Objet500 3D Printer - rev. copy'!D19*0.475</f>
        <v>20834.884063530812</v>
      </c>
      <c r="D13" s="116">
        <f t="shared" si="0"/>
        <v>20834.884063530812</v>
      </c>
      <c r="E13" s="119"/>
      <c r="F13" s="122"/>
      <c r="G13" s="144" t="s">
        <v>96</v>
      </c>
      <c r="H13" s="145">
        <f>C13</f>
        <v>20834.884063530812</v>
      </c>
      <c r="I13" s="162">
        <v>843952</v>
      </c>
      <c r="J13" s="120"/>
      <c r="K13" s="121"/>
    </row>
    <row r="14" spans="1:11" x14ac:dyDescent="0.3">
      <c r="A14" s="98" t="s">
        <v>43</v>
      </c>
      <c r="B14" s="123">
        <v>252542</v>
      </c>
      <c r="C14" s="124">
        <v>43534</v>
      </c>
      <c r="D14" s="116">
        <f t="shared" si="0"/>
        <v>296076</v>
      </c>
      <c r="E14" s="119"/>
      <c r="F14" s="125"/>
      <c r="G14" s="146"/>
      <c r="H14" s="146"/>
      <c r="I14" s="146"/>
      <c r="J14" s="125"/>
      <c r="K14" s="121"/>
    </row>
    <row r="15" spans="1:11" ht="15.6" x14ac:dyDescent="0.3">
      <c r="B15" s="151"/>
      <c r="C15" s="152"/>
      <c r="D15" s="151">
        <f t="shared" si="0"/>
        <v>0</v>
      </c>
      <c r="E15" s="143" t="s">
        <v>86</v>
      </c>
      <c r="F15" s="125"/>
      <c r="G15" s="147" t="s">
        <v>4</v>
      </c>
      <c r="H15" s="148">
        <v>2000</v>
      </c>
      <c r="I15" s="162">
        <v>843952</v>
      </c>
      <c r="J15" s="125"/>
      <c r="K15" s="121"/>
    </row>
    <row r="16" spans="1:11" x14ac:dyDescent="0.3">
      <c r="B16" s="151"/>
      <c r="C16" s="152"/>
      <c r="D16" s="151">
        <f t="shared" si="0"/>
        <v>0</v>
      </c>
      <c r="E16" s="143"/>
      <c r="F16" s="125"/>
      <c r="G16" s="147" t="s">
        <v>7</v>
      </c>
      <c r="H16" s="146">
        <v>2000</v>
      </c>
      <c r="I16" s="146"/>
      <c r="J16" s="125"/>
      <c r="K16" s="121"/>
    </row>
    <row r="17" spans="1:15" x14ac:dyDescent="0.3">
      <c r="B17" s="151"/>
      <c r="C17" s="152"/>
      <c r="D17" s="151">
        <f t="shared" si="0"/>
        <v>0</v>
      </c>
      <c r="E17" s="143"/>
      <c r="F17" s="125"/>
      <c r="G17" s="147" t="s">
        <v>12</v>
      </c>
      <c r="H17" s="149">
        <v>5000</v>
      </c>
      <c r="I17" s="149"/>
      <c r="J17" s="125"/>
      <c r="K17" s="121"/>
    </row>
    <row r="18" spans="1:15" x14ac:dyDescent="0.3">
      <c r="B18" s="151"/>
      <c r="C18" s="152"/>
      <c r="D18" s="151">
        <f t="shared" si="0"/>
        <v>0</v>
      </c>
      <c r="E18" s="143"/>
      <c r="F18" s="125"/>
      <c r="G18" s="147" t="s">
        <v>15</v>
      </c>
      <c r="H18" s="105">
        <v>27717</v>
      </c>
      <c r="I18" s="105"/>
      <c r="J18" s="125"/>
      <c r="K18" s="121"/>
    </row>
    <row r="19" spans="1:15" x14ac:dyDescent="0.3">
      <c r="B19" s="151"/>
      <c r="C19" s="152"/>
      <c r="D19" s="151">
        <f t="shared" si="0"/>
        <v>0</v>
      </c>
      <c r="E19" s="143"/>
      <c r="F19" s="125"/>
      <c r="G19" s="147" t="s">
        <v>32</v>
      </c>
      <c r="H19" s="105">
        <v>6817</v>
      </c>
      <c r="I19" s="150"/>
      <c r="J19" s="125"/>
      <c r="K19" s="121"/>
    </row>
    <row r="20" spans="1:15" x14ac:dyDescent="0.3">
      <c r="A20" s="128" t="s">
        <v>87</v>
      </c>
      <c r="B20" s="114">
        <f>SUM(B11:B14)</f>
        <v>252542</v>
      </c>
      <c r="C20" s="115">
        <f>SUM(C11:C19)</f>
        <v>108231.79788149041</v>
      </c>
      <c r="D20" s="126">
        <f>SUM(D11:D14)</f>
        <v>360773.79788149043</v>
      </c>
      <c r="E20" s="127"/>
      <c r="F20" s="129"/>
      <c r="G20" s="105"/>
      <c r="H20" s="105">
        <f>SUM(H11:H19)</f>
        <v>108231.79788149041</v>
      </c>
      <c r="I20" s="105"/>
      <c r="J20" s="129"/>
      <c r="K20" s="129"/>
    </row>
    <row r="21" spans="1:15" x14ac:dyDescent="0.3">
      <c r="C21" s="130" t="s">
        <v>88</v>
      </c>
      <c r="E21" s="131">
        <f>I8</f>
        <v>108232.13936444715</v>
      </c>
      <c r="F21" s="129"/>
      <c r="G21" s="125"/>
      <c r="H21" s="125"/>
      <c r="I21" s="125"/>
      <c r="J21" s="129"/>
      <c r="K21" s="129"/>
    </row>
    <row r="22" spans="1:15" x14ac:dyDescent="0.3">
      <c r="C22" s="130" t="s">
        <v>89</v>
      </c>
      <c r="E22" s="132">
        <f>C20</f>
        <v>108231.79788149041</v>
      </c>
      <c r="G22" s="125"/>
      <c r="H22" s="125"/>
      <c r="I22" s="125"/>
    </row>
    <row r="23" spans="1:15" x14ac:dyDescent="0.3">
      <c r="C23" s="130"/>
      <c r="D23" s="130" t="s">
        <v>90</v>
      </c>
      <c r="E23" s="133">
        <f>E21-E22</f>
        <v>0.34148295674822293</v>
      </c>
      <c r="G23" s="125"/>
      <c r="H23" s="125"/>
      <c r="I23" s="125"/>
    </row>
    <row r="24" spans="1:15" x14ac:dyDescent="0.3">
      <c r="D24" s="130" t="s">
        <v>91</v>
      </c>
      <c r="E24" s="134">
        <f>E22/E21</f>
        <v>0.99999684490245921</v>
      </c>
      <c r="G24" s="142" t="s">
        <v>92</v>
      </c>
      <c r="H24" s="142">
        <f>D20-C20</f>
        <v>252542.00000000003</v>
      </c>
      <c r="I24" s="129">
        <f>H24-B14</f>
        <v>0</v>
      </c>
    </row>
    <row r="27" spans="1:15" x14ac:dyDescent="0.3">
      <c r="G27" s="156" t="s">
        <v>99</v>
      </c>
      <c r="H27" s="153" t="s">
        <v>100</v>
      </c>
      <c r="I27" s="153"/>
      <c r="J27" s="153" t="s">
        <v>101</v>
      </c>
      <c r="K27" s="153"/>
      <c r="L27" s="153" t="s">
        <v>102</v>
      </c>
      <c r="M27" s="153"/>
      <c r="N27" s="153" t="s">
        <v>64</v>
      </c>
      <c r="O27" s="153"/>
    </row>
    <row r="28" spans="1:15" ht="28.8" x14ac:dyDescent="0.3">
      <c r="G28" s="157"/>
      <c r="H28" s="110" t="s">
        <v>103</v>
      </c>
      <c r="I28" s="110" t="s">
        <v>104</v>
      </c>
      <c r="J28" s="110" t="s">
        <v>103</v>
      </c>
      <c r="K28" s="110" t="s">
        <v>104</v>
      </c>
      <c r="L28" s="110" t="s">
        <v>103</v>
      </c>
      <c r="M28" s="110" t="s">
        <v>104</v>
      </c>
      <c r="N28" s="110" t="s">
        <v>103</v>
      </c>
      <c r="O28" s="110" t="s">
        <v>104</v>
      </c>
    </row>
    <row r="29" spans="1:15" ht="28.8" x14ac:dyDescent="0.3">
      <c r="G29" s="154" t="s">
        <v>105</v>
      </c>
      <c r="H29" s="158">
        <v>252542</v>
      </c>
      <c r="I29" s="159">
        <f>20932+2000+2000+5000+27717+6817</f>
        <v>64466</v>
      </c>
      <c r="J29" s="159">
        <v>0</v>
      </c>
      <c r="K29" s="159">
        <v>21560</v>
      </c>
      <c r="L29" s="159">
        <v>0</v>
      </c>
      <c r="M29" s="159">
        <v>22206</v>
      </c>
      <c r="N29" s="159">
        <f>H29</f>
        <v>252542</v>
      </c>
      <c r="O29" s="159">
        <f>SUM(I29,K29,M29)</f>
        <v>108232</v>
      </c>
    </row>
    <row r="30" spans="1:15" x14ac:dyDescent="0.3">
      <c r="G30" s="160" t="s">
        <v>87</v>
      </c>
      <c r="H30" s="161">
        <f>H29</f>
        <v>252542</v>
      </c>
      <c r="I30" s="161">
        <f>I29</f>
        <v>64466</v>
      </c>
      <c r="J30" s="161">
        <f>J29</f>
        <v>0</v>
      </c>
      <c r="K30" s="161">
        <f>K29</f>
        <v>21560</v>
      </c>
      <c r="L30" s="161">
        <f>L29</f>
        <v>0</v>
      </c>
      <c r="M30" s="161">
        <f>M29</f>
        <v>22206</v>
      </c>
      <c r="N30" s="161">
        <f>N29</f>
        <v>252542</v>
      </c>
      <c r="O30" s="161">
        <f>O29</f>
        <v>108232</v>
      </c>
    </row>
  </sheetData>
  <mergeCells count="7">
    <mergeCell ref="G27:G28"/>
    <mergeCell ref="H27:I27"/>
    <mergeCell ref="J27:K27"/>
    <mergeCell ref="L27:M27"/>
    <mergeCell ref="N27:O27"/>
    <mergeCell ref="F5:I5"/>
    <mergeCell ref="B9:D9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2" sqref="B2"/>
    </sheetView>
  </sheetViews>
  <sheetFormatPr defaultRowHeight="14.4" x14ac:dyDescent="0.3"/>
  <cols>
    <col min="1" max="1" width="9.109375" style="1"/>
    <col min="2" max="2" width="43.44140625" style="2" customWidth="1"/>
    <col min="3" max="3" width="11.5546875" bestFit="1" customWidth="1"/>
    <col min="10" max="10" width="12.33203125" customWidth="1"/>
  </cols>
  <sheetData>
    <row r="1" spans="1:3" ht="18" x14ac:dyDescent="0.35">
      <c r="B1" s="6"/>
    </row>
    <row r="2" spans="1:3" ht="21" x14ac:dyDescent="0.4">
      <c r="B2" s="34"/>
      <c r="C2" s="35"/>
    </row>
    <row r="3" spans="1:3" ht="18" x14ac:dyDescent="0.35">
      <c r="B3" s="6"/>
    </row>
    <row r="4" spans="1:3" ht="18" x14ac:dyDescent="0.35">
      <c r="B4" s="6"/>
    </row>
    <row r="6" spans="1:3" x14ac:dyDescent="0.3">
      <c r="C6" s="30"/>
    </row>
    <row r="7" spans="1:3" x14ac:dyDescent="0.3">
      <c r="C7" s="30"/>
    </row>
    <row r="8" spans="1:3" x14ac:dyDescent="0.3">
      <c r="C8" s="30"/>
    </row>
    <row r="9" spans="1:3" s="4" customFormat="1" ht="21" x14ac:dyDescent="0.4">
      <c r="A9" s="3"/>
      <c r="B9" s="34"/>
      <c r="C9" s="35"/>
    </row>
    <row r="10" spans="1:3" x14ac:dyDescent="0.3">
      <c r="C10" s="31"/>
    </row>
    <row r="11" spans="1:3" x14ac:dyDescent="0.3">
      <c r="C11" s="31"/>
    </row>
    <row r="12" spans="1:3" x14ac:dyDescent="0.3">
      <c r="C12" s="31"/>
    </row>
    <row r="13" spans="1:3" x14ac:dyDescent="0.3">
      <c r="C13" s="31"/>
    </row>
    <row r="14" spans="1:3" x14ac:dyDescent="0.3">
      <c r="C14" s="31"/>
    </row>
    <row r="15" spans="1:3" x14ac:dyDescent="0.3">
      <c r="C15" s="31"/>
    </row>
    <row r="16" spans="1:3" x14ac:dyDescent="0.3">
      <c r="C16" s="31"/>
    </row>
    <row r="17" spans="2:3" ht="18" x14ac:dyDescent="0.35">
      <c r="B17" s="6"/>
      <c r="C17" s="31"/>
    </row>
    <row r="18" spans="2:3" x14ac:dyDescent="0.3">
      <c r="C18" s="31"/>
    </row>
    <row r="19" spans="2:3" x14ac:dyDescent="0.3">
      <c r="B19"/>
      <c r="C19" s="32"/>
    </row>
    <row r="20" spans="2:3" x14ac:dyDescent="0.3">
      <c r="B20"/>
      <c r="C20" s="32"/>
    </row>
    <row r="21" spans="2:3" x14ac:dyDescent="0.3">
      <c r="B21"/>
      <c r="C21" s="32"/>
    </row>
    <row r="22" spans="2:3" x14ac:dyDescent="0.3">
      <c r="B22"/>
      <c r="C22" s="32"/>
    </row>
    <row r="23" spans="2:3" x14ac:dyDescent="0.3">
      <c r="B23" s="5"/>
      <c r="C23" s="32"/>
    </row>
    <row r="24" spans="2:3" x14ac:dyDescent="0.3">
      <c r="B24"/>
      <c r="C24" s="32"/>
    </row>
    <row r="25" spans="2:3" x14ac:dyDescent="0.3">
      <c r="B25"/>
      <c r="C25" s="32"/>
    </row>
    <row r="26" spans="2:3" x14ac:dyDescent="0.3">
      <c r="B26"/>
      <c r="C26" s="32"/>
    </row>
    <row r="27" spans="2:3" x14ac:dyDescent="0.3">
      <c r="B27"/>
      <c r="C27" s="32"/>
    </row>
    <row r="28" spans="2:3" x14ac:dyDescent="0.3">
      <c r="B28"/>
      <c r="C28" s="32"/>
    </row>
    <row r="29" spans="2:3" x14ac:dyDescent="0.3">
      <c r="C29" s="30"/>
    </row>
    <row r="30" spans="2:3" x14ac:dyDescent="0.3">
      <c r="C30" s="30"/>
    </row>
    <row r="31" spans="2:3" x14ac:dyDescent="0.3">
      <c r="C31" s="30"/>
    </row>
    <row r="32" spans="2:3" x14ac:dyDescent="0.3">
      <c r="C32" s="30"/>
    </row>
    <row r="33" spans="2:10" ht="21" x14ac:dyDescent="0.4">
      <c r="B33" s="36"/>
      <c r="C33" s="35"/>
    </row>
    <row r="36" spans="2:10" ht="21" x14ac:dyDescent="0.4">
      <c r="B36" s="28"/>
      <c r="C36" s="29"/>
      <c r="D36" s="29"/>
      <c r="E36" s="29"/>
      <c r="F36" s="29"/>
      <c r="G36" s="29"/>
      <c r="H36" s="29"/>
      <c r="I36" s="29"/>
      <c r="J36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Objet500 (3D Printer)</vt:lpstr>
      <vt:lpstr>Objet500 3D Printer - rev. copy</vt:lpstr>
      <vt:lpstr>Cost share review copy</vt:lpstr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xingtao</dc:creator>
  <cp:lastModifiedBy>JG</cp:lastModifiedBy>
  <cp:lastPrinted>2017-12-20T22:42:40Z</cp:lastPrinted>
  <dcterms:created xsi:type="dcterms:W3CDTF">2017-11-14T00:39:33Z</dcterms:created>
  <dcterms:modified xsi:type="dcterms:W3CDTF">2020-01-17T23:34:49Z</dcterms:modified>
</cp:coreProperties>
</file>