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ate1904="1"/>
  <mc:AlternateContent xmlns:mc="http://schemas.openxmlformats.org/markup-compatibility/2006">
    <mc:Choice Requires="x15">
      <x15ac:absPath xmlns:x15ac="http://schemas.microsoft.com/office/spreadsheetml/2010/11/ac" url="C:\Users\stevenk\Desktop\Desktop Files\Vasdekis, Andreas\"/>
    </mc:Choice>
  </mc:AlternateContent>
  <xr:revisionPtr revIDLastSave="0" documentId="8_{8BE2E627-8EAE-41B2-A59E-96109D3DEC7B}" xr6:coauthVersionLast="44" xr6:coauthVersionMax="44" xr10:uidLastSave="{00000000-0000-0000-0000-000000000000}"/>
  <bookViews>
    <workbookView xWindow="-110" yWindow="-110" windowWidth="25820" windowHeight="14020" tabRatio="509" xr2:uid="{00000000-000D-0000-FFFF-FFFF00000000}"/>
  </bookViews>
  <sheets>
    <sheet name="summary-UI" sheetId="1" r:id="rId1"/>
    <sheet name="UI-per year" sheetId="2" r:id="rId2"/>
    <sheet name="template for tables" sheetId="5" r:id="rId3"/>
    <sheet name="Sheet1" sheetId="6" r:id="rId4"/>
  </sheets>
  <definedNames>
    <definedName name="Year1by">#REF!</definedName>
    <definedName name="Year1gscmt">#REF!</definedName>
    <definedName name="Year1gscnt">#REF!</definedName>
    <definedName name="Year1gsdol">#REF!</definedName>
    <definedName name="Year1idircmnt01">#REF!</definedName>
    <definedName name="Year1idirdol01">#REF!</definedName>
    <definedName name="Year1idirname01">#REF!</definedName>
    <definedName name="Year1idirrate01">#REF!</definedName>
    <definedName name="Year1macmt">#REF!</definedName>
    <definedName name="Year1madol">#REF!</definedName>
    <definedName name="Year1odcmt">#REF!</definedName>
    <definedName name="Year1oddol">#REF!</definedName>
    <definedName name="Year1odtcmt">#REF!</definedName>
    <definedName name="Year1opaca">#REF!</definedName>
    <definedName name="Year1opcal">#REF!</definedName>
    <definedName name="Year1opcmt">#REF!</definedName>
    <definedName name="Year1opcnt">#REF!</definedName>
    <definedName name="Year1opdol">#REF!</definedName>
    <definedName name="Year1opsum">#REF!</definedName>
    <definedName name="Year1orgdte">#REF!</definedName>
    <definedName name="Year1orgnme">#REF!</definedName>
    <definedName name="Year1otcmt">#REF!</definedName>
    <definedName name="Year1otcnt">#REF!</definedName>
    <definedName name="Year1otdol">#REF!</definedName>
    <definedName name="Year1othcmt">#REF!</definedName>
    <definedName name="Year1othdol">#REF!</definedName>
    <definedName name="Year1pdaca">#REF!</definedName>
    <definedName name="Year1pdcal">#REF!</definedName>
    <definedName name="Year1pdcmt">#REF!</definedName>
    <definedName name="Year1pdcnt">#REF!</definedName>
    <definedName name="Year1pddol">#REF!</definedName>
    <definedName name="Year1pdsum">#REF!</definedName>
    <definedName name="Year1PIDOL01">#REF!</definedName>
    <definedName name="Year1PIFNAME01">#REF!</definedName>
    <definedName name="Year1PILNAME01">#REF!</definedName>
    <definedName name="Year1PIMNAME01">#REF!</definedName>
    <definedName name="Year1PITITLE01">#REF!</definedName>
    <definedName name="Year1pucmt">#REF!</definedName>
    <definedName name="Year1pudol">#REF!</definedName>
    <definedName name="Year1rsdol">#REF!</definedName>
    <definedName name="Year1sccmt">#REF!</definedName>
    <definedName name="Year1sccnt">#REF!</definedName>
    <definedName name="Year1scdol">#REF!</definedName>
    <definedName name="Year1sigdte">#REF!</definedName>
    <definedName name="Year1signme">#REF!</definedName>
    <definedName name="Year1stcmt">#REF!</definedName>
    <definedName name="Year1stdol">#REF!</definedName>
    <definedName name="Year1subcmt">#REF!</definedName>
    <definedName name="Year1subdol">#REF!</definedName>
    <definedName name="Year1sucmt">#REF!</definedName>
    <definedName name="Year1sudol">#REF!</definedName>
    <definedName name="Year1SUMR01">#REF!</definedName>
    <definedName name="Year1tpcnt">#REF!</definedName>
    <definedName name="Year1trcmt">#REF!</definedName>
    <definedName name="Year1trdol">#REF!</definedName>
    <definedName name="Year1tscmt">#REF!</definedName>
    <definedName name="Year1tsfcmt">#REF!</definedName>
    <definedName name="Year1ugcmt">#REF!</definedName>
    <definedName name="Year1ugcnt">#REF!</definedName>
    <definedName name="Year1ugdol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8" i="5"/>
  <c r="D20" i="2" l="1"/>
  <c r="C20" i="2"/>
  <c r="B31" i="2" l="1"/>
  <c r="C4" i="1"/>
  <c r="B4" i="1"/>
  <c r="D6" i="2"/>
  <c r="C6" i="2"/>
  <c r="B6" i="2"/>
  <c r="B33" i="2"/>
  <c r="B2" i="2"/>
  <c r="C7" i="2" l="1"/>
  <c r="D7" i="2"/>
  <c r="B7" i="2"/>
  <c r="C5" i="2"/>
  <c r="D5" i="2" s="1"/>
  <c r="B34" i="2" l="1"/>
  <c r="B29" i="2"/>
  <c r="D11" i="6" l="1"/>
  <c r="C11" i="6"/>
  <c r="B11" i="6"/>
  <c r="D10" i="6"/>
  <c r="C10" i="6"/>
  <c r="B10" i="6"/>
  <c r="D9" i="6"/>
  <c r="C9" i="6"/>
  <c r="B9" i="6"/>
  <c r="B8" i="6"/>
  <c r="B7" i="6"/>
  <c r="D5" i="6"/>
  <c r="C5" i="6"/>
  <c r="B5" i="6"/>
  <c r="D4" i="6"/>
  <c r="C4" i="6"/>
  <c r="B4" i="6"/>
  <c r="D3" i="6"/>
  <c r="C3" i="6"/>
  <c r="B3" i="6"/>
  <c r="C6" i="6" l="1"/>
  <c r="C2" i="6" s="1"/>
  <c r="B6" i="6"/>
  <c r="B2" i="6" s="1"/>
  <c r="D6" i="6"/>
  <c r="D2" i="6" s="1"/>
  <c r="C17" i="2"/>
  <c r="C19" i="1" s="1"/>
  <c r="D17" i="2"/>
  <c r="D19" i="1" s="1"/>
  <c r="C25" i="1"/>
  <c r="D25" i="1"/>
  <c r="C23" i="1"/>
  <c r="D23" i="1"/>
  <c r="C8" i="1"/>
  <c r="C13" i="1" s="1"/>
  <c r="D8" i="1"/>
  <c r="D13" i="1" s="1"/>
  <c r="C6" i="1"/>
  <c r="C12" i="1" s="1"/>
  <c r="D6" i="1"/>
  <c r="D12" i="1" s="1"/>
  <c r="B9" i="2"/>
  <c r="B17" i="1" s="1"/>
  <c r="B17" i="2"/>
  <c r="B6" i="1"/>
  <c r="B10" i="1"/>
  <c r="B8" i="1"/>
  <c r="B25" i="1"/>
  <c r="B18" i="1"/>
  <c r="B25" i="2"/>
  <c r="F5" i="2"/>
  <c r="C13" i="2"/>
  <c r="C18" i="1" s="1"/>
  <c r="C36" i="2"/>
  <c r="C4" i="2"/>
  <c r="C5" i="1" s="1"/>
  <c r="C11" i="1" s="1"/>
  <c r="C2" i="2"/>
  <c r="D4" i="2"/>
  <c r="D5" i="1" s="1"/>
  <c r="D11" i="1" s="1"/>
  <c r="D2" i="2"/>
  <c r="D4" i="1" s="1"/>
  <c r="D13" i="2"/>
  <c r="D18" i="1" s="1"/>
  <c r="B4" i="2"/>
  <c r="B5" i="1" s="1"/>
  <c r="C28" i="2"/>
  <c r="D28" i="2"/>
  <c r="B28" i="2"/>
  <c r="C27" i="2"/>
  <c r="C24" i="2" s="1"/>
  <c r="D27" i="2"/>
  <c r="D24" i="2" s="1"/>
  <c r="B27" i="2"/>
  <c r="B21" i="1" s="1"/>
  <c r="B26" i="2"/>
  <c r="C8" i="2"/>
  <c r="C7" i="1" s="1"/>
  <c r="C14" i="1" s="1"/>
  <c r="D8" i="2"/>
  <c r="D7" i="1" s="1"/>
  <c r="D14" i="1" s="1"/>
  <c r="B8" i="2"/>
  <c r="B7" i="1" s="1"/>
  <c r="B14" i="1" s="1"/>
  <c r="B13" i="2"/>
  <c r="B36" i="2"/>
  <c r="B22" i="1" s="1"/>
  <c r="D36" i="2"/>
  <c r="C31" i="2"/>
  <c r="C33" i="2"/>
  <c r="C34" i="2"/>
  <c r="C9" i="2"/>
  <c r="C17" i="1" s="1"/>
  <c r="C41" i="2"/>
  <c r="C24" i="1" s="1"/>
  <c r="D31" i="2"/>
  <c r="D33" i="2"/>
  <c r="D34" i="2"/>
  <c r="D9" i="2"/>
  <c r="D17" i="1" s="1"/>
  <c r="D41" i="2"/>
  <c r="D24" i="1" s="1"/>
  <c r="B39" i="2"/>
  <c r="B23" i="1" s="1"/>
  <c r="B41" i="2"/>
  <c r="B24" i="1" s="1"/>
  <c r="C29" i="2"/>
  <c r="C22" i="1" s="1"/>
  <c r="F23" i="1" l="1"/>
  <c r="D29" i="2"/>
  <c r="D22" i="1" s="1"/>
  <c r="F22" i="1" s="1"/>
  <c r="D21" i="1"/>
  <c r="C21" i="1"/>
  <c r="F21" i="1" s="1"/>
  <c r="B24" i="2"/>
  <c r="F16" i="2" s="1"/>
  <c r="F25" i="1"/>
  <c r="F29" i="2"/>
  <c r="F38" i="2"/>
  <c r="F6" i="1"/>
  <c r="C9" i="1"/>
  <c r="B19" i="1"/>
  <c r="F19" i="1" s="1"/>
  <c r="F26" i="1"/>
  <c r="F7" i="1"/>
  <c r="F35" i="2"/>
  <c r="F8" i="1"/>
  <c r="B13" i="1"/>
  <c r="B12" i="1"/>
  <c r="D9" i="1"/>
  <c r="F5" i="1"/>
  <c r="B9" i="1"/>
  <c r="B11" i="1"/>
  <c r="D10" i="1"/>
  <c r="D15" i="1" s="1"/>
  <c r="F17" i="1"/>
  <c r="F4" i="1" l="1"/>
  <c r="B15" i="1"/>
  <c r="B16" i="1" s="1"/>
  <c r="B26" i="1" s="1"/>
  <c r="B27" i="1" s="1"/>
  <c r="B28" i="1" s="1"/>
  <c r="B29" i="1" s="1"/>
  <c r="C10" i="1"/>
  <c r="C15" i="1" s="1"/>
  <c r="C16" i="1" s="1"/>
  <c r="C26" i="1" s="1"/>
  <c r="C27" i="1" s="1"/>
  <c r="C28" i="1" s="1"/>
  <c r="C29" i="1" s="1"/>
  <c r="D16" i="1"/>
  <c r="D26" i="1" s="1"/>
  <c r="D27" i="1" s="1"/>
  <c r="D28" i="1" s="1"/>
  <c r="D29" i="1" s="1"/>
  <c r="F10" i="1" l="1"/>
  <c r="C32" i="1"/>
  <c r="F28" i="1"/>
  <c r="F15" i="1"/>
</calcChain>
</file>

<file path=xl/sharedStrings.xml><?xml version="1.0" encoding="utf-8"?>
<sst xmlns="http://schemas.openxmlformats.org/spreadsheetml/2006/main" count="135" uniqueCount="98">
  <si>
    <t>Year 1</t>
  </si>
  <si>
    <t>Year 2</t>
  </si>
  <si>
    <t>Notes</t>
  </si>
  <si>
    <t>PI Salary</t>
  </si>
  <si>
    <t>Graduate Student Salary</t>
  </si>
  <si>
    <t>Total Salaries</t>
  </si>
  <si>
    <t>PI Fringe</t>
  </si>
  <si>
    <t>Graduate Student Fringe</t>
  </si>
  <si>
    <t>Total Fringe</t>
  </si>
  <si>
    <t xml:space="preserve">Total Personnel </t>
  </si>
  <si>
    <t>Equipment Over $5K</t>
  </si>
  <si>
    <t>Travel</t>
  </si>
  <si>
    <t>Publication</t>
  </si>
  <si>
    <t>Graduate Student Tuition/Fees</t>
  </si>
  <si>
    <t>UI Total Direct Costs</t>
  </si>
  <si>
    <t>UI Indirect Costs</t>
  </si>
  <si>
    <t>Total Direct and Indirect Costs</t>
  </si>
  <si>
    <t>PI annual salary</t>
  </si>
  <si>
    <t>Graduate Student hourly rate</t>
  </si>
  <si>
    <t>Graduate Student Annual Salary</t>
  </si>
  <si>
    <t>Graduate Student Tution/Fees (full year)</t>
  </si>
  <si>
    <t>cleanroom</t>
  </si>
  <si>
    <t>ticket</t>
  </si>
  <si>
    <t>hotel</t>
  </si>
  <si>
    <t>registration</t>
  </si>
  <si>
    <t>per diem</t>
  </si>
  <si>
    <t>mileage</t>
  </si>
  <si>
    <t>public transportation</t>
  </si>
  <si>
    <t>year 1</t>
  </si>
  <si>
    <t>year 2</t>
  </si>
  <si>
    <t>cells and media</t>
  </si>
  <si>
    <t>publications</t>
  </si>
  <si>
    <t>Year 3</t>
  </si>
  <si>
    <t>year 3</t>
  </si>
  <si>
    <t>type</t>
  </si>
  <si>
    <t>Data Management Plan</t>
  </si>
  <si>
    <t xml:space="preserve">full time RA </t>
  </si>
  <si>
    <t>Undergraduate Student Fringe</t>
  </si>
  <si>
    <t>Undergraduate Student Salary</t>
  </si>
  <si>
    <t xml:space="preserve">research consumables </t>
  </si>
  <si>
    <t xml:space="preserve">education travel (1 trip) </t>
  </si>
  <si>
    <t>Equipment Under $5K</t>
  </si>
  <si>
    <t>permanent equipment under $5k</t>
  </si>
  <si>
    <t>permanent equipment over $5k</t>
  </si>
  <si>
    <t>data management plan costs (website annual maintenance)</t>
  </si>
  <si>
    <t>UI Costs for F&amp;A</t>
  </si>
  <si>
    <t>photolithography masks</t>
  </si>
  <si>
    <t>fliorinated oil and surfactants (Raindance Technologies)</t>
  </si>
  <si>
    <t>data acquisition card (PCIe-7842R, National Instruments)</t>
  </si>
  <si>
    <t>Frequency Generator (HAMEG® HMF2550)</t>
  </si>
  <si>
    <t>AC Power Amplifier (Trek Model 677B)</t>
  </si>
  <si>
    <t>full time RA (yr.1: 1, yr.2: 1, yr.3: 1)</t>
  </si>
  <si>
    <t>3 year total</t>
  </si>
  <si>
    <t>High-school internship</t>
  </si>
  <si>
    <t>High-School Research Internship</t>
  </si>
  <si>
    <t>Undergraduate Research Internship</t>
  </si>
  <si>
    <t>High-school fringe</t>
  </si>
  <si>
    <t>tubes, connectors</t>
  </si>
  <si>
    <t>Type</t>
  </si>
  <si>
    <t>travel</t>
  </si>
  <si>
    <t>accommodation</t>
  </si>
  <si>
    <t>3 % annual increase</t>
  </si>
  <si>
    <t>STEM Access coordinator</t>
  </si>
  <si>
    <t>2x week salary direct costs</t>
  </si>
  <si>
    <t>STEM Access coordinator fringe</t>
  </si>
  <si>
    <t>STEM Access coordinator salary</t>
  </si>
  <si>
    <t xml:space="preserve">education/outreach additional costs </t>
  </si>
  <si>
    <t>$40 per person</t>
  </si>
  <si>
    <t>$44 per staff, required for employees</t>
  </si>
  <si>
    <t>$20 per participant</t>
  </si>
  <si>
    <t>($0.30 per day, 6*30+30 days)</t>
  </si>
  <si>
    <t>first aid CPR training of supervisor (G.1)</t>
  </si>
  <si>
    <t>background check of supervisor (G.1)</t>
  </si>
  <si>
    <t>instructional supplies for interns (F.4)</t>
  </si>
  <si>
    <t>camp insurance (F.4)</t>
  </si>
  <si>
    <t xml:space="preserve">education/outreach additional costs G.1 </t>
  </si>
  <si>
    <t>education/outreach additional costs F.4</t>
  </si>
  <si>
    <t xml:space="preserve">education costs </t>
  </si>
  <si>
    <t>Salaries/Internships (total)</t>
  </si>
  <si>
    <t>education/outreach additional costs (total)</t>
  </si>
  <si>
    <t xml:space="preserve">education travel (1 trip total) </t>
  </si>
  <si>
    <t>1.0 month - 40hr/week @ $8/hr</t>
  </si>
  <si>
    <t>full time academic year + 1 summer credit, 5% increase</t>
  </si>
  <si>
    <t>Research Consumables</t>
  </si>
  <si>
    <t>6 months/academic year - 12hr/week (yr. 1) - 12hr/week (yr.2) - 12hr/ week (yr. 3) @ $15/hr</t>
  </si>
  <si>
    <t>6 months/academic year - 16hr/week (yr. 1) - 16hr/week (yr.2) - 16hr/ week (yr. 3) @ $16/hr</t>
  </si>
  <si>
    <t>optics for custom additions to an existing microscope (Thorlabs)</t>
  </si>
  <si>
    <t>1 trip to/from Switzerland for year 1, 1 conference trip for year 2 and 1 for year 3</t>
  </si>
  <si>
    <t>2x 1.0 months - 40hr/week @ $12/hr</t>
  </si>
  <si>
    <t>polymers (PDMS)</t>
  </si>
  <si>
    <t>1 (yr. 1), 1 (yr. 2), 1 (yr. 3) calendar month</t>
  </si>
  <si>
    <t>Collaborative Research: Multidimensional single-cell phenotyping for elucidating genome to phenome relationships</t>
  </si>
  <si>
    <t>January, 2021 - December, 2023</t>
  </si>
  <si>
    <t>photomultiplier tube (Newport Coorporation)</t>
  </si>
  <si>
    <t>workstation for data and image processing (Lenovo)</t>
  </si>
  <si>
    <t>photomultiplier tube (Newport Corporation)</t>
  </si>
  <si>
    <t>first aid CPR training of supervisor</t>
  </si>
  <si>
    <t>background check of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</si>
</sst>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0"/>
      <name val="Geneva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2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3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3" fontId="6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3" fontId="5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3" fontId="10" fillId="6" borderId="2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0" fontId="0" fillId="8" borderId="0" xfId="0" applyFill="1"/>
    <xf numFmtId="0" fontId="11" fillId="4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3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3" fontId="10" fillId="8" borderId="0" xfId="0" applyNumberFormat="1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3" fontId="7" fillId="8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3" fontId="6" fillId="8" borderId="4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3" fontId="6" fillId="8" borderId="5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3" fontId="6" fillId="8" borderId="0" xfId="0" applyNumberFormat="1" applyFont="1" applyFill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center"/>
    </xf>
    <xf numFmtId="3" fontId="6" fillId="8" borderId="0" xfId="0" applyNumberFormat="1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3" fontId="12" fillId="10" borderId="4" xfId="0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3" fontId="5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36"/>
  <sheetViews>
    <sheetView tabSelected="1" zoomScaleNormal="100" workbookViewId="0">
      <selection activeCell="D34" sqref="D34"/>
    </sheetView>
  </sheetViews>
  <sheetFormatPr defaultColWidth="8.90625" defaultRowHeight="13"/>
  <cols>
    <col min="1" max="1" width="35.08984375" style="3" customWidth="1"/>
    <col min="2" max="2" width="11.08984375" style="5" customWidth="1"/>
    <col min="3" max="3" width="9.36328125" style="5" customWidth="1"/>
    <col min="4" max="4" width="10.1796875" style="5" customWidth="1"/>
    <col min="5" max="5" width="71.08984375" style="5" customWidth="1"/>
    <col min="6" max="6" width="8.6328125" style="5" customWidth="1"/>
    <col min="7" max="8" width="8.90625" style="34"/>
    <col min="9" max="9" width="35.36328125" style="34" customWidth="1"/>
    <col min="10" max="10" width="13.6328125" style="34" customWidth="1"/>
    <col min="11" max="11" width="28.6328125" style="34" customWidth="1"/>
    <col min="12" max="287" width="8.90625" style="34"/>
    <col min="288" max="16384" width="8.90625" style="3"/>
  </cols>
  <sheetData>
    <row r="1" spans="1:289" s="29" customFormat="1" ht="15.5">
      <c r="A1" s="75" t="s">
        <v>91</v>
      </c>
      <c r="B1" s="75"/>
      <c r="C1" s="75"/>
      <c r="D1" s="75"/>
      <c r="E1" s="75"/>
      <c r="F1" s="75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</row>
    <row r="2" spans="1:289" s="29" customFormat="1">
      <c r="A2" s="74" t="s">
        <v>92</v>
      </c>
      <c r="B2" s="74"/>
      <c r="C2" s="74"/>
      <c r="D2" s="74"/>
      <c r="E2" s="74"/>
      <c r="F2" s="7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</row>
    <row r="3" spans="1:289" s="22" customFormat="1">
      <c r="B3" s="23" t="s">
        <v>0</v>
      </c>
      <c r="C3" s="23" t="s">
        <v>1</v>
      </c>
      <c r="D3" s="23" t="s">
        <v>32</v>
      </c>
      <c r="E3" s="24" t="s">
        <v>2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</row>
    <row r="4" spans="1:289" s="6" customFormat="1">
      <c r="A4" s="37" t="s">
        <v>3</v>
      </c>
      <c r="B4" s="38">
        <f>('UI-per year'!B2/9)*1</f>
        <v>8815.7777777777774</v>
      </c>
      <c r="C4" s="38">
        <f>('UI-per year'!C2/9)*1</f>
        <v>9080.2511111111107</v>
      </c>
      <c r="D4" s="38">
        <f>('UI-per year'!D2/9)*1</f>
        <v>9352.6586444444438</v>
      </c>
      <c r="E4" s="30" t="s">
        <v>90</v>
      </c>
      <c r="F4" s="43">
        <f>SUM(B4:D4)</f>
        <v>27248.687533333334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</row>
    <row r="5" spans="1:289" s="22" customFormat="1">
      <c r="A5" s="25" t="s">
        <v>4</v>
      </c>
      <c r="B5" s="26">
        <f>'UI-per year'!B4</f>
        <v>26000</v>
      </c>
      <c r="C5" s="26">
        <f>'UI-per year'!C4</f>
        <v>26000</v>
      </c>
      <c r="D5" s="26">
        <f>'UI-per year'!D4</f>
        <v>26000</v>
      </c>
      <c r="E5" s="27" t="s">
        <v>51</v>
      </c>
      <c r="F5" s="43">
        <f>SUM(B5:D5)</f>
        <v>78000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</row>
    <row r="6" spans="1:289" s="22" customFormat="1">
      <c r="A6" s="37" t="s">
        <v>38</v>
      </c>
      <c r="B6" s="38">
        <f>'UI-per year'!B7</f>
        <v>4320</v>
      </c>
      <c r="C6" s="38">
        <f>'UI-per year'!C7</f>
        <v>4320</v>
      </c>
      <c r="D6" s="38">
        <f>'UI-per year'!D7</f>
        <v>4320</v>
      </c>
      <c r="E6" s="30" t="s">
        <v>85</v>
      </c>
      <c r="F6" s="43">
        <f>SUM(B6:D6)</f>
        <v>12960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</row>
    <row r="7" spans="1:289" s="22" customFormat="1">
      <c r="A7" s="25" t="s">
        <v>65</v>
      </c>
      <c r="B7" s="26">
        <f>'UI-per year'!B8</f>
        <v>2044</v>
      </c>
      <c r="C7" s="26">
        <f>'UI-per year'!C8</f>
        <v>2044</v>
      </c>
      <c r="D7" s="26">
        <f>'UI-per year'!D8</f>
        <v>2044</v>
      </c>
      <c r="E7" s="27" t="s">
        <v>63</v>
      </c>
      <c r="F7" s="43">
        <f>SUM(B7:D7)</f>
        <v>6132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</row>
    <row r="8" spans="1:289" s="6" customFormat="1">
      <c r="A8" s="37" t="s">
        <v>53</v>
      </c>
      <c r="B8" s="38">
        <f>1*'UI-per year'!B6</f>
        <v>3840</v>
      </c>
      <c r="C8" s="38">
        <f>1*'UI-per year'!C6</f>
        <v>3840</v>
      </c>
      <c r="D8" s="38">
        <f>1*'UI-per year'!D6</f>
        <v>3840</v>
      </c>
      <c r="E8" s="30" t="s">
        <v>81</v>
      </c>
      <c r="F8" s="43">
        <f>SUM(B8:D8)</f>
        <v>11520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</row>
    <row r="9" spans="1:289" s="22" customFormat="1">
      <c r="A9" s="25" t="s">
        <v>5</v>
      </c>
      <c r="B9" s="26">
        <f>SUM(B4:B7)</f>
        <v>41179.777777777781</v>
      </c>
      <c r="C9" s="26">
        <f t="shared" ref="C9:D9" si="0">SUM(C4:C7)</f>
        <v>41444.251111111109</v>
      </c>
      <c r="D9" s="26">
        <f t="shared" si="0"/>
        <v>41716.65864444444</v>
      </c>
      <c r="E9" s="27"/>
      <c r="F9" s="43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</row>
    <row r="10" spans="1:289" s="6" customFormat="1">
      <c r="A10" s="39" t="s">
        <v>6</v>
      </c>
      <c r="B10" s="38">
        <f>B4*E$10</f>
        <v>2706.4437777777775</v>
      </c>
      <c r="C10" s="38">
        <f>C4*E$10</f>
        <v>2787.6370911111107</v>
      </c>
      <c r="D10" s="38">
        <f>D4*E$10</f>
        <v>2871.2662038444441</v>
      </c>
      <c r="E10" s="31">
        <v>0.307</v>
      </c>
      <c r="F10" s="43">
        <f>SUM(B10:D10)</f>
        <v>8365.3470727333333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</row>
    <row r="11" spans="1:289" s="22" customFormat="1">
      <c r="A11" s="25" t="s">
        <v>7</v>
      </c>
      <c r="B11" s="26">
        <f>B5*E11</f>
        <v>546</v>
      </c>
      <c r="C11" s="26">
        <f>C5*E11</f>
        <v>546</v>
      </c>
      <c r="D11" s="26">
        <f>D5*E11</f>
        <v>546</v>
      </c>
      <c r="E11" s="28">
        <v>2.1000000000000001E-2</v>
      </c>
      <c r="F11" s="43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</row>
    <row r="12" spans="1:289" s="6" customFormat="1">
      <c r="A12" s="37" t="s">
        <v>37</v>
      </c>
      <c r="B12" s="38">
        <f>(B6*E$12)</f>
        <v>90.72</v>
      </c>
      <c r="C12" s="38">
        <f>(C6*E$12)</f>
        <v>90.72</v>
      </c>
      <c r="D12" s="38">
        <f>(D6*E$12)</f>
        <v>90.72</v>
      </c>
      <c r="E12" s="31">
        <v>2.1000000000000001E-2</v>
      </c>
      <c r="F12" s="43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</row>
    <row r="13" spans="1:289" s="51" customFormat="1">
      <c r="A13" s="25" t="s">
        <v>56</v>
      </c>
      <c r="B13" s="26">
        <f>(B8*E$13)</f>
        <v>334.08</v>
      </c>
      <c r="C13" s="26">
        <f>(C8*E$13)</f>
        <v>334.08</v>
      </c>
      <c r="D13" s="26">
        <f>(D8*E$13)</f>
        <v>334.08</v>
      </c>
      <c r="E13" s="28">
        <v>8.6999999999999994E-2</v>
      </c>
      <c r="F13" s="43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</row>
    <row r="14" spans="1:289" s="51" customFormat="1">
      <c r="A14" s="37" t="s">
        <v>64</v>
      </c>
      <c r="B14" s="38">
        <f>B7*E$14</f>
        <v>854.39199999999994</v>
      </c>
      <c r="C14" s="38">
        <f>C7*E$14</f>
        <v>854.39199999999994</v>
      </c>
      <c r="D14" s="38">
        <f>D7*E$14</f>
        <v>854.39199999999994</v>
      </c>
      <c r="E14" s="31">
        <v>0.41799999999999998</v>
      </c>
      <c r="F14" s="43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</row>
    <row r="15" spans="1:289" s="22" customFormat="1">
      <c r="A15" s="25" t="s">
        <v>8</v>
      </c>
      <c r="B15" s="26">
        <f>B11+B10+B12+B14</f>
        <v>4197.5557777777776</v>
      </c>
      <c r="C15" s="26">
        <f t="shared" ref="C15:D15" si="1">C11+C10+C12+C14</f>
        <v>4278.7490911111108</v>
      </c>
      <c r="D15" s="26">
        <f t="shared" si="1"/>
        <v>4362.3782038444442</v>
      </c>
      <c r="E15" s="27"/>
      <c r="F15" s="43">
        <f>SUM(B15:D15)</f>
        <v>12838.683072733333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</row>
    <row r="16" spans="1:289" s="51" customFormat="1">
      <c r="A16" s="37" t="s">
        <v>9</v>
      </c>
      <c r="B16" s="38">
        <f>B9+B15</f>
        <v>45377.33355555556</v>
      </c>
      <c r="C16" s="38">
        <f t="shared" ref="C16:D16" si="2">C9+C15</f>
        <v>45723.000202222218</v>
      </c>
      <c r="D16" s="38">
        <f t="shared" si="2"/>
        <v>46079.036848288888</v>
      </c>
      <c r="E16" s="30"/>
      <c r="F16" s="4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</row>
    <row r="17" spans="1:289" s="22" customFormat="1">
      <c r="A17" s="25" t="s">
        <v>10</v>
      </c>
      <c r="B17" s="26">
        <f>'UI-per year'!B9</f>
        <v>18500</v>
      </c>
      <c r="C17" s="26">
        <f>'UI-per year'!C9</f>
        <v>0</v>
      </c>
      <c r="D17" s="26">
        <f>'UI-per year'!D9</f>
        <v>0</v>
      </c>
      <c r="E17" s="27"/>
      <c r="F17" s="43">
        <f>SUM(B17:D17)+SUM(B18:D18)</f>
        <v>28800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</row>
    <row r="18" spans="1:289" s="51" customFormat="1">
      <c r="A18" s="37" t="s">
        <v>41</v>
      </c>
      <c r="B18" s="38">
        <f>'UI-per year'!B13</f>
        <v>10300</v>
      </c>
      <c r="C18" s="38">
        <f>'UI-per year'!C13</f>
        <v>0</v>
      </c>
      <c r="D18" s="38">
        <f>'UI-per year'!D13</f>
        <v>0</v>
      </c>
      <c r="E18" s="30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</row>
    <row r="19" spans="1:289" s="22" customFormat="1">
      <c r="A19" s="25" t="s">
        <v>83</v>
      </c>
      <c r="B19" s="26">
        <f>'UI-per year'!B17+'UI-per year'!B25+'UI-per year'!B26</f>
        <v>4201</v>
      </c>
      <c r="C19" s="26">
        <f>'UI-per year'!C17+'UI-per year'!C25+'UI-per year'!C26</f>
        <v>6966.5</v>
      </c>
      <c r="D19" s="26">
        <f>'UI-per year'!D17+'UI-per year'!D25+'UI-per year'!D26</f>
        <v>6966.5</v>
      </c>
      <c r="E19" s="27"/>
      <c r="F19" s="43">
        <f>SUM(B19:D19)</f>
        <v>18134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</row>
    <row r="20" spans="1:289" s="22" customFormat="1">
      <c r="A20" s="37" t="s">
        <v>75</v>
      </c>
      <c r="B20" s="38">
        <v>0</v>
      </c>
      <c r="C20" s="38">
        <v>0</v>
      </c>
      <c r="D20" s="38">
        <v>0</v>
      </c>
      <c r="E20" s="30"/>
      <c r="F20" s="43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  <c r="IW20" s="34"/>
      <c r="IX20" s="34"/>
      <c r="IY20" s="34"/>
      <c r="IZ20" s="34"/>
      <c r="JA20" s="34"/>
      <c r="JB20" s="34"/>
      <c r="JC20" s="34"/>
      <c r="JD20" s="34"/>
      <c r="JE20" s="34"/>
      <c r="JF20" s="34"/>
      <c r="JG20" s="34"/>
      <c r="JH20" s="34"/>
      <c r="JI20" s="34"/>
      <c r="JJ20" s="34"/>
      <c r="JK20" s="34"/>
      <c r="JL20" s="34"/>
      <c r="JM20" s="34"/>
      <c r="JN20" s="34"/>
      <c r="JO20" s="34"/>
      <c r="JP20" s="34"/>
      <c r="JQ20" s="34"/>
      <c r="JR20" s="34"/>
      <c r="JS20" s="34"/>
      <c r="JT20" s="34"/>
      <c r="JU20" s="34"/>
      <c r="JV20" s="34"/>
      <c r="JW20" s="34"/>
      <c r="JX20" s="34"/>
      <c r="JY20" s="34"/>
      <c r="JZ20" s="34"/>
      <c r="KA20" s="34"/>
      <c r="KB20" s="34"/>
      <c r="KC20" s="34"/>
    </row>
    <row r="21" spans="1:289" s="22" customFormat="1">
      <c r="A21" s="68" t="s">
        <v>76</v>
      </c>
      <c r="B21" s="26">
        <f>'UI-per year'!B27+'UI-per year'!B28</f>
        <v>123</v>
      </c>
      <c r="C21" s="26">
        <f>'UI-per year'!C27+'UI-per year'!C28</f>
        <v>123</v>
      </c>
      <c r="D21" s="26">
        <f>'UI-per year'!D27+'UI-per year'!D28</f>
        <v>123</v>
      </c>
      <c r="E21" s="27"/>
      <c r="F21" s="43">
        <f>SUM(B21:D21)</f>
        <v>369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  <c r="IW21" s="34"/>
      <c r="IX21" s="34"/>
      <c r="IY21" s="34"/>
      <c r="IZ21" s="34"/>
      <c r="JA21" s="34"/>
      <c r="JB21" s="34"/>
      <c r="JC21" s="34"/>
      <c r="JD21" s="34"/>
      <c r="JE21" s="34"/>
      <c r="JF21" s="34"/>
      <c r="JG21" s="34"/>
      <c r="JH21" s="34"/>
      <c r="JI21" s="34"/>
      <c r="JJ21" s="34"/>
      <c r="JK21" s="34"/>
      <c r="JL21" s="34"/>
      <c r="JM21" s="34"/>
      <c r="JN21" s="34"/>
      <c r="JO21" s="34"/>
      <c r="JP21" s="34"/>
      <c r="JQ21" s="34"/>
      <c r="JR21" s="34"/>
      <c r="JS21" s="34"/>
      <c r="JT21" s="34"/>
      <c r="JU21" s="34"/>
      <c r="JV21" s="34"/>
      <c r="JW21" s="34"/>
      <c r="JX21" s="34"/>
      <c r="JY21" s="34"/>
      <c r="JZ21" s="34"/>
      <c r="KA21" s="34"/>
      <c r="KB21" s="34"/>
      <c r="KC21" s="34"/>
    </row>
    <row r="22" spans="1:289" s="51" customFormat="1">
      <c r="A22" s="37" t="s">
        <v>11</v>
      </c>
      <c r="B22" s="38">
        <f>'UI-per year'!B29+'UI-per year'!B36</f>
        <v>3047.26</v>
      </c>
      <c r="C22" s="38">
        <f>'UI-per year'!C29+'UI-per year'!C36</f>
        <v>6882.26</v>
      </c>
      <c r="D22" s="38">
        <f>'UI-per year'!D29+'UI-per year'!D36</f>
        <v>2282.2600000000002</v>
      </c>
      <c r="E22" s="30"/>
      <c r="F22" s="43">
        <f>SUM(B22:D22)</f>
        <v>12211.78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  <c r="IW22" s="34"/>
      <c r="IX22" s="34"/>
      <c r="IY22" s="34"/>
      <c r="IZ22" s="34"/>
      <c r="JA22" s="34"/>
      <c r="JB22" s="34"/>
      <c r="JC22" s="34"/>
      <c r="JD22" s="34"/>
      <c r="JE22" s="34"/>
      <c r="JF22" s="34"/>
      <c r="JG22" s="34"/>
      <c r="JH22" s="34"/>
      <c r="JI22" s="34"/>
      <c r="JJ22" s="34"/>
      <c r="JK22" s="34"/>
      <c r="JL22" s="34"/>
      <c r="JM22" s="34"/>
      <c r="JN22" s="34"/>
      <c r="JO22" s="34"/>
      <c r="JP22" s="34"/>
      <c r="JQ22" s="34"/>
      <c r="JR22" s="34"/>
      <c r="JS22" s="34"/>
      <c r="JT22" s="34"/>
      <c r="JU22" s="34"/>
      <c r="JV22" s="34"/>
      <c r="JW22" s="34"/>
      <c r="JX22" s="34"/>
      <c r="JY22" s="34"/>
      <c r="JZ22" s="34"/>
      <c r="KA22" s="34"/>
      <c r="KB22" s="34"/>
      <c r="KC22" s="34"/>
    </row>
    <row r="23" spans="1:289" s="22" customFormat="1">
      <c r="A23" s="25" t="s">
        <v>12</v>
      </c>
      <c r="B23" s="26">
        <f>'UI-per year'!B39</f>
        <v>0</v>
      </c>
      <c r="C23" s="26">
        <f>'UI-per year'!C39</f>
        <v>1200</v>
      </c>
      <c r="D23" s="26">
        <f>'UI-per year'!D39</f>
        <v>1200</v>
      </c>
      <c r="E23" s="27"/>
      <c r="F23" s="43">
        <f>SUM(B23:D23)</f>
        <v>2400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</row>
    <row r="24" spans="1:289" s="51" customFormat="1">
      <c r="A24" s="37" t="s">
        <v>35</v>
      </c>
      <c r="B24" s="38">
        <f>'UI-per year'!B41</f>
        <v>200</v>
      </c>
      <c r="C24" s="38">
        <f>'UI-per year'!C41</f>
        <v>200</v>
      </c>
      <c r="D24" s="38">
        <f>'UI-per year'!D41</f>
        <v>200</v>
      </c>
      <c r="E24" s="30"/>
      <c r="F24" s="43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</row>
    <row r="25" spans="1:289" s="22" customFormat="1">
      <c r="A25" s="25" t="s">
        <v>13</v>
      </c>
      <c r="B25" s="26">
        <f>'UI-per year'!B5</f>
        <v>12500</v>
      </c>
      <c r="C25" s="26">
        <f>'UI-per year'!C5</f>
        <v>13125</v>
      </c>
      <c r="D25" s="26">
        <f>'UI-per year'!D5</f>
        <v>13781.25</v>
      </c>
      <c r="E25" s="27"/>
      <c r="F25" s="43">
        <f>SUM(B25:D25)</f>
        <v>39406.25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</row>
    <row r="26" spans="1:289" s="51" customFormat="1">
      <c r="A26" s="37" t="s">
        <v>14</v>
      </c>
      <c r="B26" s="38">
        <f>B25+B23+B22+B21+B19+B17+B16+B24+B18+B20+B8</f>
        <v>98088.593555555562</v>
      </c>
      <c r="C26" s="38">
        <f t="shared" ref="C26:D26" si="3">C25+C23+C22+C21+C19+C17+C16+C24+C18+C20+C8</f>
        <v>78059.760202222213</v>
      </c>
      <c r="D26" s="38">
        <f t="shared" si="3"/>
        <v>74472.046848288883</v>
      </c>
      <c r="E26" s="30"/>
      <c r="F26" s="43">
        <f>SUM(B25:D25)</f>
        <v>39406.25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</row>
    <row r="27" spans="1:289" s="22" customFormat="1">
      <c r="A27" s="25" t="s">
        <v>45</v>
      </c>
      <c r="B27" s="26">
        <f>B26-B17-B25-B21-B8</f>
        <v>63125.593555555562</v>
      </c>
      <c r="C27" s="26">
        <f t="shared" ref="C27:D27" si="4">C26-C17-C25-C21-C8</f>
        <v>60971.760202222213</v>
      </c>
      <c r="D27" s="26">
        <f t="shared" si="4"/>
        <v>56727.796848288883</v>
      </c>
      <c r="E27" s="27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</row>
    <row r="28" spans="1:289" s="51" customFormat="1">
      <c r="A28" s="37" t="s">
        <v>15</v>
      </c>
      <c r="B28" s="38">
        <f>B27*0.475</f>
        <v>29984.656938888889</v>
      </c>
      <c r="C28" s="38">
        <f t="shared" ref="C28:D28" si="5">C27*0.475</f>
        <v>28961.586096055551</v>
      </c>
      <c r="D28" s="38">
        <f t="shared" si="5"/>
        <v>26945.703502937216</v>
      </c>
      <c r="E28" s="31">
        <v>0.47499999999999998</v>
      </c>
      <c r="F28" s="43">
        <f>B28+C28+D28</f>
        <v>85891.946537881653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</row>
    <row r="29" spans="1:289" s="22" customFormat="1">
      <c r="A29" s="25" t="s">
        <v>16</v>
      </c>
      <c r="B29" s="26">
        <f>B28+B26</f>
        <v>128073.25049444445</v>
      </c>
      <c r="C29" s="26">
        <f t="shared" ref="C29:D29" si="6">C28+C26</f>
        <v>107021.34629827776</v>
      </c>
      <c r="D29" s="26">
        <f t="shared" si="6"/>
        <v>101417.7503512261</v>
      </c>
      <c r="E29" s="27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</row>
    <row r="32" spans="1:289" ht="14.5">
      <c r="B32" s="40" t="s">
        <v>52</v>
      </c>
      <c r="C32" s="41">
        <f>SUM(B29:D29)</f>
        <v>336512.34714394831</v>
      </c>
      <c r="KB32" s="34"/>
    </row>
    <row r="33" spans="1:7" s="34" customFormat="1" ht="14.5">
      <c r="B33" s="52"/>
      <c r="C33" s="53"/>
      <c r="D33" s="43"/>
      <c r="E33" s="43"/>
      <c r="F33" s="43"/>
    </row>
    <row r="34" spans="1:7">
      <c r="A34" s="5"/>
      <c r="G34" s="4"/>
    </row>
    <row r="36" spans="1:7">
      <c r="A36" s="5"/>
    </row>
  </sheetData>
  <mergeCells count="2">
    <mergeCell ref="A2:F2"/>
    <mergeCell ref="A1:F1"/>
  </mergeCells>
  <pageMargins left="0" right="0" top="0.75" bottom="0.75" header="0.3" footer="0.3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2"/>
  <sheetViews>
    <sheetView topLeftCell="A10" zoomScaleNormal="100" workbookViewId="0">
      <selection activeCell="A25" sqref="A25:D26"/>
    </sheetView>
  </sheetViews>
  <sheetFormatPr defaultColWidth="15.36328125" defaultRowHeight="12.5"/>
  <cols>
    <col min="1" max="1" width="55" style="1" customWidth="1"/>
    <col min="2" max="2" width="20.54296875" style="2" customWidth="1"/>
    <col min="3" max="4" width="20.54296875" style="1" customWidth="1"/>
    <col min="5" max="5" width="75.453125" style="1" customWidth="1"/>
    <col min="6" max="79" width="15.36328125" style="35"/>
    <col min="80" max="16384" width="15.36328125" style="1"/>
  </cols>
  <sheetData>
    <row r="1" spans="1:79" ht="13">
      <c r="A1" s="7" t="s">
        <v>34</v>
      </c>
      <c r="B1" s="7" t="s">
        <v>28</v>
      </c>
      <c r="C1" s="7" t="s">
        <v>29</v>
      </c>
      <c r="D1" s="7" t="s">
        <v>33</v>
      </c>
      <c r="E1" s="42" t="s">
        <v>2</v>
      </c>
    </row>
    <row r="2" spans="1:79" ht="13">
      <c r="A2" s="8" t="s">
        <v>17</v>
      </c>
      <c r="B2" s="9">
        <f>79342</f>
        <v>79342</v>
      </c>
      <c r="C2" s="9">
        <f>B2+(B2*3/100)</f>
        <v>81722.259999999995</v>
      </c>
      <c r="D2" s="9">
        <f t="shared" ref="D2" si="0">C2+(C2*3/100)</f>
        <v>84173.92779999999</v>
      </c>
      <c r="E2" s="30" t="s">
        <v>61</v>
      </c>
    </row>
    <row r="3" spans="1:79" ht="13">
      <c r="A3" s="10" t="s">
        <v>18</v>
      </c>
      <c r="B3" s="9">
        <v>25</v>
      </c>
      <c r="C3" s="9">
        <v>25</v>
      </c>
      <c r="D3" s="9">
        <v>25</v>
      </c>
      <c r="E3" s="30"/>
    </row>
    <row r="4" spans="1:79" ht="13">
      <c r="A4" s="10" t="s">
        <v>19</v>
      </c>
      <c r="B4" s="9">
        <f>B3*(2080/2)</f>
        <v>26000</v>
      </c>
      <c r="C4" s="9">
        <f>C3*(2080/2)</f>
        <v>26000</v>
      </c>
      <c r="D4" s="9">
        <f t="shared" ref="D4" si="1">D3*(2080/2)</f>
        <v>26000</v>
      </c>
      <c r="E4" s="30" t="s">
        <v>36</v>
      </c>
    </row>
    <row r="5" spans="1:79" ht="13">
      <c r="A5" s="10" t="s">
        <v>20</v>
      </c>
      <c r="B5" s="9">
        <v>12500</v>
      </c>
      <c r="C5" s="9">
        <f xml:space="preserve"> B5 + ((5/100)*B5)</f>
        <v>13125</v>
      </c>
      <c r="D5" s="9">
        <f xml:space="preserve"> C5 + ((5/100)*C5)</f>
        <v>13781.25</v>
      </c>
      <c r="E5" s="30" t="s">
        <v>82</v>
      </c>
      <c r="F5" s="44">
        <f>SUM(B5:D5)</f>
        <v>39406.25</v>
      </c>
    </row>
    <row r="6" spans="1:79" ht="13">
      <c r="A6" s="10" t="s">
        <v>54</v>
      </c>
      <c r="B6" s="9">
        <f xml:space="preserve"> 2 * (4 * 5 * 8 * 12)</f>
        <v>3840</v>
      </c>
      <c r="C6" s="9">
        <f xml:space="preserve"> 2 * (4 * 5 * 8 * 12)</f>
        <v>3840</v>
      </c>
      <c r="D6" s="9">
        <f xml:space="preserve"> 2 * (4 * 5 * 8 * 12)</f>
        <v>3840</v>
      </c>
      <c r="E6" s="30" t="s">
        <v>88</v>
      </c>
    </row>
    <row r="7" spans="1:79" ht="13">
      <c r="A7" s="10" t="s">
        <v>55</v>
      </c>
      <c r="B7" s="9">
        <f>6 * (4 * 12 * 15)</f>
        <v>4320</v>
      </c>
      <c r="C7" s="9">
        <f t="shared" ref="C7:D7" si="2">6 * (4 * 12 * 15)</f>
        <v>4320</v>
      </c>
      <c r="D7" s="9">
        <f t="shared" si="2"/>
        <v>4320</v>
      </c>
      <c r="E7" s="30" t="s">
        <v>84</v>
      </c>
    </row>
    <row r="8" spans="1:79" ht="13">
      <c r="A8" s="10" t="s">
        <v>62</v>
      </c>
      <c r="B8" s="9">
        <f>2*1022</f>
        <v>2044</v>
      </c>
      <c r="C8" s="9">
        <f t="shared" ref="C8:D8" si="3">2*1022</f>
        <v>2044</v>
      </c>
      <c r="D8" s="9">
        <f t="shared" si="3"/>
        <v>2044</v>
      </c>
      <c r="E8" s="30" t="s">
        <v>63</v>
      </c>
    </row>
    <row r="9" spans="1:79" ht="13">
      <c r="A9" s="11" t="s">
        <v>43</v>
      </c>
      <c r="B9" s="12">
        <f>SUM(B10:B12)</f>
        <v>18500</v>
      </c>
      <c r="C9" s="12">
        <f>SUM(C12:C12)</f>
        <v>0</v>
      </c>
      <c r="D9" s="12">
        <f>SUM(D12:D12)</f>
        <v>0</v>
      </c>
      <c r="E9" s="21"/>
    </row>
    <row r="10" spans="1:79" ht="13">
      <c r="A10" s="13" t="s">
        <v>86</v>
      </c>
      <c r="B10" s="17">
        <v>7000</v>
      </c>
      <c r="C10" s="14">
        <v>0</v>
      </c>
      <c r="D10" s="14">
        <v>0</v>
      </c>
      <c r="E10" s="21"/>
    </row>
    <row r="11" spans="1:79" ht="13">
      <c r="A11" s="13" t="s">
        <v>93</v>
      </c>
      <c r="B11" s="17">
        <v>6000</v>
      </c>
      <c r="C11" s="14">
        <v>0</v>
      </c>
      <c r="D11" s="14">
        <v>0</v>
      </c>
      <c r="E11" s="21"/>
    </row>
    <row r="12" spans="1:79" ht="13">
      <c r="A12" s="13" t="s">
        <v>94</v>
      </c>
      <c r="B12" s="14">
        <v>5500</v>
      </c>
      <c r="C12" s="14">
        <v>0</v>
      </c>
      <c r="D12" s="14">
        <v>0</v>
      </c>
      <c r="E12" s="21"/>
    </row>
    <row r="13" spans="1:79" ht="13">
      <c r="A13" s="15" t="s">
        <v>42</v>
      </c>
      <c r="B13" s="36">
        <f>SUM(B14:B16)</f>
        <v>10300</v>
      </c>
      <c r="C13" s="36">
        <f>SUM(C14:C16)</f>
        <v>0</v>
      </c>
      <c r="D13" s="36">
        <f>SUM(D14:D16)</f>
        <v>0</v>
      </c>
      <c r="E13" s="30"/>
    </row>
    <row r="14" spans="1:79" s="32" customFormat="1" ht="13">
      <c r="A14" s="10" t="s">
        <v>48</v>
      </c>
      <c r="B14" s="45">
        <v>2200</v>
      </c>
      <c r="C14" s="45">
        <v>0</v>
      </c>
      <c r="D14" s="45">
        <v>0</v>
      </c>
      <c r="E14" s="3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</row>
    <row r="15" spans="1:79" s="32" customFormat="1" ht="13">
      <c r="A15" s="10" t="s">
        <v>49</v>
      </c>
      <c r="B15" s="45">
        <v>4000</v>
      </c>
      <c r="C15" s="45">
        <v>0</v>
      </c>
      <c r="D15" s="45">
        <v>0</v>
      </c>
      <c r="E15" s="30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</row>
    <row r="16" spans="1:79" s="33" customFormat="1" ht="13">
      <c r="A16" s="8" t="s">
        <v>50</v>
      </c>
      <c r="B16" s="9">
        <v>4100</v>
      </c>
      <c r="C16" s="9">
        <v>0</v>
      </c>
      <c r="D16" s="9">
        <v>0</v>
      </c>
      <c r="E16" s="30"/>
      <c r="F16" s="49">
        <f>SUM(B17:D17) + SUM(B24:D24)</f>
        <v>18503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</row>
    <row r="17" spans="1:79" s="33" customFormat="1" ht="13">
      <c r="A17" s="11" t="s">
        <v>39</v>
      </c>
      <c r="B17" s="19">
        <f>SUM(B18:B23)</f>
        <v>4033</v>
      </c>
      <c r="C17" s="19">
        <f>SUM(C18:C23)</f>
        <v>6966.5</v>
      </c>
      <c r="D17" s="19">
        <f>SUM(D18:D23)</f>
        <v>6966.5</v>
      </c>
      <c r="E17" s="20"/>
      <c r="F17" s="5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</row>
    <row r="18" spans="1:79" s="33" customFormat="1" ht="13">
      <c r="A18" s="18" t="s">
        <v>21</v>
      </c>
      <c r="B18" s="17">
        <v>900</v>
      </c>
      <c r="C18" s="17">
        <v>900</v>
      </c>
      <c r="D18" s="17">
        <v>900</v>
      </c>
      <c r="E18" s="20"/>
      <c r="F18" s="5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</row>
    <row r="19" spans="1:79" s="33" customFormat="1" ht="13">
      <c r="A19" s="18" t="s">
        <v>89</v>
      </c>
      <c r="B19" s="17">
        <v>900</v>
      </c>
      <c r="C19" s="17">
        <v>900</v>
      </c>
      <c r="D19" s="17">
        <v>900</v>
      </c>
      <c r="E19" s="20"/>
      <c r="F19" s="50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</row>
    <row r="20" spans="1:79" s="33" customFormat="1" ht="13">
      <c r="A20" s="18" t="s">
        <v>46</v>
      </c>
      <c r="B20" s="17">
        <v>1433</v>
      </c>
      <c r="C20" s="17">
        <f>1433/2</f>
        <v>716.5</v>
      </c>
      <c r="D20" s="17">
        <f>1433/2</f>
        <v>716.5</v>
      </c>
      <c r="E20" s="20"/>
      <c r="F20" s="5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</row>
    <row r="21" spans="1:79" s="33" customFormat="1" ht="13">
      <c r="A21" s="18" t="s">
        <v>47</v>
      </c>
      <c r="B21" s="17">
        <v>0</v>
      </c>
      <c r="C21" s="17">
        <v>3650</v>
      </c>
      <c r="D21" s="17">
        <v>3650</v>
      </c>
      <c r="E21" s="20"/>
      <c r="F21" s="5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</row>
    <row r="22" spans="1:79" s="32" customFormat="1" ht="13">
      <c r="A22" s="18" t="s">
        <v>57</v>
      </c>
      <c r="B22" s="17">
        <v>300</v>
      </c>
      <c r="C22" s="17">
        <v>300</v>
      </c>
      <c r="D22" s="17">
        <v>300</v>
      </c>
      <c r="E22" s="20"/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</row>
    <row r="23" spans="1:79" s="32" customFormat="1" ht="13">
      <c r="A23" s="18" t="s">
        <v>30</v>
      </c>
      <c r="B23" s="17">
        <v>500</v>
      </c>
      <c r="C23" s="17">
        <v>500</v>
      </c>
      <c r="D23" s="17">
        <v>500</v>
      </c>
      <c r="E23" s="20"/>
      <c r="F23" s="5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</row>
    <row r="24" spans="1:79" s="32" customFormat="1" ht="13">
      <c r="A24" s="15" t="s">
        <v>66</v>
      </c>
      <c r="B24" s="16">
        <f>SUM(B25:B28)</f>
        <v>291</v>
      </c>
      <c r="C24" s="16">
        <f>SUM(C25:C28)</f>
        <v>123</v>
      </c>
      <c r="D24" s="16">
        <f>SUM(D25:D28)</f>
        <v>123</v>
      </c>
      <c r="E24" s="30"/>
      <c r="F24" s="5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</row>
    <row r="25" spans="1:79" s="32" customFormat="1" ht="13">
      <c r="A25" s="10" t="s">
        <v>71</v>
      </c>
      <c r="B25" s="9">
        <f>2*40</f>
        <v>80</v>
      </c>
      <c r="C25" s="9">
        <v>0</v>
      </c>
      <c r="D25" s="9">
        <v>0</v>
      </c>
      <c r="E25" s="30" t="s">
        <v>67</v>
      </c>
      <c r="F25" s="5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</row>
    <row r="26" spans="1:79" s="32" customFormat="1" ht="13">
      <c r="A26" s="10" t="s">
        <v>72</v>
      </c>
      <c r="B26" s="9">
        <f>2*44</f>
        <v>88</v>
      </c>
      <c r="C26" s="9">
        <v>0</v>
      </c>
      <c r="D26" s="9">
        <v>0</v>
      </c>
      <c r="E26" s="30" t="s">
        <v>68</v>
      </c>
      <c r="F26" s="50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</row>
    <row r="27" spans="1:79" s="32" customFormat="1" ht="13">
      <c r="A27" s="10" t="s">
        <v>73</v>
      </c>
      <c r="B27" s="9">
        <f>20*3</f>
        <v>60</v>
      </c>
      <c r="C27" s="9">
        <f t="shared" ref="C27:D27" si="4">20*3</f>
        <v>60</v>
      </c>
      <c r="D27" s="9">
        <f t="shared" si="4"/>
        <v>60</v>
      </c>
      <c r="E27" s="30" t="s">
        <v>69</v>
      </c>
      <c r="F27" s="5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</row>
    <row r="28" spans="1:79" s="33" customFormat="1" ht="13">
      <c r="A28" s="8" t="s">
        <v>74</v>
      </c>
      <c r="B28" s="9">
        <f>210*0.3</f>
        <v>63</v>
      </c>
      <c r="C28" s="9">
        <f t="shared" ref="C28:D28" si="5">210*0.3</f>
        <v>63</v>
      </c>
      <c r="D28" s="9">
        <f t="shared" si="5"/>
        <v>63</v>
      </c>
      <c r="E28" s="30" t="s">
        <v>70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</row>
    <row r="29" spans="1:79" s="33" customFormat="1" ht="13">
      <c r="A29" s="11" t="s">
        <v>59</v>
      </c>
      <c r="B29" s="19">
        <f>1*SUM(B30:B35)</f>
        <v>3047.26</v>
      </c>
      <c r="C29" s="19">
        <f>1*SUM(C30:C35)</f>
        <v>2282.2600000000002</v>
      </c>
      <c r="D29" s="19">
        <f>1*SUM(D30:D35)</f>
        <v>2282.2600000000002</v>
      </c>
      <c r="E29" s="47" t="s">
        <v>87</v>
      </c>
      <c r="F29" s="49">
        <f>SUM(B29:D29)</f>
        <v>7611.7800000000007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</row>
    <row r="30" spans="1:79" s="33" customFormat="1" ht="13">
      <c r="A30" s="18" t="s">
        <v>22</v>
      </c>
      <c r="B30" s="14">
        <v>1500</v>
      </c>
      <c r="C30" s="14">
        <v>600</v>
      </c>
      <c r="D30" s="14">
        <v>600</v>
      </c>
      <c r="E30" s="47"/>
      <c r="F30" s="50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</row>
    <row r="31" spans="1:79" s="33" customFormat="1" ht="13">
      <c r="A31" s="18" t="s">
        <v>23</v>
      </c>
      <c r="B31" s="17">
        <f>100*10</f>
        <v>1000</v>
      </c>
      <c r="C31" s="17">
        <f>120*5</f>
        <v>600</v>
      </c>
      <c r="D31" s="17">
        <f t="shared" ref="D31" si="6">120*5</f>
        <v>600</v>
      </c>
      <c r="E31" s="47"/>
      <c r="F31" s="50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</row>
    <row r="32" spans="1:79" s="33" customFormat="1" ht="13">
      <c r="A32" s="18" t="s">
        <v>24</v>
      </c>
      <c r="B32" s="17">
        <v>0</v>
      </c>
      <c r="C32" s="17">
        <v>800</v>
      </c>
      <c r="D32" s="17">
        <v>800</v>
      </c>
      <c r="E32" s="47"/>
      <c r="F32" s="50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</row>
    <row r="33" spans="1:79" s="33" customFormat="1" ht="13">
      <c r="A33" s="18" t="s">
        <v>25</v>
      </c>
      <c r="B33" s="17">
        <f>(45*10)</f>
        <v>450</v>
      </c>
      <c r="C33" s="17">
        <f t="shared" ref="C33:D33" si="7">(45*5)</f>
        <v>225</v>
      </c>
      <c r="D33" s="17">
        <f t="shared" si="7"/>
        <v>225</v>
      </c>
      <c r="E33" s="47"/>
      <c r="F33" s="50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</row>
    <row r="34" spans="1:79" s="33" customFormat="1" ht="13">
      <c r="A34" s="18" t="s">
        <v>26</v>
      </c>
      <c r="B34" s="17">
        <f>(69*0.54)</f>
        <v>37.260000000000005</v>
      </c>
      <c r="C34" s="17">
        <f>(69*0.54)</f>
        <v>37.260000000000005</v>
      </c>
      <c r="D34" s="17">
        <f>(69*0.54)</f>
        <v>37.260000000000005</v>
      </c>
      <c r="E34" s="47"/>
      <c r="F34" s="50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</row>
    <row r="35" spans="1:79" s="32" customFormat="1" ht="13">
      <c r="A35" s="18" t="s">
        <v>27</v>
      </c>
      <c r="B35" s="17">
        <v>60</v>
      </c>
      <c r="C35" s="17">
        <v>20</v>
      </c>
      <c r="D35" s="17">
        <v>20</v>
      </c>
      <c r="E35" s="47"/>
      <c r="F35" s="49">
        <f>SUM(B36:D36)</f>
        <v>4600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</row>
    <row r="36" spans="1:79" s="32" customFormat="1" ht="13">
      <c r="A36" s="15" t="s">
        <v>40</v>
      </c>
      <c r="B36" s="16">
        <f>SUM(B38:B38)</f>
        <v>0</v>
      </c>
      <c r="C36" s="16">
        <f>SUM(C37:C38)</f>
        <v>4600</v>
      </c>
      <c r="D36" s="16">
        <f>SUM(D38:D38)</f>
        <v>0</v>
      </c>
      <c r="E36" s="48"/>
      <c r="F36" s="50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</row>
    <row r="37" spans="1:79" s="32" customFormat="1" ht="13">
      <c r="A37" s="10" t="s">
        <v>59</v>
      </c>
      <c r="B37" s="9">
        <v>0</v>
      </c>
      <c r="C37" s="9">
        <v>1600</v>
      </c>
      <c r="D37" s="9">
        <v>0</v>
      </c>
      <c r="E37" s="48"/>
      <c r="F37" s="50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</row>
    <row r="38" spans="1:79" s="33" customFormat="1" ht="13">
      <c r="A38" s="8" t="s">
        <v>60</v>
      </c>
      <c r="B38" s="9">
        <v>0</v>
      </c>
      <c r="C38" s="9">
        <v>3000</v>
      </c>
      <c r="D38" s="9">
        <v>0</v>
      </c>
      <c r="E38" s="32"/>
      <c r="F38" s="49">
        <f>SUM(B39:D39)</f>
        <v>2400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</row>
    <row r="39" spans="1:79" s="33" customFormat="1">
      <c r="A39" s="11" t="s">
        <v>31</v>
      </c>
      <c r="B39" s="19">
        <f>B40:B40</f>
        <v>0</v>
      </c>
      <c r="C39" s="19">
        <v>1200</v>
      </c>
      <c r="D39" s="19">
        <v>1200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</row>
    <row r="40" spans="1:79" s="32" customFormat="1">
      <c r="A40" s="18"/>
      <c r="B40" s="17">
        <v>0</v>
      </c>
      <c r="C40" s="17">
        <v>1200</v>
      </c>
      <c r="D40" s="17">
        <v>1200</v>
      </c>
      <c r="E40" s="33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</row>
    <row r="41" spans="1:79" s="32" customFormat="1">
      <c r="A41" s="15" t="s">
        <v>44</v>
      </c>
      <c r="B41" s="16">
        <f>B42:B42</f>
        <v>200</v>
      </c>
      <c r="C41" s="16">
        <f>C42</f>
        <v>200</v>
      </c>
      <c r="D41" s="16">
        <f>D42:D42</f>
        <v>200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</row>
    <row r="42" spans="1:79">
      <c r="A42" s="8"/>
      <c r="B42" s="9">
        <v>200</v>
      </c>
      <c r="C42" s="9">
        <v>200</v>
      </c>
      <c r="D42" s="9">
        <v>200</v>
      </c>
      <c r="E42" s="32"/>
    </row>
  </sheetData>
  <pageMargins left="0.7" right="0.7" top="0.75" bottom="0.75" header="0.3" footer="0.3"/>
  <pageSetup orientation="portrait" r:id="rId1"/>
  <headerFooter alignWithMargins="0"/>
  <ignoredErrors>
    <ignoredError sqref="C9:D9" formulaRange="1"/>
    <ignoredError sqref="C41:D41 C4:D4 C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4"/>
  <sheetViews>
    <sheetView workbookViewId="0">
      <selection activeCell="C14" sqref="C14"/>
    </sheetView>
  </sheetViews>
  <sheetFormatPr defaultColWidth="18.36328125" defaultRowHeight="12.5"/>
  <cols>
    <col min="1" max="1" width="48.90625" customWidth="1"/>
    <col min="2" max="4" width="13.6328125" customWidth="1"/>
    <col min="5" max="31" width="18.36328125" style="46"/>
  </cols>
  <sheetData>
    <row r="1" spans="1:4" s="46" customFormat="1"/>
    <row r="2" spans="1:4">
      <c r="A2" s="62" t="s">
        <v>58</v>
      </c>
      <c r="B2" s="63" t="s">
        <v>0</v>
      </c>
      <c r="C2" s="63" t="s">
        <v>1</v>
      </c>
      <c r="D2" s="63" t="s">
        <v>32</v>
      </c>
    </row>
    <row r="3" spans="1:4">
      <c r="A3" s="66" t="s">
        <v>39</v>
      </c>
      <c r="B3" s="67">
        <v>4033</v>
      </c>
      <c r="C3" s="67">
        <v>6966.5</v>
      </c>
      <c r="D3" s="67">
        <v>6966.5</v>
      </c>
    </row>
    <row r="4" spans="1:4">
      <c r="A4" s="56" t="s">
        <v>21</v>
      </c>
      <c r="B4" s="57">
        <v>900</v>
      </c>
      <c r="C4" s="57">
        <v>900</v>
      </c>
      <c r="D4" s="57">
        <v>900</v>
      </c>
    </row>
    <row r="5" spans="1:4">
      <c r="A5" s="56" t="s">
        <v>89</v>
      </c>
      <c r="B5" s="57">
        <v>900</v>
      </c>
      <c r="C5" s="57">
        <v>900</v>
      </c>
      <c r="D5" s="57">
        <v>900</v>
      </c>
    </row>
    <row r="6" spans="1:4">
      <c r="A6" s="56" t="s">
        <v>46</v>
      </c>
      <c r="B6" s="57">
        <v>1433</v>
      </c>
      <c r="C6" s="57">
        <v>716.5</v>
      </c>
      <c r="D6" s="57">
        <v>716.5</v>
      </c>
    </row>
    <row r="7" spans="1:4">
      <c r="A7" s="56" t="s">
        <v>47</v>
      </c>
      <c r="B7" s="57">
        <v>0</v>
      </c>
      <c r="C7" s="57">
        <v>3650</v>
      </c>
      <c r="D7" s="57">
        <v>3650</v>
      </c>
    </row>
    <row r="8" spans="1:4">
      <c r="A8" s="56" t="s">
        <v>57</v>
      </c>
      <c r="B8" s="57">
        <v>300</v>
      </c>
      <c r="C8" s="57">
        <v>300</v>
      </c>
      <c r="D8" s="57">
        <v>300</v>
      </c>
    </row>
    <row r="9" spans="1:4">
      <c r="A9" s="56" t="s">
        <v>30</v>
      </c>
      <c r="B9" s="57">
        <v>500</v>
      </c>
      <c r="C9" s="57">
        <v>500</v>
      </c>
      <c r="D9" s="57">
        <v>500</v>
      </c>
    </row>
    <row r="10" spans="1:4">
      <c r="A10" s="66" t="s">
        <v>77</v>
      </c>
      <c r="B10" s="67">
        <v>168</v>
      </c>
      <c r="C10" s="67">
        <v>0</v>
      </c>
      <c r="D10" s="67">
        <v>0</v>
      </c>
    </row>
    <row r="11" spans="1:4">
      <c r="A11" s="56" t="s">
        <v>96</v>
      </c>
      <c r="B11" s="57">
        <v>80</v>
      </c>
      <c r="C11" s="57">
        <v>0</v>
      </c>
      <c r="D11" s="57">
        <v>0</v>
      </c>
    </row>
    <row r="12" spans="1:4">
      <c r="A12" s="58" t="s">
        <v>97</v>
      </c>
      <c r="B12" s="59">
        <v>88</v>
      </c>
      <c r="C12" s="59">
        <v>0</v>
      </c>
      <c r="D12" s="59">
        <v>0</v>
      </c>
    </row>
    <row r="13" spans="1:4">
      <c r="A13" s="64"/>
      <c r="B13" s="65"/>
      <c r="C13" s="65"/>
      <c r="D13" s="65"/>
    </row>
    <row r="14" spans="1:4">
      <c r="A14" s="64"/>
      <c r="B14" s="65"/>
      <c r="C14" s="65"/>
      <c r="D14" s="65"/>
    </row>
    <row r="15" spans="1:4" s="46" customFormat="1">
      <c r="A15" s="60"/>
      <c r="B15" s="61"/>
      <c r="C15" s="61"/>
      <c r="D15" s="61"/>
    </row>
    <row r="16" spans="1:4" s="46" customFormat="1">
      <c r="A16" s="60"/>
      <c r="B16" s="61"/>
      <c r="C16" s="61"/>
      <c r="D16" s="61"/>
    </row>
    <row r="17" spans="1:4">
      <c r="A17" s="62" t="s">
        <v>58</v>
      </c>
      <c r="B17" s="63" t="s">
        <v>0</v>
      </c>
      <c r="C17" s="63" t="s">
        <v>1</v>
      </c>
      <c r="D17" s="63" t="s">
        <v>32</v>
      </c>
    </row>
    <row r="18" spans="1:4">
      <c r="A18" s="66" t="s">
        <v>43</v>
      </c>
      <c r="B18" s="67">
        <f>SUM(B19:B21)</f>
        <v>18500</v>
      </c>
      <c r="C18" s="67">
        <v>0</v>
      </c>
      <c r="D18" s="67">
        <v>0</v>
      </c>
    </row>
    <row r="19" spans="1:4">
      <c r="A19" s="54" t="s">
        <v>86</v>
      </c>
      <c r="B19" s="55">
        <v>7000</v>
      </c>
      <c r="C19" s="55">
        <v>0</v>
      </c>
      <c r="D19" s="55">
        <v>0</v>
      </c>
    </row>
    <row r="20" spans="1:4">
      <c r="A20" s="54" t="s">
        <v>95</v>
      </c>
      <c r="B20" s="55">
        <v>6000</v>
      </c>
      <c r="C20" s="55">
        <v>0</v>
      </c>
      <c r="D20" s="55">
        <v>0</v>
      </c>
    </row>
    <row r="21" spans="1:4">
      <c r="A21" s="54" t="s">
        <v>94</v>
      </c>
      <c r="B21" s="55">
        <v>5500</v>
      </c>
      <c r="C21" s="55">
        <v>0</v>
      </c>
      <c r="D21" s="55">
        <v>0</v>
      </c>
    </row>
    <row r="22" spans="1:4">
      <c r="A22" s="66" t="s">
        <v>42</v>
      </c>
      <c r="B22" s="67">
        <f>SUM(B23:B25)</f>
        <v>10300</v>
      </c>
      <c r="C22" s="67">
        <v>0</v>
      </c>
      <c r="D22" s="67">
        <v>0</v>
      </c>
    </row>
    <row r="23" spans="1:4">
      <c r="A23" s="54" t="s">
        <v>48</v>
      </c>
      <c r="B23" s="55">
        <v>2200</v>
      </c>
      <c r="C23" s="55">
        <v>0</v>
      </c>
      <c r="D23" s="55">
        <v>0</v>
      </c>
    </row>
    <row r="24" spans="1:4">
      <c r="A24" s="54" t="s">
        <v>49</v>
      </c>
      <c r="B24" s="55">
        <v>4000</v>
      </c>
      <c r="C24" s="55">
        <v>0</v>
      </c>
      <c r="D24" s="55">
        <v>0</v>
      </c>
    </row>
    <row r="25" spans="1:4">
      <c r="A25" s="58" t="s">
        <v>50</v>
      </c>
      <c r="B25" s="59">
        <v>4100</v>
      </c>
      <c r="C25" s="59">
        <v>0</v>
      </c>
      <c r="D25" s="59">
        <v>0</v>
      </c>
    </row>
    <row r="26" spans="1:4" s="46" customFormat="1"/>
    <row r="27" spans="1:4" s="46" customFormat="1"/>
    <row r="28" spans="1:4" s="46" customFormat="1"/>
    <row r="29" spans="1:4" s="46" customFormat="1"/>
    <row r="30" spans="1:4" s="46" customFormat="1"/>
    <row r="31" spans="1:4" s="46" customFormat="1"/>
    <row r="32" spans="1:4" s="46" customFormat="1"/>
    <row r="33" s="46" customFormat="1"/>
    <row r="34" s="46" customFormat="1"/>
    <row r="35" s="46" customFormat="1"/>
    <row r="36" s="46" customFormat="1"/>
    <row r="37" s="46" customFormat="1"/>
    <row r="38" s="46" customFormat="1"/>
    <row r="39" s="46" customFormat="1"/>
    <row r="40" s="46" customFormat="1"/>
    <row r="41" s="46" customFormat="1"/>
    <row r="42" s="46" customFormat="1"/>
    <row r="43" s="46" customFormat="1"/>
    <row r="44" s="46" customFormat="1"/>
    <row r="45" s="46" customFormat="1"/>
    <row r="46" s="46" customFormat="1"/>
    <row r="47" s="46" customFormat="1"/>
    <row r="48" s="46" customFormat="1"/>
    <row r="49" s="46" customFormat="1"/>
    <row r="50" s="46" customFormat="1"/>
    <row r="51" s="46" customFormat="1"/>
    <row r="52" s="46" customFormat="1"/>
    <row r="53" s="46" customFormat="1"/>
    <row r="54" s="46" customFormat="1"/>
    <row r="55" s="46" customFormat="1"/>
    <row r="56" s="46" customFormat="1"/>
    <row r="57" s="46" customFormat="1"/>
    <row r="58" s="46" customFormat="1"/>
    <row r="59" s="46" customFormat="1"/>
    <row r="60" s="46" customFormat="1"/>
    <row r="61" s="46" customFormat="1"/>
    <row r="62" s="46" customFormat="1"/>
    <row r="63" s="46" customFormat="1"/>
    <row r="64" s="46" customFormat="1"/>
    <row r="65" s="46" customFormat="1"/>
    <row r="66" s="46" customFormat="1"/>
    <row r="67" s="46" customFormat="1"/>
    <row r="68" s="46" customFormat="1"/>
    <row r="69" s="46" customFormat="1"/>
    <row r="70" s="46" customFormat="1"/>
    <row r="71" s="46" customFormat="1"/>
    <row r="72" s="46" customFormat="1"/>
    <row r="73" s="46" customFormat="1"/>
    <row r="74" s="46" customFormat="1"/>
    <row r="75" s="46" customFormat="1"/>
    <row r="76" s="46" customFormat="1"/>
    <row r="77" s="46" customFormat="1"/>
    <row r="78" s="46" customFormat="1"/>
    <row r="79" s="46" customFormat="1"/>
    <row r="80" s="46" customFormat="1"/>
    <row r="81" s="46" customFormat="1"/>
    <row r="82" s="46" customFormat="1"/>
    <row r="83" s="46" customFormat="1"/>
    <row r="84" s="46" customFormat="1"/>
    <row r="85" s="46" customFormat="1"/>
    <row r="86" s="46" customFormat="1"/>
    <row r="87" s="46" customFormat="1"/>
    <row r="88" s="46" customFormat="1"/>
    <row r="89" s="46" customFormat="1"/>
    <row r="90" s="46" customFormat="1"/>
    <row r="91" s="46" customFormat="1"/>
    <row r="92" s="46" customFormat="1"/>
    <row r="93" s="46" customFormat="1"/>
    <row r="94" s="46" customFormat="1"/>
    <row r="95" s="46" customFormat="1"/>
    <row r="96" s="46" customFormat="1"/>
    <row r="97" s="46" customFormat="1"/>
    <row r="98" s="46" customFormat="1"/>
    <row r="99" s="46" customFormat="1"/>
    <row r="100" s="46" customFormat="1"/>
    <row r="101" s="46" customFormat="1"/>
    <row r="102" s="46" customFormat="1"/>
    <row r="103" s="46" customFormat="1"/>
    <row r="104" s="46" customFormat="1"/>
    <row r="105" s="46" customFormat="1"/>
    <row r="106" s="46" customFormat="1"/>
    <row r="107" s="46" customFormat="1"/>
    <row r="108" s="46" customFormat="1"/>
    <row r="109" s="46" customFormat="1"/>
    <row r="110" s="46" customFormat="1"/>
    <row r="111" s="46" customFormat="1"/>
    <row r="112" s="46" customFormat="1"/>
    <row r="113" s="46" customFormat="1"/>
    <row r="114" s="46" customFormat="1"/>
    <row r="115" s="46" customFormat="1"/>
    <row r="116" s="46" customFormat="1"/>
    <row r="117" s="46" customFormat="1"/>
    <row r="118" s="46" customFormat="1"/>
    <row r="119" s="46" customFormat="1"/>
    <row r="120" s="46" customFormat="1"/>
    <row r="121" s="46" customFormat="1"/>
    <row r="122" s="46" customFormat="1"/>
    <row r="123" s="46" customFormat="1"/>
    <row r="124" s="46" customFormat="1"/>
    <row r="125" s="46" customFormat="1"/>
    <row r="126" s="46" customFormat="1"/>
    <row r="127" s="46" customFormat="1"/>
    <row r="128" s="46" customFormat="1"/>
    <row r="129" s="46" customFormat="1"/>
    <row r="130" s="46" customFormat="1"/>
    <row r="131" s="46" customFormat="1"/>
    <row r="132" s="46" customFormat="1"/>
    <row r="133" s="46" customFormat="1"/>
    <row r="134" s="46" customFormat="1"/>
    <row r="135" s="46" customFormat="1"/>
    <row r="136" s="46" customFormat="1"/>
    <row r="137" s="46" customFormat="1"/>
    <row r="138" s="46" customFormat="1"/>
    <row r="139" s="46" customFormat="1"/>
    <row r="140" s="46" customFormat="1"/>
    <row r="141" s="46" customFormat="1"/>
    <row r="142" s="46" customFormat="1"/>
    <row r="143" s="46" customFormat="1"/>
    <row r="144" s="46" customFormat="1"/>
    <row r="145" s="46" customFormat="1"/>
    <row r="146" s="46" customFormat="1"/>
    <row r="147" s="46" customFormat="1"/>
    <row r="148" s="46" customFormat="1"/>
    <row r="149" s="46" customFormat="1"/>
    <row r="150" s="46" customFormat="1"/>
    <row r="151" s="46" customFormat="1"/>
    <row r="152" s="46" customFormat="1"/>
    <row r="153" s="46" customFormat="1"/>
    <row r="154" s="46" customFormat="1"/>
    <row r="155" s="46" customFormat="1"/>
    <row r="156" s="46" customFormat="1"/>
    <row r="157" s="46" customFormat="1"/>
    <row r="158" s="46" customFormat="1"/>
    <row r="159" s="46" customFormat="1"/>
    <row r="160" s="46" customFormat="1"/>
    <row r="161" s="46" customFormat="1"/>
    <row r="162" s="46" customFormat="1"/>
    <row r="163" s="46" customFormat="1"/>
    <row r="164" s="46" customFormat="1"/>
    <row r="165" s="46" customFormat="1"/>
    <row r="166" s="46" customFormat="1"/>
    <row r="167" s="46" customFormat="1"/>
    <row r="168" s="46" customFormat="1"/>
    <row r="169" s="46" customFormat="1"/>
    <row r="170" s="46" customFormat="1"/>
    <row r="171" s="46" customFormat="1"/>
    <row r="172" s="46" customFormat="1"/>
    <row r="173" s="46" customFormat="1"/>
    <row r="174" s="46" customFormat="1"/>
    <row r="175" s="46" customFormat="1"/>
    <row r="176" s="46" customFormat="1"/>
    <row r="177" s="46" customFormat="1"/>
    <row r="178" s="46" customFormat="1"/>
    <row r="179" s="46" customFormat="1"/>
    <row r="180" s="46" customFormat="1"/>
    <row r="181" s="46" customFormat="1"/>
    <row r="182" s="46" customFormat="1"/>
    <row r="183" s="46" customFormat="1"/>
    <row r="184" s="46" customFormat="1"/>
    <row r="185" s="46" customFormat="1"/>
    <row r="186" s="46" customFormat="1"/>
    <row r="187" s="46" customFormat="1"/>
    <row r="188" s="46" customFormat="1"/>
    <row r="189" s="46" customFormat="1"/>
    <row r="190" s="46" customFormat="1"/>
    <row r="191" s="46" customFormat="1"/>
    <row r="192" s="46" customFormat="1"/>
    <row r="193" s="46" customFormat="1"/>
    <row r="194" s="46" customFormat="1"/>
    <row r="195" s="46" customFormat="1"/>
    <row r="196" s="46" customFormat="1"/>
    <row r="197" s="46" customFormat="1"/>
    <row r="198" s="46" customFormat="1"/>
    <row r="199" s="46" customFormat="1"/>
    <row r="200" s="46" customFormat="1"/>
    <row r="201" s="46" customFormat="1"/>
    <row r="202" s="46" customFormat="1"/>
    <row r="203" s="46" customFormat="1"/>
    <row r="204" s="46" customFormat="1"/>
    <row r="205" s="46" customFormat="1"/>
    <row r="206" s="46" customFormat="1"/>
    <row r="207" s="46" customFormat="1"/>
    <row r="208" s="46" customFormat="1"/>
    <row r="209" s="46" customFormat="1"/>
    <row r="210" s="46" customFormat="1"/>
    <row r="211" s="46" customFormat="1"/>
    <row r="212" s="46" customFormat="1"/>
    <row r="213" s="46" customFormat="1"/>
    <row r="214" s="46" customFormat="1"/>
    <row r="215" s="46" customFormat="1"/>
    <row r="216" s="46" customFormat="1"/>
    <row r="217" s="46" customFormat="1"/>
    <row r="218" s="46" customFormat="1"/>
    <row r="219" s="46" customFormat="1"/>
    <row r="220" s="46" customFormat="1"/>
    <row r="221" s="46" customFormat="1"/>
    <row r="222" s="46" customFormat="1"/>
    <row r="223" s="46" customFormat="1"/>
    <row r="224" s="46" customFormat="1"/>
    <row r="225" s="46" customFormat="1"/>
    <row r="226" s="46" customFormat="1"/>
    <row r="227" s="46" customFormat="1"/>
    <row r="228" s="46" customFormat="1"/>
    <row r="229" s="46" customFormat="1"/>
    <row r="230" s="46" customFormat="1"/>
    <row r="231" s="46" customFormat="1"/>
    <row r="232" s="46" customFormat="1"/>
    <row r="233" s="46" customFormat="1"/>
    <row r="234" s="46" customFormat="1"/>
    <row r="235" s="46" customFormat="1"/>
    <row r="236" s="46" customFormat="1"/>
    <row r="237" s="46" customFormat="1"/>
    <row r="238" s="46" customFormat="1"/>
    <row r="239" s="46" customFormat="1"/>
    <row r="240" s="46" customFormat="1"/>
    <row r="241" s="46" customFormat="1"/>
    <row r="242" s="46" customFormat="1"/>
    <row r="243" s="46" customFormat="1"/>
    <row r="244" s="46" customFormat="1"/>
    <row r="245" s="46" customFormat="1"/>
    <row r="246" s="46" customFormat="1"/>
    <row r="247" s="46" customFormat="1"/>
    <row r="248" s="46" customFormat="1"/>
    <row r="249" s="46" customFormat="1"/>
    <row r="250" s="46" customFormat="1"/>
    <row r="251" s="46" customFormat="1"/>
    <row r="252" s="46" customFormat="1"/>
    <row r="253" s="46" customFormat="1"/>
    <row r="254" s="46" customFormat="1"/>
    <row r="255" s="46" customFormat="1"/>
    <row r="256" s="46" customFormat="1"/>
    <row r="257" s="46" customFormat="1"/>
    <row r="258" s="46" customFormat="1"/>
    <row r="259" s="46" customFormat="1"/>
    <row r="260" s="46" customFormat="1"/>
    <row r="261" s="46" customFormat="1"/>
    <row r="262" s="46" customFormat="1"/>
    <row r="263" s="46" customFormat="1"/>
    <row r="264" s="46" customFormat="1"/>
    <row r="265" s="46" customFormat="1"/>
    <row r="266" s="46" customFormat="1"/>
    <row r="267" s="46" customFormat="1"/>
    <row r="268" s="46" customFormat="1"/>
    <row r="269" s="46" customFormat="1"/>
    <row r="270" s="46" customFormat="1"/>
    <row r="271" s="46" customFormat="1"/>
    <row r="272" s="46" customFormat="1"/>
    <row r="273" s="46" customFormat="1"/>
    <row r="274" s="46" customFormat="1"/>
    <row r="275" s="46" customFormat="1"/>
    <row r="276" s="46" customFormat="1"/>
    <row r="277" s="46" customFormat="1"/>
    <row r="278" s="46" customFormat="1"/>
    <row r="279" s="46" customFormat="1"/>
    <row r="280" s="46" customFormat="1"/>
    <row r="281" s="46" customFormat="1"/>
    <row r="282" s="46" customFormat="1"/>
    <row r="283" s="46" customFormat="1"/>
    <row r="284" s="46" customFormat="1"/>
    <row r="285" s="46" customFormat="1"/>
    <row r="286" s="46" customFormat="1"/>
    <row r="287" s="46" customFormat="1"/>
    <row r="288" s="46" customFormat="1"/>
    <row r="289" s="46" customFormat="1"/>
    <row r="290" s="46" customFormat="1"/>
    <row r="291" s="46" customFormat="1"/>
    <row r="292" s="46" customFormat="1"/>
    <row r="293" s="46" customFormat="1"/>
    <row r="294" s="46" customFormat="1"/>
    <row r="295" s="46" customFormat="1"/>
    <row r="296" s="46" customFormat="1"/>
    <row r="297" s="46" customFormat="1"/>
    <row r="298" s="46" customFormat="1"/>
    <row r="299" s="46" customFormat="1"/>
    <row r="300" s="46" customFormat="1"/>
    <row r="301" s="46" customFormat="1"/>
    <row r="302" s="46" customFormat="1"/>
    <row r="303" s="46" customFormat="1"/>
    <row r="304" s="46" customFormat="1"/>
    <row r="305" s="46" customFormat="1"/>
    <row r="306" s="46" customFormat="1"/>
    <row r="307" s="46" customFormat="1"/>
    <row r="308" s="46" customFormat="1"/>
    <row r="309" s="46" customFormat="1"/>
    <row r="310" s="46" customFormat="1"/>
    <row r="311" s="46" customFormat="1"/>
    <row r="312" s="46" customFormat="1"/>
    <row r="313" s="46" customFormat="1"/>
    <row r="314" s="46" customFormat="1"/>
    <row r="315" s="46" customFormat="1"/>
    <row r="316" s="46" customFormat="1"/>
    <row r="317" s="46" customFormat="1"/>
    <row r="318" s="46" customFormat="1"/>
    <row r="319" s="46" customFormat="1"/>
    <row r="320" s="46" customFormat="1"/>
    <row r="321" s="46" customFormat="1"/>
    <row r="322" s="46" customFormat="1"/>
    <row r="323" s="46" customFormat="1"/>
    <row r="324" s="46" customFormat="1"/>
    <row r="325" s="46" customFormat="1"/>
    <row r="326" s="46" customFormat="1"/>
    <row r="327" s="46" customFormat="1"/>
    <row r="328" s="46" customFormat="1"/>
    <row r="329" s="46" customFormat="1"/>
    <row r="330" s="46" customFormat="1"/>
    <row r="331" s="46" customFormat="1"/>
    <row r="332" s="46" customFormat="1"/>
    <row r="333" s="46" customFormat="1"/>
    <row r="334" s="46" customFormat="1"/>
    <row r="335" s="46" customFormat="1"/>
    <row r="336" s="46" customFormat="1"/>
    <row r="337" s="46" customFormat="1"/>
    <row r="338" s="46" customFormat="1"/>
    <row r="339" s="46" customFormat="1"/>
    <row r="340" s="46" customFormat="1"/>
    <row r="341" s="46" customFormat="1"/>
    <row r="342" s="46" customFormat="1"/>
    <row r="343" s="46" customFormat="1"/>
    <row r="344" s="46" customFormat="1"/>
    <row r="345" s="46" customFormat="1"/>
    <row r="346" s="46" customFormat="1"/>
    <row r="347" s="46" customFormat="1"/>
    <row r="348" s="46" customFormat="1"/>
    <row r="349" s="46" customFormat="1"/>
    <row r="350" s="46" customFormat="1"/>
    <row r="351" s="46" customFormat="1"/>
    <row r="352" s="46" customFormat="1"/>
    <row r="353" s="46" customFormat="1"/>
    <row r="354" s="46" customFormat="1"/>
    <row r="355" s="46" customFormat="1"/>
    <row r="356" s="46" customFormat="1"/>
    <row r="357" s="46" customFormat="1"/>
    <row r="358" s="46" customFormat="1"/>
    <row r="359" s="46" customFormat="1"/>
    <row r="360" s="46" customFormat="1"/>
    <row r="361" s="46" customFormat="1"/>
    <row r="362" s="46" customFormat="1"/>
    <row r="363" s="46" customFormat="1"/>
    <row r="364" s="46" customFormat="1"/>
    <row r="365" s="46" customFormat="1"/>
    <row r="366" s="46" customFormat="1"/>
    <row r="367" s="46" customFormat="1"/>
    <row r="368" s="46" customFormat="1"/>
    <row r="369" s="46" customFormat="1"/>
    <row r="370" s="46" customFormat="1"/>
    <row r="371" s="46" customFormat="1"/>
    <row r="372" s="46" customFormat="1"/>
    <row r="373" s="46" customFormat="1"/>
    <row r="374" s="46" customFormat="1"/>
    <row r="375" s="46" customFormat="1"/>
    <row r="376" s="46" customFormat="1"/>
    <row r="377" s="46" customFormat="1"/>
    <row r="378" s="46" customFormat="1"/>
    <row r="379" s="46" customFormat="1"/>
    <row r="380" s="46" customFormat="1"/>
    <row r="381" s="46" customFormat="1"/>
    <row r="382" s="46" customFormat="1"/>
    <row r="383" s="46" customFormat="1"/>
    <row r="384" s="46" customFormat="1"/>
    <row r="385" s="46" customFormat="1"/>
    <row r="386" s="46" customFormat="1"/>
    <row r="387" s="46" customFormat="1"/>
    <row r="388" s="46" customFormat="1"/>
    <row r="389" s="46" customFormat="1"/>
    <row r="390" s="46" customFormat="1"/>
    <row r="391" s="46" customFormat="1"/>
    <row r="392" s="46" customFormat="1"/>
    <row r="393" s="46" customFormat="1"/>
    <row r="394" s="46" customFormat="1"/>
    <row r="395" s="46" customFormat="1"/>
    <row r="396" s="46" customFormat="1"/>
    <row r="397" s="46" customFormat="1"/>
    <row r="398" s="46" customFormat="1"/>
    <row r="399" s="46" customFormat="1"/>
    <row r="400" s="46" customFormat="1"/>
    <row r="401" s="46" customFormat="1"/>
    <row r="402" s="46" customFormat="1"/>
    <row r="403" s="46" customFormat="1"/>
    <row r="404" s="46" customFormat="1"/>
    <row r="405" s="46" customFormat="1"/>
    <row r="406" s="46" customFormat="1"/>
    <row r="407" s="46" customFormat="1"/>
    <row r="408" s="46" customFormat="1"/>
    <row r="409" s="46" customFormat="1"/>
    <row r="410" s="46" customFormat="1"/>
    <row r="411" s="46" customFormat="1"/>
    <row r="412" s="46" customFormat="1"/>
    <row r="413" s="46" customFormat="1"/>
    <row r="414" s="46" customFormat="1"/>
    <row r="415" s="46" customFormat="1"/>
    <row r="416" s="46" customFormat="1"/>
    <row r="417" s="46" customFormat="1"/>
    <row r="418" s="46" customFormat="1"/>
    <row r="419" s="46" customFormat="1"/>
    <row r="420" s="46" customFormat="1"/>
    <row r="421" s="46" customFormat="1"/>
    <row r="422" s="46" customFormat="1"/>
    <row r="423" s="46" customFormat="1"/>
    <row r="424" s="46" customFormat="1"/>
    <row r="425" s="46" customFormat="1"/>
    <row r="426" s="46" customFormat="1"/>
    <row r="427" s="46" customFormat="1"/>
    <row r="428" s="46" customFormat="1"/>
    <row r="429" s="46" customFormat="1"/>
    <row r="430" s="46" customFormat="1"/>
    <row r="431" s="46" customFormat="1"/>
    <row r="432" s="46" customFormat="1"/>
    <row r="433" s="46" customFormat="1"/>
    <row r="434" s="46" customFormat="1"/>
    <row r="435" s="46" customFormat="1"/>
    <row r="436" s="46" customFormat="1"/>
    <row r="437" s="46" customFormat="1"/>
    <row r="438" s="46" customFormat="1"/>
    <row r="439" s="46" customFormat="1"/>
    <row r="440" s="46" customFormat="1"/>
    <row r="441" s="46" customFormat="1"/>
    <row r="442" s="46" customFormat="1"/>
    <row r="443" s="46" customFormat="1"/>
    <row r="444" s="46" customFormat="1"/>
    <row r="445" s="46" customFormat="1"/>
    <row r="446" s="46" customFormat="1"/>
    <row r="447" s="46" customFormat="1"/>
    <row r="448" s="46" customFormat="1"/>
    <row r="449" s="46" customFormat="1"/>
    <row r="450" s="46" customFormat="1"/>
    <row r="451" s="46" customFormat="1"/>
    <row r="452" s="46" customFormat="1"/>
    <row r="453" s="46" customFormat="1"/>
    <row r="454" s="46" customFormat="1"/>
    <row r="455" s="46" customFormat="1"/>
    <row r="456" s="46" customFormat="1"/>
    <row r="457" s="46" customFormat="1"/>
    <row r="458" s="46" customFormat="1"/>
    <row r="459" s="46" customFormat="1"/>
    <row r="460" s="46" customFormat="1"/>
    <row r="461" s="46" customFormat="1"/>
    <row r="462" s="46" customFormat="1"/>
    <row r="463" s="46" customFormat="1"/>
    <row r="464" s="46" customFormat="1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F8" sqref="F8"/>
    </sheetView>
  </sheetViews>
  <sheetFormatPr defaultColWidth="13" defaultRowHeight="12.5"/>
  <cols>
    <col min="1" max="1" width="35.08984375" customWidth="1"/>
    <col min="2" max="4" width="11.36328125" customWidth="1"/>
  </cols>
  <sheetData>
    <row r="1" spans="1:4">
      <c r="A1" s="7" t="s">
        <v>34</v>
      </c>
      <c r="B1" s="7" t="s">
        <v>28</v>
      </c>
      <c r="C1" s="7" t="s">
        <v>29</v>
      </c>
      <c r="D1" s="7" t="s">
        <v>33</v>
      </c>
    </row>
    <row r="2" spans="1:4">
      <c r="A2" s="69" t="s">
        <v>78</v>
      </c>
      <c r="B2" s="16">
        <f>SUM(B3:B10)</f>
        <v>8258</v>
      </c>
      <c r="C2" s="16">
        <f t="shared" ref="C2:D2" si="0">SUM(C3:C10)</f>
        <v>7922</v>
      </c>
      <c r="D2" s="16">
        <f t="shared" si="0"/>
        <v>7922</v>
      </c>
    </row>
    <row r="3" spans="1:4">
      <c r="A3" s="10" t="s">
        <v>54</v>
      </c>
      <c r="B3" s="9">
        <f xml:space="preserve"> 2 * (4 * 5 * 8 * 8)</f>
        <v>2560</v>
      </c>
      <c r="C3" s="9">
        <f t="shared" ref="C3:D3" si="1" xml:space="preserve"> 2 * (4 * 5 * 8 * 8)</f>
        <v>2560</v>
      </c>
      <c r="D3" s="9">
        <f t="shared" si="1"/>
        <v>2560</v>
      </c>
    </row>
    <row r="4" spans="1:4">
      <c r="A4" s="10" t="s">
        <v>55</v>
      </c>
      <c r="B4" s="9">
        <f>6 * (4 * 16 * 8)</f>
        <v>3072</v>
      </c>
      <c r="C4" s="9">
        <f t="shared" ref="C4:D4" si="2">6 * (4 * 16 * 8)</f>
        <v>3072</v>
      </c>
      <c r="D4" s="9">
        <f t="shared" si="2"/>
        <v>3072</v>
      </c>
    </row>
    <row r="5" spans="1:4">
      <c r="A5" s="10" t="s">
        <v>62</v>
      </c>
      <c r="B5" s="9">
        <f>2*1022</f>
        <v>2044</v>
      </c>
      <c r="C5" s="9">
        <f t="shared" ref="C5:D5" si="3">2*1022</f>
        <v>2044</v>
      </c>
      <c r="D5" s="9">
        <f t="shared" si="3"/>
        <v>2044</v>
      </c>
    </row>
    <row r="6" spans="1:4">
      <c r="A6" s="68" t="s">
        <v>79</v>
      </c>
      <c r="B6" s="70">
        <f>SUM(B7:B10)</f>
        <v>291</v>
      </c>
      <c r="C6" s="70">
        <f>SUM(C7:C10)</f>
        <v>123</v>
      </c>
      <c r="D6" s="70">
        <f>SUM(D7:D10)</f>
        <v>123</v>
      </c>
    </row>
    <row r="7" spans="1:4">
      <c r="A7" s="71" t="s">
        <v>71</v>
      </c>
      <c r="B7" s="72">
        <f>2*40</f>
        <v>80</v>
      </c>
      <c r="C7" s="72">
        <v>0</v>
      </c>
      <c r="D7" s="72">
        <v>0</v>
      </c>
    </row>
    <row r="8" spans="1:4">
      <c r="A8" s="71" t="s">
        <v>72</v>
      </c>
      <c r="B8" s="72">
        <f>2*44</f>
        <v>88</v>
      </c>
      <c r="C8" s="72">
        <v>0</v>
      </c>
      <c r="D8" s="72">
        <v>0</v>
      </c>
    </row>
    <row r="9" spans="1:4">
      <c r="A9" s="71" t="s">
        <v>73</v>
      </c>
      <c r="B9" s="72">
        <f>20*3</f>
        <v>60</v>
      </c>
      <c r="C9" s="72">
        <f t="shared" ref="C9:D9" si="4">20*3</f>
        <v>60</v>
      </c>
      <c r="D9" s="72">
        <f t="shared" si="4"/>
        <v>60</v>
      </c>
    </row>
    <row r="10" spans="1:4">
      <c r="A10" s="73" t="s">
        <v>74</v>
      </c>
      <c r="B10" s="72">
        <f>210*0.3</f>
        <v>63</v>
      </c>
      <c r="C10" s="72">
        <f t="shared" ref="C10:D10" si="5">210*0.3</f>
        <v>63</v>
      </c>
      <c r="D10" s="72">
        <f t="shared" si="5"/>
        <v>63</v>
      </c>
    </row>
    <row r="11" spans="1:4">
      <c r="A11" s="15" t="s">
        <v>80</v>
      </c>
      <c r="B11" s="16">
        <f>SUM(B13:B13)</f>
        <v>0</v>
      </c>
      <c r="C11" s="16">
        <f>SUM(C12:C13)</f>
        <v>5600</v>
      </c>
      <c r="D11" s="16">
        <f>SUM(D13:D13)</f>
        <v>0</v>
      </c>
    </row>
    <row r="12" spans="1:4">
      <c r="A12" s="10" t="s">
        <v>59</v>
      </c>
      <c r="B12" s="9">
        <v>0</v>
      </c>
      <c r="C12" s="9">
        <v>1600</v>
      </c>
      <c r="D12" s="9">
        <v>0</v>
      </c>
    </row>
    <row r="13" spans="1:4">
      <c r="A13" s="8" t="s">
        <v>60</v>
      </c>
      <c r="B13" s="9">
        <v>0</v>
      </c>
      <c r="C13" s="9">
        <v>4000</v>
      </c>
      <c r="D13" s="9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summary-UI</vt:lpstr>
      <vt:lpstr>UI-per year</vt:lpstr>
      <vt:lpstr>template for tables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Budget</dc:title>
  <dc:creator>Andreas Vasdekis</dc:creator>
  <cp:lastModifiedBy>Kirkham, Steven (stevenk@uidaho.edu)</cp:lastModifiedBy>
  <cp:lastPrinted>2020-06-22T14:35:43Z</cp:lastPrinted>
  <dcterms:created xsi:type="dcterms:W3CDTF">1997-11-13T12:55:54Z</dcterms:created>
  <dcterms:modified xsi:type="dcterms:W3CDTF">2020-06-22T14:39:54Z</dcterms:modified>
</cp:coreProperties>
</file>