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\UNIVERSITY\Proposal\Hyporheic\Boulders\Proposal\Documents\"/>
    </mc:Choice>
  </mc:AlternateContent>
  <xr:revisionPtr revIDLastSave="0" documentId="13_ncr:1_{775AD67C-2E9C-425D-A98A-463B4A4161B4}" xr6:coauthVersionLast="36" xr6:coauthVersionMax="45" xr10:uidLastSave="{00000000-0000-0000-0000-000000000000}"/>
  <bookViews>
    <workbookView xWindow="-105" yWindow="-105" windowWidth="22695" windowHeight="14595" xr2:uid="{00000000-000D-0000-FFFF-FFFF00000000}"/>
  </bookViews>
  <sheets>
    <sheet name="Summary" sheetId="8" r:id="rId1"/>
    <sheet name="1year" sheetId="1" r:id="rId2"/>
    <sheet name="2year" sheetId="4" r:id="rId3"/>
    <sheet name="3year" sheetId="5" r:id="rId4"/>
    <sheet name="4year" sheetId="6" r:id="rId5"/>
    <sheet name="5year" sheetId="7" r:id="rId6"/>
    <sheet name="Flume costs" sheetId="9" r:id="rId7"/>
  </sheets>
  <calcPr calcId="191029"/>
</workbook>
</file>

<file path=xl/calcChain.xml><?xml version="1.0" encoding="utf-8"?>
<calcChain xmlns="http://schemas.openxmlformats.org/spreadsheetml/2006/main">
  <c r="F29" i="1" l="1"/>
  <c r="R35" i="8" l="1"/>
  <c r="R34" i="8"/>
  <c r="P33" i="8"/>
  <c r="P32" i="8"/>
  <c r="O32" i="8"/>
  <c r="H9" i="8"/>
  <c r="G99" i="1"/>
  <c r="E8" i="1" s="1"/>
  <c r="G9" i="8"/>
  <c r="P12" i="8"/>
  <c r="P10" i="8"/>
  <c r="P11" i="8"/>
  <c r="P9" i="8"/>
  <c r="D10" i="8"/>
  <c r="M6" i="5"/>
  <c r="K6" i="5"/>
  <c r="D10" i="5"/>
  <c r="M6" i="4"/>
  <c r="K6" i="4"/>
  <c r="E10" i="4"/>
  <c r="D10" i="4"/>
  <c r="M6" i="1"/>
  <c r="E10" i="1"/>
  <c r="E10" i="8"/>
  <c r="I6" i="5"/>
  <c r="I6" i="4"/>
  <c r="K6" i="1"/>
  <c r="Q12" i="8"/>
  <c r="L13" i="8"/>
  <c r="I4" i="1"/>
  <c r="P8" i="8"/>
  <c r="L6" i="8" l="1"/>
  <c r="L32" i="8" l="1"/>
  <c r="L33" i="8" s="1"/>
  <c r="N33" i="8"/>
  <c r="M33" i="8"/>
  <c r="O15" i="8"/>
  <c r="N18" i="8"/>
  <c r="N20" i="8" s="1"/>
  <c r="E14" i="5"/>
  <c r="M18" i="8"/>
  <c r="M20" i="8" s="1"/>
  <c r="E14" i="4"/>
  <c r="L18" i="8"/>
  <c r="L20" i="8" s="1"/>
  <c r="E14" i="1"/>
  <c r="N30" i="8"/>
  <c r="M30" i="8"/>
  <c r="O29" i="8"/>
  <c r="L28" i="8"/>
  <c r="L30" i="8" s="1"/>
  <c r="O27" i="8"/>
  <c r="O26" i="8"/>
  <c r="O25" i="8"/>
  <c r="O24" i="8"/>
  <c r="O23" i="8"/>
  <c r="O19" i="8"/>
  <c r="N12" i="8"/>
  <c r="L7" i="8"/>
  <c r="M7" i="8" s="1"/>
  <c r="O7" i="8" s="1"/>
  <c r="I11" i="4"/>
  <c r="D6" i="4"/>
  <c r="M6" i="8"/>
  <c r="N10" i="8"/>
  <c r="L5" i="8"/>
  <c r="L10" i="8" s="1"/>
  <c r="L4" i="8"/>
  <c r="L9" i="8" s="1"/>
  <c r="O30" i="8" l="1"/>
  <c r="L12" i="8"/>
  <c r="M5" i="8"/>
  <c r="M10" i="8" s="1"/>
  <c r="O28" i="8"/>
  <c r="M4" i="8"/>
  <c r="N4" i="8" s="1"/>
  <c r="N9" i="8" s="1"/>
  <c r="L11" i="8"/>
  <c r="N6" i="8"/>
  <c r="N11" i="8" s="1"/>
  <c r="M11" i="8"/>
  <c r="O11" i="8" s="1"/>
  <c r="O5" i="8"/>
  <c r="M12" i="8"/>
  <c r="O12" i="8" s="1"/>
  <c r="O10" i="8"/>
  <c r="N13" i="8"/>
  <c r="N32" i="8" s="1"/>
  <c r="N34" i="8" s="1"/>
  <c r="N35" i="8" s="1"/>
  <c r="O20" i="8"/>
  <c r="O18" i="8"/>
  <c r="O4" i="8"/>
  <c r="M9" i="8"/>
  <c r="O9" i="8" s="1"/>
  <c r="E87" i="4"/>
  <c r="F90" i="4"/>
  <c r="D80" i="5"/>
  <c r="D80" i="4"/>
  <c r="D57" i="5"/>
  <c r="B54" i="5"/>
  <c r="B55" i="5"/>
  <c r="B56" i="5"/>
  <c r="B57" i="5"/>
  <c r="B58" i="5"/>
  <c r="B59" i="5"/>
  <c r="B52" i="5"/>
  <c r="B56" i="4"/>
  <c r="B57" i="4"/>
  <c r="B58" i="4"/>
  <c r="B59" i="4"/>
  <c r="B55" i="4"/>
  <c r="O6" i="8" l="1"/>
  <c r="M13" i="8"/>
  <c r="L34" i="8"/>
  <c r="I14" i="9"/>
  <c r="O13" i="8" l="1"/>
  <c r="M32" i="8"/>
  <c r="L35" i="8"/>
  <c r="I11" i="1"/>
  <c r="B25" i="9"/>
  <c r="S15" i="1"/>
  <c r="D29" i="9" l="1"/>
  <c r="A2" i="4"/>
  <c r="A2" i="5"/>
  <c r="A2" i="6"/>
  <c r="A2" i="7"/>
  <c r="A2" i="1"/>
  <c r="A1" i="4"/>
  <c r="A1" i="5"/>
  <c r="A1" i="6"/>
  <c r="A1" i="7"/>
  <c r="A1" i="1"/>
  <c r="M34" i="8" l="1"/>
  <c r="O33" i="8"/>
  <c r="F24" i="8"/>
  <c r="B23" i="9"/>
  <c r="F25" i="9" s="1"/>
  <c r="F21" i="1" s="1"/>
  <c r="M35" i="8" l="1"/>
  <c r="O35" i="8" s="1"/>
  <c r="O34" i="8"/>
  <c r="C23" i="9" l="1"/>
  <c r="C29" i="9" s="1"/>
  <c r="B29" i="9"/>
  <c r="B46" i="9" s="1"/>
  <c r="G6" i="4"/>
  <c r="G6" i="5"/>
  <c r="A10" i="5"/>
  <c r="A10" i="4"/>
  <c r="I33" i="5"/>
  <c r="I33" i="4"/>
  <c r="F33" i="1"/>
  <c r="K12" i="5" l="1"/>
  <c r="C26" i="5"/>
  <c r="C26" i="4"/>
  <c r="K30" i="5"/>
  <c r="L30" i="5" s="1"/>
  <c r="M30" i="5" s="1"/>
  <c r="J30" i="5"/>
  <c r="J30" i="4"/>
  <c r="K30" i="4" s="1"/>
  <c r="L30" i="4" s="1"/>
  <c r="M30" i="4" s="1"/>
  <c r="J30" i="1"/>
  <c r="K30" i="1" s="1"/>
  <c r="L30" i="1" s="1"/>
  <c r="M30" i="1" s="1"/>
  <c r="I12" i="5" l="1"/>
  <c r="C26" i="7"/>
  <c r="C26" i="6"/>
  <c r="I12" i="4"/>
  <c r="I14" i="1"/>
  <c r="N44" i="8"/>
  <c r="O44" i="8" s="1"/>
  <c r="P42" i="8" s="1"/>
  <c r="C100" i="1" l="1"/>
  <c r="C100" i="5" s="1"/>
  <c r="E87" i="5"/>
  <c r="E87" i="1"/>
  <c r="F99" i="4"/>
  <c r="F89" i="4"/>
  <c r="A18" i="5"/>
  <c r="A18" i="4"/>
  <c r="D120" i="1"/>
  <c r="I14" i="8"/>
  <c r="C101" i="1" l="1"/>
  <c r="C101" i="5" s="1"/>
  <c r="C100" i="4"/>
  <c r="C101" i="4"/>
  <c r="D122" i="1"/>
  <c r="F20" i="1" s="1"/>
  <c r="G24" i="7"/>
  <c r="G23" i="7"/>
  <c r="G24" i="6"/>
  <c r="G23" i="6"/>
  <c r="A26" i="6"/>
  <c r="A26" i="5"/>
  <c r="F29" i="8"/>
  <c r="B9" i="8"/>
  <c r="B10" i="8"/>
  <c r="A10" i="8"/>
  <c r="A9" i="8"/>
  <c r="C90" i="1"/>
  <c r="I29" i="5"/>
  <c r="I29" i="4"/>
  <c r="L11" i="1"/>
  <c r="K7" i="4"/>
  <c r="I20" i="5"/>
  <c r="J20" i="5" s="1"/>
  <c r="K20" i="5" s="1"/>
  <c r="I20" i="6"/>
  <c r="J20" i="6" s="1"/>
  <c r="K20" i="6" s="1"/>
  <c r="L20" i="6" s="1"/>
  <c r="M20" i="6" s="1"/>
  <c r="I20" i="7"/>
  <c r="J20" i="7" s="1"/>
  <c r="K20" i="7" s="1"/>
  <c r="L20" i="7" s="1"/>
  <c r="M20" i="7" s="1"/>
  <c r="I4" i="7" s="1"/>
  <c r="I20" i="4"/>
  <c r="J20" i="4" s="1"/>
  <c r="I4" i="4" s="1"/>
  <c r="I5" i="4" s="1"/>
  <c r="K5" i="4" s="1"/>
  <c r="I19" i="5"/>
  <c r="J19" i="5" s="1"/>
  <c r="K19" i="5" s="1"/>
  <c r="L19" i="5" s="1"/>
  <c r="M19" i="5" s="1"/>
  <c r="I19" i="6"/>
  <c r="J19" i="6" s="1"/>
  <c r="K19" i="6" s="1"/>
  <c r="L19" i="6" s="1"/>
  <c r="M19" i="6" s="1"/>
  <c r="I19" i="7"/>
  <c r="J19" i="7" s="1"/>
  <c r="K19" i="7" s="1"/>
  <c r="L19" i="7" s="1"/>
  <c r="M19" i="7" s="1"/>
  <c r="I19" i="4"/>
  <c r="J19" i="4" s="1"/>
  <c r="K19" i="4" s="1"/>
  <c r="L19" i="4" s="1"/>
  <c r="M19" i="4" s="1"/>
  <c r="G8" i="6"/>
  <c r="G99" i="4"/>
  <c r="F100" i="4"/>
  <c r="I99" i="4"/>
  <c r="F101" i="5"/>
  <c r="F99" i="5"/>
  <c r="G99" i="5" s="1"/>
  <c r="F100" i="6"/>
  <c r="G100" i="6" s="1"/>
  <c r="F99" i="6"/>
  <c r="I99" i="6" s="1"/>
  <c r="F101" i="7"/>
  <c r="G101" i="7" s="1"/>
  <c r="F100" i="7"/>
  <c r="I100" i="7" s="1"/>
  <c r="F99" i="7"/>
  <c r="I99" i="7" s="1"/>
  <c r="F101" i="1"/>
  <c r="G101" i="1" s="1"/>
  <c r="F100" i="1"/>
  <c r="I100" i="1" s="1"/>
  <c r="F99" i="1"/>
  <c r="A19" i="8"/>
  <c r="A20" i="8"/>
  <c r="A21" i="8"/>
  <c r="A22" i="8"/>
  <c r="A23" i="8"/>
  <c r="A18" i="8"/>
  <c r="I34" i="4"/>
  <c r="I34" i="5"/>
  <c r="I34" i="6"/>
  <c r="I34" i="1"/>
  <c r="F8" i="6"/>
  <c r="F5" i="6"/>
  <c r="C90" i="6"/>
  <c r="C91" i="6" s="1"/>
  <c r="F91" i="6" s="1"/>
  <c r="F89" i="6"/>
  <c r="I89" i="6" s="1"/>
  <c r="C90" i="5"/>
  <c r="C91" i="5" s="1"/>
  <c r="F91" i="5" s="1"/>
  <c r="D5" i="5" s="1"/>
  <c r="F89" i="5"/>
  <c r="I89" i="5" s="1"/>
  <c r="C90" i="4"/>
  <c r="C91" i="4" s="1"/>
  <c r="F91" i="4" s="1"/>
  <c r="G91" i="4" s="1"/>
  <c r="D10" i="9"/>
  <c r="D120" i="5"/>
  <c r="D122" i="5" s="1"/>
  <c r="D73" i="5"/>
  <c r="E73" i="5" s="1"/>
  <c r="F73" i="5" s="1"/>
  <c r="D72" i="5"/>
  <c r="E72" i="5" s="1"/>
  <c r="F72" i="5" s="1"/>
  <c r="D71" i="5"/>
  <c r="E71" i="5" s="1"/>
  <c r="F71" i="5" s="1"/>
  <c r="D70" i="5"/>
  <c r="G61" i="5"/>
  <c r="D59" i="5"/>
  <c r="E59" i="5" s="1"/>
  <c r="F59" i="5" s="1"/>
  <c r="D58" i="5"/>
  <c r="E58" i="5" s="1"/>
  <c r="F58" i="5" s="1"/>
  <c r="M57" i="5"/>
  <c r="M58" i="5" s="1"/>
  <c r="L57" i="5"/>
  <c r="L58" i="5" s="1"/>
  <c r="K57" i="5"/>
  <c r="K58" i="5" s="1"/>
  <c r="E57" i="5"/>
  <c r="F57" i="5" s="1"/>
  <c r="D56" i="5"/>
  <c r="N53" i="5"/>
  <c r="M49" i="5"/>
  <c r="M48" i="5"/>
  <c r="M47" i="5"/>
  <c r="M46" i="5"/>
  <c r="L45" i="5"/>
  <c r="M45" i="5" s="1"/>
  <c r="E43" i="5"/>
  <c r="B43" i="5"/>
  <c r="E42" i="5"/>
  <c r="E41" i="5"/>
  <c r="I39" i="5"/>
  <c r="J39" i="5" s="1"/>
  <c r="D120" i="6"/>
  <c r="D122" i="6" s="1"/>
  <c r="D73" i="6"/>
  <c r="E73" i="6" s="1"/>
  <c r="F73" i="6" s="1"/>
  <c r="E72" i="6"/>
  <c r="F72" i="6" s="1"/>
  <c r="D72" i="6"/>
  <c r="D71" i="6"/>
  <c r="E71" i="6" s="1"/>
  <c r="F71" i="6" s="1"/>
  <c r="D70" i="6"/>
  <c r="G61" i="6"/>
  <c r="D59" i="6"/>
  <c r="E59" i="6" s="1"/>
  <c r="F59" i="6" s="1"/>
  <c r="M58" i="6"/>
  <c r="D58" i="6"/>
  <c r="E58" i="6" s="1"/>
  <c r="F58" i="6" s="1"/>
  <c r="M57" i="6"/>
  <c r="L57" i="6"/>
  <c r="L58" i="6" s="1"/>
  <c r="K57" i="6"/>
  <c r="K58" i="6" s="1"/>
  <c r="D57" i="6"/>
  <c r="E57" i="6" s="1"/>
  <c r="F57" i="6" s="1"/>
  <c r="D56" i="6"/>
  <c r="E56" i="6" s="1"/>
  <c r="N53" i="6"/>
  <c r="M49" i="6"/>
  <c r="M48" i="6"/>
  <c r="M47" i="6"/>
  <c r="M46" i="6"/>
  <c r="L45" i="6"/>
  <c r="M45" i="6" s="1"/>
  <c r="E43" i="6"/>
  <c r="B43" i="6"/>
  <c r="E42" i="6"/>
  <c r="E41" i="6"/>
  <c r="J39" i="6"/>
  <c r="I39" i="6"/>
  <c r="D120" i="7"/>
  <c r="D122" i="7" s="1"/>
  <c r="C91" i="7"/>
  <c r="F91" i="7" s="1"/>
  <c r="I91" i="7" s="1"/>
  <c r="F90" i="7"/>
  <c r="G90" i="7" s="1"/>
  <c r="G89" i="7"/>
  <c r="F89" i="7"/>
  <c r="D73" i="7"/>
  <c r="E73" i="7" s="1"/>
  <c r="F73" i="7" s="1"/>
  <c r="E72" i="7"/>
  <c r="F72" i="7" s="1"/>
  <c r="D72" i="7"/>
  <c r="D71" i="7"/>
  <c r="E71" i="7" s="1"/>
  <c r="F71" i="7" s="1"/>
  <c r="D70" i="7"/>
  <c r="G61" i="7"/>
  <c r="D59" i="7"/>
  <c r="E59" i="7" s="1"/>
  <c r="F59" i="7" s="1"/>
  <c r="D58" i="7"/>
  <c r="E58" i="7" s="1"/>
  <c r="F58" i="7" s="1"/>
  <c r="M57" i="7"/>
  <c r="M58" i="7" s="1"/>
  <c r="L57" i="7"/>
  <c r="L58" i="7" s="1"/>
  <c r="K57" i="7"/>
  <c r="K58" i="7" s="1"/>
  <c r="D57" i="7"/>
  <c r="E57" i="7" s="1"/>
  <c r="F57" i="7" s="1"/>
  <c r="D56" i="7"/>
  <c r="E56" i="7" s="1"/>
  <c r="N53" i="7"/>
  <c r="M49" i="7"/>
  <c r="M48" i="7"/>
  <c r="M47" i="7"/>
  <c r="M46" i="7"/>
  <c r="L45" i="7"/>
  <c r="M45" i="7" s="1"/>
  <c r="E43" i="7"/>
  <c r="B43" i="7"/>
  <c r="E42" i="7"/>
  <c r="E41" i="7"/>
  <c r="I39" i="7"/>
  <c r="J39" i="7" s="1"/>
  <c r="D120" i="4"/>
  <c r="D122" i="4" s="1"/>
  <c r="I90" i="4"/>
  <c r="D73" i="4"/>
  <c r="E73" i="4" s="1"/>
  <c r="F73" i="4" s="1"/>
  <c r="D72" i="4"/>
  <c r="E72" i="4" s="1"/>
  <c r="F72" i="4" s="1"/>
  <c r="D71" i="4"/>
  <c r="E71" i="4" s="1"/>
  <c r="F71" i="4" s="1"/>
  <c r="D70" i="4"/>
  <c r="D77" i="4" s="1"/>
  <c r="G61" i="4"/>
  <c r="D59" i="4"/>
  <c r="E59" i="4" s="1"/>
  <c r="F59" i="4" s="1"/>
  <c r="D58" i="4"/>
  <c r="E58" i="4" s="1"/>
  <c r="F58" i="4" s="1"/>
  <c r="M57" i="4"/>
  <c r="M58" i="4" s="1"/>
  <c r="L57" i="4"/>
  <c r="L58" i="4" s="1"/>
  <c r="K57" i="4"/>
  <c r="K58" i="4" s="1"/>
  <c r="D57" i="4"/>
  <c r="E57" i="4" s="1"/>
  <c r="D56" i="4"/>
  <c r="N53" i="4"/>
  <c r="M49" i="4"/>
  <c r="M48" i="4"/>
  <c r="M47" i="4"/>
  <c r="M46" i="4"/>
  <c r="L45" i="4"/>
  <c r="M45" i="4" s="1"/>
  <c r="E43" i="4"/>
  <c r="B43" i="4"/>
  <c r="E42" i="4"/>
  <c r="E41" i="4"/>
  <c r="I39" i="4"/>
  <c r="J39" i="4" s="1"/>
  <c r="L12" i="1"/>
  <c r="C91" i="1"/>
  <c r="F91" i="1" s="1"/>
  <c r="F90" i="1"/>
  <c r="I90" i="1" s="1"/>
  <c r="F89" i="1"/>
  <c r="D5" i="1" s="1"/>
  <c r="D73" i="1"/>
  <c r="E73" i="1" s="1"/>
  <c r="F73" i="1" s="1"/>
  <c r="D72" i="1"/>
  <c r="E72" i="1" s="1"/>
  <c r="F72" i="1" s="1"/>
  <c r="D71" i="1"/>
  <c r="E71" i="1" s="1"/>
  <c r="F71" i="1" s="1"/>
  <c r="E70" i="1"/>
  <c r="F70" i="1" s="1"/>
  <c r="D70" i="1"/>
  <c r="G61" i="1"/>
  <c r="D59" i="1"/>
  <c r="D58" i="1"/>
  <c r="E58" i="1" s="1"/>
  <c r="F58" i="1" s="1"/>
  <c r="M57" i="1"/>
  <c r="M58" i="1" s="1"/>
  <c r="L57" i="1"/>
  <c r="L58" i="1" s="1"/>
  <c r="K57" i="1"/>
  <c r="K58" i="1" s="1"/>
  <c r="D57" i="1"/>
  <c r="E57" i="1" s="1"/>
  <c r="D56" i="1"/>
  <c r="N53" i="1"/>
  <c r="M49" i="1"/>
  <c r="M48" i="1"/>
  <c r="M47" i="1"/>
  <c r="M46" i="1"/>
  <c r="L45" i="1"/>
  <c r="M45" i="1" s="1"/>
  <c r="M51" i="1" s="1"/>
  <c r="E43" i="1"/>
  <c r="B43" i="1"/>
  <c r="E42" i="1"/>
  <c r="E41" i="1"/>
  <c r="I39" i="1"/>
  <c r="J39" i="1" s="1"/>
  <c r="J20" i="1"/>
  <c r="I5" i="1" s="1"/>
  <c r="K5" i="1" s="1"/>
  <c r="J19" i="1"/>
  <c r="K19" i="1" s="1"/>
  <c r="L19" i="1" s="1"/>
  <c r="M19" i="1" s="1"/>
  <c r="F57" i="4" l="1"/>
  <c r="F57" i="1"/>
  <c r="E63" i="1"/>
  <c r="G99" i="6"/>
  <c r="E44" i="1"/>
  <c r="M51" i="4"/>
  <c r="D77" i="6"/>
  <c r="G100" i="7"/>
  <c r="H100" i="7" s="1"/>
  <c r="K100" i="7" s="1"/>
  <c r="D77" i="7"/>
  <c r="E56" i="1"/>
  <c r="D63" i="1"/>
  <c r="D77" i="1"/>
  <c r="E9" i="1"/>
  <c r="D8" i="1"/>
  <c r="M12" i="1"/>
  <c r="E7" i="1" s="1"/>
  <c r="D7" i="1"/>
  <c r="D5" i="4"/>
  <c r="M11" i="1"/>
  <c r="E6" i="1" s="1"/>
  <c r="D6" i="1"/>
  <c r="G89" i="1"/>
  <c r="E5" i="1" s="1"/>
  <c r="D10" i="1"/>
  <c r="F10" i="1" s="1"/>
  <c r="N6" i="1"/>
  <c r="N6" i="4"/>
  <c r="E56" i="4"/>
  <c r="E63" i="4" s="1"/>
  <c r="D63" i="4"/>
  <c r="F93" i="7"/>
  <c r="E44" i="6"/>
  <c r="M51" i="5"/>
  <c r="D77" i="5"/>
  <c r="E10" i="5"/>
  <c r="I90" i="7"/>
  <c r="G89" i="6"/>
  <c r="G99" i="7"/>
  <c r="D9" i="1"/>
  <c r="M51" i="7"/>
  <c r="M51" i="6"/>
  <c r="E44" i="5"/>
  <c r="N57" i="1"/>
  <c r="E44" i="4"/>
  <c r="E44" i="7"/>
  <c r="E77" i="1"/>
  <c r="E59" i="1"/>
  <c r="E56" i="5"/>
  <c r="D63" i="5"/>
  <c r="C46" i="9"/>
  <c r="G101" i="5"/>
  <c r="D9" i="5"/>
  <c r="G100" i="4"/>
  <c r="E8" i="4" s="1"/>
  <c r="E9" i="4" s="1"/>
  <c r="D8" i="4"/>
  <c r="D9" i="4" s="1"/>
  <c r="G100" i="1"/>
  <c r="G103" i="1" s="1"/>
  <c r="G25" i="9"/>
  <c r="G23" i="1"/>
  <c r="G24" i="1"/>
  <c r="K20" i="4"/>
  <c r="L20" i="4" s="1"/>
  <c r="M20" i="4" s="1"/>
  <c r="G89" i="5"/>
  <c r="I91" i="1"/>
  <c r="G91" i="1"/>
  <c r="G90" i="1"/>
  <c r="H90" i="1" s="1"/>
  <c r="K90" i="1" s="1"/>
  <c r="I89" i="1"/>
  <c r="F93" i="1"/>
  <c r="G89" i="4"/>
  <c r="N5" i="4"/>
  <c r="N5" i="1"/>
  <c r="I5" i="7"/>
  <c r="K4" i="7"/>
  <c r="M4" i="7" s="1"/>
  <c r="N4" i="7" s="1"/>
  <c r="I4" i="5"/>
  <c r="K4" i="5" s="1"/>
  <c r="M4" i="5" s="1"/>
  <c r="L20" i="5"/>
  <c r="M20" i="5" s="1"/>
  <c r="K20" i="1"/>
  <c r="L20" i="1" s="1"/>
  <c r="M20" i="1" s="1"/>
  <c r="I4" i="6"/>
  <c r="F103" i="7"/>
  <c r="I100" i="6"/>
  <c r="I100" i="4"/>
  <c r="I101" i="1"/>
  <c r="I101" i="5"/>
  <c r="I99" i="1"/>
  <c r="F103" i="1"/>
  <c r="H99" i="7"/>
  <c r="J100" i="7"/>
  <c r="G103" i="7"/>
  <c r="F101" i="6"/>
  <c r="G101" i="6" s="1"/>
  <c r="I99" i="5"/>
  <c r="F100" i="5"/>
  <c r="F101" i="4"/>
  <c r="J99" i="7"/>
  <c r="I101" i="7"/>
  <c r="I103" i="7" s="1"/>
  <c r="I91" i="5"/>
  <c r="G91" i="5"/>
  <c r="E5" i="5" s="1"/>
  <c r="I91" i="6"/>
  <c r="G91" i="6"/>
  <c r="F90" i="5"/>
  <c r="F90" i="6"/>
  <c r="F93" i="4"/>
  <c r="G90" i="4"/>
  <c r="H90" i="4" s="1"/>
  <c r="K90" i="4" s="1"/>
  <c r="E63" i="7"/>
  <c r="F56" i="7"/>
  <c r="E63" i="6"/>
  <c r="F56" i="6"/>
  <c r="H90" i="7"/>
  <c r="K90" i="7" s="1"/>
  <c r="J90" i="7"/>
  <c r="H91" i="4"/>
  <c r="K91" i="4" s="1"/>
  <c r="J91" i="4"/>
  <c r="I91" i="4"/>
  <c r="E70" i="4"/>
  <c r="D63" i="7"/>
  <c r="E70" i="7"/>
  <c r="H89" i="7"/>
  <c r="G91" i="7"/>
  <c r="D63" i="6"/>
  <c r="E70" i="6"/>
  <c r="E70" i="5"/>
  <c r="J89" i="7"/>
  <c r="N57" i="4"/>
  <c r="I89" i="4"/>
  <c r="N57" i="7"/>
  <c r="I89" i="7"/>
  <c r="N57" i="6"/>
  <c r="N57" i="5"/>
  <c r="K4" i="4"/>
  <c r="K4" i="1"/>
  <c r="H99" i="1" l="1"/>
  <c r="K99" i="1" s="1"/>
  <c r="J99" i="1"/>
  <c r="N12" i="1"/>
  <c r="E63" i="5"/>
  <c r="I63" i="4"/>
  <c r="I93" i="7"/>
  <c r="N6" i="5"/>
  <c r="M4" i="1"/>
  <c r="E4" i="1" s="1"/>
  <c r="D4" i="1"/>
  <c r="F7" i="1"/>
  <c r="F21" i="4"/>
  <c r="Q8" i="8"/>
  <c r="N11" i="1"/>
  <c r="J90" i="1"/>
  <c r="H89" i="1"/>
  <c r="K89" i="1" s="1"/>
  <c r="I93" i="1"/>
  <c r="J89" i="1"/>
  <c r="F56" i="5"/>
  <c r="D46" i="9"/>
  <c r="R12" i="8"/>
  <c r="S13" i="8" s="1"/>
  <c r="J89" i="6"/>
  <c r="H89" i="6"/>
  <c r="K89" i="6" s="1"/>
  <c r="F56" i="4"/>
  <c r="I63" i="5"/>
  <c r="I5" i="5"/>
  <c r="K5" i="5" s="1"/>
  <c r="D4" i="5" s="1"/>
  <c r="F10" i="5"/>
  <c r="F59" i="1"/>
  <c r="F8" i="5"/>
  <c r="F77" i="1"/>
  <c r="H14" i="1"/>
  <c r="F9" i="1"/>
  <c r="F8" i="1"/>
  <c r="I63" i="1"/>
  <c r="H10" i="5"/>
  <c r="F9" i="5"/>
  <c r="M4" i="4"/>
  <c r="E4" i="4" s="1"/>
  <c r="F8" i="4"/>
  <c r="F103" i="5"/>
  <c r="G100" i="5"/>
  <c r="G103" i="5" s="1"/>
  <c r="F103" i="4"/>
  <c r="G101" i="4"/>
  <c r="J90" i="4"/>
  <c r="E5" i="4"/>
  <c r="H25" i="9"/>
  <c r="F21" i="5" s="1"/>
  <c r="J89" i="5"/>
  <c r="H89" i="5"/>
  <c r="K89" i="5" s="1"/>
  <c r="N4" i="5"/>
  <c r="D4" i="4"/>
  <c r="F5" i="1"/>
  <c r="J91" i="1"/>
  <c r="H91" i="1"/>
  <c r="G93" i="1"/>
  <c r="F56" i="1"/>
  <c r="K5" i="7"/>
  <c r="M5" i="7" s="1"/>
  <c r="N5" i="7" s="1"/>
  <c r="I5" i="6"/>
  <c r="K5" i="6" s="1"/>
  <c r="M5" i="6" s="1"/>
  <c r="N5" i="6" s="1"/>
  <c r="K4" i="6"/>
  <c r="M4" i="6" s="1"/>
  <c r="N4" i="6" s="1"/>
  <c r="F63" i="7"/>
  <c r="F63" i="4"/>
  <c r="F63" i="6"/>
  <c r="I101" i="6"/>
  <c r="I103" i="6" s="1"/>
  <c r="K99" i="7"/>
  <c r="J99" i="5"/>
  <c r="H99" i="5"/>
  <c r="H101" i="5"/>
  <c r="K101" i="5" s="1"/>
  <c r="J101" i="5"/>
  <c r="J100" i="6"/>
  <c r="H100" i="6"/>
  <c r="K100" i="6" s="1"/>
  <c r="F103" i="6"/>
  <c r="I103" i="1"/>
  <c r="I100" i="5"/>
  <c r="I103" i="5" s="1"/>
  <c r="H101" i="7"/>
  <c r="K101" i="7" s="1"/>
  <c r="J101" i="7"/>
  <c r="J103" i="7" s="1"/>
  <c r="H100" i="1"/>
  <c r="K100" i="1" s="1"/>
  <c r="J100" i="1"/>
  <c r="H99" i="4"/>
  <c r="J99" i="4"/>
  <c r="H99" i="6"/>
  <c r="J99" i="6"/>
  <c r="J101" i="1"/>
  <c r="H101" i="1"/>
  <c r="K101" i="1" s="1"/>
  <c r="J100" i="4"/>
  <c r="H100" i="4"/>
  <c r="K100" i="4" s="1"/>
  <c r="I101" i="4"/>
  <c r="I103" i="4" s="1"/>
  <c r="F7" i="6"/>
  <c r="H91" i="6"/>
  <c r="K91" i="6" s="1"/>
  <c r="J91" i="6"/>
  <c r="G90" i="5"/>
  <c r="G93" i="5" s="1"/>
  <c r="F93" i="5"/>
  <c r="I90" i="5"/>
  <c r="I93" i="5" s="1"/>
  <c r="G90" i="6"/>
  <c r="G93" i="6" s="1"/>
  <c r="F93" i="6"/>
  <c r="I90" i="6"/>
  <c r="I93" i="6" s="1"/>
  <c r="H91" i="5"/>
  <c r="K91" i="5" s="1"/>
  <c r="J91" i="5"/>
  <c r="J89" i="4"/>
  <c r="H89" i="4"/>
  <c r="K89" i="4" s="1"/>
  <c r="K93" i="4" s="1"/>
  <c r="G93" i="4"/>
  <c r="K89" i="7"/>
  <c r="F70" i="4"/>
  <c r="E77" i="4"/>
  <c r="F77" i="4" s="1"/>
  <c r="H91" i="7"/>
  <c r="K91" i="7" s="1"/>
  <c r="J91" i="7"/>
  <c r="J93" i="7" s="1"/>
  <c r="G93" i="7"/>
  <c r="F70" i="5"/>
  <c r="E77" i="5"/>
  <c r="F77" i="5" s="1"/>
  <c r="F70" i="6"/>
  <c r="E77" i="6"/>
  <c r="F77" i="6" s="1"/>
  <c r="F70" i="7"/>
  <c r="E77" i="7"/>
  <c r="F77" i="7" s="1"/>
  <c r="I93" i="4"/>
  <c r="F63" i="5" l="1"/>
  <c r="K93" i="7"/>
  <c r="H93" i="7"/>
  <c r="N4" i="1"/>
  <c r="G23" i="4"/>
  <c r="F29" i="9"/>
  <c r="F10" i="4"/>
  <c r="F10" i="8" s="1"/>
  <c r="J93" i="1"/>
  <c r="D9" i="8"/>
  <c r="K63" i="1"/>
  <c r="E9" i="8"/>
  <c r="G9" i="4"/>
  <c r="F9" i="4"/>
  <c r="F9" i="8" s="1"/>
  <c r="J93" i="4"/>
  <c r="G23" i="5"/>
  <c r="N5" i="5"/>
  <c r="E4" i="5"/>
  <c r="K91" i="1"/>
  <c r="K93" i="1" s="1"/>
  <c r="H93" i="1"/>
  <c r="G14" i="1"/>
  <c r="F63" i="1"/>
  <c r="N4" i="4"/>
  <c r="H103" i="1"/>
  <c r="H103" i="7"/>
  <c r="K103" i="7"/>
  <c r="J103" i="1"/>
  <c r="K99" i="6"/>
  <c r="K103" i="1"/>
  <c r="J101" i="4"/>
  <c r="J103" i="4" s="1"/>
  <c r="H101" i="4"/>
  <c r="K101" i="4" s="1"/>
  <c r="K99" i="4"/>
  <c r="J101" i="6"/>
  <c r="J103" i="6" s="1"/>
  <c r="H101" i="6"/>
  <c r="K101" i="6" s="1"/>
  <c r="G103" i="6"/>
  <c r="H100" i="5"/>
  <c r="K100" i="5" s="1"/>
  <c r="J100" i="5"/>
  <c r="J103" i="5" s="1"/>
  <c r="K99" i="5"/>
  <c r="G103" i="4"/>
  <c r="H90" i="5"/>
  <c r="K90" i="5" s="1"/>
  <c r="K93" i="5" s="1"/>
  <c r="J90" i="5"/>
  <c r="J93" i="5" s="1"/>
  <c r="H90" i="6"/>
  <c r="K90" i="6" s="1"/>
  <c r="K93" i="6" s="1"/>
  <c r="J90" i="6"/>
  <c r="J93" i="6" s="1"/>
  <c r="H93" i="4"/>
  <c r="H93" i="6" l="1"/>
  <c r="K103" i="4"/>
  <c r="K103" i="5"/>
  <c r="H103" i="4"/>
  <c r="H103" i="5"/>
  <c r="H103" i="6"/>
  <c r="K103" i="6"/>
  <c r="H93" i="5"/>
  <c r="I33" i="7"/>
  <c r="I34" i="7" s="1"/>
  <c r="F5" i="4"/>
  <c r="E5" i="8"/>
  <c r="D5" i="8"/>
  <c r="J29" i="7"/>
  <c r="K29" i="7" s="1"/>
  <c r="L29" i="7" s="1"/>
  <c r="M29" i="7" s="1"/>
  <c r="J29" i="6"/>
  <c r="K29" i="6" s="1"/>
  <c r="L29" i="6" s="1"/>
  <c r="J29" i="1"/>
  <c r="K29" i="1" s="1"/>
  <c r="L29" i="1" s="1"/>
  <c r="M29" i="1" s="1"/>
  <c r="J33" i="6"/>
  <c r="J34" i="6" s="1"/>
  <c r="J33" i="1"/>
  <c r="J34" i="1" s="1"/>
  <c r="K22" i="7"/>
  <c r="E4" i="6"/>
  <c r="E4" i="7"/>
  <c r="F4" i="7" s="1"/>
  <c r="M24" i="1"/>
  <c r="N24" i="1" s="1"/>
  <c r="K23" i="1"/>
  <c r="L23" i="1" s="1"/>
  <c r="J29" i="5"/>
  <c r="K29" i="5" s="1"/>
  <c r="I11" i="5" s="1"/>
  <c r="J29" i="4"/>
  <c r="S12" i="1"/>
  <c r="T12" i="1" s="1"/>
  <c r="F23" i="8"/>
  <c r="F20" i="8"/>
  <c r="F21" i="8"/>
  <c r="F22" i="8"/>
  <c r="O7" i="1"/>
  <c r="S4" i="1"/>
  <c r="S6" i="1" s="1"/>
  <c r="D8" i="8"/>
  <c r="R17" i="4"/>
  <c r="E8" i="8"/>
  <c r="F15" i="7"/>
  <c r="F14" i="7"/>
  <c r="F15" i="6"/>
  <c r="F14" i="6"/>
  <c r="F15" i="5"/>
  <c r="F14" i="5"/>
  <c r="F15" i="4"/>
  <c r="F14" i="4"/>
  <c r="F19" i="8"/>
  <c r="F18" i="8"/>
  <c r="E15" i="8"/>
  <c r="E14" i="8"/>
  <c r="H14" i="8" s="1"/>
  <c r="J14" i="8" s="1"/>
  <c r="F14" i="1"/>
  <c r="F8" i="8"/>
  <c r="G7" i="6"/>
  <c r="K33" i="6"/>
  <c r="K34" i="6" s="1"/>
  <c r="J33" i="7"/>
  <c r="J34" i="7" s="1"/>
  <c r="L33" i="6"/>
  <c r="L34" i="6" s="1"/>
  <c r="J33" i="5"/>
  <c r="J34" i="5" s="1"/>
  <c r="J33" i="4"/>
  <c r="E6" i="6"/>
  <c r="F6" i="6" s="1"/>
  <c r="E6" i="7"/>
  <c r="G23" i="8" l="1"/>
  <c r="K33" i="5"/>
  <c r="L33" i="5" s="1"/>
  <c r="J34" i="4"/>
  <c r="F33" i="4"/>
  <c r="K33" i="4"/>
  <c r="I12" i="6"/>
  <c r="L12" i="6" s="1"/>
  <c r="M12" i="6" s="1"/>
  <c r="N12" i="6" s="1"/>
  <c r="I11" i="6"/>
  <c r="L11" i="6" s="1"/>
  <c r="M11" i="6" s="1"/>
  <c r="N11" i="6" s="1"/>
  <c r="M29" i="6"/>
  <c r="I12" i="7"/>
  <c r="L12" i="7" s="1"/>
  <c r="I11" i="7"/>
  <c r="L11" i="7" s="1"/>
  <c r="M11" i="7" s="1"/>
  <c r="N11" i="7" s="1"/>
  <c r="F15" i="8"/>
  <c r="M33" i="6"/>
  <c r="M34" i="6" s="1"/>
  <c r="K33" i="7"/>
  <c r="K33" i="1"/>
  <c r="K29" i="4"/>
  <c r="L29" i="4" s="1"/>
  <c r="M29" i="4" s="1"/>
  <c r="L11" i="4"/>
  <c r="L12" i="5"/>
  <c r="D7" i="5" s="1"/>
  <c r="L11" i="5"/>
  <c r="L29" i="5"/>
  <c r="M29" i="5" s="1"/>
  <c r="L12" i="4"/>
  <c r="G8" i="1"/>
  <c r="F14" i="8"/>
  <c r="F4" i="6"/>
  <c r="F11" i="6" s="1"/>
  <c r="F25" i="6" s="1"/>
  <c r="G25" i="6" s="1"/>
  <c r="E11" i="6"/>
  <c r="D11" i="6"/>
  <c r="F4" i="4"/>
  <c r="F4" i="5"/>
  <c r="F5" i="5"/>
  <c r="F5" i="8" s="1"/>
  <c r="F6" i="7"/>
  <c r="F6" i="1"/>
  <c r="D4" i="8"/>
  <c r="E4" i="8"/>
  <c r="D11" i="1"/>
  <c r="K34" i="5" l="1"/>
  <c r="F33" i="5"/>
  <c r="G24" i="5" s="1"/>
  <c r="G24" i="4"/>
  <c r="F33" i="8"/>
  <c r="G24" i="8" s="1"/>
  <c r="D7" i="4"/>
  <c r="G7" i="4" s="1"/>
  <c r="M12" i="4"/>
  <c r="E7" i="4" s="1"/>
  <c r="F7" i="4" s="1"/>
  <c r="D11" i="4"/>
  <c r="M12" i="5"/>
  <c r="E7" i="5" s="1"/>
  <c r="F7" i="5" s="1"/>
  <c r="K34" i="4"/>
  <c r="L33" i="4"/>
  <c r="L34" i="5"/>
  <c r="M33" i="5"/>
  <c r="M34" i="5" s="1"/>
  <c r="M12" i="7"/>
  <c r="D7" i="7"/>
  <c r="L13" i="7"/>
  <c r="K34" i="1"/>
  <c r="L33" i="1"/>
  <c r="K34" i="7"/>
  <c r="L33" i="7"/>
  <c r="D6" i="5"/>
  <c r="M11" i="5"/>
  <c r="M11" i="4"/>
  <c r="F26" i="6"/>
  <c r="F35" i="6" s="1"/>
  <c r="F4" i="1"/>
  <c r="F11" i="1" s="1"/>
  <c r="F25" i="1" s="1"/>
  <c r="O14" i="1"/>
  <c r="F26" i="1" l="1"/>
  <c r="L34" i="4"/>
  <c r="M33" i="4"/>
  <c r="M34" i="4" s="1"/>
  <c r="G25" i="1"/>
  <c r="E7" i="7"/>
  <c r="E11" i="7" s="1"/>
  <c r="G8" i="7"/>
  <c r="F7" i="7"/>
  <c r="F11" i="7" s="1"/>
  <c r="F25" i="7" s="1"/>
  <c r="G25" i="7" s="1"/>
  <c r="D11" i="7"/>
  <c r="L34" i="1"/>
  <c r="M33" i="1"/>
  <c r="M34" i="1" s="1"/>
  <c r="N12" i="7"/>
  <c r="N13" i="7" s="1"/>
  <c r="N15" i="7" s="1"/>
  <c r="M13" i="7"/>
  <c r="L34" i="7"/>
  <c r="M33" i="7"/>
  <c r="M34" i="7" s="1"/>
  <c r="N11" i="4"/>
  <c r="E6" i="4"/>
  <c r="F6" i="4" s="1"/>
  <c r="F4" i="8"/>
  <c r="N12" i="5"/>
  <c r="G8" i="5"/>
  <c r="D11" i="5"/>
  <c r="N11" i="5"/>
  <c r="E6" i="5"/>
  <c r="D6" i="8"/>
  <c r="N12" i="4"/>
  <c r="O14" i="4" s="1"/>
  <c r="D7" i="8"/>
  <c r="E11" i="1"/>
  <c r="D11" i="8" l="1"/>
  <c r="F26" i="7"/>
  <c r="F35" i="7" s="1"/>
  <c r="E11" i="5"/>
  <c r="F6" i="5"/>
  <c r="F11" i="5" s="1"/>
  <c r="E6" i="8"/>
  <c r="E11" i="4"/>
  <c r="F11" i="4"/>
  <c r="F25" i="4" s="1"/>
  <c r="E7" i="8"/>
  <c r="F7" i="8"/>
  <c r="F25" i="5" l="1"/>
  <c r="F26" i="5" s="1"/>
  <c r="F26" i="4"/>
  <c r="E11" i="8"/>
  <c r="F11" i="8"/>
  <c r="F35" i="1"/>
  <c r="F6" i="8"/>
  <c r="J7" i="8" l="1"/>
  <c r="J8" i="8" s="1"/>
  <c r="F25" i="8"/>
  <c r="F35" i="5"/>
  <c r="G25" i="5"/>
  <c r="G25" i="4"/>
  <c r="F35" i="4"/>
  <c r="F37" i="8" s="1"/>
  <c r="G25" i="8" l="1"/>
  <c r="F26" i="8"/>
  <c r="F35" i="8" s="1"/>
  <c r="B39" i="8"/>
  <c r="H29" i="8" l="1"/>
  <c r="J40" i="8"/>
  <c r="J42" i="8" l="1"/>
  <c r="K44" i="8"/>
</calcChain>
</file>

<file path=xl/sharedStrings.xml><?xml version="1.0" encoding="utf-8"?>
<sst xmlns="http://schemas.openxmlformats.org/spreadsheetml/2006/main" count="978" uniqueCount="229">
  <si>
    <t>Personnel</t>
  </si>
  <si>
    <t>Role on Project</t>
  </si>
  <si>
    <t>Type Appt. (months)</t>
  </si>
  <si>
    <t>Salary Requested</t>
  </si>
  <si>
    <t>Fringe Benefits</t>
  </si>
  <si>
    <t>Totals</t>
  </si>
  <si>
    <t>Prinicipal Investigator</t>
  </si>
  <si>
    <t>Research Assistant</t>
  </si>
  <si>
    <t>Subtotals</t>
  </si>
  <si>
    <t xml:space="preserve"> </t>
  </si>
  <si>
    <t>Travel</t>
  </si>
  <si>
    <t>Direct Costs</t>
  </si>
  <si>
    <t>Trustee Benefits</t>
  </si>
  <si>
    <t>Total Project Costs</t>
  </si>
  <si>
    <t>Daniele Tonina</t>
  </si>
  <si>
    <t>TBN</t>
  </si>
  <si>
    <t>Indirect Costs (43.4%)</t>
  </si>
  <si>
    <t>Summer Salary</t>
  </si>
  <si>
    <t>Student</t>
  </si>
  <si>
    <t>list materials and supplies</t>
  </si>
  <si>
    <t>Manuscript/Publications costs</t>
  </si>
  <si>
    <t>Material and Supplies</t>
  </si>
  <si>
    <t>Capital Equipment</t>
  </si>
  <si>
    <t>$/hr</t>
  </si>
  <si>
    <t>hr</t>
  </si>
  <si>
    <t>Total</t>
  </si>
  <si>
    <t>weeks</t>
  </si>
  <si>
    <t>salary PhD</t>
  </si>
  <si>
    <t>Tuition and HI</t>
  </si>
  <si>
    <t>Finge benefits</t>
  </si>
  <si>
    <t>summer</t>
  </si>
  <si>
    <t>Tuition and health insurance for 2 students for 2 semesters</t>
  </si>
  <si>
    <t>PhD Salary</t>
  </si>
  <si>
    <t>Daniele Summer</t>
  </si>
  <si>
    <t>Cost in 2010</t>
  </si>
  <si>
    <t>Cost in 2011</t>
  </si>
  <si>
    <t>Cost in 2012</t>
  </si>
  <si>
    <t>Cost in 2013</t>
  </si>
  <si>
    <t>Cost in 2014</t>
  </si>
  <si>
    <t>Salary $/hr student</t>
  </si>
  <si>
    <t>hours</t>
  </si>
  <si>
    <t>days in a month</t>
  </si>
  <si>
    <t>Salary $/hr Daniele</t>
  </si>
  <si>
    <t>international airfare</t>
  </si>
  <si>
    <t xml:space="preserve">domestic airfare + lodging + per diem </t>
  </si>
  <si>
    <t>international airfare + per diem</t>
  </si>
  <si>
    <t>Senior Personnel</t>
  </si>
  <si>
    <t>Flume experiments</t>
  </si>
  <si>
    <t>Lab manager</t>
  </si>
  <si>
    <t>Outreach program</t>
  </si>
  <si>
    <t>Tuition and health insurance for 1 students for 2 semesters</t>
  </si>
  <si>
    <t xml:space="preserve">domestic per diem travel days @ $46/da + lodging </t>
  </si>
  <si>
    <t xml:space="preserve">international per diem travel days @ $46/da + lodging </t>
  </si>
  <si>
    <t>Health</t>
  </si>
  <si>
    <t xml:space="preserve"> Fee2011</t>
  </si>
  <si>
    <t>Total x sem</t>
  </si>
  <si>
    <t>Computer Software (renew software and renew CFD license)</t>
  </si>
  <si>
    <t>fringe banefist @ 21%</t>
  </si>
  <si>
    <t>Accademic</t>
  </si>
  <si>
    <t>Material</t>
  </si>
  <si>
    <t>cost</t>
  </si>
  <si>
    <t>#</t>
  </si>
  <si>
    <t>Temperature HOBO</t>
  </si>
  <si>
    <t>HOBO U20 Water Level Data</t>
  </si>
  <si>
    <t>Software HOBO</t>
  </si>
  <si>
    <t>Software water level</t>
  </si>
  <si>
    <t>ceiling</t>
  </si>
  <si>
    <t>Piezometer pvc material</t>
  </si>
  <si>
    <t>year increase</t>
  </si>
  <si>
    <t>Conference</t>
  </si>
  <si>
    <t># travelers</t>
  </si>
  <si>
    <t>OUTREACH</t>
  </si>
  <si>
    <t>Year 1</t>
  </si>
  <si>
    <t>Year 2</t>
  </si>
  <si>
    <t>Year 3</t>
  </si>
  <si>
    <t>Cost per period per passenger</t>
  </si>
  <si>
    <t>Cost all passengers</t>
  </si>
  <si>
    <t>For 3 year</t>
  </si>
  <si>
    <t>Moss</t>
  </si>
  <si>
    <t>number of days</t>
  </si>
  <si>
    <t>High School</t>
  </si>
  <si>
    <t>building material</t>
  </si>
  <si>
    <t>number of night</t>
  </si>
  <si>
    <t>pump</t>
  </si>
  <si>
    <t>arifare</t>
  </si>
  <si>
    <t>sensors</t>
  </si>
  <si>
    <t>lodging</t>
  </si>
  <si>
    <t>per diem</t>
  </si>
  <si>
    <t>Total outreach</t>
  </si>
  <si>
    <t>meeting fee</t>
  </si>
  <si>
    <t xml:space="preserve">Field </t>
  </si>
  <si>
    <t>years</t>
  </si>
  <si>
    <t>Cost per period all</t>
  </si>
  <si>
    <t>PreSens DO sensors</t>
  </si>
  <si>
    <t>Gasoline</t>
  </si>
  <si>
    <t>Here is a sensor, these are around $300 each depending on options. http://www.campbellsci.com/cs547a-l</t>
  </si>
  <si>
    <t>Car rental</t>
  </si>
  <si>
    <t>Here is multiplexer, this is $525, supports 32 channels. http://www.campbellsci.com/am16-32b</t>
  </si>
  <si>
    <t>3 people</t>
  </si>
  <si>
    <t>Here is the interface for sensors (conditions the signal between the multiplexer and data logger). This costs $125. http://www.campbellsci.com/a547</t>
  </si>
  <si>
    <t>Here is the data logger.  Cost is $1030. http://www.campbellsci.com/cr800-specifications</t>
  </si>
  <si>
    <t>So, total for 30 sensors, 1 multiplexer, 1 interface, 1 datalogger ...  about $11,000.</t>
  </si>
  <si>
    <t>I would guess a 2,000 for building the box and a small pump and another $500 for the sediment</t>
  </si>
  <si>
    <t>Outreach driving</t>
  </si>
  <si>
    <t>Fringe benefit</t>
  </si>
  <si>
    <t>Staff</t>
  </si>
  <si>
    <t>Salary per students</t>
  </si>
  <si>
    <t>Finge benefits @ 38%</t>
  </si>
  <si>
    <t>Salary+Benefits per student</t>
  </si>
  <si>
    <t xml:space="preserve">Total Salary </t>
  </si>
  <si>
    <t>Total benefits</t>
  </si>
  <si>
    <t>Salary+Benefits</t>
  </si>
  <si>
    <t>Total over the period</t>
  </si>
  <si>
    <t xml:space="preserve">Material </t>
  </si>
  <si>
    <t>cost per unit</t>
  </si>
  <si>
    <t># units per stream</t>
  </si>
  <si>
    <t># of streams</t>
  </si>
  <si>
    <t xml:space="preserve">temperature probes </t>
  </si>
  <si>
    <t>PC for numerical simulation</t>
  </si>
  <si>
    <t>PC for laboratory data collection</t>
  </si>
  <si>
    <t>pressure probes</t>
  </si>
  <si>
    <t>material for piezomenters</t>
  </si>
  <si>
    <t>discharge stage material</t>
  </si>
  <si>
    <t>Software</t>
  </si>
  <si>
    <t>matlab</t>
  </si>
  <si>
    <t>Corel Suite</t>
  </si>
  <si>
    <t>Mathematica</t>
  </si>
  <si>
    <t>Fortran</t>
  </si>
  <si>
    <t>upgrade per year</t>
  </si>
  <si>
    <t>total</t>
  </si>
  <si>
    <t>Total Material</t>
  </si>
  <si>
    <t>Fringe %</t>
  </si>
  <si>
    <t>Cumulative</t>
  </si>
  <si>
    <t xml:space="preserve">          Sub-total</t>
  </si>
  <si>
    <t>D.  Research Assistant AY</t>
  </si>
  <si>
    <t>E.  Research Assistant Summer</t>
  </si>
  <si>
    <t>F.  Expenses</t>
  </si>
  <si>
    <t xml:space="preserve">     1.  Supplies (including additional sediment bags)</t>
  </si>
  <si>
    <t xml:space="preserve">     2.  Sediment dumpster rental and hauling fee (20 yards  per year)</t>
  </si>
  <si>
    <t xml:space="preserve">     3.  Sediment, sediment processing and delivery</t>
  </si>
  <si>
    <t xml:space="preserve">     4.  Materials to construct false walls in flume</t>
  </si>
  <si>
    <t xml:space="preserve">     8.  Active carbon filters</t>
  </si>
  <si>
    <t xml:space="preserve">     9.  Materials to construct filter bin and filter substrate</t>
  </si>
  <si>
    <t xml:space="preserve">    10.  Chemicals and metering equipment</t>
  </si>
  <si>
    <t xml:space="preserve">    11.  Travel </t>
  </si>
  <si>
    <t>H.  Contingency</t>
  </si>
  <si>
    <t>I.  Total Salary, Fringe Benefits, and Expenses</t>
  </si>
  <si>
    <t>J.  Indirect Costs (xyz rate)</t>
  </si>
  <si>
    <t>K.  Tuition, Fees, and/or Student Health Insurance</t>
  </si>
  <si>
    <t>L.  Equipment</t>
  </si>
  <si>
    <t xml:space="preserve">     1.  Sensors monometer</t>
  </si>
  <si>
    <t xml:space="preserve">     2.  xyz</t>
  </si>
  <si>
    <t xml:space="preserve">I.  Participant Costs </t>
  </si>
  <si>
    <t xml:space="preserve">     1.  Stipends</t>
  </si>
  <si>
    <t xml:space="preserve">     2.  Travel</t>
  </si>
  <si>
    <t xml:space="preserve">     3.  Subsistence</t>
  </si>
  <si>
    <r>
      <t xml:space="preserve">    </t>
    </r>
    <r>
      <rPr>
        <b/>
        <sz val="10"/>
        <rFont val="Arial"/>
        <family val="2"/>
      </rPr>
      <t xml:space="preserve"> Total Costs</t>
    </r>
  </si>
  <si>
    <t xml:space="preserve">     5.  EC Sensors</t>
  </si>
  <si>
    <t>Lab Manager</t>
  </si>
  <si>
    <t>computes</t>
  </si>
  <si>
    <t>TBD</t>
  </si>
  <si>
    <t>Undergraduate</t>
  </si>
  <si>
    <t># Students</t>
  </si>
  <si>
    <t>Outreach</t>
  </si>
  <si>
    <t>Conf</t>
  </si>
  <si>
    <t>Field</t>
  </si>
  <si>
    <t>undergraduate</t>
  </si>
  <si>
    <t>fringe benefits AC @0.36</t>
  </si>
  <si>
    <t>computers</t>
  </si>
  <si>
    <t>data management</t>
  </si>
  <si>
    <t>Indirect Costs</t>
  </si>
  <si>
    <t>Material no publication</t>
  </si>
  <si>
    <t>Material plus Tuition</t>
  </si>
  <si>
    <t>All direct costs</t>
  </si>
  <si>
    <t>12. external hard drive 3T (2 @150 each)</t>
  </si>
  <si>
    <t>Post doc</t>
  </si>
  <si>
    <t>Postdoc</t>
  </si>
  <si>
    <t>PostDOC</t>
  </si>
  <si>
    <t>Salary $/hr Post doc</t>
  </si>
  <si>
    <t>graduante</t>
  </si>
  <si>
    <t xml:space="preserve">     6.  DOT Spot for DO</t>
  </si>
  <si>
    <t>G.  Stream Lab user fee (20 weeks per year at  $500 per week)</t>
  </si>
  <si>
    <t>Travel to Chile to meet Angel</t>
  </si>
  <si>
    <t>Elowyn Yager</t>
  </si>
  <si>
    <t>Elowyn</t>
  </si>
  <si>
    <t xml:space="preserve">     8.  Micro tubing and vial measurements </t>
  </si>
  <si>
    <t xml:space="preserve">     9.  N2O sensor </t>
  </si>
  <si>
    <t>Field experiments</t>
  </si>
  <si>
    <t>field experiment</t>
  </si>
  <si>
    <t>Technoplot</t>
  </si>
  <si>
    <t>Project Period: August 1, 2021 through July 31, 2024</t>
  </si>
  <si>
    <t>MRE</t>
  </si>
  <si>
    <t>Computer Software (renew software)</t>
  </si>
  <si>
    <t>surfer</t>
  </si>
  <si>
    <t>JG review, 9-25-2020</t>
  </si>
  <si>
    <t>Y1</t>
  </si>
  <si>
    <t>Y2</t>
  </si>
  <si>
    <t>Y3</t>
  </si>
  <si>
    <t>PI sal</t>
  </si>
  <si>
    <t>LM sal</t>
  </si>
  <si>
    <t>current hourly $67.86; 3% COLA</t>
  </si>
  <si>
    <t>PD sal</t>
  </si>
  <si>
    <t>UGRAs (2)</t>
  </si>
  <si>
    <r>
      <t xml:space="preserve">UGRA fr @ </t>
    </r>
    <r>
      <rPr>
        <sz val="11"/>
        <color rgb="FFFF0000"/>
        <rFont val="Calibri"/>
        <family val="2"/>
        <scheme val="minor"/>
      </rPr>
      <t>2.1%</t>
    </r>
  </si>
  <si>
    <r>
      <t xml:space="preserve">PI fr @ </t>
    </r>
    <r>
      <rPr>
        <sz val="11"/>
        <color rgb="FFFF0000"/>
        <rFont val="Calibri"/>
        <family val="2"/>
        <scheme val="minor"/>
      </rPr>
      <t>30.7%</t>
    </r>
  </si>
  <si>
    <r>
      <t xml:space="preserve">LM fr @ </t>
    </r>
    <r>
      <rPr>
        <sz val="11"/>
        <color rgb="FFFF0000"/>
        <rFont val="Calibri"/>
        <family val="2"/>
        <scheme val="minor"/>
      </rPr>
      <t>41.8%</t>
    </r>
  </si>
  <si>
    <r>
      <t xml:space="preserve">PD fr @ </t>
    </r>
    <r>
      <rPr>
        <sz val="11"/>
        <color rgb="FFFF0000"/>
        <rFont val="Calibri"/>
        <family val="2"/>
        <scheme val="minor"/>
      </rPr>
      <t>41.8%</t>
    </r>
  </si>
  <si>
    <t>Comp total</t>
  </si>
  <si>
    <t>&lt;- delta is the fringe rates</t>
  </si>
  <si>
    <t>Dom</t>
  </si>
  <si>
    <t>Int</t>
  </si>
  <si>
    <t>Travel total</t>
  </si>
  <si>
    <t>OE</t>
  </si>
  <si>
    <t>Use fee - data</t>
  </si>
  <si>
    <t>Pubs</t>
  </si>
  <si>
    <t>Use fee - Flume</t>
  </si>
  <si>
    <t>&lt;$5K EQ - computer (2)</t>
  </si>
  <si>
    <t>field experiments</t>
  </si>
  <si>
    <t>OE total</t>
  </si>
  <si>
    <t>Total Direct Costs</t>
  </si>
  <si>
    <t>MTDC base</t>
  </si>
  <si>
    <t>&lt;- delta is Y1 F&amp;A rate</t>
  </si>
  <si>
    <r>
      <t xml:space="preserve">F&amp;A @  </t>
    </r>
    <r>
      <rPr>
        <sz val="11"/>
        <color rgb="FFFF0000"/>
        <rFont val="Calibri"/>
        <family val="2"/>
        <scheme val="minor"/>
      </rPr>
      <t>47.5%</t>
    </r>
  </si>
  <si>
    <t>&gt;$5K CO</t>
  </si>
  <si>
    <t>Indirect Costs 47.5</t>
  </si>
  <si>
    <t>With Elowyn</t>
  </si>
  <si>
    <t>with Elowyn</t>
  </si>
  <si>
    <t>UV-VIS spectrometer + TOC</t>
  </si>
  <si>
    <t xml:space="preserve">     7.  UV-vis DOC and Nox and NH4 system + TOC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</si>
</sst>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u/>
      <sz val="9.35"/>
      <color theme="10"/>
      <name val="Calibri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17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/>
    <xf numFmtId="0" fontId="1" fillId="0" borderId="1" xfId="2" applyBorder="1"/>
    <xf numFmtId="0" fontId="1" fillId="0" borderId="1" xfId="2" applyBorder="1" applyAlignment="1">
      <alignment horizontal="left"/>
    </xf>
    <xf numFmtId="0" fontId="2" fillId="0" borderId="2" xfId="2" applyFont="1" applyBorder="1"/>
    <xf numFmtId="164" fontId="1" fillId="0" borderId="0" xfId="2" applyNumberFormat="1" applyBorder="1"/>
    <xf numFmtId="0" fontId="1" fillId="0" borderId="0" xfId="2" applyBorder="1"/>
    <xf numFmtId="0" fontId="1" fillId="0" borderId="0" xfId="2" applyBorder="1" applyAlignment="1">
      <alignment horizontal="center"/>
    </xf>
    <xf numFmtId="0" fontId="2" fillId="0" borderId="0" xfId="2" applyFont="1" applyBorder="1"/>
    <xf numFmtId="0" fontId="2" fillId="0" borderId="3" xfId="2" applyFont="1" applyBorder="1"/>
    <xf numFmtId="0" fontId="2" fillId="0" borderId="4" xfId="2" applyFont="1" applyBorder="1"/>
    <xf numFmtId="0" fontId="1" fillId="0" borderId="5" xfId="2" applyBorder="1"/>
    <xf numFmtId="0" fontId="2" fillId="0" borderId="5" xfId="2" applyFont="1" applyBorder="1"/>
    <xf numFmtId="0" fontId="2" fillId="0" borderId="6" xfId="2" applyFont="1" applyBorder="1"/>
    <xf numFmtId="0" fontId="2" fillId="0" borderId="6" xfId="2" applyFont="1" applyBorder="1" applyAlignment="1">
      <alignment horizontal="left"/>
    </xf>
    <xf numFmtId="164" fontId="1" fillId="0" borderId="7" xfId="2" applyNumberFormat="1" applyBorder="1"/>
    <xf numFmtId="3" fontId="1" fillId="0" borderId="7" xfId="2" applyNumberFormat="1" applyBorder="1"/>
    <xf numFmtId="0" fontId="1" fillId="0" borderId="7" xfId="2" applyBorder="1"/>
    <xf numFmtId="164" fontId="1" fillId="0" borderId="7" xfId="2" applyNumberFormat="1" applyFont="1" applyBorder="1"/>
    <xf numFmtId="0" fontId="2" fillId="0" borderId="8" xfId="2" applyFont="1" applyBorder="1"/>
    <xf numFmtId="0" fontId="2" fillId="0" borderId="9" xfId="2" applyFont="1" applyBorder="1"/>
    <xf numFmtId="0" fontId="2" fillId="0" borderId="9" xfId="2" applyFont="1" applyBorder="1" applyAlignment="1">
      <alignment horizontal="center" wrapText="1"/>
    </xf>
    <xf numFmtId="164" fontId="1" fillId="0" borderId="10" xfId="2" applyNumberFormat="1" applyBorder="1"/>
    <xf numFmtId="164" fontId="1" fillId="0" borderId="2" xfId="2" applyNumberFormat="1" applyBorder="1"/>
    <xf numFmtId="0" fontId="1" fillId="0" borderId="5" xfId="2" applyFill="1" applyBorder="1"/>
    <xf numFmtId="0" fontId="1" fillId="0" borderId="5" xfId="2" applyFont="1" applyBorder="1"/>
    <xf numFmtId="164" fontId="5" fillId="0" borderId="0" xfId="0" applyNumberFormat="1" applyFont="1"/>
    <xf numFmtId="164" fontId="5" fillId="0" borderId="11" xfId="0" applyNumberFormat="1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164" fontId="2" fillId="0" borderId="0" xfId="2" applyNumberFormat="1" applyFont="1" applyBorder="1"/>
    <xf numFmtId="164" fontId="2" fillId="0" borderId="7" xfId="2" applyNumberFormat="1" applyFont="1" applyBorder="1"/>
    <xf numFmtId="0" fontId="7" fillId="0" borderId="0" xfId="0" applyFont="1"/>
    <xf numFmtId="0" fontId="0" fillId="0" borderId="0" xfId="0" applyFill="1" applyBorder="1"/>
    <xf numFmtId="0" fontId="0" fillId="0" borderId="0" xfId="0" applyAlignment="1">
      <alignment wrapText="1"/>
    </xf>
    <xf numFmtId="6" fontId="0" fillId="0" borderId="0" xfId="0" applyNumberFormat="1"/>
    <xf numFmtId="6" fontId="7" fillId="0" borderId="0" xfId="0" applyNumberFormat="1" applyFont="1"/>
    <xf numFmtId="6" fontId="1" fillId="0" borderId="2" xfId="2" applyNumberFormat="1" applyBorder="1"/>
    <xf numFmtId="0" fontId="1" fillId="0" borderId="2" xfId="2" applyBorder="1"/>
    <xf numFmtId="6" fontId="5" fillId="0" borderId="0" xfId="0" applyNumberFormat="1" applyFont="1" applyBorder="1" applyAlignment="1">
      <alignment horizontal="right"/>
    </xf>
    <xf numFmtId="6" fontId="1" fillId="0" borderId="7" xfId="2" applyNumberFormat="1" applyBorder="1"/>
    <xf numFmtId="164" fontId="5" fillId="0" borderId="7" xfId="0" applyNumberFormat="1" applyFont="1" applyBorder="1"/>
    <xf numFmtId="164" fontId="2" fillId="0" borderId="10" xfId="2" applyNumberFormat="1" applyFont="1" applyBorder="1"/>
    <xf numFmtId="0" fontId="2" fillId="0" borderId="11" xfId="2" applyFont="1" applyBorder="1" applyAlignment="1">
      <alignment horizontal="center" wrapText="1"/>
    </xf>
    <xf numFmtId="6" fontId="5" fillId="0" borderId="3" xfId="0" applyNumberFormat="1" applyFont="1" applyBorder="1" applyAlignment="1">
      <alignment horizontal="right"/>
    </xf>
    <xf numFmtId="0" fontId="0" fillId="0" borderId="0" xfId="0" applyNumberFormat="1" applyAlignment="1">
      <alignment wrapText="1"/>
    </xf>
    <xf numFmtId="3" fontId="7" fillId="0" borderId="0" xfId="0" applyNumberFormat="1" applyFont="1"/>
    <xf numFmtId="0" fontId="8" fillId="0" borderId="0" xfId="0" applyFont="1"/>
    <xf numFmtId="164" fontId="0" fillId="0" borderId="0" xfId="0" applyNumberFormat="1"/>
    <xf numFmtId="164" fontId="0" fillId="0" borderId="7" xfId="0" applyNumberFormat="1" applyBorder="1"/>
    <xf numFmtId="8" fontId="9" fillId="0" borderId="0" xfId="0" applyNumberFormat="1" applyFont="1"/>
    <xf numFmtId="8" fontId="0" fillId="0" borderId="0" xfId="0" applyNumberForma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wrapText="1"/>
    </xf>
    <xf numFmtId="0" fontId="12" fillId="0" borderId="0" xfId="1" applyFont="1" applyAlignment="1" applyProtection="1"/>
    <xf numFmtId="3" fontId="0" fillId="0" borderId="0" xfId="0" applyNumberFormat="1"/>
    <xf numFmtId="6" fontId="4" fillId="0" borderId="0" xfId="0" applyNumberFormat="1" applyFont="1"/>
    <xf numFmtId="0" fontId="1" fillId="0" borderId="0" xfId="2" applyFont="1"/>
    <xf numFmtId="0" fontId="1" fillId="0" borderId="0" xfId="2"/>
    <xf numFmtId="0" fontId="1" fillId="0" borderId="0" xfId="2" applyFont="1" applyBorder="1"/>
    <xf numFmtId="0" fontId="1" fillId="0" borderId="0" xfId="2" applyFont="1" applyFill="1" applyBorder="1"/>
    <xf numFmtId="0" fontId="1" fillId="0" borderId="0" xfId="2" applyAlignment="1">
      <alignment horizontal="right"/>
    </xf>
    <xf numFmtId="3" fontId="1" fillId="0" borderId="0" xfId="2" applyNumberFormat="1"/>
    <xf numFmtId="1" fontId="1" fillId="0" borderId="0" xfId="2" applyNumberFormat="1"/>
    <xf numFmtId="1" fontId="13" fillId="0" borderId="0" xfId="2" applyNumberFormat="1" applyFont="1"/>
    <xf numFmtId="4" fontId="1" fillId="0" borderId="0" xfId="2" applyNumberFormat="1"/>
    <xf numFmtId="164" fontId="5" fillId="0" borderId="4" xfId="0" applyNumberFormat="1" applyFont="1" applyBorder="1"/>
    <xf numFmtId="164" fontId="5" fillId="0" borderId="2" xfId="0" applyNumberFormat="1" applyFont="1" applyBorder="1"/>
    <xf numFmtId="0" fontId="2" fillId="0" borderId="3" xfId="2" applyFont="1" applyBorder="1" applyAlignment="1">
      <alignment horizontal="center" wrapText="1"/>
    </xf>
    <xf numFmtId="6" fontId="5" fillId="0" borderId="2" xfId="0" applyNumberFormat="1" applyFont="1" applyBorder="1" applyAlignment="1">
      <alignment horizontal="right"/>
    </xf>
    <xf numFmtId="0" fontId="3" fillId="0" borderId="0" xfId="1" applyAlignment="1" applyProtection="1">
      <alignment wrapText="1"/>
    </xf>
    <xf numFmtId="6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  <xf numFmtId="164" fontId="15" fillId="0" borderId="0" xfId="0" applyNumberFormat="1" applyFont="1"/>
    <xf numFmtId="0" fontId="15" fillId="0" borderId="0" xfId="0" applyFont="1"/>
    <xf numFmtId="164" fontId="16" fillId="0" borderId="0" xfId="0" applyNumberFormat="1" applyFont="1"/>
    <xf numFmtId="0" fontId="16" fillId="0" borderId="0" xfId="0" applyFont="1"/>
    <xf numFmtId="164" fontId="14" fillId="0" borderId="0" xfId="0" applyNumberFormat="1" applyFont="1"/>
    <xf numFmtId="0" fontId="14" fillId="0" borderId="0" xfId="0" applyFont="1"/>
    <xf numFmtId="10" fontId="0" fillId="0" borderId="0" xfId="0" applyNumberFormat="1"/>
    <xf numFmtId="0" fontId="0" fillId="2" borderId="0" xfId="0" applyFill="1"/>
    <xf numFmtId="3" fontId="2" fillId="0" borderId="0" xfId="2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65" fontId="4" fillId="0" borderId="0" xfId="3" applyNumberFormat="1" applyFont="1"/>
    <xf numFmtId="165" fontId="4" fillId="3" borderId="0" xfId="3" applyNumberFormat="1" applyFont="1" applyFill="1" applyAlignment="1">
      <alignment horizontal="center"/>
    </xf>
    <xf numFmtId="165" fontId="0" fillId="3" borderId="0" xfId="3" applyNumberFormat="1" applyFont="1" applyFill="1"/>
    <xf numFmtId="165" fontId="0" fillId="0" borderId="0" xfId="3" applyNumberFormat="1" applyFont="1"/>
    <xf numFmtId="0" fontId="0" fillId="0" borderId="0" xfId="0" applyFont="1" applyAlignment="1">
      <alignment horizontal="right"/>
    </xf>
    <xf numFmtId="165" fontId="4" fillId="3" borderId="0" xfId="3" applyNumberFormat="1" applyFont="1" applyFill="1"/>
    <xf numFmtId="165" fontId="0" fillId="3" borderId="0" xfId="3" applyNumberFormat="1" applyFont="1" applyFill="1" applyAlignment="1">
      <alignment horizontal="center"/>
    </xf>
    <xf numFmtId="166" fontId="0" fillId="0" borderId="0" xfId="0" applyNumberFormat="1"/>
    <xf numFmtId="165" fontId="0" fillId="0" borderId="0" xfId="0" applyNumberFormat="1"/>
    <xf numFmtId="165" fontId="14" fillId="0" borderId="0" xfId="0" applyNumberFormat="1" applyFont="1"/>
    <xf numFmtId="43" fontId="0" fillId="0" borderId="0" xfId="0" applyNumberFormat="1"/>
    <xf numFmtId="43" fontId="4" fillId="0" borderId="0" xfId="0" applyNumberFormat="1" applyFont="1"/>
    <xf numFmtId="165" fontId="4" fillId="3" borderId="0" xfId="3" applyNumberFormat="1" applyFont="1" applyFill="1" applyAlignment="1">
      <alignment horizontal="center"/>
    </xf>
  </cellXfs>
  <cellStyles count="4">
    <cellStyle name="Comma" xfId="3" builtinId="3"/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666750</xdr:colOff>
          <xdr:row>37</xdr:row>
          <xdr:rowOff>114300</xdr:rowOff>
        </xdr:from>
        <xdr:to>
          <xdr:col>5</xdr:col>
          <xdr:colOff>247650</xdr:colOff>
          <xdr:row>39</xdr:row>
          <xdr:rowOff>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666750</xdr:colOff>
          <xdr:row>38</xdr:row>
          <xdr:rowOff>114300</xdr:rowOff>
        </xdr:from>
        <xdr:to>
          <xdr:col>5</xdr:col>
          <xdr:colOff>247650</xdr:colOff>
          <xdr:row>40</xdr:row>
          <xdr:rowOff>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666750</xdr:colOff>
          <xdr:row>39</xdr:row>
          <xdr:rowOff>114300</xdr:rowOff>
        </xdr:from>
        <xdr:to>
          <xdr:col>5</xdr:col>
          <xdr:colOff>247650</xdr:colOff>
          <xdr:row>41</xdr:row>
          <xdr:rowOff>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666750</xdr:colOff>
          <xdr:row>40</xdr:row>
          <xdr:rowOff>114300</xdr:rowOff>
        </xdr:from>
        <xdr:to>
          <xdr:col>5</xdr:col>
          <xdr:colOff>247650</xdr:colOff>
          <xdr:row>42</xdr:row>
          <xdr:rowOff>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mpbellsci.com/a547" TargetMode="External"/><Relationship Id="rId2" Type="http://schemas.openxmlformats.org/officeDocument/2006/relationships/hyperlink" Target="http://www.campbellsci.com/am16-32b" TargetMode="External"/><Relationship Id="rId1" Type="http://schemas.openxmlformats.org/officeDocument/2006/relationships/hyperlink" Target="http://www.campbellsci.com/cs547a-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campbellsci.com/cr800-specification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mpbellsci.com/a547" TargetMode="External"/><Relationship Id="rId2" Type="http://schemas.openxmlformats.org/officeDocument/2006/relationships/hyperlink" Target="http://www.campbellsci.com/am16-32b" TargetMode="External"/><Relationship Id="rId1" Type="http://schemas.openxmlformats.org/officeDocument/2006/relationships/hyperlink" Target="http://www.campbellsci.com/cs547a-l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www.campbellsci.com/cr800-specification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mpbellsci.com/a547" TargetMode="External"/><Relationship Id="rId2" Type="http://schemas.openxmlformats.org/officeDocument/2006/relationships/hyperlink" Target="http://www.campbellsci.com/am16-32b" TargetMode="External"/><Relationship Id="rId1" Type="http://schemas.openxmlformats.org/officeDocument/2006/relationships/hyperlink" Target="http://www.campbellsci.com/cs547a-l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://www.campbellsci.com/cr800-specification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mpbellsci.com/a547" TargetMode="External"/><Relationship Id="rId2" Type="http://schemas.openxmlformats.org/officeDocument/2006/relationships/hyperlink" Target="http://www.campbellsci.com/am16-32b" TargetMode="External"/><Relationship Id="rId1" Type="http://schemas.openxmlformats.org/officeDocument/2006/relationships/hyperlink" Target="http://www.campbellsci.com/cs547a-l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campbellsci.com/cr800-specification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5"/>
  <sheetViews>
    <sheetView tabSelected="1" topLeftCell="A7" zoomScaleNormal="100" workbookViewId="0">
      <selection activeCell="C32" sqref="C32"/>
    </sheetView>
  </sheetViews>
  <sheetFormatPr defaultColWidth="9.140625" defaultRowHeight="15" x14ac:dyDescent="0.25"/>
  <cols>
    <col min="1" max="1" width="15.140625" style="1" customWidth="1"/>
    <col min="2" max="2" width="19.140625" style="1" customWidth="1"/>
    <col min="3" max="3" width="10.85546875" style="1" customWidth="1"/>
    <col min="4" max="4" width="21.85546875" style="1" customWidth="1"/>
    <col min="5" max="5" width="10.140625" style="1" bestFit="1" customWidth="1"/>
    <col min="6" max="6" width="9.140625" style="1"/>
    <col min="7" max="7" width="9.140625" style="1" customWidth="1"/>
    <col min="8" max="8" width="12.140625" style="1" customWidth="1"/>
    <col min="9" max="10" width="9.140625" style="1"/>
    <col min="11" max="11" width="15.5703125" style="86" customWidth="1"/>
    <col min="12" max="12" width="11.85546875" style="91" customWidth="1"/>
    <col min="13" max="13" width="9.140625" style="91" bestFit="1" customWidth="1"/>
    <col min="14" max="15" width="10.140625" style="91" bestFit="1" customWidth="1"/>
    <col min="16" max="17" width="9.140625" style="1"/>
    <col min="18" max="18" width="10.85546875" style="1" bestFit="1" customWidth="1"/>
    <col min="19" max="16384" width="9.140625" style="1"/>
  </cols>
  <sheetData>
    <row r="1" spans="1:20" s="31" customFormat="1" x14ac:dyDescent="0.25">
      <c r="A1" s="30" t="s">
        <v>191</v>
      </c>
      <c r="B1" s="9"/>
      <c r="C1" s="9"/>
      <c r="D1" s="9"/>
      <c r="E1" s="9"/>
      <c r="F1" s="10"/>
      <c r="K1" s="85"/>
      <c r="L1" s="88"/>
      <c r="M1" s="88"/>
      <c r="N1" s="88"/>
      <c r="O1" s="88"/>
    </row>
    <row r="2" spans="1:20" x14ac:dyDescent="0.25">
      <c r="A2" s="12" t="s">
        <v>190</v>
      </c>
      <c r="B2" s="8"/>
      <c r="C2" s="8"/>
      <c r="D2" s="8"/>
      <c r="E2" s="8"/>
      <c r="F2" s="4"/>
      <c r="L2" s="100" t="s">
        <v>194</v>
      </c>
      <c r="M2" s="100"/>
      <c r="N2" s="100"/>
      <c r="O2" s="100"/>
    </row>
    <row r="3" spans="1:20" ht="26.25" x14ac:dyDescent="0.25">
      <c r="A3" s="19" t="s">
        <v>0</v>
      </c>
      <c r="B3" s="20" t="s">
        <v>1</v>
      </c>
      <c r="C3" s="21" t="s">
        <v>2</v>
      </c>
      <c r="D3" s="21" t="s">
        <v>3</v>
      </c>
      <c r="E3" s="21" t="s">
        <v>4</v>
      </c>
      <c r="F3" s="45" t="s">
        <v>5</v>
      </c>
      <c r="J3" s="35"/>
      <c r="L3" s="89" t="s">
        <v>195</v>
      </c>
      <c r="M3" s="89" t="s">
        <v>196</v>
      </c>
      <c r="N3" s="89" t="s">
        <v>197</v>
      </c>
      <c r="O3" s="89" t="s">
        <v>25</v>
      </c>
    </row>
    <row r="4" spans="1:20" x14ac:dyDescent="0.25">
      <c r="A4" s="24" t="s">
        <v>14</v>
      </c>
      <c r="B4" s="28" t="s">
        <v>6</v>
      </c>
      <c r="C4" s="29" t="s">
        <v>30</v>
      </c>
      <c r="D4" s="26">
        <f>SUM('1year'!D4,'2year'!D4,'3year'!D4,'4year'!D4,'5year'!D4)</f>
        <v>8389.9389599999995</v>
      </c>
      <c r="E4" s="26">
        <f>SUM('1year'!E4,'2year'!E4,'3year'!E4,'4year'!E4,'5year'!E4)</f>
        <v>2575.7112607199997</v>
      </c>
      <c r="F4" s="43">
        <f>SUM('1year'!F4,'2year'!F4,'3year'!F4,'4year'!F4,'5year'!F4)</f>
        <v>10965.650220719999</v>
      </c>
      <c r="K4" s="86" t="s">
        <v>198</v>
      </c>
      <c r="L4" s="90">
        <f>67.86*40</f>
        <v>2714.4</v>
      </c>
      <c r="M4" s="90">
        <f>L4*1.03</f>
        <v>2795.8320000000003</v>
      </c>
      <c r="N4" s="90">
        <f>M4*1.03</f>
        <v>2879.7069600000004</v>
      </c>
      <c r="O4" s="90">
        <f>SUM(L4:N4)</f>
        <v>8389.9389599999995</v>
      </c>
      <c r="P4" s="1" t="s">
        <v>200</v>
      </c>
    </row>
    <row r="5" spans="1:20" ht="15.75" x14ac:dyDescent="0.25">
      <c r="A5" s="49" t="s">
        <v>48</v>
      </c>
      <c r="B5" s="28" t="s">
        <v>46</v>
      </c>
      <c r="C5" s="29"/>
      <c r="D5" s="26">
        <f>SUM('1year'!D5,'2year'!D5,'3year'!D5,'4year'!D5,'5year'!D5)</f>
        <v>11344</v>
      </c>
      <c r="E5" s="26">
        <f>SUM('1year'!E5,'2year'!E5,'3year'!E5,'4year'!E5,'5year'!E5)</f>
        <v>4743</v>
      </c>
      <c r="F5" s="43">
        <f>SUM('1year'!F5,'2year'!F5,'3year'!F5,'4year'!F5,'5year'!F5)</f>
        <v>16087</v>
      </c>
      <c r="K5" s="86" t="s">
        <v>199</v>
      </c>
      <c r="L5" s="90">
        <f>40*160</f>
        <v>6400</v>
      </c>
      <c r="M5" s="90">
        <f>L5/4*3*1.03</f>
        <v>4944</v>
      </c>
      <c r="N5" s="90">
        <v>0</v>
      </c>
      <c r="O5" s="90">
        <f>SUM(L5:N5)</f>
        <v>11344</v>
      </c>
    </row>
    <row r="6" spans="1:20" x14ac:dyDescent="0.25">
      <c r="A6" s="11" t="s">
        <v>15</v>
      </c>
      <c r="B6" s="6" t="s">
        <v>7</v>
      </c>
      <c r="C6" s="7"/>
      <c r="D6" s="26">
        <f>SUM('1year'!D6,'2year'!D6,'3year'!D6,'4year'!D6,'5year'!D6)</f>
        <v>167155.872</v>
      </c>
      <c r="E6" s="26">
        <f>SUM('1year'!E6,'2year'!E6,'3year'!E6,'4year'!E6,'5year'!E6)</f>
        <v>69871.154496000003</v>
      </c>
      <c r="F6" s="43">
        <f>SUM('1year'!F6,'2year'!F6,'3year'!F6,'4year'!F6,'5year'!F6)</f>
        <v>237027.02649600001</v>
      </c>
      <c r="K6" s="86" t="s">
        <v>201</v>
      </c>
      <c r="L6" s="90">
        <f>26*2080</f>
        <v>54080</v>
      </c>
      <c r="M6" s="90">
        <f>L6*1.03</f>
        <v>55702.400000000001</v>
      </c>
      <c r="N6" s="90">
        <f>M6*1.03</f>
        <v>57373.472000000002</v>
      </c>
      <c r="O6" s="90">
        <f>SUM(L6:N6)</f>
        <v>167155.872</v>
      </c>
    </row>
    <row r="7" spans="1:20" x14ac:dyDescent="0.25">
      <c r="A7" s="11" t="s">
        <v>15</v>
      </c>
      <c r="B7" s="6" t="s">
        <v>7</v>
      </c>
      <c r="C7" s="7" t="s">
        <v>9</v>
      </c>
      <c r="D7" s="26">
        <f>SUM('1year'!D7,'2year'!D7,'3year'!D7,'4year'!D7,'5year'!D7)</f>
        <v>0</v>
      </c>
      <c r="E7" s="26">
        <f>SUM('1year'!E7,'2year'!E7,'3year'!E7,'4year'!E7,'5year'!E7)</f>
        <v>0</v>
      </c>
      <c r="F7" s="43">
        <f>SUM('1year'!F7,'2year'!F7,'3year'!F7,'4year'!F7,'5year'!F7)</f>
        <v>0</v>
      </c>
      <c r="J7" s="50">
        <f>F7+F6+F33</f>
        <v>237027.02649600001</v>
      </c>
      <c r="K7" s="86" t="s">
        <v>202</v>
      </c>
      <c r="L7" s="90">
        <f>2*11*40*12</f>
        <v>10560</v>
      </c>
      <c r="M7" s="90">
        <f>L7*1.03</f>
        <v>10876.800000000001</v>
      </c>
      <c r="N7" s="90">
        <v>0</v>
      </c>
      <c r="O7" s="90">
        <f>SUM(L7:N7)</f>
        <v>21436.800000000003</v>
      </c>
    </row>
    <row r="8" spans="1:20" x14ac:dyDescent="0.25">
      <c r="A8" s="11" t="s">
        <v>15</v>
      </c>
      <c r="B8" s="6" t="s">
        <v>18</v>
      </c>
      <c r="C8" s="7"/>
      <c r="D8" s="26">
        <f>SUM('1year'!D8,'2year'!D8,'3year'!D8,'4year'!D8,'5year'!D8)</f>
        <v>10719</v>
      </c>
      <c r="E8" s="26">
        <f>SUM('1year'!E8,'2year'!E8,'3year'!E8,'4year'!E8,'5year'!E8)</f>
        <v>226</v>
      </c>
      <c r="F8" s="43">
        <f>SUM('1year'!F8,'2year'!F8,'3year'!F8,'4year'!F8,'5year'!F8)</f>
        <v>10945</v>
      </c>
      <c r="J8" s="1">
        <f>J7/3</f>
        <v>79009.008832000007</v>
      </c>
      <c r="L8" s="90"/>
      <c r="M8" s="90"/>
      <c r="N8" s="90"/>
      <c r="O8" s="90"/>
      <c r="P8" s="96">
        <f>SUM(O4:O7)</f>
        <v>208326.61096000002</v>
      </c>
      <c r="Q8" s="96">
        <f>+P8+D10</f>
        <v>217143.09412000002</v>
      </c>
    </row>
    <row r="9" spans="1:20" x14ac:dyDescent="0.25">
      <c r="A9" s="11" t="str">
        <f>'1year'!A9</f>
        <v>TBN</v>
      </c>
      <c r="B9" s="11" t="str">
        <f>'1year'!B9</f>
        <v>undergraduate</v>
      </c>
      <c r="C9" s="11"/>
      <c r="D9" s="11">
        <f>SUM('1year'!D9,'2year'!D9,'3year'!D9,'4year'!D9,'5year'!D9)</f>
        <v>10719</v>
      </c>
      <c r="E9" s="11">
        <f>SUM('1year'!E9,'2year'!E9,'3year'!E9,'4year'!E9,'5year'!E9)</f>
        <v>226</v>
      </c>
      <c r="F9" s="43">
        <f>SUM('1year'!F9,'2year'!F9,'3year'!F9,'4year'!F9,'5year'!F9)</f>
        <v>10945</v>
      </c>
      <c r="G9" s="50">
        <f>D9+D8</f>
        <v>21438</v>
      </c>
      <c r="H9" s="50">
        <f>E9+E8</f>
        <v>452</v>
      </c>
      <c r="K9" s="92" t="s">
        <v>204</v>
      </c>
      <c r="L9" s="90">
        <f>L4*0.307</f>
        <v>833.32079999999996</v>
      </c>
      <c r="M9" s="90">
        <f>M4*0.307</f>
        <v>858.32042400000012</v>
      </c>
      <c r="N9" s="90">
        <f>N4*0.307</f>
        <v>884.07003672000008</v>
      </c>
      <c r="O9" s="90">
        <f t="shared" ref="O9:O10" si="0">SUM(L9:N9)</f>
        <v>2575.7112607200002</v>
      </c>
      <c r="P9" s="96">
        <f>O9+O4</f>
        <v>10965.650220719999</v>
      </c>
    </row>
    <row r="10" spans="1:20" x14ac:dyDescent="0.25">
      <c r="A10" s="11" t="str">
        <f>'1year'!A10</f>
        <v>Elowyn Yager</v>
      </c>
      <c r="B10" s="11">
        <f>'1year'!B10</f>
        <v>0</v>
      </c>
      <c r="C10" s="11"/>
      <c r="D10" s="11">
        <f>'1year'!D10+'2year'!D10+'3year'!D10</f>
        <v>8816.4831599999998</v>
      </c>
      <c r="E10" s="11">
        <f>'1year'!E10+'2year'!E10+'3year'!E10</f>
        <v>2706.6603301200003</v>
      </c>
      <c r="F10" s="43">
        <f>SUM('1year'!F10,'2year'!F10,'3year'!F10,'4year'!F10,'5year'!F10)</f>
        <v>11523.143490120001</v>
      </c>
      <c r="H10" s="95"/>
      <c r="K10" s="92" t="s">
        <v>205</v>
      </c>
      <c r="L10" s="90">
        <f t="shared" ref="L10:N11" si="1">L5*0.418</f>
        <v>2675.2</v>
      </c>
      <c r="M10" s="90">
        <f t="shared" si="1"/>
        <v>2066.5920000000001</v>
      </c>
      <c r="N10" s="90">
        <f t="shared" si="1"/>
        <v>0</v>
      </c>
      <c r="O10" s="90">
        <f t="shared" si="0"/>
        <v>4741.7919999999995</v>
      </c>
      <c r="P10" s="96">
        <f t="shared" ref="P10:P11" si="2">O10+O5</f>
        <v>16085.791999999999</v>
      </c>
    </row>
    <row r="11" spans="1:20" x14ac:dyDescent="0.25">
      <c r="A11" s="12" t="s">
        <v>8</v>
      </c>
      <c r="B11" s="8"/>
      <c r="C11" s="8"/>
      <c r="D11" s="32">
        <f>SUM(D4:D10)</f>
        <v>217144.29412000001</v>
      </c>
      <c r="E11" s="32">
        <f>SUM(E4:E10)</f>
        <v>80348.526086839993</v>
      </c>
      <c r="F11" s="43">
        <f>SUM('1year'!F11,'2year'!F11,'3year'!F11,'4year'!F11,'5year'!F11)</f>
        <v>297492.82020684</v>
      </c>
      <c r="K11" s="92" t="s">
        <v>206</v>
      </c>
      <c r="L11" s="90">
        <f t="shared" si="1"/>
        <v>22605.439999999999</v>
      </c>
      <c r="M11" s="90">
        <f t="shared" si="1"/>
        <v>23283.603200000001</v>
      </c>
      <c r="N11" s="90">
        <f t="shared" si="1"/>
        <v>23982.111295999999</v>
      </c>
      <c r="O11" s="90">
        <f t="shared" ref="O11" si="3">SUM(L11:N11)</f>
        <v>69871.154496000003</v>
      </c>
      <c r="P11" s="96">
        <f t="shared" si="2"/>
        <v>237027.02649600001</v>
      </c>
    </row>
    <row r="12" spans="1:20" x14ac:dyDescent="0.25">
      <c r="A12" s="11"/>
      <c r="B12" s="6"/>
      <c r="C12" s="6"/>
      <c r="D12" s="5"/>
      <c r="E12" s="5"/>
      <c r="F12" s="43"/>
      <c r="I12" s="34"/>
      <c r="K12" s="86" t="s">
        <v>203</v>
      </c>
      <c r="L12" s="90">
        <f>L7*0.021</f>
        <v>221.76000000000002</v>
      </c>
      <c r="M12" s="90">
        <f t="shared" ref="M12:N12" si="4">M7*0.021</f>
        <v>228.41280000000003</v>
      </c>
      <c r="N12" s="90">
        <f t="shared" si="4"/>
        <v>0</v>
      </c>
      <c r="O12" s="90">
        <f>SUM(L12:N12)</f>
        <v>450.17280000000005</v>
      </c>
      <c r="P12" s="96">
        <f>O12+O7</f>
        <v>21886.972800000003</v>
      </c>
      <c r="Q12" s="96">
        <f>SUM(L9:N12)</f>
        <v>77638.83055672</v>
      </c>
      <c r="R12" s="96">
        <f>Q12+E10</f>
        <v>80345.490886839994</v>
      </c>
    </row>
    <row r="13" spans="1:20" x14ac:dyDescent="0.25">
      <c r="A13" s="12" t="s">
        <v>10</v>
      </c>
      <c r="B13" s="6"/>
      <c r="C13" s="6"/>
      <c r="D13" s="6"/>
      <c r="E13" s="6"/>
      <c r="F13" s="43"/>
      <c r="H13" s="1" t="s">
        <v>69</v>
      </c>
      <c r="I13" s="1" t="s">
        <v>163</v>
      </c>
      <c r="J13" s="1" t="s">
        <v>25</v>
      </c>
      <c r="K13" s="85" t="s">
        <v>207</v>
      </c>
      <c r="L13" s="93">
        <f>SUM(L4:L12)</f>
        <v>100090.12079999999</v>
      </c>
      <c r="M13" s="93">
        <f>SUM(M4:M12)</f>
        <v>100755.96042400002</v>
      </c>
      <c r="N13" s="93">
        <f>SUM(N4:N12)</f>
        <v>85119.360292719997</v>
      </c>
      <c r="O13" s="93">
        <f>SUM(L13:N13)</f>
        <v>285965.44151671999</v>
      </c>
      <c r="P13" s="1" t="s">
        <v>208</v>
      </c>
      <c r="S13" s="96">
        <f>R12+Q8</f>
        <v>297488.58500684</v>
      </c>
      <c r="T13" s="1" t="s">
        <v>225</v>
      </c>
    </row>
    <row r="14" spans="1:20" x14ac:dyDescent="0.25">
      <c r="A14" s="11" t="s">
        <v>51</v>
      </c>
      <c r="B14" s="6"/>
      <c r="C14" s="6"/>
      <c r="D14" s="6"/>
      <c r="E14" s="26">
        <f>SUM('1year'!E14,'2year'!E14,'3year'!E14,'4year'!E14,'5year'!E14)</f>
        <v>10598.080000000002</v>
      </c>
      <c r="F14" s="43">
        <f>SUM('1year'!F14,'2year'!F14,'3year'!F14,'4year'!F14,'5year'!F14)</f>
        <v>10598.080000000002</v>
      </c>
      <c r="H14" s="50">
        <f>E14-'1year'!D80-'2year'!D80-'3year'!D80</f>
        <v>9936.0800000000017</v>
      </c>
      <c r="I14" s="1">
        <f>-(-'1year'!D80-'2year'!D80-'3year'!D80)</f>
        <v>662</v>
      </c>
      <c r="J14" s="50">
        <f>I14+H14</f>
        <v>10598.080000000002</v>
      </c>
      <c r="L14" s="90"/>
      <c r="M14" s="90"/>
      <c r="N14" s="90"/>
      <c r="O14" s="90"/>
    </row>
    <row r="15" spans="1:20" x14ac:dyDescent="0.25">
      <c r="A15" s="11" t="s">
        <v>52</v>
      </c>
      <c r="B15" s="6"/>
      <c r="C15" s="6"/>
      <c r="D15" s="6" t="s">
        <v>9</v>
      </c>
      <c r="E15" s="26">
        <f>SUM('1year'!E15,'2year'!E15,'3year'!E15,'4year'!E15,'5year'!E15)</f>
        <v>5000</v>
      </c>
      <c r="F15" s="43">
        <f>SUM('1year'!F15,'2year'!F15,'3year'!F15,'4year'!F15,'5year'!F15)</f>
        <v>5000</v>
      </c>
      <c r="G15" s="31" t="s">
        <v>182</v>
      </c>
      <c r="K15" s="85" t="s">
        <v>223</v>
      </c>
      <c r="L15" s="93">
        <v>16000</v>
      </c>
      <c r="M15" s="93">
        <v>0</v>
      </c>
      <c r="N15" s="93">
        <v>0</v>
      </c>
      <c r="O15" s="93">
        <f>SUM(L15:N15)</f>
        <v>16000</v>
      </c>
    </row>
    <row r="16" spans="1:20" x14ac:dyDescent="0.25">
      <c r="A16" s="11"/>
      <c r="B16" s="6"/>
      <c r="C16" s="6"/>
      <c r="D16" s="6"/>
      <c r="E16" s="40"/>
      <c r="F16" s="43"/>
      <c r="L16" s="90"/>
      <c r="M16" s="90"/>
      <c r="N16" s="90"/>
      <c r="O16" s="90"/>
    </row>
    <row r="17" spans="1:17" x14ac:dyDescent="0.25">
      <c r="A17" s="12" t="s">
        <v>21</v>
      </c>
      <c r="B17" s="6"/>
      <c r="C17" s="6"/>
      <c r="D17" s="6"/>
      <c r="E17" s="6"/>
      <c r="F17" s="43"/>
      <c r="K17" s="85" t="s">
        <v>10</v>
      </c>
      <c r="L17" s="93"/>
      <c r="M17" s="93"/>
      <c r="N17" s="93"/>
      <c r="O17" s="93"/>
    </row>
    <row r="18" spans="1:17" x14ac:dyDescent="0.25">
      <c r="A18" s="11" t="str">
        <f>'1year'!A18</f>
        <v>data management</v>
      </c>
      <c r="B18" s="6"/>
      <c r="C18" s="6"/>
      <c r="D18" s="6"/>
      <c r="E18" s="6"/>
      <c r="F18" s="43">
        <f>SUM('1year'!F18,'2year'!F18,'3year'!F18,'4year'!F18,'5year'!F18)</f>
        <v>1500</v>
      </c>
      <c r="K18" s="86" t="s">
        <v>209</v>
      </c>
      <c r="L18" s="90">
        <f>2568+200</f>
        <v>2768</v>
      </c>
      <c r="M18" s="90">
        <f>2825+220</f>
        <v>3045</v>
      </c>
      <c r="N18" s="94">
        <f>3107+1436+242</f>
        <v>4785</v>
      </c>
      <c r="O18" s="94">
        <f>SUM(L18:N18)</f>
        <v>10598</v>
      </c>
    </row>
    <row r="19" spans="1:17" x14ac:dyDescent="0.25">
      <c r="A19" s="11" t="str">
        <f>'1year'!A19</f>
        <v>Manuscript/Publications costs</v>
      </c>
      <c r="B19" s="6"/>
      <c r="C19" s="6"/>
      <c r="D19" s="6"/>
      <c r="E19" s="6"/>
      <c r="F19" s="43">
        <f>SUM('1year'!F19,'2year'!F19,'3year'!F19,'4year'!F19,'5year'!F19)</f>
        <v>1000</v>
      </c>
      <c r="K19" s="86" t="s">
        <v>210</v>
      </c>
      <c r="L19" s="90">
        <v>0</v>
      </c>
      <c r="M19" s="90">
        <v>5000</v>
      </c>
      <c r="N19" s="90">
        <v>0</v>
      </c>
      <c r="O19" s="90">
        <f>SUM(L19:N19)</f>
        <v>5000</v>
      </c>
    </row>
    <row r="20" spans="1:17" x14ac:dyDescent="0.25">
      <c r="A20" s="11" t="str">
        <f>'1year'!A20</f>
        <v>Computer Software (renew software and renew CFD license)</v>
      </c>
      <c r="B20" s="6"/>
      <c r="C20" s="6"/>
      <c r="D20" s="6"/>
      <c r="E20" s="6"/>
      <c r="F20" s="43">
        <f>SUM('1year'!F20,'2year'!F20,'3year'!F20,'4year'!F20,'5year'!F20)</f>
        <v>4150</v>
      </c>
      <c r="K20" s="85" t="s">
        <v>211</v>
      </c>
      <c r="L20" s="93">
        <f>SUM(L18:L19)</f>
        <v>2768</v>
      </c>
      <c r="M20" s="93">
        <f t="shared" ref="M20:N20" si="5">SUM(M18:M19)</f>
        <v>8045</v>
      </c>
      <c r="N20" s="93">
        <f t="shared" si="5"/>
        <v>4785</v>
      </c>
      <c r="O20" s="93">
        <f>SUM(L20:N20)</f>
        <v>15598</v>
      </c>
    </row>
    <row r="21" spans="1:17" x14ac:dyDescent="0.25">
      <c r="A21" s="11" t="str">
        <f>'1year'!A21</f>
        <v>Flume experiments</v>
      </c>
      <c r="B21" s="6"/>
      <c r="C21" s="6"/>
      <c r="D21" s="6"/>
      <c r="E21" s="6"/>
      <c r="F21" s="43">
        <f>SUM('1year'!F21,'2year'!F21,'3year'!F21,'4year'!F21,'5year'!F21)</f>
        <v>30000</v>
      </c>
      <c r="L21" s="90"/>
      <c r="M21" s="90"/>
      <c r="N21" s="90"/>
      <c r="O21" s="90"/>
    </row>
    <row r="22" spans="1:17" x14ac:dyDescent="0.25">
      <c r="A22" s="11" t="str">
        <f>'1year'!A22</f>
        <v>Outreach program</v>
      </c>
      <c r="B22" s="6"/>
      <c r="C22" s="6"/>
      <c r="D22" s="6"/>
      <c r="E22" s="6"/>
      <c r="F22" s="43">
        <f>SUM('1year'!F22,'2year'!F22,'3year'!F22,'4year'!F22,'5year'!F22)</f>
        <v>1500</v>
      </c>
      <c r="K22" s="85" t="s">
        <v>212</v>
      </c>
      <c r="L22" s="90"/>
      <c r="M22" s="90"/>
      <c r="N22" s="90"/>
      <c r="O22" s="90"/>
    </row>
    <row r="23" spans="1:17" x14ac:dyDescent="0.25">
      <c r="A23" s="11" t="str">
        <f>'1year'!A23</f>
        <v>computers</v>
      </c>
      <c r="B23" s="6"/>
      <c r="C23" s="6"/>
      <c r="D23" s="6"/>
      <c r="E23" s="6"/>
      <c r="F23" s="43">
        <f>SUM('1year'!F23,'2year'!F23,'3year'!F23,'4year'!F23,'5year'!F23)</f>
        <v>3000</v>
      </c>
      <c r="G23" s="76">
        <f>SUM(F18:F23)-F19</f>
        <v>40150</v>
      </c>
      <c r="H23" s="77" t="s">
        <v>171</v>
      </c>
      <c r="K23" s="86" t="s">
        <v>213</v>
      </c>
      <c r="L23" s="90">
        <v>500</v>
      </c>
      <c r="M23" s="90">
        <v>500</v>
      </c>
      <c r="N23" s="90">
        <v>500</v>
      </c>
      <c r="O23" s="90">
        <f t="shared" ref="O23:O30" si="6">SUM(L23:N23)</f>
        <v>1500</v>
      </c>
    </row>
    <row r="24" spans="1:17" x14ac:dyDescent="0.25">
      <c r="A24" s="11" t="s">
        <v>187</v>
      </c>
      <c r="B24" s="6"/>
      <c r="C24" s="6"/>
      <c r="D24" s="6"/>
      <c r="E24" s="6"/>
      <c r="F24" s="43">
        <f>SUM('1year'!F24,'2year'!F24,'3year'!F24,'4year'!F24,'5year'!F24)</f>
        <v>1500</v>
      </c>
      <c r="G24" s="78">
        <f>SUM(F18:F23)+F33</f>
        <v>41150</v>
      </c>
      <c r="H24" s="79" t="s">
        <v>172</v>
      </c>
      <c r="K24" s="86" t="s">
        <v>214</v>
      </c>
      <c r="L24" s="90">
        <v>0</v>
      </c>
      <c r="M24" s="90">
        <v>0</v>
      </c>
      <c r="N24" s="90">
        <v>1000</v>
      </c>
      <c r="O24" s="90">
        <f t="shared" si="6"/>
        <v>1000</v>
      </c>
    </row>
    <row r="25" spans="1:17" x14ac:dyDescent="0.25">
      <c r="A25" s="14" t="s">
        <v>11</v>
      </c>
      <c r="B25" s="3"/>
      <c r="C25" s="3"/>
      <c r="D25" s="3"/>
      <c r="E25" s="3"/>
      <c r="F25" s="43">
        <f>SUM('1year'!F25,'2year'!F25,'3year'!F25,'4year'!F25,'5year'!F25)</f>
        <v>355740.90020684002</v>
      </c>
      <c r="G25" s="80">
        <f>F25+SUM(F29:F33)</f>
        <v>370740.90020684002</v>
      </c>
      <c r="H25" s="81" t="s">
        <v>173</v>
      </c>
      <c r="K25" s="86" t="s">
        <v>123</v>
      </c>
      <c r="L25" s="90">
        <v>2150</v>
      </c>
      <c r="M25" s="90">
        <v>1000</v>
      </c>
      <c r="N25" s="90">
        <v>1000</v>
      </c>
      <c r="O25" s="90">
        <f t="shared" si="6"/>
        <v>4150</v>
      </c>
    </row>
    <row r="26" spans="1:17" x14ac:dyDescent="0.25">
      <c r="A26" s="13" t="s">
        <v>224</v>
      </c>
      <c r="B26" s="2"/>
      <c r="C26" s="2"/>
      <c r="D26" s="2"/>
      <c r="E26" s="2"/>
      <c r="F26" s="43">
        <f>SUM('1year'!F26,'2year'!F26,'3year'!F26,'4year'!F26,'5year'!F26)</f>
        <v>168976.92759824899</v>
      </c>
      <c r="K26" s="86" t="s">
        <v>215</v>
      </c>
      <c r="L26" s="90">
        <v>31300</v>
      </c>
      <c r="M26" s="90">
        <v>0</v>
      </c>
      <c r="N26" s="90">
        <v>0</v>
      </c>
      <c r="O26" s="90">
        <f t="shared" si="6"/>
        <v>31300</v>
      </c>
    </row>
    <row r="27" spans="1:17" x14ac:dyDescent="0.25">
      <c r="A27" s="12"/>
      <c r="B27" s="6"/>
      <c r="C27" s="6"/>
      <c r="D27" s="6"/>
      <c r="E27" s="6"/>
      <c r="F27" s="15"/>
      <c r="K27" s="86" t="s">
        <v>163</v>
      </c>
      <c r="L27" s="90">
        <v>500</v>
      </c>
      <c r="M27" s="90">
        <v>500</v>
      </c>
      <c r="N27" s="90">
        <v>500</v>
      </c>
      <c r="O27" s="90">
        <f t="shared" si="6"/>
        <v>1500</v>
      </c>
    </row>
    <row r="28" spans="1:17" x14ac:dyDescent="0.25">
      <c r="A28" s="12" t="s">
        <v>22</v>
      </c>
      <c r="B28" s="6"/>
      <c r="C28" s="6"/>
      <c r="D28" s="6"/>
      <c r="E28" s="6"/>
      <c r="F28" s="15"/>
      <c r="K28" s="86" t="s">
        <v>216</v>
      </c>
      <c r="L28" s="90">
        <f>2*1500</f>
        <v>3000</v>
      </c>
      <c r="M28" s="90">
        <v>0</v>
      </c>
      <c r="N28" s="90">
        <v>0</v>
      </c>
      <c r="O28" s="90">
        <f t="shared" si="6"/>
        <v>3000</v>
      </c>
    </row>
    <row r="29" spans="1:17" x14ac:dyDescent="0.25">
      <c r="A29" s="25" t="s">
        <v>227</v>
      </c>
      <c r="B29" s="6"/>
      <c r="C29" s="6"/>
      <c r="D29" s="6"/>
      <c r="E29" s="6"/>
      <c r="F29" s="43">
        <f>SUM('1year'!F29,'2year'!F29,'3year'!F29,'4year'!F29,'5year'!F29)</f>
        <v>15000</v>
      </c>
      <c r="H29" s="50">
        <f>F35-G25</f>
        <v>168976.92759824905</v>
      </c>
      <c r="K29" s="86" t="s">
        <v>217</v>
      </c>
      <c r="L29" s="90">
        <v>0</v>
      </c>
      <c r="M29" s="90">
        <v>1500</v>
      </c>
      <c r="N29" s="90">
        <v>0</v>
      </c>
      <c r="O29" s="90">
        <f t="shared" si="6"/>
        <v>1500</v>
      </c>
    </row>
    <row r="30" spans="1:17" x14ac:dyDescent="0.25">
      <c r="A30" s="25"/>
      <c r="B30" s="6"/>
      <c r="C30" s="6"/>
      <c r="D30" s="6"/>
      <c r="E30" s="6"/>
      <c r="F30" s="43"/>
      <c r="K30" s="85" t="s">
        <v>218</v>
      </c>
      <c r="L30" s="93">
        <f>SUM(L23:L29)</f>
        <v>37450</v>
      </c>
      <c r="M30" s="93">
        <f>SUM(M23:M29)</f>
        <v>3500</v>
      </c>
      <c r="N30" s="93">
        <f>SUM(N23:N29)</f>
        <v>3000</v>
      </c>
      <c r="O30" s="93">
        <f t="shared" si="6"/>
        <v>43950</v>
      </c>
    </row>
    <row r="31" spans="1:17" x14ac:dyDescent="0.25">
      <c r="A31" s="25"/>
      <c r="B31" s="6"/>
      <c r="C31" s="6"/>
      <c r="D31" s="6"/>
      <c r="E31" s="6"/>
      <c r="F31" s="43"/>
      <c r="L31" s="90"/>
      <c r="M31" s="90"/>
      <c r="N31" s="90"/>
      <c r="O31" s="90"/>
    </row>
    <row r="32" spans="1:17" x14ac:dyDescent="0.25">
      <c r="A32" s="12" t="s">
        <v>12</v>
      </c>
      <c r="B32" s="6"/>
      <c r="C32" s="6"/>
      <c r="D32" s="6"/>
      <c r="E32" s="6"/>
      <c r="F32" s="15"/>
      <c r="K32" s="85" t="s">
        <v>219</v>
      </c>
      <c r="L32" s="93">
        <f>SUM(L30,L20,L13,L15)</f>
        <v>156308.12079999998</v>
      </c>
      <c r="M32" s="93">
        <f>SUM(M30,M20,M13)</f>
        <v>112300.96042400002</v>
      </c>
      <c r="N32" s="93">
        <f>SUM(N30,N20,N13)</f>
        <v>92904.360292719997</v>
      </c>
      <c r="O32" s="93">
        <f>SUM(L32:N32)</f>
        <v>361513.44151671999</v>
      </c>
      <c r="P32" s="97">
        <f>O32+F10</f>
        <v>373036.58500684</v>
      </c>
      <c r="Q32" s="1" t="s">
        <v>226</v>
      </c>
    </row>
    <row r="33" spans="1:18" x14ac:dyDescent="0.25">
      <c r="A33" s="25" t="s">
        <v>31</v>
      </c>
      <c r="B33" s="6"/>
      <c r="C33" s="6"/>
      <c r="D33" s="6"/>
      <c r="E33" s="6"/>
      <c r="F33" s="43">
        <f>SUM('1year'!F33,'2year'!F33,'3year'!F33,'4year'!F33,'5year'!F33)</f>
        <v>0</v>
      </c>
      <c r="H33" s="50"/>
      <c r="K33" s="86" t="s">
        <v>220</v>
      </c>
      <c r="L33" s="90">
        <f>L32-L15</f>
        <v>140308.12079999998</v>
      </c>
      <c r="M33" s="90">
        <f t="shared" ref="M33:N33" si="7">M32-M15</f>
        <v>112300.96042400002</v>
      </c>
      <c r="N33" s="90">
        <f t="shared" si="7"/>
        <v>92904.360292719997</v>
      </c>
      <c r="O33" s="90">
        <f>SUM(L33:N33)</f>
        <v>345513.44151671999</v>
      </c>
      <c r="P33" s="96">
        <f>O33+F10</f>
        <v>357036.58500684</v>
      </c>
    </row>
    <row r="34" spans="1:18" x14ac:dyDescent="0.25">
      <c r="A34" s="11"/>
      <c r="B34" s="6"/>
      <c r="C34" s="6"/>
      <c r="D34" s="6"/>
      <c r="E34" s="6"/>
      <c r="F34" s="17"/>
      <c r="K34" s="85" t="s">
        <v>222</v>
      </c>
      <c r="L34" s="93">
        <f>L33*0.475</f>
        <v>66646.357379999987</v>
      </c>
      <c r="M34" s="93">
        <f>M33*0.475</f>
        <v>53342.956201400004</v>
      </c>
      <c r="N34" s="93">
        <f>N33*0.475</f>
        <v>44129.571139041997</v>
      </c>
      <c r="O34" s="93">
        <f>SUM(L34:N34)</f>
        <v>164118.884720442</v>
      </c>
      <c r="P34" s="1" t="s">
        <v>221</v>
      </c>
      <c r="R34" s="98">
        <f>P33*0.475</f>
        <v>169592.37787824898</v>
      </c>
    </row>
    <row r="35" spans="1:18" x14ac:dyDescent="0.25">
      <c r="A35" s="13" t="s">
        <v>13</v>
      </c>
      <c r="B35" s="2"/>
      <c r="C35" s="2"/>
      <c r="D35" s="2"/>
      <c r="E35" s="2"/>
      <c r="F35" s="44">
        <f>SUM(F25:F33)</f>
        <v>539717.82780508907</v>
      </c>
      <c r="K35" s="85" t="s">
        <v>13</v>
      </c>
      <c r="L35" s="93">
        <f>SUM(L34,L32)</f>
        <v>222954.47817999998</v>
      </c>
      <c r="M35" s="93">
        <f>SUM(M34,M32)</f>
        <v>165643.91662540002</v>
      </c>
      <c r="N35" s="93">
        <f>SUM(N34,N32)</f>
        <v>137033.931431762</v>
      </c>
      <c r="O35" s="93">
        <f>SUM(L35:N35)</f>
        <v>525632.32623716199</v>
      </c>
      <c r="R35" s="99">
        <f>R34+P32</f>
        <v>542628.96288508899</v>
      </c>
    </row>
    <row r="36" spans="1:18" x14ac:dyDescent="0.25">
      <c r="L36" s="90"/>
      <c r="M36" s="90"/>
      <c r="N36" s="90"/>
      <c r="O36" s="90"/>
    </row>
    <row r="37" spans="1:18" x14ac:dyDescent="0.25">
      <c r="F37" s="44">
        <f>'1year'!F35+'2year'!F35+'3year'!F35</f>
        <v>539717.82780508907</v>
      </c>
      <c r="J37" s="1">
        <v>596411.32214795623</v>
      </c>
      <c r="L37" s="90"/>
      <c r="M37" s="90"/>
      <c r="N37" s="90"/>
      <c r="O37" s="90"/>
    </row>
    <row r="39" spans="1:18" x14ac:dyDescent="0.25">
      <c r="B39" s="1">
        <f>'1year'!F35+'2year'!F35+'3year'!F35</f>
        <v>539717.82780508907</v>
      </c>
      <c r="D39" s="73"/>
      <c r="E39" s="74"/>
      <c r="F39" s="36"/>
      <c r="G39" s="75"/>
    </row>
    <row r="40" spans="1:18" x14ac:dyDescent="0.25">
      <c r="D40" s="36"/>
      <c r="E40" s="74"/>
      <c r="F40" s="36"/>
      <c r="G40" s="75"/>
      <c r="J40" s="50">
        <f>J37-F35</f>
        <v>56693.494342867169</v>
      </c>
    </row>
    <row r="41" spans="1:18" x14ac:dyDescent="0.25">
      <c r="D41" s="36"/>
      <c r="E41" s="74"/>
      <c r="F41" s="36"/>
      <c r="G41" s="75"/>
      <c r="N41" s="91">
        <v>15411</v>
      </c>
    </row>
    <row r="42" spans="1:18" x14ac:dyDescent="0.25">
      <c r="D42" s="36"/>
      <c r="E42" s="74"/>
      <c r="F42" s="36"/>
      <c r="G42" s="75"/>
      <c r="J42" s="82">
        <f>J40/J37</f>
        <v>9.5057709734093193E-2</v>
      </c>
      <c r="N42" s="91">
        <v>5000</v>
      </c>
      <c r="P42" s="58">
        <f>O44+N44</f>
        <v>38375.183000000005</v>
      </c>
    </row>
    <row r="43" spans="1:18" x14ac:dyDescent="0.25">
      <c r="D43" s="36"/>
      <c r="E43" s="74"/>
      <c r="F43"/>
      <c r="G43"/>
      <c r="N43" s="91">
        <v>6000</v>
      </c>
    </row>
    <row r="44" spans="1:18" x14ac:dyDescent="0.25">
      <c r="K44" s="87">
        <f>J40+I40</f>
        <v>56693.494342867169</v>
      </c>
      <c r="N44" s="91">
        <f>N43+N42+N41</f>
        <v>26411</v>
      </c>
      <c r="O44" s="91">
        <f>N44*0.453</f>
        <v>11964.183000000001</v>
      </c>
    </row>
    <row r="45" spans="1:18" x14ac:dyDescent="0.25">
      <c r="E45" s="37"/>
    </row>
  </sheetData>
  <mergeCells count="1">
    <mergeCell ref="L2:O2"/>
  </mergeCells>
  <phoneticPr fontId="18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8" r:id="rId4" name="Control 4">
          <controlPr defaultSize="0" r:id="rId5">
            <anchor moveWithCells="1">
              <from>
                <xdr:col>4</xdr:col>
                <xdr:colOff>666750</xdr:colOff>
                <xdr:row>40</xdr:row>
                <xdr:rowOff>114300</xdr:rowOff>
              </from>
              <to>
                <xdr:col>5</xdr:col>
                <xdr:colOff>247650</xdr:colOff>
                <xdr:row>42</xdr:row>
                <xdr:rowOff>0</xdr:rowOff>
              </to>
            </anchor>
          </controlPr>
        </control>
      </mc:Choice>
      <mc:Fallback>
        <control shapeId="1028" r:id="rId4" name="Control 4"/>
      </mc:Fallback>
    </mc:AlternateContent>
    <mc:AlternateContent xmlns:mc="http://schemas.openxmlformats.org/markup-compatibility/2006">
      <mc:Choice Requires="x14">
        <control shapeId="1027" r:id="rId6" name="Control 3">
          <controlPr defaultSize="0" r:id="rId5">
            <anchor moveWithCells="1">
              <from>
                <xdr:col>4</xdr:col>
                <xdr:colOff>666750</xdr:colOff>
                <xdr:row>39</xdr:row>
                <xdr:rowOff>114300</xdr:rowOff>
              </from>
              <to>
                <xdr:col>5</xdr:col>
                <xdr:colOff>247650</xdr:colOff>
                <xdr:row>41</xdr:row>
                <xdr:rowOff>0</xdr:rowOff>
              </to>
            </anchor>
          </controlPr>
        </control>
      </mc:Choice>
      <mc:Fallback>
        <control shapeId="1027" r:id="rId6" name="Control 3"/>
      </mc:Fallback>
    </mc:AlternateContent>
    <mc:AlternateContent xmlns:mc="http://schemas.openxmlformats.org/markup-compatibility/2006">
      <mc:Choice Requires="x14">
        <control shapeId="1026" r:id="rId7" name="Control 2">
          <controlPr defaultSize="0" r:id="rId5">
            <anchor moveWithCells="1">
              <from>
                <xdr:col>4</xdr:col>
                <xdr:colOff>666750</xdr:colOff>
                <xdr:row>38</xdr:row>
                <xdr:rowOff>114300</xdr:rowOff>
              </from>
              <to>
                <xdr:col>5</xdr:col>
                <xdr:colOff>247650</xdr:colOff>
                <xdr:row>40</xdr:row>
                <xdr:rowOff>0</xdr:rowOff>
              </to>
            </anchor>
          </controlPr>
        </control>
      </mc:Choice>
      <mc:Fallback>
        <control shapeId="1026" r:id="rId7" name="Control 2"/>
      </mc:Fallback>
    </mc:AlternateContent>
    <mc:AlternateContent xmlns:mc="http://schemas.openxmlformats.org/markup-compatibility/2006">
      <mc:Choice Requires="x14">
        <control shapeId="1025" r:id="rId8" name="Control 1">
          <controlPr defaultSize="0" r:id="rId5">
            <anchor moveWithCells="1">
              <from>
                <xdr:col>4</xdr:col>
                <xdr:colOff>666750</xdr:colOff>
                <xdr:row>37</xdr:row>
                <xdr:rowOff>114300</xdr:rowOff>
              </from>
              <to>
                <xdr:col>5</xdr:col>
                <xdr:colOff>247650</xdr:colOff>
                <xdr:row>39</xdr:row>
                <xdr:rowOff>0</xdr:rowOff>
              </to>
            </anchor>
          </controlPr>
        </control>
      </mc:Choice>
      <mc:Fallback>
        <control shapeId="1025" r:id="rId8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124"/>
  <sheetViews>
    <sheetView zoomScale="85" zoomScaleNormal="85" workbookViewId="0">
      <selection activeCell="B30" sqref="B30"/>
    </sheetView>
  </sheetViews>
  <sheetFormatPr defaultRowHeight="15" x14ac:dyDescent="0.25"/>
  <cols>
    <col min="1" max="1" width="27.5703125" customWidth="1"/>
    <col min="2" max="2" width="19.140625" customWidth="1"/>
    <col min="3" max="3" width="10.85546875" customWidth="1"/>
    <col min="4" max="4" width="21.85546875" customWidth="1"/>
    <col min="5" max="5" width="16.85546875" customWidth="1"/>
    <col min="8" max="8" width="13.85546875" customWidth="1"/>
    <col min="9" max="9" width="11.140625" customWidth="1"/>
    <col min="11" max="11" width="11.85546875" customWidth="1"/>
    <col min="12" max="12" width="10.5703125" customWidth="1"/>
  </cols>
  <sheetData>
    <row r="1" spans="1:20" s="31" customFormat="1" x14ac:dyDescent="0.25">
      <c r="A1" s="30" t="str">
        <f>Summary!A1</f>
        <v>MRE</v>
      </c>
      <c r="B1" s="9"/>
      <c r="C1" s="9"/>
      <c r="D1" s="9"/>
      <c r="E1" s="9"/>
      <c r="F1" s="10"/>
    </row>
    <row r="2" spans="1:20" x14ac:dyDescent="0.25">
      <c r="A2" s="12" t="str">
        <f>Summary!A2</f>
        <v>Project Period: August 1, 2021 through July 31, 2024</v>
      </c>
      <c r="B2" s="8"/>
      <c r="C2" s="8"/>
      <c r="D2" s="8"/>
      <c r="E2" s="8"/>
      <c r="F2" s="4"/>
      <c r="I2" s="1" t="s">
        <v>33</v>
      </c>
      <c r="L2">
        <v>0.307</v>
      </c>
      <c r="M2">
        <v>0.307</v>
      </c>
    </row>
    <row r="3" spans="1:20" ht="45" x14ac:dyDescent="0.25">
      <c r="A3" s="19" t="s">
        <v>0</v>
      </c>
      <c r="B3" s="20" t="s">
        <v>1</v>
      </c>
      <c r="C3" s="21" t="s">
        <v>2</v>
      </c>
      <c r="D3" s="21" t="s">
        <v>3</v>
      </c>
      <c r="E3" s="21" t="s">
        <v>4</v>
      </c>
      <c r="F3" s="45" t="s">
        <v>5</v>
      </c>
      <c r="G3" s="1"/>
      <c r="H3" s="1"/>
      <c r="I3" s="1" t="s">
        <v>23</v>
      </c>
      <c r="J3" s="35" t="s">
        <v>24</v>
      </c>
      <c r="K3" s="1"/>
      <c r="L3" s="36" t="s">
        <v>167</v>
      </c>
      <c r="M3" s="36" t="s">
        <v>57</v>
      </c>
      <c r="N3" s="1" t="s">
        <v>25</v>
      </c>
      <c r="Q3" s="47" t="s">
        <v>41</v>
      </c>
      <c r="R3" s="47" t="s">
        <v>40</v>
      </c>
    </row>
    <row r="4" spans="1:20" x14ac:dyDescent="0.25">
      <c r="A4" s="24" t="s">
        <v>14</v>
      </c>
      <c r="B4" s="28" t="s">
        <v>6</v>
      </c>
      <c r="C4" s="29" t="s">
        <v>30</v>
      </c>
      <c r="D4" s="1">
        <f>K4+K5</f>
        <v>2714.4</v>
      </c>
      <c r="E4" s="46">
        <f>M4+M5</f>
        <v>833.32079999999996</v>
      </c>
      <c r="F4" s="27">
        <f>SUM(D4:E4)</f>
        <v>3547.7208000000001</v>
      </c>
      <c r="G4" s="1" t="s">
        <v>17</v>
      </c>
      <c r="H4" s="1"/>
      <c r="I4" s="1">
        <f>I19</f>
        <v>67.86</v>
      </c>
      <c r="J4" s="1">
        <v>40</v>
      </c>
      <c r="K4" s="1">
        <f>J4*I4</f>
        <v>2714.4</v>
      </c>
      <c r="L4" s="1"/>
      <c r="M4" s="1">
        <f>K4*M2</f>
        <v>833.32079999999996</v>
      </c>
      <c r="N4" s="1">
        <f>M4+K4</f>
        <v>3547.7208000000001</v>
      </c>
      <c r="Q4">
        <v>13</v>
      </c>
      <c r="R4">
        <v>8</v>
      </c>
      <c r="S4">
        <f>R4*Q4</f>
        <v>104</v>
      </c>
    </row>
    <row r="5" spans="1:20" s="1" customFormat="1" ht="15.75" x14ac:dyDescent="0.25">
      <c r="A5" s="49" t="s">
        <v>48</v>
      </c>
      <c r="B5" s="28" t="s">
        <v>46</v>
      </c>
      <c r="C5" s="29"/>
      <c r="D5" s="1">
        <f>F89</f>
        <v>6400</v>
      </c>
      <c r="E5" s="46">
        <f>G89</f>
        <v>2676</v>
      </c>
      <c r="F5" s="27">
        <f>SUM(D5:E5)</f>
        <v>9076</v>
      </c>
      <c r="G5" s="1" t="s">
        <v>58</v>
      </c>
      <c r="I5" s="1">
        <f>I4</f>
        <v>67.86</v>
      </c>
      <c r="J5" s="1">
        <v>0</v>
      </c>
      <c r="K5" s="1">
        <f>J5*I5</f>
        <v>0</v>
      </c>
      <c r="N5" s="1">
        <f>M5+K5</f>
        <v>0</v>
      </c>
    </row>
    <row r="6" spans="1:20" x14ac:dyDescent="0.25">
      <c r="A6" s="11" t="s">
        <v>15</v>
      </c>
      <c r="B6" s="6" t="s">
        <v>175</v>
      </c>
      <c r="C6" s="7"/>
      <c r="D6" s="26">
        <f>L11</f>
        <v>54080</v>
      </c>
      <c r="E6" s="41">
        <f>M11</f>
        <v>22605.439999999999</v>
      </c>
      <c r="F6" s="43">
        <f>SUM(D6:E6)</f>
        <v>76685.440000000002</v>
      </c>
      <c r="G6" s="1" t="s">
        <v>184</v>
      </c>
      <c r="I6" s="83">
        <v>71.31</v>
      </c>
      <c r="J6">
        <v>40</v>
      </c>
      <c r="K6">
        <f>J6*I6</f>
        <v>2852.4</v>
      </c>
      <c r="M6" s="1">
        <f>K6*M2</f>
        <v>875.68680000000006</v>
      </c>
      <c r="N6" s="1">
        <f>M6+K6</f>
        <v>3728.0868</v>
      </c>
      <c r="S6">
        <f>J4/S4</f>
        <v>0.38461538461538464</v>
      </c>
    </row>
    <row r="7" spans="1:20" x14ac:dyDescent="0.25">
      <c r="A7" s="11" t="s">
        <v>160</v>
      </c>
      <c r="B7" s="6" t="s">
        <v>179</v>
      </c>
      <c r="C7" s="7"/>
      <c r="D7" s="26">
        <f>L12</f>
        <v>0</v>
      </c>
      <c r="E7" s="41">
        <f>M12</f>
        <v>0</v>
      </c>
      <c r="F7" s="43">
        <f>E7+D7</f>
        <v>0</v>
      </c>
      <c r="M7">
        <v>40</v>
      </c>
      <c r="N7">
        <v>3</v>
      </c>
      <c r="O7">
        <f>N7*M7</f>
        <v>120</v>
      </c>
    </row>
    <row r="8" spans="1:20" s="1" customFormat="1" x14ac:dyDescent="0.25">
      <c r="A8" s="11" t="s">
        <v>15</v>
      </c>
      <c r="B8" s="6" t="s">
        <v>166</v>
      </c>
      <c r="C8" s="7"/>
      <c r="D8" s="5">
        <f>F99</f>
        <v>5280</v>
      </c>
      <c r="E8" s="5">
        <f>G99</f>
        <v>111</v>
      </c>
      <c r="F8" s="43">
        <f t="shared" ref="F8:F10" si="0">SUM(D8:E8)</f>
        <v>5391</v>
      </c>
      <c r="G8" s="50">
        <f>SUM(D6:D7)</f>
        <v>54080</v>
      </c>
      <c r="M8" s="1" t="s">
        <v>175</v>
      </c>
      <c r="N8" s="1" t="s">
        <v>18</v>
      </c>
    </row>
    <row r="9" spans="1:20" s="1" customFormat="1" x14ac:dyDescent="0.25">
      <c r="A9" s="11" t="s">
        <v>15</v>
      </c>
      <c r="B9" s="6" t="s">
        <v>166</v>
      </c>
      <c r="C9" s="7"/>
      <c r="D9" s="5">
        <f>D8</f>
        <v>5280</v>
      </c>
      <c r="E9" s="5">
        <f>E8</f>
        <v>111</v>
      </c>
      <c r="F9" s="43">
        <f t="shared" si="0"/>
        <v>5391</v>
      </c>
      <c r="L9" s="1" t="s">
        <v>131</v>
      </c>
      <c r="M9" s="1">
        <v>0.41799999999999998</v>
      </c>
      <c r="N9" s="1">
        <v>2.1000000000000001E-2</v>
      </c>
    </row>
    <row r="10" spans="1:20" s="1" customFormat="1" x14ac:dyDescent="0.25">
      <c r="A10" s="11" t="s">
        <v>183</v>
      </c>
      <c r="B10" s="6"/>
      <c r="C10" s="7"/>
      <c r="D10" s="32">
        <f>K6</f>
        <v>2852.4</v>
      </c>
      <c r="E10" s="5">
        <f>M6</f>
        <v>875.68680000000006</v>
      </c>
      <c r="F10" s="43">
        <f t="shared" si="0"/>
        <v>3728.0868</v>
      </c>
      <c r="I10" s="1" t="s">
        <v>23</v>
      </c>
      <c r="J10" s="1" t="s">
        <v>24</v>
      </c>
      <c r="K10" s="1" t="s">
        <v>26</v>
      </c>
      <c r="M10" s="1" t="s">
        <v>29</v>
      </c>
      <c r="N10" s="1" t="s">
        <v>25</v>
      </c>
    </row>
    <row r="11" spans="1:20" x14ac:dyDescent="0.25">
      <c r="A11" s="12" t="s">
        <v>8</v>
      </c>
      <c r="B11" s="8"/>
      <c r="C11" s="8"/>
      <c r="D11" s="32">
        <f>SUM(D4:D10)</f>
        <v>76606.799999999988</v>
      </c>
      <c r="E11" s="32">
        <f>SUM(E4:E10)</f>
        <v>27212.4476</v>
      </c>
      <c r="F11" s="33">
        <f>SUM(F4:F10)</f>
        <v>103819.2476</v>
      </c>
      <c r="H11" s="1" t="s">
        <v>177</v>
      </c>
      <c r="I11" s="1">
        <f>I29</f>
        <v>26</v>
      </c>
      <c r="J11" s="1">
        <v>40</v>
      </c>
      <c r="K11" s="1">
        <v>52</v>
      </c>
      <c r="L11" s="1">
        <f>K11*J11*I11</f>
        <v>54080</v>
      </c>
      <c r="M11" s="1">
        <f>L11*M9</f>
        <v>22605.439999999999</v>
      </c>
      <c r="N11" s="1">
        <f>M11+L11</f>
        <v>76685.440000000002</v>
      </c>
    </row>
    <row r="12" spans="1:20" x14ac:dyDescent="0.25">
      <c r="A12" s="11"/>
      <c r="B12" s="6"/>
      <c r="C12" s="6"/>
      <c r="D12" s="32"/>
      <c r="E12" s="5"/>
      <c r="F12" s="15"/>
      <c r="H12" t="s">
        <v>18</v>
      </c>
      <c r="I12" s="1">
        <v>0</v>
      </c>
      <c r="J12" s="1">
        <v>20</v>
      </c>
      <c r="K12" s="1">
        <v>52</v>
      </c>
      <c r="L12" s="1">
        <f>K12*J12*I12</f>
        <v>0</v>
      </c>
      <c r="M12" s="1">
        <f>L12*N9</f>
        <v>0</v>
      </c>
      <c r="N12" s="1">
        <f>M12+L12</f>
        <v>0</v>
      </c>
      <c r="P12">
        <v>22</v>
      </c>
      <c r="Q12">
        <v>20</v>
      </c>
      <c r="R12">
        <v>52</v>
      </c>
      <c r="S12">
        <f>R12*Q12*P12</f>
        <v>22880</v>
      </c>
      <c r="T12" s="1">
        <f>S12*0.03</f>
        <v>686.4</v>
      </c>
    </row>
    <row r="13" spans="1:20" x14ac:dyDescent="0.25">
      <c r="A13" s="12" t="s">
        <v>10</v>
      </c>
      <c r="B13" s="6"/>
      <c r="C13" s="6"/>
      <c r="D13" s="6"/>
      <c r="E13" s="6"/>
      <c r="F13" s="16"/>
      <c r="G13" s="1" t="s">
        <v>164</v>
      </c>
      <c r="H13" s="1" t="s">
        <v>165</v>
      </c>
      <c r="I13" s="1" t="s">
        <v>163</v>
      </c>
      <c r="J13" s="1"/>
      <c r="K13" s="1"/>
      <c r="L13" s="1"/>
      <c r="M13" s="1"/>
      <c r="N13" s="1"/>
    </row>
    <row r="14" spans="1:20" x14ac:dyDescent="0.25">
      <c r="A14" s="11" t="s">
        <v>44</v>
      </c>
      <c r="B14" s="6"/>
      <c r="C14" s="6"/>
      <c r="D14" s="6"/>
      <c r="E14" s="39">
        <f>E63+D80</f>
        <v>2768</v>
      </c>
      <c r="F14" s="42">
        <f>E14</f>
        <v>2768</v>
      </c>
      <c r="G14">
        <f>E63</f>
        <v>2568</v>
      </c>
      <c r="H14">
        <f>E77</f>
        <v>0</v>
      </c>
      <c r="I14">
        <f>D80</f>
        <v>200</v>
      </c>
      <c r="K14" s="1"/>
      <c r="N14" s="38"/>
      <c r="O14">
        <f>N12*1.45</f>
        <v>0</v>
      </c>
    </row>
    <row r="15" spans="1:20" x14ac:dyDescent="0.25">
      <c r="A15" s="11" t="s">
        <v>43</v>
      </c>
      <c r="B15" s="6"/>
      <c r="C15" s="6"/>
      <c r="D15" s="6" t="s">
        <v>9</v>
      </c>
      <c r="E15" s="39"/>
      <c r="F15" s="42"/>
      <c r="N15" s="37"/>
      <c r="Q15" s="58">
        <v>56160</v>
      </c>
      <c r="R15" s="58">
        <v>22929</v>
      </c>
      <c r="S15" s="58">
        <f>R15+Q15</f>
        <v>79089</v>
      </c>
    </row>
    <row r="16" spans="1:20" s="1" customFormat="1" x14ac:dyDescent="0.25">
      <c r="A16" s="11"/>
      <c r="B16" s="6"/>
      <c r="C16" s="6"/>
      <c r="D16" s="6"/>
      <c r="E16" s="40"/>
      <c r="F16" s="23"/>
    </row>
    <row r="17" spans="1:19" s="1" customFormat="1" x14ac:dyDescent="0.25">
      <c r="A17" s="12" t="s">
        <v>21</v>
      </c>
      <c r="B17" s="6"/>
      <c r="C17" s="6"/>
      <c r="D17" s="6"/>
      <c r="E17" s="6"/>
      <c r="F17" s="15"/>
      <c r="I17" s="1" t="s">
        <v>42</v>
      </c>
    </row>
    <row r="18" spans="1:19" s="1" customFormat="1" x14ac:dyDescent="0.25">
      <c r="A18" s="11" t="s">
        <v>169</v>
      </c>
      <c r="B18" s="6"/>
      <c r="C18" s="6"/>
      <c r="D18" s="6"/>
      <c r="E18" s="6"/>
      <c r="F18" s="15">
        <v>500</v>
      </c>
      <c r="I18" s="1" t="s">
        <v>34</v>
      </c>
      <c r="J18" s="1" t="s">
        <v>35</v>
      </c>
      <c r="K18" s="1" t="s">
        <v>36</v>
      </c>
      <c r="L18" s="1" t="s">
        <v>37</v>
      </c>
      <c r="M18" s="1" t="s">
        <v>38</v>
      </c>
    </row>
    <row r="19" spans="1:19" x14ac:dyDescent="0.25">
      <c r="A19" s="11" t="s">
        <v>20</v>
      </c>
      <c r="B19" s="6"/>
      <c r="C19" s="6"/>
      <c r="D19" s="6"/>
      <c r="E19" s="6"/>
      <c r="F19" s="15">
        <v>0</v>
      </c>
      <c r="I19" s="1">
        <v>67.86</v>
      </c>
      <c r="J19" s="1">
        <f>I19*1.03</f>
        <v>69.895799999999994</v>
      </c>
      <c r="K19" s="1">
        <f>J19*1.03</f>
        <v>71.992673999999994</v>
      </c>
      <c r="L19" s="1">
        <f>K19*1.03</f>
        <v>74.152454219999996</v>
      </c>
      <c r="M19" s="1">
        <f>L19*1.03</f>
        <v>76.377027846600001</v>
      </c>
    </row>
    <row r="20" spans="1:19" s="1" customFormat="1" x14ac:dyDescent="0.25">
      <c r="A20" s="11" t="s">
        <v>56</v>
      </c>
      <c r="B20" s="6"/>
      <c r="C20" s="6"/>
      <c r="D20" s="6"/>
      <c r="E20" s="6"/>
      <c r="F20" s="15">
        <f>D122</f>
        <v>2150</v>
      </c>
      <c r="I20" s="1">
        <v>67.86</v>
      </c>
      <c r="J20" s="1">
        <f>I20*1.03</f>
        <v>69.895799999999994</v>
      </c>
      <c r="K20" s="1">
        <f t="shared" ref="K20:M20" si="1">J20*1.03</f>
        <v>71.992673999999994</v>
      </c>
      <c r="L20" s="1">
        <f t="shared" si="1"/>
        <v>74.152454219999996</v>
      </c>
      <c r="M20" s="1">
        <f t="shared" si="1"/>
        <v>76.377027846600001</v>
      </c>
    </row>
    <row r="21" spans="1:19" s="1" customFormat="1" x14ac:dyDescent="0.25">
      <c r="A21" s="11" t="s">
        <v>47</v>
      </c>
      <c r="B21" s="6"/>
      <c r="C21" s="6"/>
      <c r="D21" s="6"/>
      <c r="E21" s="6"/>
      <c r="F21" s="15">
        <f>'Flume costs'!F25</f>
        <v>30000</v>
      </c>
    </row>
    <row r="22" spans="1:19" s="1" customFormat="1" x14ac:dyDescent="0.25">
      <c r="A22" s="11" t="s">
        <v>49</v>
      </c>
      <c r="B22" s="6"/>
      <c r="C22" s="6"/>
      <c r="D22" s="6"/>
      <c r="E22" s="6"/>
      <c r="F22" s="15">
        <v>500</v>
      </c>
    </row>
    <row r="23" spans="1:19" s="1" customFormat="1" x14ac:dyDescent="0.25">
      <c r="A23" s="25" t="s">
        <v>168</v>
      </c>
      <c r="B23" s="6"/>
      <c r="C23" s="6"/>
      <c r="D23" s="6"/>
      <c r="E23" s="6"/>
      <c r="F23" s="15">
        <v>3000</v>
      </c>
      <c r="G23" s="76">
        <f>SUM(F18:F23)-F19</f>
        <v>36150</v>
      </c>
      <c r="H23" s="77" t="s">
        <v>171</v>
      </c>
      <c r="K23" s="1">
        <f>46*8</f>
        <v>368</v>
      </c>
      <c r="L23" s="1">
        <f>K23*3</f>
        <v>1104</v>
      </c>
    </row>
    <row r="24" spans="1:19" s="1" customFormat="1" x14ac:dyDescent="0.25">
      <c r="A24" s="11"/>
      <c r="B24" s="6"/>
      <c r="C24" s="6"/>
      <c r="D24" s="6"/>
      <c r="E24" s="6"/>
      <c r="F24" s="15"/>
      <c r="G24" s="78">
        <f>SUM(F18:F23)+F33</f>
        <v>36150</v>
      </c>
      <c r="H24" s="79" t="s">
        <v>172</v>
      </c>
      <c r="K24" s="1">
        <v>100</v>
      </c>
      <c r="L24" s="1">
        <v>8</v>
      </c>
      <c r="M24" s="1">
        <f>L24*K24</f>
        <v>800</v>
      </c>
      <c r="N24" s="1">
        <f>M24*3</f>
        <v>2400</v>
      </c>
    </row>
    <row r="25" spans="1:19" x14ac:dyDescent="0.25">
      <c r="A25" s="14" t="s">
        <v>11</v>
      </c>
      <c r="B25" s="3"/>
      <c r="C25" s="3"/>
      <c r="D25" s="3"/>
      <c r="E25" s="3"/>
      <c r="F25" s="15">
        <f>SUM(F11:F24)</f>
        <v>142737.2476</v>
      </c>
      <c r="G25" s="80">
        <f>F25+SUM(F29:F33)</f>
        <v>157737.2476</v>
      </c>
      <c r="H25" s="81" t="s">
        <v>173</v>
      </c>
    </row>
    <row r="26" spans="1:19" x14ac:dyDescent="0.25">
      <c r="A26" s="13" t="s">
        <v>170</v>
      </c>
      <c r="B26" s="2"/>
      <c r="C26" s="2">
        <v>0.47499999999999998</v>
      </c>
      <c r="D26" s="2"/>
      <c r="E26" s="2"/>
      <c r="F26" s="15">
        <f>F25*C26</f>
        <v>67800.192609999998</v>
      </c>
    </row>
    <row r="27" spans="1:19" s="1" customFormat="1" x14ac:dyDescent="0.25">
      <c r="A27" s="12"/>
      <c r="B27" s="6"/>
      <c r="C27" s="6"/>
      <c r="D27" s="6"/>
      <c r="E27" s="6"/>
      <c r="F27" s="15"/>
      <c r="I27" s="1" t="s">
        <v>178</v>
      </c>
      <c r="S27" s="48"/>
    </row>
    <row r="28" spans="1:19" s="1" customFormat="1" x14ac:dyDescent="0.25">
      <c r="A28" s="12" t="s">
        <v>22</v>
      </c>
      <c r="B28" s="6"/>
      <c r="C28" s="6"/>
      <c r="D28" s="6"/>
      <c r="E28" s="6"/>
      <c r="F28" s="15"/>
      <c r="I28" s="1" t="s">
        <v>34</v>
      </c>
      <c r="J28" s="1" t="s">
        <v>35</v>
      </c>
      <c r="K28" s="1" t="s">
        <v>36</v>
      </c>
      <c r="L28" s="1" t="s">
        <v>37</v>
      </c>
      <c r="M28" s="1" t="s">
        <v>38</v>
      </c>
    </row>
    <row r="29" spans="1:19" s="1" customFormat="1" x14ac:dyDescent="0.25">
      <c r="A29" s="60" t="s">
        <v>228</v>
      </c>
      <c r="B29" s="65">
        <v>15000</v>
      </c>
      <c r="C29" s="6"/>
      <c r="D29" s="6"/>
      <c r="E29" s="6"/>
      <c r="F29" s="15">
        <f>B29</f>
        <v>15000</v>
      </c>
      <c r="I29" s="1">
        <v>26</v>
      </c>
      <c r="J29" s="1">
        <f>I29*1.03</f>
        <v>26.78</v>
      </c>
      <c r="K29" s="1">
        <f>J29*1.03</f>
        <v>27.583400000000001</v>
      </c>
      <c r="L29" s="1">
        <f>K29*1.03</f>
        <v>28.410902</v>
      </c>
      <c r="M29" s="1">
        <f>L29*1.03</f>
        <v>29.26322906</v>
      </c>
    </row>
    <row r="30" spans="1:19" s="1" customFormat="1" x14ac:dyDescent="0.25">
      <c r="A30" s="25"/>
      <c r="B30" s="6"/>
      <c r="C30" s="6"/>
      <c r="D30" s="6"/>
      <c r="E30" s="6"/>
      <c r="F30" s="15"/>
      <c r="H30" s="1" t="s">
        <v>18</v>
      </c>
      <c r="I30" s="1">
        <v>21</v>
      </c>
      <c r="J30" s="1">
        <f>I30*1.03</f>
        <v>21.63</v>
      </c>
      <c r="K30" s="1">
        <f t="shared" ref="K30:M30" si="2">J30*1.03</f>
        <v>22.2789</v>
      </c>
      <c r="L30" s="1">
        <f t="shared" si="2"/>
        <v>22.947267</v>
      </c>
      <c r="M30" s="1">
        <f t="shared" si="2"/>
        <v>23.63568501</v>
      </c>
    </row>
    <row r="31" spans="1:19" x14ac:dyDescent="0.25">
      <c r="A31" s="25"/>
      <c r="B31" s="6"/>
      <c r="C31" s="6"/>
      <c r="D31" s="6"/>
      <c r="E31" s="6"/>
      <c r="F31" s="15"/>
      <c r="H31" s="1" t="s">
        <v>162</v>
      </c>
      <c r="I31" s="1">
        <v>2</v>
      </c>
      <c r="J31" s="1"/>
      <c r="K31" s="1"/>
      <c r="L31" s="1"/>
      <c r="M31" s="1"/>
    </row>
    <row r="32" spans="1:19" x14ac:dyDescent="0.25">
      <c r="A32" s="12" t="s">
        <v>12</v>
      </c>
      <c r="B32" s="6"/>
      <c r="C32" s="6"/>
      <c r="D32" s="6"/>
      <c r="E32" s="6"/>
      <c r="F32" s="15"/>
      <c r="H32" s="1"/>
      <c r="I32" s="1" t="s">
        <v>34</v>
      </c>
      <c r="J32" s="1" t="s">
        <v>35</v>
      </c>
      <c r="K32" s="1" t="s">
        <v>36</v>
      </c>
      <c r="L32" s="1" t="s">
        <v>37</v>
      </c>
      <c r="M32" s="1" t="s">
        <v>38</v>
      </c>
    </row>
    <row r="33" spans="1:20" x14ac:dyDescent="0.25">
      <c r="A33" s="25" t="s">
        <v>50</v>
      </c>
      <c r="B33" s="6"/>
      <c r="C33" s="6"/>
      <c r="D33" s="6"/>
      <c r="E33" s="6"/>
      <c r="F33" s="18">
        <f>I33*2</f>
        <v>0</v>
      </c>
      <c r="G33" s="50"/>
      <c r="H33" s="1"/>
      <c r="I33" s="1">
        <v>0</v>
      </c>
      <c r="J33" s="1">
        <f>I33*1.1</f>
        <v>0</v>
      </c>
      <c r="K33" s="1">
        <f>J33*1.1</f>
        <v>0</v>
      </c>
      <c r="L33" s="1">
        <f>K33*1.1</f>
        <v>0</v>
      </c>
      <c r="M33" s="1">
        <f>L33*1.1</f>
        <v>0</v>
      </c>
    </row>
    <row r="34" spans="1:20" x14ac:dyDescent="0.25">
      <c r="A34" s="11"/>
      <c r="B34" s="6"/>
      <c r="C34" s="6"/>
      <c r="D34" s="6"/>
      <c r="E34" s="6"/>
      <c r="F34" s="17"/>
      <c r="H34" s="1"/>
      <c r="I34" s="1">
        <f>I33*2*$I$31</f>
        <v>0</v>
      </c>
      <c r="J34" s="1">
        <f t="shared" ref="J34:M34" si="3">J33*2*$I$31</f>
        <v>0</v>
      </c>
      <c r="K34" s="1">
        <f t="shared" si="3"/>
        <v>0</v>
      </c>
      <c r="L34" s="1">
        <f t="shared" si="3"/>
        <v>0</v>
      </c>
      <c r="M34" s="1">
        <f t="shared" si="3"/>
        <v>0</v>
      </c>
    </row>
    <row r="35" spans="1:20" x14ac:dyDescent="0.25">
      <c r="A35" s="13" t="s">
        <v>13</v>
      </c>
      <c r="B35" s="2"/>
      <c r="C35" s="2"/>
      <c r="D35" s="2"/>
      <c r="E35" s="2"/>
      <c r="F35" s="22">
        <f>SUM(F25:F33)</f>
        <v>225537.44021</v>
      </c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 t="s">
        <v>54</v>
      </c>
      <c r="I37" s="1">
        <v>3060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 t="s">
        <v>53</v>
      </c>
      <c r="I38" s="1">
        <v>694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>
        <v>2000</v>
      </c>
      <c r="F39" s="1"/>
      <c r="G39" s="1"/>
      <c r="H39" s="1" t="s">
        <v>55</v>
      </c>
      <c r="I39" s="1">
        <f>I38+I37</f>
        <v>3754</v>
      </c>
      <c r="J39" s="1">
        <f>I39*1.1</f>
        <v>4129.4000000000005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>
        <v>3000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>
        <f>2*250</f>
        <v>500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52">
        <v>8640</v>
      </c>
      <c r="C42" s="1"/>
      <c r="D42" s="1"/>
      <c r="E42" s="1">
        <f>2*250</f>
        <v>500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53">
        <f>B42/3</f>
        <v>2880</v>
      </c>
      <c r="C43" s="1"/>
      <c r="D43" s="1"/>
      <c r="E43" s="1">
        <f>2*750</f>
        <v>1500</v>
      </c>
      <c r="F43" s="1"/>
      <c r="G43" s="1"/>
      <c r="H43" s="1"/>
      <c r="I43" s="1" t="s">
        <v>59</v>
      </c>
      <c r="J43" s="1"/>
      <c r="K43" s="1"/>
      <c r="L43" s="1"/>
      <c r="M43" s="1"/>
      <c r="N43" s="38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>
        <f>SUM(E39:E43)</f>
        <v>7500</v>
      </c>
      <c r="F44" s="1"/>
      <c r="G44" s="1"/>
      <c r="H44" s="1"/>
      <c r="I44" s="1"/>
      <c r="J44" s="1"/>
      <c r="K44" s="1" t="s">
        <v>60</v>
      </c>
      <c r="L44" s="1" t="s">
        <v>61</v>
      </c>
      <c r="M44" s="1"/>
      <c r="N44" s="37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 t="s">
        <v>62</v>
      </c>
      <c r="J45" s="1"/>
      <c r="K45" s="1">
        <v>125</v>
      </c>
      <c r="L45" s="1">
        <f>12*3*2+4</f>
        <v>76</v>
      </c>
      <c r="M45" s="1">
        <f>L45*K45</f>
        <v>9500</v>
      </c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 t="s">
        <v>63</v>
      </c>
      <c r="J46" s="1"/>
      <c r="K46" s="1">
        <v>460</v>
      </c>
      <c r="L46" s="1">
        <v>26</v>
      </c>
      <c r="M46" s="1">
        <f>L46*K46</f>
        <v>11960</v>
      </c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 t="s">
        <v>64</v>
      </c>
      <c r="J47" s="1"/>
      <c r="K47" s="1">
        <v>220</v>
      </c>
      <c r="L47" s="1">
        <v>1</v>
      </c>
      <c r="M47" s="1">
        <f>K47*L47</f>
        <v>220</v>
      </c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"/>
      <c r="D48" s="1"/>
      <c r="E48" s="1"/>
      <c r="F48" s="1"/>
      <c r="G48" s="1"/>
      <c r="H48" s="1"/>
      <c r="I48" s="1" t="s">
        <v>65</v>
      </c>
      <c r="J48" s="1"/>
      <c r="K48" s="1">
        <v>220</v>
      </c>
      <c r="L48" s="1">
        <v>1</v>
      </c>
      <c r="M48" s="1">
        <f>K48*L48</f>
        <v>220</v>
      </c>
      <c r="N48" s="1"/>
      <c r="O48" s="1"/>
      <c r="P48" s="1"/>
      <c r="Q48" s="1"/>
      <c r="R48" s="1"/>
      <c r="S48" s="1"/>
      <c r="T48" s="1"/>
    </row>
    <row r="49" spans="1:20" x14ac:dyDescent="0.25">
      <c r="A49" s="31" t="s">
        <v>66</v>
      </c>
      <c r="B49" s="31">
        <v>1</v>
      </c>
      <c r="C49" s="1"/>
      <c r="D49" s="1"/>
      <c r="E49" s="1"/>
      <c r="F49" s="1"/>
      <c r="G49" s="1"/>
      <c r="H49" s="1"/>
      <c r="I49" s="1" t="s">
        <v>67</v>
      </c>
      <c r="J49" s="1"/>
      <c r="K49" s="1">
        <v>1000</v>
      </c>
      <c r="L49" s="1">
        <v>1</v>
      </c>
      <c r="M49" s="1">
        <f>L49*K49</f>
        <v>1000</v>
      </c>
      <c r="N49" s="1"/>
      <c r="O49" s="1"/>
      <c r="P49" s="1"/>
      <c r="Q49" s="1"/>
      <c r="R49" s="1"/>
      <c r="S49" s="1"/>
      <c r="T49" s="1"/>
    </row>
    <row r="50" spans="1:20" x14ac:dyDescent="0.25">
      <c r="A50" s="1" t="s">
        <v>68</v>
      </c>
      <c r="B50" s="1">
        <v>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31" t="s">
        <v>69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>
        <f>SUM(M45:M49)</f>
        <v>22900</v>
      </c>
      <c r="N51" s="1"/>
      <c r="O51" s="1"/>
      <c r="P51" s="1"/>
      <c r="Q51" s="1"/>
      <c r="R51" s="1"/>
      <c r="S51" s="1"/>
      <c r="T51" s="1"/>
    </row>
    <row r="52" spans="1:20" x14ac:dyDescent="0.25">
      <c r="A52" s="31" t="s">
        <v>70</v>
      </c>
      <c r="B52" s="54">
        <v>1</v>
      </c>
      <c r="C52" s="1"/>
      <c r="D52" s="1"/>
      <c r="E52" s="1"/>
      <c r="F52" s="1"/>
      <c r="G52" s="1"/>
      <c r="H52" s="1"/>
      <c r="I52" s="31" t="s">
        <v>71</v>
      </c>
      <c r="J52" s="1"/>
      <c r="K52" s="1" t="s">
        <v>72</v>
      </c>
      <c r="L52" s="1" t="s">
        <v>73</v>
      </c>
      <c r="M52" s="1" t="s">
        <v>74</v>
      </c>
      <c r="N52" s="1" t="s">
        <v>25</v>
      </c>
      <c r="O52" s="1"/>
      <c r="P52" s="1"/>
      <c r="Q52" s="1"/>
      <c r="R52" s="1"/>
      <c r="S52" s="1"/>
      <c r="T52" s="1"/>
    </row>
    <row r="53" spans="1:20" ht="30" x14ac:dyDescent="0.25">
      <c r="A53" s="1"/>
      <c r="B53" s="1"/>
      <c r="C53" s="1"/>
      <c r="D53" s="36" t="s">
        <v>75</v>
      </c>
      <c r="E53" s="36" t="s">
        <v>76</v>
      </c>
      <c r="F53" s="1" t="s">
        <v>77</v>
      </c>
      <c r="G53" s="1"/>
      <c r="H53" s="1"/>
      <c r="I53" s="1" t="s">
        <v>78</v>
      </c>
      <c r="J53" s="1"/>
      <c r="K53" s="1">
        <v>200</v>
      </c>
      <c r="L53" s="1">
        <v>200</v>
      </c>
      <c r="M53" s="1">
        <v>200</v>
      </c>
      <c r="N53" s="1">
        <f>SUM(K53:M53)</f>
        <v>600</v>
      </c>
      <c r="O53" s="1"/>
      <c r="P53" s="1"/>
      <c r="Q53" s="1"/>
      <c r="R53" s="1"/>
      <c r="S53" s="1"/>
      <c r="T53" s="1"/>
    </row>
    <row r="54" spans="1:20" x14ac:dyDescent="0.25">
      <c r="A54" s="1" t="s">
        <v>79</v>
      </c>
      <c r="B54" s="1">
        <v>8</v>
      </c>
      <c r="C54" s="1"/>
      <c r="D54" s="1"/>
      <c r="E54" s="1"/>
      <c r="F54" s="1"/>
      <c r="G54" s="1"/>
      <c r="H54" s="1"/>
      <c r="I54" s="1" t="s">
        <v>80</v>
      </c>
      <c r="J54" s="1" t="s">
        <v>81</v>
      </c>
      <c r="K54" s="1">
        <v>0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5">
      <c r="A55" s="1" t="s">
        <v>82</v>
      </c>
      <c r="B55" s="1">
        <v>8</v>
      </c>
      <c r="C55" s="1"/>
      <c r="D55" s="1"/>
      <c r="E55" s="1"/>
      <c r="F55" s="1"/>
      <c r="G55" s="1"/>
      <c r="H55" s="1"/>
      <c r="I55" s="1"/>
      <c r="J55" s="1" t="s">
        <v>83</v>
      </c>
      <c r="K55" s="1">
        <v>0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5">
      <c r="A56" s="1" t="s">
        <v>84</v>
      </c>
      <c r="B56" s="1">
        <v>500</v>
      </c>
      <c r="C56" s="1"/>
      <c r="D56" s="1">
        <f>B56</f>
        <v>500</v>
      </c>
      <c r="E56" s="1">
        <f>CEILING(D56*$B$52,$B$49)</f>
        <v>500</v>
      </c>
      <c r="F56" s="31">
        <f>E56*3</f>
        <v>1500</v>
      </c>
      <c r="G56" s="1"/>
      <c r="H56" s="1"/>
      <c r="I56" s="1"/>
      <c r="J56" s="1" t="s">
        <v>85</v>
      </c>
      <c r="K56" s="1">
        <v>0</v>
      </c>
      <c r="L56" s="1">
        <v>0</v>
      </c>
      <c r="M56" s="1">
        <v>0</v>
      </c>
      <c r="N56" s="1"/>
      <c r="O56" s="1"/>
      <c r="P56" s="1"/>
      <c r="Q56" s="1"/>
      <c r="R56" s="1"/>
      <c r="S56" s="1"/>
      <c r="T56" s="1"/>
    </row>
    <row r="57" spans="1:20" x14ac:dyDescent="0.25">
      <c r="A57" s="1" t="s">
        <v>86</v>
      </c>
      <c r="B57" s="1">
        <v>150</v>
      </c>
      <c r="C57" s="1"/>
      <c r="D57" s="1">
        <f>B57*B55</f>
        <v>1200</v>
      </c>
      <c r="E57" s="1">
        <f t="shared" ref="E57:E58" si="4">CEILING(D57*$B$52,$B$49)</f>
        <v>1200</v>
      </c>
      <c r="F57" s="31">
        <f>E57*3</f>
        <v>3600</v>
      </c>
      <c r="G57" s="1"/>
      <c r="H57" s="1"/>
      <c r="I57" s="1"/>
      <c r="J57" s="1"/>
      <c r="K57" s="1">
        <f>K56+K55+K54</f>
        <v>0</v>
      </c>
      <c r="L57" s="1">
        <f t="shared" ref="L57:M57" si="5">L56+L55+L54</f>
        <v>0</v>
      </c>
      <c r="M57" s="1">
        <f t="shared" si="5"/>
        <v>0</v>
      </c>
      <c r="N57" s="1">
        <f>SUM(K57:M57)</f>
        <v>0</v>
      </c>
      <c r="O57" s="1"/>
      <c r="P57" s="1"/>
      <c r="Q57" s="1"/>
      <c r="R57" s="1"/>
      <c r="S57" s="1"/>
      <c r="T57" s="1"/>
    </row>
    <row r="58" spans="1:20" x14ac:dyDescent="0.25">
      <c r="A58" s="1" t="s">
        <v>87</v>
      </c>
      <c r="B58" s="1">
        <v>46</v>
      </c>
      <c r="C58" s="1"/>
      <c r="D58" s="1">
        <f>B58*B54</f>
        <v>368</v>
      </c>
      <c r="E58" s="1">
        <f t="shared" si="4"/>
        <v>368</v>
      </c>
      <c r="F58" s="31">
        <f>E58*3</f>
        <v>1104</v>
      </c>
      <c r="G58" s="1"/>
      <c r="H58" s="1"/>
      <c r="I58" s="1" t="s">
        <v>88</v>
      </c>
      <c r="J58" s="1"/>
      <c r="K58" s="1">
        <f>K57+K53</f>
        <v>200</v>
      </c>
      <c r="L58" s="1">
        <f t="shared" ref="L58:M58" si="6">L57+L53</f>
        <v>200</v>
      </c>
      <c r="M58" s="1">
        <f t="shared" si="6"/>
        <v>200</v>
      </c>
      <c r="N58" s="1"/>
      <c r="O58" s="1"/>
      <c r="P58" s="1"/>
      <c r="Q58" s="1"/>
      <c r="R58" s="1"/>
      <c r="S58" s="1"/>
      <c r="T58" s="1"/>
    </row>
    <row r="59" spans="1:20" x14ac:dyDescent="0.25">
      <c r="A59" s="1" t="s">
        <v>89</v>
      </c>
      <c r="B59" s="1">
        <v>500</v>
      </c>
      <c r="C59" s="1"/>
      <c r="D59" s="1">
        <f>B59</f>
        <v>500</v>
      </c>
      <c r="E59" s="1">
        <f>CEILING(D59*$B$52,$B$49)</f>
        <v>500</v>
      </c>
      <c r="F59" s="31">
        <f>E59*3</f>
        <v>1500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5">
      <c r="A61" s="1"/>
      <c r="B61" s="1"/>
      <c r="C61" s="1"/>
      <c r="D61" s="1"/>
      <c r="E61" s="1"/>
      <c r="F61" s="1"/>
      <c r="G61" s="1">
        <f>3*8800</f>
        <v>26400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5">
      <c r="A63" s="31" t="s">
        <v>25</v>
      </c>
      <c r="B63" s="1"/>
      <c r="C63" s="1"/>
      <c r="D63" s="31">
        <f>SUM(D56:D59)</f>
        <v>2568</v>
      </c>
      <c r="E63" s="31">
        <f>SUM(E56:E59)</f>
        <v>2568</v>
      </c>
      <c r="F63" s="55">
        <f>E63*3</f>
        <v>7704</v>
      </c>
      <c r="G63" s="1"/>
      <c r="H63" s="1"/>
      <c r="I63" s="1">
        <f>E63-D63</f>
        <v>0</v>
      </c>
      <c r="J63" s="1"/>
      <c r="K63" s="1">
        <f>I63+'2year'!I63+'3year'!I63</f>
        <v>0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31"/>
      <c r="B64" s="1"/>
      <c r="C64" s="1"/>
      <c r="D64" s="31"/>
      <c r="E64" s="31"/>
      <c r="F64" s="5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5">
      <c r="A65" s="31" t="s">
        <v>90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5">
      <c r="A66" s="31" t="s">
        <v>70</v>
      </c>
      <c r="B66" s="54">
        <v>0</v>
      </c>
      <c r="C66" s="1" t="s">
        <v>91</v>
      </c>
      <c r="D66" s="1">
        <v>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30" x14ac:dyDescent="0.25">
      <c r="A67" s="1"/>
      <c r="B67" s="1"/>
      <c r="C67" s="1"/>
      <c r="D67" s="56" t="s">
        <v>75</v>
      </c>
      <c r="E67" s="56" t="s">
        <v>92</v>
      </c>
      <c r="F67" s="31" t="s">
        <v>77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5">
      <c r="A68" s="1" t="s">
        <v>79</v>
      </c>
      <c r="B68" s="1">
        <v>28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5">
      <c r="A69" s="1" t="s">
        <v>82</v>
      </c>
      <c r="B69" s="1">
        <v>28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5">
      <c r="A70" s="1" t="s">
        <v>94</v>
      </c>
      <c r="B70" s="1">
        <v>400</v>
      </c>
      <c r="C70" s="1"/>
      <c r="D70" s="1">
        <f>B70</f>
        <v>400</v>
      </c>
      <c r="E70" s="31">
        <f t="shared" ref="E70:E71" si="7">CEILING(D70*$B$66,$B$49)</f>
        <v>0</v>
      </c>
      <c r="F70" s="31">
        <f>E70*$E$81</f>
        <v>0</v>
      </c>
      <c r="G70" s="1"/>
      <c r="H70" s="1"/>
      <c r="I70" s="1"/>
      <c r="J70" s="57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5">
      <c r="A71" s="1" t="s">
        <v>96</v>
      </c>
      <c r="B71" s="1">
        <v>54</v>
      </c>
      <c r="C71" s="1"/>
      <c r="D71" s="1">
        <f>B71*B69</f>
        <v>1512</v>
      </c>
      <c r="E71" s="31">
        <f t="shared" si="7"/>
        <v>0</v>
      </c>
      <c r="F71" s="31">
        <f>E71*$E$81</f>
        <v>0</v>
      </c>
      <c r="G71" s="1"/>
      <c r="H71" s="1"/>
      <c r="I71" s="1"/>
      <c r="J71" s="57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5">
      <c r="A72" s="1" t="s">
        <v>87</v>
      </c>
      <c r="B72" s="1">
        <v>20</v>
      </c>
      <c r="C72" s="1" t="s">
        <v>98</v>
      </c>
      <c r="D72" s="1">
        <f>B72*B68</f>
        <v>560</v>
      </c>
      <c r="E72" s="31">
        <f>CEILING(D72*$B$66,$B$49)*4</f>
        <v>0</v>
      </c>
      <c r="F72" s="31">
        <f>E72*$E$81</f>
        <v>0</v>
      </c>
      <c r="G72" s="1"/>
      <c r="H72" s="1"/>
      <c r="I72" s="1"/>
      <c r="J72" s="57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5">
      <c r="A73" s="1" t="s">
        <v>89</v>
      </c>
      <c r="B73" s="1">
        <v>0</v>
      </c>
      <c r="C73" s="1"/>
      <c r="D73" s="1">
        <f>B73</f>
        <v>0</v>
      </c>
      <c r="E73" s="31">
        <f>CEILING(D73*$B$66,$B$49)</f>
        <v>0</v>
      </c>
      <c r="F73" s="31">
        <f>E73*$E$81</f>
        <v>0</v>
      </c>
      <c r="G73" s="1"/>
      <c r="H73" s="1"/>
      <c r="I73" s="1"/>
      <c r="J73" s="57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5">
      <c r="A77" s="1"/>
      <c r="B77" s="1"/>
      <c r="C77" s="1"/>
      <c r="D77" s="31">
        <f>SUM(D70:D73)</f>
        <v>2472</v>
      </c>
      <c r="E77" s="31">
        <f>SUM(E70:E73)</f>
        <v>0</v>
      </c>
      <c r="F77" s="55">
        <f>E77*3</f>
        <v>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25">
      <c r="A80" s="1" t="s">
        <v>103</v>
      </c>
      <c r="B80" s="1"/>
      <c r="C80" s="1"/>
      <c r="D80" s="1">
        <v>200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5">
      <c r="A85" s="1"/>
      <c r="B85" s="1" t="s">
        <v>104</v>
      </c>
      <c r="C85" s="1">
        <v>0.41799999999999998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5">
      <c r="A87" s="31" t="s">
        <v>105</v>
      </c>
      <c r="B87" s="1"/>
      <c r="C87" s="1"/>
      <c r="D87" s="1"/>
      <c r="E87" s="1">
        <f>E89*D89</f>
        <v>160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5">
      <c r="A88" s="1"/>
      <c r="B88" s="58"/>
      <c r="C88" s="1" t="s">
        <v>23</v>
      </c>
      <c r="D88" s="1" t="s">
        <v>24</v>
      </c>
      <c r="E88" s="1" t="s">
        <v>26</v>
      </c>
      <c r="F88" s="31" t="s">
        <v>106</v>
      </c>
      <c r="G88" s="31" t="s">
        <v>107</v>
      </c>
      <c r="H88" s="1" t="s">
        <v>108</v>
      </c>
      <c r="I88" s="1" t="s">
        <v>109</v>
      </c>
      <c r="J88" s="1" t="s">
        <v>110</v>
      </c>
      <c r="K88" s="1" t="s">
        <v>111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5">
      <c r="A89" s="1"/>
      <c r="B89" s="1"/>
      <c r="C89" s="1">
        <v>40</v>
      </c>
      <c r="D89" s="1">
        <v>40</v>
      </c>
      <c r="E89" s="1">
        <v>4</v>
      </c>
      <c r="F89" s="1">
        <f>CEILING(E89*D89*C89,$B$49)</f>
        <v>6400</v>
      </c>
      <c r="G89" s="1">
        <f>CEILING(F89*$C$85,$B$49)</f>
        <v>2676</v>
      </c>
      <c r="H89" s="31">
        <f>G89+F89</f>
        <v>9076</v>
      </c>
      <c r="I89" s="1">
        <f>1*F89</f>
        <v>6400</v>
      </c>
      <c r="J89" s="1">
        <f>$C$2*G89</f>
        <v>0</v>
      </c>
      <c r="K89" s="31">
        <f>H89*$C$2</f>
        <v>0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5">
      <c r="A90" s="1"/>
      <c r="B90" s="1"/>
      <c r="C90" s="34">
        <f>C89*1.03</f>
        <v>41.2</v>
      </c>
      <c r="D90" s="1">
        <v>40</v>
      </c>
      <c r="E90" s="1">
        <v>4</v>
      </c>
      <c r="F90" s="1">
        <f>CEILING(E90*D90*C90,$B$49)</f>
        <v>6592</v>
      </c>
      <c r="G90" s="1">
        <f>CEILING(F90*$C$85,$B$49)</f>
        <v>2756</v>
      </c>
      <c r="H90" s="31">
        <f>G90+F90</f>
        <v>9348</v>
      </c>
      <c r="I90" s="1">
        <f>1*F90</f>
        <v>6592</v>
      </c>
      <c r="J90" s="1">
        <f t="shared" ref="J90:J91" si="8">$C$2*G90</f>
        <v>0</v>
      </c>
      <c r="K90" s="31">
        <f t="shared" ref="K90:K91" si="9">H90*$C$2</f>
        <v>0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5">
      <c r="A91" s="1"/>
      <c r="B91" s="1"/>
      <c r="C91" s="34">
        <f>C90*1.03</f>
        <v>42.436000000000007</v>
      </c>
      <c r="D91" s="1">
        <v>40</v>
      </c>
      <c r="E91" s="1">
        <v>4</v>
      </c>
      <c r="F91" s="1">
        <f t="shared" ref="F91" si="10">CEILING(E91*D91*C91,$B$49)</f>
        <v>6790</v>
      </c>
      <c r="G91" s="1">
        <f t="shared" ref="G91" si="11">CEILING(F91*$C$85,$B$49)</f>
        <v>2839</v>
      </c>
      <c r="H91" s="31">
        <f>G91+F91</f>
        <v>9629</v>
      </c>
      <c r="I91" s="1">
        <f>1*F91</f>
        <v>6790</v>
      </c>
      <c r="J91" s="1">
        <f t="shared" si="8"/>
        <v>0</v>
      </c>
      <c r="K91" s="31">
        <f t="shared" si="9"/>
        <v>0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5">
      <c r="A93" s="1"/>
      <c r="B93" s="1" t="s">
        <v>112</v>
      </c>
      <c r="C93" s="1"/>
      <c r="D93" s="1"/>
      <c r="E93" s="1"/>
      <c r="F93" s="59">
        <f t="shared" ref="F93:G93" si="12">SUM(F89:F91)</f>
        <v>19782</v>
      </c>
      <c r="G93" s="59">
        <f t="shared" si="12"/>
        <v>8271</v>
      </c>
      <c r="H93" s="59">
        <f>SUM(H89:H91)</f>
        <v>28053</v>
      </c>
      <c r="I93" s="59">
        <f>SUM(I89:I91)</f>
        <v>19782</v>
      </c>
      <c r="J93" s="59">
        <f>SUM(J89:J91)</f>
        <v>0</v>
      </c>
      <c r="K93" s="55">
        <f>SUM(K89:K91)</f>
        <v>0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s="1" customFormat="1" x14ac:dyDescent="0.25">
      <c r="F94" s="59"/>
      <c r="G94" s="59"/>
      <c r="H94" s="59"/>
      <c r="I94" s="59"/>
      <c r="J94" s="59"/>
      <c r="K94" s="55"/>
    </row>
    <row r="95" spans="1:20" s="1" customFormat="1" x14ac:dyDescent="0.25">
      <c r="B95" s="1" t="s">
        <v>104</v>
      </c>
      <c r="C95" s="1">
        <v>2.1000000000000001E-2</v>
      </c>
    </row>
    <row r="96" spans="1:20" s="1" customFormat="1" x14ac:dyDescent="0.25"/>
    <row r="97" spans="1:20" s="1" customFormat="1" x14ac:dyDescent="0.25">
      <c r="A97" s="31" t="s">
        <v>161</v>
      </c>
    </row>
    <row r="98" spans="1:20" s="1" customFormat="1" x14ac:dyDescent="0.25">
      <c r="B98" s="58"/>
      <c r="C98" s="1" t="s">
        <v>23</v>
      </c>
      <c r="D98" s="1" t="s">
        <v>24</v>
      </c>
      <c r="E98" s="1" t="s">
        <v>26</v>
      </c>
      <c r="F98" s="31" t="s">
        <v>106</v>
      </c>
      <c r="G98" s="31" t="s">
        <v>107</v>
      </c>
      <c r="H98" s="1" t="s">
        <v>108</v>
      </c>
      <c r="I98" s="1" t="s">
        <v>109</v>
      </c>
      <c r="J98" s="1" t="s">
        <v>110</v>
      </c>
      <c r="K98" s="1" t="s">
        <v>111</v>
      </c>
    </row>
    <row r="99" spans="1:20" x14ac:dyDescent="0.25">
      <c r="A99" s="1"/>
      <c r="B99" s="1"/>
      <c r="C99" s="1">
        <v>11</v>
      </c>
      <c r="D99" s="1">
        <v>40</v>
      </c>
      <c r="E99" s="1">
        <v>12</v>
      </c>
      <c r="F99" s="1">
        <f>CEILING(E99*D99*C99,$B$49)</f>
        <v>5280</v>
      </c>
      <c r="G99" s="1">
        <f>CEILING(F99*$C$95,$B$49)</f>
        <v>111</v>
      </c>
      <c r="H99" s="31">
        <f>G99+F99</f>
        <v>5391</v>
      </c>
      <c r="I99" s="1">
        <f>1*F99</f>
        <v>5280</v>
      </c>
      <c r="J99" s="1">
        <f>$C$2*G99</f>
        <v>0</v>
      </c>
      <c r="K99" s="31">
        <f>H99*$C$2</f>
        <v>0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25">
      <c r="A100" s="1"/>
      <c r="B100" s="1"/>
      <c r="C100" s="34">
        <f>C99*1.03</f>
        <v>11.33</v>
      </c>
      <c r="D100" s="1">
        <v>40</v>
      </c>
      <c r="E100" s="1">
        <v>12</v>
      </c>
      <c r="F100" s="1">
        <f>CEILING(E100*D100*C100,$B$49)</f>
        <v>5439</v>
      </c>
      <c r="G100" s="1">
        <f>CEILING(F100*$C$95,$B$49)</f>
        <v>115</v>
      </c>
      <c r="H100" s="31">
        <f>G100+F100</f>
        <v>5554</v>
      </c>
      <c r="I100" s="1">
        <f>1*F100</f>
        <v>5439</v>
      </c>
      <c r="J100" s="1">
        <f t="shared" ref="J100:J101" si="13">$C$2*G100</f>
        <v>0</v>
      </c>
      <c r="K100" s="31">
        <f t="shared" ref="K100:K101" si="14">H100*$C$2</f>
        <v>0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25">
      <c r="A101" s="1"/>
      <c r="B101" s="1"/>
      <c r="C101" s="34">
        <f>C100*1.03</f>
        <v>11.6699</v>
      </c>
      <c r="D101" s="1">
        <v>40</v>
      </c>
      <c r="E101" s="1">
        <v>12</v>
      </c>
      <c r="F101" s="1">
        <f t="shared" ref="F101" si="15">CEILING(E101*D101*C101,$B$49)</f>
        <v>5602</v>
      </c>
      <c r="G101" s="1">
        <f>CEILING(F101*$C$95,$B$49)</f>
        <v>118</v>
      </c>
      <c r="H101" s="31">
        <f>G101+F101</f>
        <v>5720</v>
      </c>
      <c r="I101" s="1">
        <f>1*F101</f>
        <v>5602</v>
      </c>
      <c r="J101" s="1">
        <f t="shared" si="13"/>
        <v>0</v>
      </c>
      <c r="K101" s="31">
        <f t="shared" si="14"/>
        <v>0</v>
      </c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25">
      <c r="A103" s="1"/>
      <c r="B103" s="1" t="s">
        <v>112</v>
      </c>
      <c r="C103" s="1"/>
      <c r="D103" s="1"/>
      <c r="E103" s="1"/>
      <c r="F103" s="59">
        <f t="shared" ref="F103:G103" si="16">SUM(F99:F101)</f>
        <v>16321</v>
      </c>
      <c r="G103" s="59">
        <f t="shared" si="16"/>
        <v>344</v>
      </c>
      <c r="H103" s="59">
        <f>SUM(H99:H101)</f>
        <v>16665</v>
      </c>
      <c r="I103" s="59">
        <f>SUM(I99:I101)</f>
        <v>16321</v>
      </c>
      <c r="J103" s="59">
        <f>SUM(J99:J101)</f>
        <v>0</v>
      </c>
      <c r="K103" s="55">
        <f>SUM(K99:K101)</f>
        <v>0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25">
      <c r="A104" s="31" t="s">
        <v>113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25">
      <c r="A106" s="1"/>
      <c r="B106" s="1"/>
      <c r="C106" s="1" t="s">
        <v>114</v>
      </c>
      <c r="D106" s="1" t="s">
        <v>115</v>
      </c>
      <c r="E106" s="1" t="s">
        <v>116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25">
      <c r="A107" s="1"/>
      <c r="B107" s="1" t="s">
        <v>117</v>
      </c>
      <c r="C107" s="1">
        <v>100</v>
      </c>
      <c r="D107" s="1">
        <v>0</v>
      </c>
      <c r="E107" s="1">
        <v>2</v>
      </c>
      <c r="F107" s="3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25">
      <c r="A108" s="1"/>
      <c r="B108" s="1" t="s">
        <v>118</v>
      </c>
      <c r="C108" s="1"/>
      <c r="D108" s="1"/>
      <c r="E108" s="1"/>
      <c r="F108" s="3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25">
      <c r="A109" s="1"/>
      <c r="B109" s="1" t="s">
        <v>119</v>
      </c>
      <c r="C109" s="1"/>
      <c r="D109" s="1"/>
      <c r="E109" s="1"/>
      <c r="F109" s="3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25">
      <c r="A110" s="1"/>
      <c r="B110" s="1" t="s">
        <v>120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25">
      <c r="A111" s="1"/>
      <c r="B111" s="1" t="s">
        <v>121</v>
      </c>
      <c r="C111" s="1"/>
      <c r="D111" s="1"/>
      <c r="E111" s="1"/>
      <c r="F111" s="3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25">
      <c r="A112" s="1"/>
      <c r="B112" s="1" t="s">
        <v>122</v>
      </c>
      <c r="C112" s="1"/>
      <c r="D112" s="1"/>
      <c r="E112" s="1"/>
      <c r="F112" s="3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25">
      <c r="A113" s="1"/>
      <c r="B113" s="1"/>
      <c r="C113" s="1"/>
      <c r="D113" s="1"/>
      <c r="E113" s="1"/>
      <c r="F113" s="58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25">
      <c r="A114" s="1"/>
      <c r="B114" s="1" t="s">
        <v>118</v>
      </c>
      <c r="C114" s="1"/>
      <c r="D114" s="31">
        <v>3000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25">
      <c r="A115" s="1"/>
      <c r="B115" s="1" t="s">
        <v>123</v>
      </c>
      <c r="C115" s="1" t="s">
        <v>124</v>
      </c>
      <c r="D115" s="1">
        <v>0</v>
      </c>
      <c r="E115" s="1"/>
      <c r="F115" s="58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25">
      <c r="A116" s="1"/>
      <c r="B116" s="1"/>
      <c r="C116" s="1" t="s">
        <v>193</v>
      </c>
      <c r="D116" s="1">
        <v>400</v>
      </c>
      <c r="E116" s="1"/>
      <c r="F116" s="58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25">
      <c r="A117" s="1"/>
      <c r="B117" s="1"/>
      <c r="C117" s="1" t="s">
        <v>126</v>
      </c>
      <c r="D117" s="1">
        <v>750</v>
      </c>
      <c r="E117" s="1"/>
      <c r="F117" s="58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25">
      <c r="A118" s="1"/>
      <c r="B118" s="1"/>
      <c r="C118" s="1" t="s">
        <v>189</v>
      </c>
      <c r="D118" s="1">
        <v>1000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25">
      <c r="A119" s="1"/>
      <c r="B119" s="1"/>
      <c r="C119" s="1" t="s">
        <v>128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25">
      <c r="A120" s="1"/>
      <c r="B120" s="1"/>
      <c r="C120" s="1" t="s">
        <v>129</v>
      </c>
      <c r="D120" s="1">
        <f>SUM(D115:D119)</f>
        <v>2150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25">
      <c r="A122" s="31" t="s">
        <v>130</v>
      </c>
      <c r="B122" s="1"/>
      <c r="C122" s="1"/>
      <c r="D122" s="58">
        <f>(D120+E113)</f>
        <v>2150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122"/>
  <sheetViews>
    <sheetView topLeftCell="A4" zoomScaleNormal="100" workbookViewId="0">
      <selection activeCell="C96" sqref="C96"/>
    </sheetView>
  </sheetViews>
  <sheetFormatPr defaultColWidth="9.140625" defaultRowHeight="15" x14ac:dyDescent="0.25"/>
  <cols>
    <col min="1" max="1" width="15.140625" style="1" customWidth="1"/>
    <col min="2" max="2" width="19.140625" style="1" customWidth="1"/>
    <col min="3" max="3" width="11.85546875" style="1" customWidth="1"/>
    <col min="4" max="4" width="21.85546875" style="1" customWidth="1"/>
    <col min="5" max="5" width="16.85546875" style="1" customWidth="1"/>
    <col min="6" max="6" width="9.140625" style="1"/>
    <col min="7" max="7" width="15.85546875" style="1" customWidth="1"/>
    <col min="8" max="8" width="13.85546875" style="1" customWidth="1"/>
    <col min="9" max="9" width="15.140625" style="1" customWidth="1"/>
    <col min="10" max="10" width="10.85546875" style="1" customWidth="1"/>
    <col min="11" max="11" width="11.85546875" style="1" customWidth="1"/>
    <col min="12" max="16384" width="9.140625" style="1"/>
  </cols>
  <sheetData>
    <row r="1" spans="1:15" s="31" customFormat="1" x14ac:dyDescent="0.25">
      <c r="A1" s="30" t="str">
        <f>Summary!A1</f>
        <v>MRE</v>
      </c>
      <c r="B1" s="9"/>
      <c r="C1" s="9"/>
      <c r="D1" s="9"/>
      <c r="E1" s="9"/>
      <c r="F1" s="10"/>
    </row>
    <row r="2" spans="1:15" x14ac:dyDescent="0.25">
      <c r="A2" s="12" t="str">
        <f>Summary!A2</f>
        <v>Project Period: August 1, 2021 through July 31, 2024</v>
      </c>
      <c r="B2" s="8"/>
      <c r="C2" s="8"/>
      <c r="D2" s="8"/>
      <c r="E2" s="8"/>
      <c r="F2" s="4"/>
      <c r="I2" s="1" t="s">
        <v>33</v>
      </c>
      <c r="L2" s="1">
        <v>0.307</v>
      </c>
      <c r="M2" s="1">
        <v>0.307</v>
      </c>
      <c r="N2" s="1" t="s">
        <v>4</v>
      </c>
      <c r="O2" s="1">
        <v>0.36</v>
      </c>
    </row>
    <row r="3" spans="1:15" ht="60" x14ac:dyDescent="0.25">
      <c r="A3" s="19" t="s">
        <v>0</v>
      </c>
      <c r="B3" s="20" t="s">
        <v>1</v>
      </c>
      <c r="C3" s="21" t="s">
        <v>2</v>
      </c>
      <c r="D3" s="21" t="s">
        <v>3</v>
      </c>
      <c r="E3" s="21" t="s">
        <v>4</v>
      </c>
      <c r="F3" s="45" t="s">
        <v>5</v>
      </c>
      <c r="I3" s="1" t="s">
        <v>23</v>
      </c>
      <c r="J3" s="35" t="s">
        <v>24</v>
      </c>
      <c r="L3" s="36" t="s">
        <v>167</v>
      </c>
      <c r="M3" s="36" t="s">
        <v>57</v>
      </c>
      <c r="N3" s="1" t="s">
        <v>25</v>
      </c>
    </row>
    <row r="4" spans="1:15" x14ac:dyDescent="0.25">
      <c r="A4" s="24" t="s">
        <v>14</v>
      </c>
      <c r="B4" s="28" t="s">
        <v>6</v>
      </c>
      <c r="C4" s="29" t="s">
        <v>30</v>
      </c>
      <c r="D4" s="1">
        <f>K4+K5</f>
        <v>2795.8319999999999</v>
      </c>
      <c r="E4" s="46">
        <f>M4+M5</f>
        <v>858.320424</v>
      </c>
      <c r="F4" s="27">
        <f t="shared" ref="F4:F10" si="0">SUM(D4:E4)</f>
        <v>3654.1524239999999</v>
      </c>
      <c r="G4" s="1" t="s">
        <v>17</v>
      </c>
      <c r="I4" s="1">
        <f>J20</f>
        <v>69.895799999999994</v>
      </c>
      <c r="J4" s="1">
        <v>40</v>
      </c>
      <c r="K4" s="1">
        <f>J4*I4</f>
        <v>2795.8319999999999</v>
      </c>
      <c r="M4" s="1">
        <f>K4*M2</f>
        <v>858.320424</v>
      </c>
      <c r="N4" s="1">
        <f>M4+K4</f>
        <v>3654.1524239999999</v>
      </c>
    </row>
    <row r="5" spans="1:15" ht="15.75" x14ac:dyDescent="0.25">
      <c r="A5" s="49" t="s">
        <v>48</v>
      </c>
      <c r="B5" s="28" t="s">
        <v>46</v>
      </c>
      <c r="C5" s="29"/>
      <c r="D5" s="1">
        <f>F90</f>
        <v>4944</v>
      </c>
      <c r="E5" s="46">
        <f>G90</f>
        <v>2067</v>
      </c>
      <c r="F5" s="27">
        <f t="shared" si="0"/>
        <v>7011</v>
      </c>
      <c r="G5" s="1" t="s">
        <v>58</v>
      </c>
      <c r="I5" s="1">
        <f>I4</f>
        <v>69.895799999999994</v>
      </c>
      <c r="J5" s="1">
        <v>0</v>
      </c>
      <c r="K5" s="1">
        <f>J5*I5</f>
        <v>0</v>
      </c>
      <c r="N5" s="1">
        <f>M5+K5</f>
        <v>0</v>
      </c>
    </row>
    <row r="6" spans="1:15" x14ac:dyDescent="0.25">
      <c r="A6" s="11" t="s">
        <v>15</v>
      </c>
      <c r="B6" s="6" t="s">
        <v>176</v>
      </c>
      <c r="C6" s="7"/>
      <c r="D6" s="26">
        <f>L11</f>
        <v>55702.400000000001</v>
      </c>
      <c r="E6" s="41">
        <f>M11</f>
        <v>23283.603200000001</v>
      </c>
      <c r="F6" s="43">
        <f t="shared" si="0"/>
        <v>78986.003200000006</v>
      </c>
      <c r="G6" s="1" t="str">
        <f>'1year'!G6</f>
        <v>Elowyn</v>
      </c>
      <c r="I6" s="1">
        <f>'1year'!I6*1.03</f>
        <v>73.449300000000008</v>
      </c>
      <c r="J6" s="1">
        <v>40</v>
      </c>
      <c r="K6" s="1">
        <f>J6*I6</f>
        <v>2937.9720000000002</v>
      </c>
      <c r="M6" s="1">
        <f>K6*M2</f>
        <v>901.957404</v>
      </c>
      <c r="N6" s="1">
        <f>M6+K6</f>
        <v>3839.9294040000004</v>
      </c>
    </row>
    <row r="7" spans="1:15" x14ac:dyDescent="0.25">
      <c r="A7" s="11" t="s">
        <v>160</v>
      </c>
      <c r="B7" s="6" t="s">
        <v>179</v>
      </c>
      <c r="C7" s="7"/>
      <c r="D7" s="26">
        <f>L12</f>
        <v>0</v>
      </c>
      <c r="E7" s="41">
        <f>M12</f>
        <v>0</v>
      </c>
      <c r="F7" s="43">
        <f>E7+D7</f>
        <v>0</v>
      </c>
      <c r="G7" s="50">
        <f>SUM(D6:D7)</f>
        <v>55702.400000000001</v>
      </c>
      <c r="J7" s="1">
        <v>160</v>
      </c>
      <c r="K7" s="1">
        <f>J4/J7</f>
        <v>0.25</v>
      </c>
    </row>
    <row r="8" spans="1:15" x14ac:dyDescent="0.25">
      <c r="A8" s="11" t="s">
        <v>15</v>
      </c>
      <c r="B8" s="6" t="s">
        <v>166</v>
      </c>
      <c r="C8" s="7" t="s">
        <v>30</v>
      </c>
      <c r="D8" s="5">
        <f>F100</f>
        <v>5439</v>
      </c>
      <c r="E8" s="5">
        <f>G100</f>
        <v>115</v>
      </c>
      <c r="F8" s="43">
        <f>SUM(D8:E8)</f>
        <v>5554</v>
      </c>
    </row>
    <row r="9" spans="1:15" x14ac:dyDescent="0.25">
      <c r="A9" s="11" t="s">
        <v>15</v>
      </c>
      <c r="B9" s="6" t="s">
        <v>166</v>
      </c>
      <c r="C9" s="7"/>
      <c r="D9" s="5">
        <f>D8</f>
        <v>5439</v>
      </c>
      <c r="E9" s="5">
        <f>E8</f>
        <v>115</v>
      </c>
      <c r="F9" s="43">
        <f t="shared" si="0"/>
        <v>5554</v>
      </c>
      <c r="G9" s="50">
        <f>D9+D8</f>
        <v>10878</v>
      </c>
      <c r="I9" s="1" t="s">
        <v>32</v>
      </c>
      <c r="L9" s="1" t="s">
        <v>131</v>
      </c>
      <c r="M9" s="1">
        <v>0.41799999999999998</v>
      </c>
      <c r="N9" s="1">
        <v>2.1000000000000001E-2</v>
      </c>
    </row>
    <row r="10" spans="1:15" x14ac:dyDescent="0.25">
      <c r="A10" s="11" t="str">
        <f>'1year'!A10</f>
        <v>Elowyn Yager</v>
      </c>
      <c r="B10" s="6"/>
      <c r="C10" s="7"/>
      <c r="D10" s="32">
        <f>K6</f>
        <v>2937.9720000000002</v>
      </c>
      <c r="E10" s="5">
        <f>M6</f>
        <v>901.957404</v>
      </c>
      <c r="F10" s="43">
        <f t="shared" si="0"/>
        <v>3839.9294040000004</v>
      </c>
      <c r="I10" s="1" t="s">
        <v>23</v>
      </c>
      <c r="J10" s="1" t="s">
        <v>24</v>
      </c>
      <c r="K10" s="1" t="s">
        <v>26</v>
      </c>
      <c r="M10" s="1" t="s">
        <v>29</v>
      </c>
      <c r="N10" s="1" t="s">
        <v>25</v>
      </c>
    </row>
    <row r="11" spans="1:15" x14ac:dyDescent="0.25">
      <c r="A11" s="12" t="s">
        <v>8</v>
      </c>
      <c r="B11" s="8"/>
      <c r="C11" s="8"/>
      <c r="D11" s="32">
        <f>SUM(D4:D10)</f>
        <v>77258.203999999998</v>
      </c>
      <c r="E11" s="32">
        <f>SUM(E4:E10)</f>
        <v>27340.881028000003</v>
      </c>
      <c r="F11" s="33">
        <f>SUM(F4:F10)</f>
        <v>104599.085028</v>
      </c>
      <c r="I11" s="1">
        <f>J29</f>
        <v>26.78</v>
      </c>
      <c r="J11" s="1">
        <v>40</v>
      </c>
      <c r="K11" s="1">
        <v>52</v>
      </c>
      <c r="L11" s="1">
        <f>K11*J11*I11</f>
        <v>55702.400000000001</v>
      </c>
      <c r="M11" s="1">
        <f>L11*M9</f>
        <v>23283.603200000001</v>
      </c>
      <c r="N11" s="1">
        <f>M11+L11</f>
        <v>78986.003200000006</v>
      </c>
    </row>
    <row r="12" spans="1:15" x14ac:dyDescent="0.25">
      <c r="A12" s="11"/>
      <c r="B12" s="6"/>
      <c r="C12" s="6"/>
      <c r="D12" s="5"/>
      <c r="E12" s="5"/>
      <c r="F12" s="15"/>
      <c r="I12" s="1">
        <f>J30</f>
        <v>21.63</v>
      </c>
      <c r="J12" s="1">
        <v>0</v>
      </c>
      <c r="K12" s="1">
        <v>52</v>
      </c>
      <c r="L12" s="1">
        <f>K12*J12*I12</f>
        <v>0</v>
      </c>
      <c r="M12" s="1">
        <f>L12*N9</f>
        <v>0</v>
      </c>
      <c r="N12" s="1">
        <f>M12+L12</f>
        <v>0</v>
      </c>
    </row>
    <row r="13" spans="1:15" x14ac:dyDescent="0.25">
      <c r="A13" s="12" t="s">
        <v>10</v>
      </c>
      <c r="B13" s="6"/>
      <c r="C13" s="6"/>
      <c r="D13" s="6"/>
      <c r="E13" s="6"/>
      <c r="F13" s="16"/>
    </row>
    <row r="14" spans="1:15" x14ac:dyDescent="0.25">
      <c r="A14" s="11" t="s">
        <v>44</v>
      </c>
      <c r="B14" s="6"/>
      <c r="C14" s="6"/>
      <c r="D14" s="6"/>
      <c r="E14" s="39">
        <f>E63+D80</f>
        <v>3044.8</v>
      </c>
      <c r="F14" s="42">
        <f>E14</f>
        <v>3044.8</v>
      </c>
      <c r="N14" s="38"/>
      <c r="O14" s="1">
        <f>N12*1.45</f>
        <v>0</v>
      </c>
    </row>
    <row r="15" spans="1:15" x14ac:dyDescent="0.25">
      <c r="A15" s="11" t="s">
        <v>45</v>
      </c>
      <c r="B15" s="6"/>
      <c r="C15" s="6"/>
      <c r="D15" s="6" t="s">
        <v>9</v>
      </c>
      <c r="E15" s="39">
        <v>5000</v>
      </c>
      <c r="F15" s="42">
        <f>E15</f>
        <v>5000</v>
      </c>
      <c r="N15" s="37"/>
    </row>
    <row r="16" spans="1:15" x14ac:dyDescent="0.25">
      <c r="A16" s="11"/>
      <c r="B16" s="6"/>
      <c r="C16" s="6"/>
      <c r="D16" s="6"/>
      <c r="E16" s="40"/>
      <c r="F16" s="23"/>
    </row>
    <row r="17" spans="1:19" x14ac:dyDescent="0.25">
      <c r="A17" s="12" t="s">
        <v>21</v>
      </c>
      <c r="B17" s="6"/>
      <c r="C17" s="6"/>
      <c r="D17" s="6"/>
      <c r="E17" s="6"/>
      <c r="F17" s="15"/>
      <c r="I17" s="1" t="s">
        <v>42</v>
      </c>
      <c r="Q17" s="1">
        <v>5000</v>
      </c>
      <c r="R17" s="1">
        <f>Q17/Q18</f>
        <v>416.66666666666669</v>
      </c>
    </row>
    <row r="18" spans="1:19" x14ac:dyDescent="0.25">
      <c r="A18" s="11" t="str">
        <f>'1year'!A18</f>
        <v>data management</v>
      </c>
      <c r="B18" s="6"/>
      <c r="C18" s="6"/>
      <c r="D18" s="6"/>
      <c r="E18" s="6"/>
      <c r="F18" s="15">
        <v>500</v>
      </c>
      <c r="I18" s="1" t="s">
        <v>34</v>
      </c>
      <c r="J18" s="1" t="s">
        <v>35</v>
      </c>
      <c r="K18" s="1" t="s">
        <v>36</v>
      </c>
      <c r="L18" s="1" t="s">
        <v>37</v>
      </c>
      <c r="M18" s="1" t="s">
        <v>38</v>
      </c>
      <c r="Q18" s="1">
        <v>12</v>
      </c>
    </row>
    <row r="19" spans="1:19" x14ac:dyDescent="0.25">
      <c r="A19" s="11" t="s">
        <v>20</v>
      </c>
      <c r="B19" s="6"/>
      <c r="C19" s="6"/>
      <c r="D19" s="6"/>
      <c r="E19" s="6"/>
      <c r="F19" s="15">
        <v>0</v>
      </c>
      <c r="I19" s="1">
        <f>'1year'!I19</f>
        <v>67.86</v>
      </c>
      <c r="J19" s="1">
        <f>I19*1.03</f>
        <v>69.895799999999994</v>
      </c>
      <c r="K19" s="1">
        <f>J19*1.03</f>
        <v>71.992673999999994</v>
      </c>
      <c r="L19" s="1">
        <f>K19*1.03</f>
        <v>74.152454219999996</v>
      </c>
      <c r="M19" s="1">
        <f>L19*1.03</f>
        <v>76.377027846600001</v>
      </c>
    </row>
    <row r="20" spans="1:19" x14ac:dyDescent="0.25">
      <c r="A20" s="11" t="s">
        <v>192</v>
      </c>
      <c r="B20" s="6"/>
      <c r="C20" s="6"/>
      <c r="D20" s="6"/>
      <c r="E20" s="6"/>
      <c r="F20" s="15">
        <v>1000</v>
      </c>
      <c r="I20" s="1">
        <f>'1year'!I20</f>
        <v>67.86</v>
      </c>
      <c r="J20" s="1">
        <f>I20*1.03</f>
        <v>69.895799999999994</v>
      </c>
      <c r="K20" s="1">
        <f t="shared" ref="K20:M20" si="1">J20*1.03</f>
        <v>71.992673999999994</v>
      </c>
      <c r="L20" s="1">
        <f t="shared" si="1"/>
        <v>74.152454219999996</v>
      </c>
      <c r="M20" s="1">
        <f t="shared" si="1"/>
        <v>76.377027846600001</v>
      </c>
    </row>
    <row r="21" spans="1:19" x14ac:dyDescent="0.25">
      <c r="A21" s="11" t="s">
        <v>47</v>
      </c>
      <c r="B21" s="6"/>
      <c r="C21" s="6"/>
      <c r="D21" s="6"/>
      <c r="E21" s="6"/>
      <c r="F21" s="15">
        <f>'Flume costs'!G25</f>
        <v>0</v>
      </c>
    </row>
    <row r="22" spans="1:19" x14ac:dyDescent="0.25">
      <c r="A22" s="11" t="s">
        <v>49</v>
      </c>
      <c r="B22" s="6"/>
      <c r="C22" s="6"/>
      <c r="D22" s="6"/>
      <c r="E22" s="6"/>
      <c r="F22" s="15">
        <v>500</v>
      </c>
      <c r="G22" s="50"/>
    </row>
    <row r="23" spans="1:19" x14ac:dyDescent="0.25">
      <c r="A23" s="25" t="s">
        <v>159</v>
      </c>
      <c r="B23" s="6"/>
      <c r="C23" s="6"/>
      <c r="D23" s="6"/>
      <c r="E23" s="6"/>
      <c r="F23" s="15">
        <v>0</v>
      </c>
      <c r="G23" s="76">
        <f>SUM(F18:F23)-F19</f>
        <v>2000</v>
      </c>
      <c r="H23" s="77" t="s">
        <v>171</v>
      </c>
    </row>
    <row r="24" spans="1:19" x14ac:dyDescent="0.25">
      <c r="A24" s="11" t="s">
        <v>188</v>
      </c>
      <c r="B24" s="6"/>
      <c r="C24" s="6"/>
      <c r="D24" s="6"/>
      <c r="E24" s="6"/>
      <c r="F24" s="15">
        <v>1500</v>
      </c>
      <c r="G24" s="78">
        <f>SUM(F18:F23)+F33</f>
        <v>2000</v>
      </c>
      <c r="H24" s="79" t="s">
        <v>172</v>
      </c>
    </row>
    <row r="25" spans="1:19" x14ac:dyDescent="0.25">
      <c r="A25" s="14" t="s">
        <v>11</v>
      </c>
      <c r="B25" s="3"/>
      <c r="C25" s="3"/>
      <c r="D25" s="3"/>
      <c r="E25" s="3"/>
      <c r="F25" s="15">
        <f>SUM(F11:F24)</f>
        <v>116143.885028</v>
      </c>
      <c r="G25" s="80">
        <f>F25+SUM(F29:F33)</f>
        <v>116143.885028</v>
      </c>
      <c r="H25" s="81" t="s">
        <v>173</v>
      </c>
    </row>
    <row r="26" spans="1:19" x14ac:dyDescent="0.25">
      <c r="A26" s="13" t="s">
        <v>170</v>
      </c>
      <c r="B26" s="2"/>
      <c r="C26" s="2">
        <f>'1year'!C26</f>
        <v>0.47499999999999998</v>
      </c>
      <c r="D26" s="2"/>
      <c r="E26" s="2"/>
      <c r="F26" s="15">
        <f>F25*C26</f>
        <v>55168.345388299997</v>
      </c>
    </row>
    <row r="27" spans="1:19" x14ac:dyDescent="0.25">
      <c r="A27" s="12"/>
      <c r="B27" s="6"/>
      <c r="C27" s="6"/>
      <c r="D27" s="6"/>
      <c r="E27" s="6"/>
      <c r="F27" s="15"/>
      <c r="I27" s="1" t="s">
        <v>39</v>
      </c>
      <c r="S27" s="48"/>
    </row>
    <row r="28" spans="1:19" x14ac:dyDescent="0.25">
      <c r="A28" s="12" t="s">
        <v>22</v>
      </c>
      <c r="B28" s="6"/>
      <c r="C28" s="6"/>
      <c r="D28" s="6"/>
      <c r="E28" s="6"/>
      <c r="F28" s="15"/>
      <c r="I28" s="1" t="s">
        <v>34</v>
      </c>
      <c r="J28" s="1" t="s">
        <v>35</v>
      </c>
      <c r="K28" s="1" t="s">
        <v>36</v>
      </c>
      <c r="L28" s="1" t="s">
        <v>37</v>
      </c>
      <c r="M28" s="1" t="s">
        <v>38</v>
      </c>
    </row>
    <row r="29" spans="1:19" x14ac:dyDescent="0.25">
      <c r="A29" s="25"/>
      <c r="B29" s="6"/>
      <c r="C29" s="6"/>
      <c r="D29" s="6"/>
      <c r="E29" s="6"/>
      <c r="F29" s="15"/>
      <c r="I29" s="1">
        <f>'1year'!I29</f>
        <v>26</v>
      </c>
      <c r="J29" s="1">
        <f>I29*1.03</f>
        <v>26.78</v>
      </c>
      <c r="K29" s="1">
        <f>J29*1.03</f>
        <v>27.583400000000001</v>
      </c>
      <c r="L29" s="1">
        <f>K29*1.03</f>
        <v>28.410902</v>
      </c>
      <c r="M29" s="1">
        <f>L29*1.03</f>
        <v>29.26322906</v>
      </c>
    </row>
    <row r="30" spans="1:19" x14ac:dyDescent="0.25">
      <c r="A30" s="25"/>
      <c r="B30" s="6"/>
      <c r="C30" s="6"/>
      <c r="D30" s="6"/>
      <c r="E30" s="6"/>
      <c r="F30" s="15"/>
      <c r="H30" s="1" t="s">
        <v>18</v>
      </c>
      <c r="I30" s="1">
        <v>21</v>
      </c>
      <c r="J30" s="1">
        <f>I30*1.03</f>
        <v>21.63</v>
      </c>
      <c r="K30" s="1">
        <f t="shared" ref="K30:M30" si="2">J30*1.03</f>
        <v>22.2789</v>
      </c>
      <c r="L30" s="1">
        <f t="shared" si="2"/>
        <v>22.947267</v>
      </c>
      <c r="M30" s="1">
        <f t="shared" si="2"/>
        <v>23.63568501</v>
      </c>
    </row>
    <row r="31" spans="1:19" x14ac:dyDescent="0.25">
      <c r="A31" s="25"/>
      <c r="B31" s="6"/>
      <c r="C31" s="6"/>
      <c r="D31" s="6"/>
      <c r="E31" s="6"/>
      <c r="F31" s="15"/>
      <c r="H31" s="1" t="s">
        <v>162</v>
      </c>
      <c r="I31" s="1">
        <v>2</v>
      </c>
    </row>
    <row r="32" spans="1:19" x14ac:dyDescent="0.25">
      <c r="A32" s="12" t="s">
        <v>12</v>
      </c>
      <c r="B32" s="6"/>
      <c r="C32" s="6"/>
      <c r="D32" s="6"/>
      <c r="E32" s="6"/>
      <c r="F32" s="15"/>
      <c r="I32" s="1" t="s">
        <v>34</v>
      </c>
      <c r="J32" s="1" t="s">
        <v>35</v>
      </c>
      <c r="K32" s="1" t="s">
        <v>36</v>
      </c>
      <c r="L32" s="1" t="s">
        <v>37</v>
      </c>
      <c r="M32" s="1" t="s">
        <v>38</v>
      </c>
    </row>
    <row r="33" spans="1:14" x14ac:dyDescent="0.25">
      <c r="A33" s="25" t="s">
        <v>31</v>
      </c>
      <c r="B33" s="6"/>
      <c r="C33" s="6"/>
      <c r="D33" s="6"/>
      <c r="E33" s="6"/>
      <c r="F33" s="18">
        <f>J33*2</f>
        <v>0</v>
      </c>
      <c r="I33" s="1">
        <f>'1year'!I33</f>
        <v>0</v>
      </c>
      <c r="J33" s="1">
        <f>I33*1.1</f>
        <v>0</v>
      </c>
      <c r="K33" s="1">
        <f>J33*1.1</f>
        <v>0</v>
      </c>
      <c r="L33" s="1">
        <f>K33*1.1</f>
        <v>0</v>
      </c>
      <c r="M33" s="1">
        <f>L33*1.1</f>
        <v>0</v>
      </c>
    </row>
    <row r="34" spans="1:14" x14ac:dyDescent="0.25">
      <c r="A34" s="11"/>
      <c r="B34" s="6"/>
      <c r="C34" s="6"/>
      <c r="D34" s="6"/>
      <c r="E34" s="6"/>
      <c r="F34" s="17"/>
      <c r="I34" s="1">
        <f>I33*2*$I$31</f>
        <v>0</v>
      </c>
      <c r="J34" s="1">
        <f t="shared" ref="J34:M34" si="3">J33*2*$I$31</f>
        <v>0</v>
      </c>
      <c r="K34" s="1">
        <f t="shared" si="3"/>
        <v>0</v>
      </c>
      <c r="L34" s="1">
        <f t="shared" si="3"/>
        <v>0</v>
      </c>
      <c r="M34" s="1">
        <f t="shared" si="3"/>
        <v>0</v>
      </c>
    </row>
    <row r="35" spans="1:14" x14ac:dyDescent="0.25">
      <c r="A35" s="13" t="s">
        <v>13</v>
      </c>
      <c r="B35" s="2"/>
      <c r="C35" s="2"/>
      <c r="D35" s="2"/>
      <c r="E35" s="2"/>
      <c r="F35" s="22">
        <f>SUM(F25:F33)</f>
        <v>171312.23041630001</v>
      </c>
    </row>
    <row r="37" spans="1:14" x14ac:dyDescent="0.25">
      <c r="H37" s="1" t="s">
        <v>54</v>
      </c>
      <c r="I37" s="1">
        <v>3060</v>
      </c>
    </row>
    <row r="38" spans="1:14" x14ac:dyDescent="0.25">
      <c r="H38" s="1" t="s">
        <v>53</v>
      </c>
      <c r="I38" s="1">
        <v>694</v>
      </c>
    </row>
    <row r="39" spans="1:14" x14ac:dyDescent="0.25">
      <c r="E39" s="1">
        <v>2000</v>
      </c>
      <c r="H39" s="1" t="s">
        <v>55</v>
      </c>
      <c r="I39" s="1">
        <f>I38+I37</f>
        <v>3754</v>
      </c>
      <c r="J39" s="1">
        <f>I39*1.1</f>
        <v>4129.4000000000005</v>
      </c>
    </row>
    <row r="40" spans="1:14" x14ac:dyDescent="0.25">
      <c r="E40" s="1">
        <v>3000</v>
      </c>
    </row>
    <row r="41" spans="1:14" x14ac:dyDescent="0.25">
      <c r="E41" s="1">
        <f>2*250</f>
        <v>500</v>
      </c>
    </row>
    <row r="42" spans="1:14" x14ac:dyDescent="0.25">
      <c r="B42" s="52">
        <v>8640</v>
      </c>
      <c r="E42" s="1">
        <f>2*250</f>
        <v>500</v>
      </c>
    </row>
    <row r="43" spans="1:14" x14ac:dyDescent="0.25">
      <c r="B43" s="53">
        <f>B42/3</f>
        <v>2880</v>
      </c>
      <c r="E43" s="1">
        <f>2*750</f>
        <v>1500</v>
      </c>
      <c r="I43" s="1" t="s">
        <v>59</v>
      </c>
      <c r="N43" s="38"/>
    </row>
    <row r="44" spans="1:14" x14ac:dyDescent="0.25">
      <c r="E44" s="1">
        <f>SUM(E39:E43)</f>
        <v>7500</v>
      </c>
      <c r="K44" s="1" t="s">
        <v>60</v>
      </c>
      <c r="L44" s="1" t="s">
        <v>61</v>
      </c>
      <c r="N44" s="37"/>
    </row>
    <row r="45" spans="1:14" x14ac:dyDescent="0.25">
      <c r="I45" s="1" t="s">
        <v>62</v>
      </c>
      <c r="K45" s="1">
        <v>125</v>
      </c>
      <c r="L45" s="1">
        <f>12*3*2+4</f>
        <v>76</v>
      </c>
      <c r="M45" s="1">
        <f>L45*K45</f>
        <v>9500</v>
      </c>
    </row>
    <row r="46" spans="1:14" x14ac:dyDescent="0.25">
      <c r="I46" s="1" t="s">
        <v>63</v>
      </c>
      <c r="K46" s="1">
        <v>460</v>
      </c>
      <c r="L46" s="1">
        <v>26</v>
      </c>
      <c r="M46" s="1">
        <f>L46*K46</f>
        <v>11960</v>
      </c>
    </row>
    <row r="47" spans="1:14" x14ac:dyDescent="0.25">
      <c r="I47" s="1" t="s">
        <v>64</v>
      </c>
      <c r="K47" s="1">
        <v>220</v>
      </c>
      <c r="L47" s="1">
        <v>1</v>
      </c>
      <c r="M47" s="1">
        <f>K47*L47</f>
        <v>220</v>
      </c>
    </row>
    <row r="48" spans="1:14" x14ac:dyDescent="0.25">
      <c r="I48" s="1" t="s">
        <v>65</v>
      </c>
      <c r="K48" s="1">
        <v>220</v>
      </c>
      <c r="L48" s="1">
        <v>1</v>
      </c>
      <c r="M48" s="1">
        <f>K48*L48</f>
        <v>220</v>
      </c>
    </row>
    <row r="49" spans="1:14" x14ac:dyDescent="0.25">
      <c r="A49" s="31" t="s">
        <v>66</v>
      </c>
      <c r="B49" s="31">
        <v>1</v>
      </c>
      <c r="I49" s="1" t="s">
        <v>67</v>
      </c>
      <c r="K49" s="1">
        <v>1000</v>
      </c>
      <c r="L49" s="1">
        <v>1</v>
      </c>
      <c r="M49" s="1">
        <f>L49*K49</f>
        <v>1000</v>
      </c>
    </row>
    <row r="50" spans="1:14" x14ac:dyDescent="0.25">
      <c r="A50" s="1" t="s">
        <v>68</v>
      </c>
      <c r="B50" s="1">
        <v>0</v>
      </c>
    </row>
    <row r="51" spans="1:14" x14ac:dyDescent="0.25">
      <c r="A51" s="31" t="s">
        <v>69</v>
      </c>
      <c r="M51" s="1">
        <f>SUM(M45:M49)</f>
        <v>22900</v>
      </c>
    </row>
    <row r="52" spans="1:14" x14ac:dyDescent="0.25">
      <c r="A52" s="31" t="s">
        <v>70</v>
      </c>
      <c r="B52" s="54">
        <v>1</v>
      </c>
      <c r="I52" s="31" t="s">
        <v>71</v>
      </c>
      <c r="K52" s="1" t="s">
        <v>72</v>
      </c>
      <c r="L52" s="1" t="s">
        <v>73</v>
      </c>
      <c r="M52" s="1" t="s">
        <v>74</v>
      </c>
      <c r="N52" s="1" t="s">
        <v>25</v>
      </c>
    </row>
    <row r="53" spans="1:14" ht="30" x14ac:dyDescent="0.25">
      <c r="D53" s="36" t="s">
        <v>75</v>
      </c>
      <c r="E53" s="36" t="s">
        <v>76</v>
      </c>
      <c r="F53" s="1" t="s">
        <v>77</v>
      </c>
      <c r="I53" s="1" t="s">
        <v>78</v>
      </c>
      <c r="K53" s="1">
        <v>200</v>
      </c>
      <c r="L53" s="1">
        <v>200</v>
      </c>
      <c r="M53" s="1">
        <v>200</v>
      </c>
      <c r="N53" s="1">
        <f>SUM(K53:M53)</f>
        <v>600</v>
      </c>
    </row>
    <row r="54" spans="1:14" x14ac:dyDescent="0.25">
      <c r="A54" s="1" t="s">
        <v>79</v>
      </c>
      <c r="B54" s="1">
        <v>8</v>
      </c>
      <c r="I54" s="1" t="s">
        <v>80</v>
      </c>
      <c r="J54" s="1" t="s">
        <v>81</v>
      </c>
      <c r="K54" s="1">
        <v>0</v>
      </c>
    </row>
    <row r="55" spans="1:14" x14ac:dyDescent="0.25">
      <c r="A55" s="1" t="s">
        <v>82</v>
      </c>
      <c r="B55" s="1">
        <f>'1year'!B55</f>
        <v>8</v>
      </c>
      <c r="J55" s="1" t="s">
        <v>83</v>
      </c>
      <c r="K55" s="1">
        <v>0</v>
      </c>
    </row>
    <row r="56" spans="1:14" x14ac:dyDescent="0.25">
      <c r="A56" s="1" t="s">
        <v>84</v>
      </c>
      <c r="B56" s="1">
        <f>'1year'!B56</f>
        <v>500</v>
      </c>
      <c r="D56" s="1">
        <f>B56</f>
        <v>500</v>
      </c>
      <c r="E56" s="1">
        <f>CEILING(D56*$B$52,$B$49)</f>
        <v>500</v>
      </c>
      <c r="F56" s="31">
        <f>E56*3</f>
        <v>1500</v>
      </c>
      <c r="J56" s="1" t="s">
        <v>85</v>
      </c>
      <c r="K56" s="1">
        <v>0</v>
      </c>
      <c r="L56" s="1">
        <v>0</v>
      </c>
      <c r="M56" s="1">
        <v>0</v>
      </c>
    </row>
    <row r="57" spans="1:14" x14ac:dyDescent="0.25">
      <c r="A57" s="1" t="s">
        <v>86</v>
      </c>
      <c r="B57" s="1">
        <f>'1year'!B57</f>
        <v>150</v>
      </c>
      <c r="D57" s="1">
        <f>B57*B55</f>
        <v>1200</v>
      </c>
      <c r="E57" s="1">
        <f t="shared" ref="E57:E59" si="4">CEILING(D57*$B$52,$B$49)</f>
        <v>1200</v>
      </c>
      <c r="F57" s="31">
        <f>E57*3</f>
        <v>3600</v>
      </c>
      <c r="K57" s="1">
        <f>K56+K55+K54</f>
        <v>0</v>
      </c>
      <c r="L57" s="1">
        <f t="shared" ref="L57:M57" si="5">L56+L55+L54</f>
        <v>0</v>
      </c>
      <c r="M57" s="1">
        <f t="shared" si="5"/>
        <v>0</v>
      </c>
      <c r="N57" s="1">
        <f>SUM(K57:M57)</f>
        <v>0</v>
      </c>
    </row>
    <row r="58" spans="1:14" x14ac:dyDescent="0.25">
      <c r="A58" s="1" t="s">
        <v>87</v>
      </c>
      <c r="B58" s="1">
        <f>'1year'!B58</f>
        <v>46</v>
      </c>
      <c r="D58" s="1">
        <f>B58*B54</f>
        <v>368</v>
      </c>
      <c r="E58" s="1">
        <f t="shared" si="4"/>
        <v>368</v>
      </c>
      <c r="F58" s="31">
        <f>E58*3</f>
        <v>1104</v>
      </c>
      <c r="I58" s="1" t="s">
        <v>88</v>
      </c>
      <c r="K58" s="1">
        <f>K57+K53</f>
        <v>200</v>
      </c>
      <c r="L58" s="1">
        <f t="shared" ref="L58:M58" si="6">L57+L53</f>
        <v>200</v>
      </c>
      <c r="M58" s="1">
        <f t="shared" si="6"/>
        <v>200</v>
      </c>
    </row>
    <row r="59" spans="1:14" x14ac:dyDescent="0.25">
      <c r="A59" s="1" t="s">
        <v>89</v>
      </c>
      <c r="B59" s="1">
        <f>'1year'!B59</f>
        <v>500</v>
      </c>
      <c r="D59" s="1">
        <f>B59</f>
        <v>500</v>
      </c>
      <c r="E59" s="1">
        <f t="shared" si="4"/>
        <v>500</v>
      </c>
      <c r="F59" s="31">
        <f>E59*3</f>
        <v>1500</v>
      </c>
    </row>
    <row r="61" spans="1:14" x14ac:dyDescent="0.25">
      <c r="G61" s="1">
        <f>3*8800</f>
        <v>26400</v>
      </c>
    </row>
    <row r="63" spans="1:14" x14ac:dyDescent="0.25">
      <c r="A63" s="31" t="s">
        <v>25</v>
      </c>
      <c r="D63" s="31">
        <f>SUM(D56:D59)*1.1</f>
        <v>2824.8</v>
      </c>
      <c r="E63" s="31">
        <f>SUM(E56:E59)*1.1</f>
        <v>2824.8</v>
      </c>
      <c r="F63" s="55">
        <f>E63*3</f>
        <v>8474.4000000000015</v>
      </c>
      <c r="I63" s="1">
        <f>E63-D63</f>
        <v>0</v>
      </c>
    </row>
    <row r="64" spans="1:14" x14ac:dyDescent="0.25">
      <c r="A64" s="31"/>
      <c r="D64" s="31"/>
      <c r="E64" s="31"/>
      <c r="F64" s="55"/>
    </row>
    <row r="65" spans="1:10" x14ac:dyDescent="0.25">
      <c r="A65" s="31" t="s">
        <v>90</v>
      </c>
    </row>
    <row r="66" spans="1:10" x14ac:dyDescent="0.25">
      <c r="A66" s="31" t="s">
        <v>70</v>
      </c>
      <c r="B66" s="54">
        <v>0</v>
      </c>
      <c r="C66" s="1" t="s">
        <v>91</v>
      </c>
      <c r="D66" s="1">
        <v>3</v>
      </c>
    </row>
    <row r="67" spans="1:10" ht="30" x14ac:dyDescent="0.25">
      <c r="D67" s="56" t="s">
        <v>75</v>
      </c>
      <c r="E67" s="56" t="s">
        <v>92</v>
      </c>
      <c r="F67" s="31" t="s">
        <v>77</v>
      </c>
    </row>
    <row r="68" spans="1:10" x14ac:dyDescent="0.25">
      <c r="A68" s="1" t="s">
        <v>79</v>
      </c>
      <c r="B68" s="1">
        <v>28</v>
      </c>
    </row>
    <row r="69" spans="1:10" x14ac:dyDescent="0.25">
      <c r="A69" s="1" t="s">
        <v>82</v>
      </c>
      <c r="B69" s="1">
        <v>28</v>
      </c>
      <c r="J69" s="1" t="s">
        <v>93</v>
      </c>
    </row>
    <row r="70" spans="1:10" x14ac:dyDescent="0.25">
      <c r="A70" s="1" t="s">
        <v>94</v>
      </c>
      <c r="B70" s="1">
        <v>400</v>
      </c>
      <c r="D70" s="1">
        <f>B70</f>
        <v>400</v>
      </c>
      <c r="E70" s="31">
        <f t="shared" ref="E70:E71" si="7">CEILING(D70*$B$66,$B$49)</f>
        <v>0</v>
      </c>
      <c r="F70" s="31">
        <f>E70*$E$81</f>
        <v>0</v>
      </c>
      <c r="J70" s="57" t="s">
        <v>95</v>
      </c>
    </row>
    <row r="71" spans="1:10" x14ac:dyDescent="0.25">
      <c r="A71" s="1" t="s">
        <v>96</v>
      </c>
      <c r="B71" s="1">
        <v>54</v>
      </c>
      <c r="D71" s="1">
        <f>B71*B69</f>
        <v>1512</v>
      </c>
      <c r="E71" s="31">
        <f t="shared" si="7"/>
        <v>0</v>
      </c>
      <c r="F71" s="31">
        <f>E71*$E$81</f>
        <v>0</v>
      </c>
      <c r="J71" s="57" t="s">
        <v>97</v>
      </c>
    </row>
    <row r="72" spans="1:10" x14ac:dyDescent="0.25">
      <c r="A72" s="1" t="s">
        <v>87</v>
      </c>
      <c r="B72" s="1">
        <v>20</v>
      </c>
      <c r="C72" s="1" t="s">
        <v>98</v>
      </c>
      <c r="D72" s="1">
        <f>B72*B68</f>
        <v>560</v>
      </c>
      <c r="E72" s="31">
        <f>CEILING(D72*$B$66,$B$49)*4</f>
        <v>0</v>
      </c>
      <c r="F72" s="31">
        <f>E72*$E$81</f>
        <v>0</v>
      </c>
      <c r="J72" s="57" t="s">
        <v>99</v>
      </c>
    </row>
    <row r="73" spans="1:10" x14ac:dyDescent="0.25">
      <c r="A73" s="1" t="s">
        <v>89</v>
      </c>
      <c r="B73" s="1">
        <v>0</v>
      </c>
      <c r="D73" s="1">
        <f>B73</f>
        <v>0</v>
      </c>
      <c r="E73" s="31">
        <f>CEILING(D73*$B$66,$B$49)</f>
        <v>0</v>
      </c>
      <c r="F73" s="31">
        <f>E73*$E$81</f>
        <v>0</v>
      </c>
      <c r="J73" s="57" t="s">
        <v>100</v>
      </c>
    </row>
    <row r="74" spans="1:10" x14ac:dyDescent="0.25">
      <c r="J74" s="1" t="s">
        <v>101</v>
      </c>
    </row>
    <row r="75" spans="1:10" x14ac:dyDescent="0.25">
      <c r="J75" s="1" t="s">
        <v>102</v>
      </c>
    </row>
    <row r="77" spans="1:10" x14ac:dyDescent="0.25">
      <c r="D77" s="31">
        <f>SUM(D70:D73)</f>
        <v>2472</v>
      </c>
      <c r="E77" s="31">
        <f>SUM(E70:E73)</f>
        <v>0</v>
      </c>
      <c r="F77" s="55">
        <f>E77*3</f>
        <v>0</v>
      </c>
    </row>
    <row r="80" spans="1:10" x14ac:dyDescent="0.25">
      <c r="A80" s="1" t="s">
        <v>103</v>
      </c>
      <c r="D80" s="1">
        <f>'1year'!D80*1.1</f>
        <v>220.00000000000003</v>
      </c>
    </row>
    <row r="85" spans="1:11" x14ac:dyDescent="0.25">
      <c r="B85" s="1" t="s">
        <v>104</v>
      </c>
      <c r="C85" s="1">
        <v>0.41799999999999998</v>
      </c>
    </row>
    <row r="87" spans="1:11" x14ac:dyDescent="0.25">
      <c r="A87" s="31" t="s">
        <v>105</v>
      </c>
      <c r="E87" s="1">
        <f>E89*D89</f>
        <v>160</v>
      </c>
    </row>
    <row r="88" spans="1:11" x14ac:dyDescent="0.25">
      <c r="B88" s="58"/>
      <c r="C88" s="1" t="s">
        <v>23</v>
      </c>
      <c r="D88" s="1" t="s">
        <v>24</v>
      </c>
      <c r="E88" s="1" t="s">
        <v>26</v>
      </c>
      <c r="F88" s="31" t="s">
        <v>106</v>
      </c>
      <c r="G88" s="31" t="s">
        <v>107</v>
      </c>
      <c r="H88" s="1" t="s">
        <v>108</v>
      </c>
      <c r="I88" s="1" t="s">
        <v>109</v>
      </c>
      <c r="J88" s="1" t="s">
        <v>110</v>
      </c>
      <c r="K88" s="1" t="s">
        <v>111</v>
      </c>
    </row>
    <row r="89" spans="1:11" x14ac:dyDescent="0.25">
      <c r="C89" s="1">
        <v>40</v>
      </c>
      <c r="D89" s="1">
        <v>40</v>
      </c>
      <c r="E89" s="1">
        <v>4</v>
      </c>
      <c r="F89" s="1">
        <f>CEILING(E89*D89*C89,$B$49)</f>
        <v>6400</v>
      </c>
      <c r="G89" s="1">
        <f>CEILING(F89*$C$85,$B$49)</f>
        <v>2676</v>
      </c>
      <c r="H89" s="31">
        <f>G89+F89</f>
        <v>9076</v>
      </c>
      <c r="I89" s="1">
        <f>1*F89</f>
        <v>6400</v>
      </c>
      <c r="J89" s="1">
        <f>$C$2*G89</f>
        <v>0</v>
      </c>
      <c r="K89" s="31">
        <f>H89*$C$2</f>
        <v>0</v>
      </c>
    </row>
    <row r="90" spans="1:11" x14ac:dyDescent="0.25">
      <c r="C90" s="34">
        <f>C89*1.03</f>
        <v>41.2</v>
      </c>
      <c r="D90" s="1">
        <v>40</v>
      </c>
      <c r="E90" s="1">
        <v>3</v>
      </c>
      <c r="F90" s="1">
        <f>CEILING(E90*D90*C90,$B$49)</f>
        <v>4944</v>
      </c>
      <c r="G90" s="1">
        <f>CEILING(F90*$C$85,$B$49)</f>
        <v>2067</v>
      </c>
      <c r="H90" s="31">
        <f>G90+F90</f>
        <v>7011</v>
      </c>
      <c r="I90" s="1">
        <f>1*F90</f>
        <v>4944</v>
      </c>
      <c r="J90" s="1">
        <f t="shared" ref="J90:J91" si="8">$C$2*G90</f>
        <v>0</v>
      </c>
      <c r="K90" s="31">
        <f t="shared" ref="K90:K91" si="9">H90*$C$2</f>
        <v>0</v>
      </c>
    </row>
    <row r="91" spans="1:11" x14ac:dyDescent="0.25">
      <c r="C91" s="34">
        <f>C90*1.03</f>
        <v>42.436000000000007</v>
      </c>
      <c r="D91" s="1">
        <v>40</v>
      </c>
      <c r="E91" s="1">
        <v>4</v>
      </c>
      <c r="F91" s="1">
        <f t="shared" ref="F91" si="10">CEILING(E91*D91*C91,$B$49)</f>
        <v>6790</v>
      </c>
      <c r="G91" s="1">
        <f t="shared" ref="G91" si="11">CEILING(F91*$C$85,$B$49)</f>
        <v>2839</v>
      </c>
      <c r="H91" s="31">
        <f>G91+F91</f>
        <v>9629</v>
      </c>
      <c r="I91" s="1">
        <f>1*F91</f>
        <v>6790</v>
      </c>
      <c r="J91" s="1">
        <f t="shared" si="8"/>
        <v>0</v>
      </c>
      <c r="K91" s="31">
        <f t="shared" si="9"/>
        <v>0</v>
      </c>
    </row>
    <row r="93" spans="1:11" x14ac:dyDescent="0.25">
      <c r="B93" s="1" t="s">
        <v>112</v>
      </c>
      <c r="F93" s="59">
        <f t="shared" ref="F93:G93" si="12">SUM(F89:F91)</f>
        <v>18134</v>
      </c>
      <c r="G93" s="59">
        <f t="shared" si="12"/>
        <v>7582</v>
      </c>
      <c r="H93" s="59">
        <f>SUM(H89:H91)</f>
        <v>25716</v>
      </c>
      <c r="I93" s="59">
        <f>SUM(I89:I91)</f>
        <v>18134</v>
      </c>
      <c r="J93" s="59">
        <f>SUM(J89:J91)</f>
        <v>0</v>
      </c>
      <c r="K93" s="55">
        <f>SUM(K89:K91)</f>
        <v>0</v>
      </c>
    </row>
    <row r="94" spans="1:11" x14ac:dyDescent="0.25">
      <c r="F94" s="59"/>
      <c r="G94" s="59"/>
      <c r="H94" s="59"/>
      <c r="I94" s="59"/>
      <c r="J94" s="59"/>
      <c r="K94" s="55"/>
    </row>
    <row r="95" spans="1:11" x14ac:dyDescent="0.25">
      <c r="B95" s="1" t="s">
        <v>104</v>
      </c>
      <c r="C95" s="1">
        <v>2.1000000000000001E-2</v>
      </c>
    </row>
    <row r="97" spans="1:11" x14ac:dyDescent="0.25">
      <c r="A97" s="31" t="s">
        <v>161</v>
      </c>
    </row>
    <row r="98" spans="1:11" x14ac:dyDescent="0.25">
      <c r="B98" s="58"/>
      <c r="C98" s="1" t="s">
        <v>23</v>
      </c>
      <c r="D98" s="1" t="s">
        <v>24</v>
      </c>
      <c r="E98" s="1" t="s">
        <v>26</v>
      </c>
      <c r="F98" s="31" t="s">
        <v>106</v>
      </c>
      <c r="G98" s="31" t="s">
        <v>107</v>
      </c>
      <c r="H98" s="1" t="s">
        <v>108</v>
      </c>
      <c r="I98" s="1" t="s">
        <v>109</v>
      </c>
      <c r="J98" s="1" t="s">
        <v>110</v>
      </c>
      <c r="K98" s="1" t="s">
        <v>111</v>
      </c>
    </row>
    <row r="99" spans="1:11" x14ac:dyDescent="0.25">
      <c r="C99" s="1">
        <v>11</v>
      </c>
      <c r="D99" s="1">
        <v>40</v>
      </c>
      <c r="E99" s="1">
        <v>12</v>
      </c>
      <c r="F99" s="1">
        <f>CEILING(E99*D99*C99,$B$49)</f>
        <v>5280</v>
      </c>
      <c r="G99" s="1">
        <f>CEILING(F99*$C$95,$B$49)</f>
        <v>111</v>
      </c>
      <c r="H99" s="31">
        <f>G99+F99</f>
        <v>5391</v>
      </c>
      <c r="I99" s="1">
        <f>1*F99</f>
        <v>5280</v>
      </c>
      <c r="J99" s="1">
        <f>$C$2*G99</f>
        <v>0</v>
      </c>
      <c r="K99" s="31">
        <f>H99*$C$2</f>
        <v>0</v>
      </c>
    </row>
    <row r="100" spans="1:11" x14ac:dyDescent="0.25">
      <c r="C100" s="34">
        <f>'1year'!C100</f>
        <v>11.33</v>
      </c>
      <c r="D100" s="1">
        <v>40</v>
      </c>
      <c r="E100" s="1">
        <v>12</v>
      </c>
      <c r="F100" s="1">
        <f>CEILING(E100*D100*C100,$B$49)</f>
        <v>5439</v>
      </c>
      <c r="G100" s="1">
        <f>CEILING(F100*$C$95,$B$49)</f>
        <v>115</v>
      </c>
      <c r="H100" s="31">
        <f>G100+F100</f>
        <v>5554</v>
      </c>
      <c r="I100" s="1">
        <f>1*F100</f>
        <v>5439</v>
      </c>
      <c r="J100" s="1">
        <f t="shared" ref="J100:J101" si="13">$C$2*G100</f>
        <v>0</v>
      </c>
      <c r="K100" s="31">
        <f t="shared" ref="K100:K101" si="14">H100*$C$2</f>
        <v>0</v>
      </c>
    </row>
    <row r="101" spans="1:11" x14ac:dyDescent="0.25">
      <c r="C101" s="34">
        <f>'1year'!C101</f>
        <v>11.6699</v>
      </c>
      <c r="D101" s="1">
        <v>40</v>
      </c>
      <c r="E101" s="1">
        <v>12</v>
      </c>
      <c r="F101" s="1">
        <f t="shared" ref="F101" si="15">CEILING(E101*D101*C101,$B$49)</f>
        <v>5602</v>
      </c>
      <c r="G101" s="1">
        <f>CEILING(F101*$C$95,$B$49)</f>
        <v>118</v>
      </c>
      <c r="H101" s="31">
        <f>G101+F101</f>
        <v>5720</v>
      </c>
      <c r="I101" s="1">
        <f>1*F101</f>
        <v>5602</v>
      </c>
      <c r="J101" s="1">
        <f t="shared" si="13"/>
        <v>0</v>
      </c>
      <c r="K101" s="31">
        <f t="shared" si="14"/>
        <v>0</v>
      </c>
    </row>
    <row r="103" spans="1:11" x14ac:dyDescent="0.25">
      <c r="B103" s="1" t="s">
        <v>112</v>
      </c>
      <c r="F103" s="59">
        <f t="shared" ref="F103:G103" si="16">SUM(F99:F101)</f>
        <v>16321</v>
      </c>
      <c r="G103" s="59">
        <f t="shared" si="16"/>
        <v>344</v>
      </c>
      <c r="H103" s="59">
        <f>SUM(H99:H101)</f>
        <v>16665</v>
      </c>
      <c r="I103" s="59">
        <f>SUM(I99:I101)</f>
        <v>16321</v>
      </c>
      <c r="J103" s="59">
        <f>SUM(J99:J101)</f>
        <v>0</v>
      </c>
      <c r="K103" s="55">
        <f>SUM(K99:K101)</f>
        <v>0</v>
      </c>
    </row>
    <row r="104" spans="1:11" x14ac:dyDescent="0.25">
      <c r="A104" s="31" t="s">
        <v>113</v>
      </c>
    </row>
    <row r="106" spans="1:11" x14ac:dyDescent="0.25">
      <c r="C106" s="1" t="s">
        <v>114</v>
      </c>
      <c r="D106" s="1" t="s">
        <v>115</v>
      </c>
      <c r="E106" s="1" t="s">
        <v>116</v>
      </c>
    </row>
    <row r="107" spans="1:11" x14ac:dyDescent="0.25">
      <c r="B107" s="1" t="s">
        <v>117</v>
      </c>
      <c r="C107" s="1">
        <v>100</v>
      </c>
      <c r="D107" s="1">
        <v>0</v>
      </c>
      <c r="E107" s="1">
        <v>2</v>
      </c>
      <c r="F107" s="31"/>
    </row>
    <row r="108" spans="1:11" x14ac:dyDescent="0.25">
      <c r="B108" s="1" t="s">
        <v>118</v>
      </c>
      <c r="F108" s="31"/>
    </row>
    <row r="109" spans="1:11" x14ac:dyDescent="0.25">
      <c r="B109" s="1" t="s">
        <v>119</v>
      </c>
      <c r="F109" s="31"/>
    </row>
    <row r="110" spans="1:11" x14ac:dyDescent="0.25">
      <c r="B110" s="1" t="s">
        <v>120</v>
      </c>
    </row>
    <row r="111" spans="1:11" x14ac:dyDescent="0.25">
      <c r="B111" s="1" t="s">
        <v>121</v>
      </c>
      <c r="F111" s="31"/>
    </row>
    <row r="112" spans="1:11" x14ac:dyDescent="0.25">
      <c r="B112" s="1" t="s">
        <v>122</v>
      </c>
      <c r="F112" s="31"/>
    </row>
    <row r="113" spans="1:6" x14ac:dyDescent="0.25">
      <c r="F113" s="58"/>
    </row>
    <row r="114" spans="1:6" x14ac:dyDescent="0.25">
      <c r="B114" s="1" t="s">
        <v>118</v>
      </c>
      <c r="D114" s="31">
        <v>3050</v>
      </c>
    </row>
    <row r="115" spans="1:6" x14ac:dyDescent="0.25">
      <c r="B115" s="1" t="s">
        <v>123</v>
      </c>
      <c r="C115" s="1" t="s">
        <v>124</v>
      </c>
      <c r="D115" s="1">
        <v>250</v>
      </c>
      <c r="F115" s="58"/>
    </row>
    <row r="116" spans="1:6" x14ac:dyDescent="0.25">
      <c r="C116" s="1" t="s">
        <v>125</v>
      </c>
      <c r="D116" s="1">
        <v>250</v>
      </c>
      <c r="F116" s="58"/>
    </row>
    <row r="117" spans="1:6" x14ac:dyDescent="0.25">
      <c r="C117" s="1" t="s">
        <v>126</v>
      </c>
      <c r="D117" s="1">
        <v>750</v>
      </c>
      <c r="F117" s="58"/>
    </row>
    <row r="118" spans="1:6" x14ac:dyDescent="0.25">
      <c r="C118" s="1" t="s">
        <v>189</v>
      </c>
      <c r="D118" s="1">
        <v>1000</v>
      </c>
    </row>
    <row r="119" spans="1:6" x14ac:dyDescent="0.25">
      <c r="C119" s="1" t="s">
        <v>128</v>
      </c>
    </row>
    <row r="120" spans="1:6" x14ac:dyDescent="0.25">
      <c r="C120" s="1" t="s">
        <v>129</v>
      </c>
      <c r="D120" s="1">
        <f>SUM(D115:D119)</f>
        <v>2250</v>
      </c>
    </row>
    <row r="122" spans="1:6" x14ac:dyDescent="0.25">
      <c r="A122" s="31" t="s">
        <v>130</v>
      </c>
      <c r="D122" s="58">
        <f>D120+E113</f>
        <v>2250</v>
      </c>
    </row>
  </sheetData>
  <hyperlinks>
    <hyperlink ref="J70" r:id="rId1" display="http://www.campbellsci.com/cs547a-l" xr:uid="{00000000-0004-0000-0200-000000000000}"/>
    <hyperlink ref="J71" r:id="rId2" display="http://www.campbellsci.com/am16-32b" xr:uid="{00000000-0004-0000-0200-000001000000}"/>
    <hyperlink ref="J72" r:id="rId3" display="http://www.campbellsci.com/a547" xr:uid="{00000000-0004-0000-0200-000002000000}"/>
    <hyperlink ref="J73" r:id="rId4" display="http://www.campbellsci.com/cr800-specifications" xr:uid="{00000000-0004-0000-0200-000003000000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122"/>
  <sheetViews>
    <sheetView topLeftCell="A10" workbookViewId="0">
      <selection activeCell="C96" sqref="C96"/>
    </sheetView>
  </sheetViews>
  <sheetFormatPr defaultColWidth="9.140625" defaultRowHeight="15" x14ac:dyDescent="0.25"/>
  <cols>
    <col min="1" max="1" width="15.140625" style="1" customWidth="1"/>
    <col min="2" max="2" width="19.140625" style="1" customWidth="1"/>
    <col min="3" max="3" width="14.42578125" style="1" customWidth="1"/>
    <col min="4" max="4" width="21.85546875" style="1" customWidth="1"/>
    <col min="5" max="5" width="16.85546875" style="1" customWidth="1"/>
    <col min="6" max="7" width="9.140625" style="1"/>
    <col min="8" max="8" width="13.85546875" style="1" customWidth="1"/>
    <col min="9" max="10" width="9.140625" style="1"/>
    <col min="11" max="11" width="11.85546875" style="1" customWidth="1"/>
    <col min="12" max="16384" width="9.140625" style="1"/>
  </cols>
  <sheetData>
    <row r="1" spans="1:14" s="31" customFormat="1" x14ac:dyDescent="0.25">
      <c r="A1" s="30" t="str">
        <f>Summary!A1</f>
        <v>MRE</v>
      </c>
      <c r="B1" s="9"/>
      <c r="C1" s="9"/>
      <c r="D1" s="9"/>
      <c r="E1" s="9"/>
      <c r="F1" s="10"/>
    </row>
    <row r="2" spans="1:14" x14ac:dyDescent="0.25">
      <c r="A2" s="12" t="str">
        <f>Summary!A2</f>
        <v>Project Period: August 1, 2021 through July 31, 2024</v>
      </c>
      <c r="B2" s="8"/>
      <c r="C2" s="8"/>
      <c r="D2" s="8"/>
      <c r="E2" s="8"/>
      <c r="F2" s="4"/>
      <c r="I2" s="1" t="s">
        <v>33</v>
      </c>
      <c r="L2" s="1">
        <v>0.307</v>
      </c>
      <c r="M2" s="1">
        <v>0.307</v>
      </c>
    </row>
    <row r="3" spans="1:14" ht="60" x14ac:dyDescent="0.25">
      <c r="A3" s="19" t="s">
        <v>0</v>
      </c>
      <c r="B3" s="20" t="s">
        <v>1</v>
      </c>
      <c r="C3" s="21" t="s">
        <v>2</v>
      </c>
      <c r="D3" s="71" t="s">
        <v>3</v>
      </c>
      <c r="E3" s="71" t="s">
        <v>4</v>
      </c>
      <c r="F3" s="45" t="s">
        <v>5</v>
      </c>
      <c r="I3" s="1" t="s">
        <v>23</v>
      </c>
      <c r="J3" s="35" t="s">
        <v>24</v>
      </c>
      <c r="L3" s="36" t="s">
        <v>167</v>
      </c>
      <c r="M3" s="36" t="s">
        <v>57</v>
      </c>
      <c r="N3" s="1" t="s">
        <v>25</v>
      </c>
    </row>
    <row r="4" spans="1:14" x14ac:dyDescent="0.25">
      <c r="A4" s="24" t="s">
        <v>14</v>
      </c>
      <c r="B4" s="28" t="s">
        <v>6</v>
      </c>
      <c r="C4" s="29" t="s">
        <v>30</v>
      </c>
      <c r="D4" s="1">
        <f>K4+K5</f>
        <v>2879.7069599999995</v>
      </c>
      <c r="E4" s="46">
        <f>M4+M5</f>
        <v>884.07003671999985</v>
      </c>
      <c r="F4" s="69">
        <f>SUM(D4:E4)</f>
        <v>3763.7769967199993</v>
      </c>
      <c r="G4" s="1" t="s">
        <v>17</v>
      </c>
      <c r="I4" s="1">
        <f>K20</f>
        <v>71.992673999999994</v>
      </c>
      <c r="J4" s="1">
        <v>40</v>
      </c>
      <c r="K4" s="1">
        <f>J4*I4</f>
        <v>2879.7069599999995</v>
      </c>
      <c r="M4" s="1">
        <f>K4*M2</f>
        <v>884.07003671999985</v>
      </c>
      <c r="N4" s="1">
        <f>M4+K4</f>
        <v>3763.7769967199993</v>
      </c>
    </row>
    <row r="5" spans="1:14" ht="15.75" x14ac:dyDescent="0.25">
      <c r="A5" s="49" t="s">
        <v>48</v>
      </c>
      <c r="B5" s="28" t="s">
        <v>46</v>
      </c>
      <c r="C5" s="29"/>
      <c r="D5" s="41">
        <f>F91</f>
        <v>0</v>
      </c>
      <c r="E5" s="72">
        <f>G91</f>
        <v>0</v>
      </c>
      <c r="F5" s="69">
        <f>SUM(D5:E5)</f>
        <v>0</v>
      </c>
      <c r="G5" s="1" t="s">
        <v>58</v>
      </c>
      <c r="I5" s="1">
        <f>I4</f>
        <v>71.992673999999994</v>
      </c>
      <c r="J5" s="1">
        <v>0</v>
      </c>
      <c r="K5" s="1">
        <f>J5*I5</f>
        <v>0</v>
      </c>
      <c r="N5" s="1">
        <f>M5+K5</f>
        <v>0</v>
      </c>
    </row>
    <row r="6" spans="1:14" x14ac:dyDescent="0.25">
      <c r="A6" s="11" t="s">
        <v>15</v>
      </c>
      <c r="B6" s="6" t="s">
        <v>176</v>
      </c>
      <c r="C6" s="7"/>
      <c r="D6" s="41">
        <f>L11</f>
        <v>57373.472000000002</v>
      </c>
      <c r="E6" s="72">
        <f>M11</f>
        <v>23982.111295999999</v>
      </c>
      <c r="F6" s="70">
        <f>SUM(D6:E6)</f>
        <v>81355.583295999997</v>
      </c>
      <c r="G6" s="1" t="str">
        <f>'1year'!G6</f>
        <v>Elowyn</v>
      </c>
      <c r="I6" s="1">
        <f>'1year'!I6*1.03^2</f>
        <v>75.652778999999995</v>
      </c>
      <c r="J6" s="1">
        <v>40</v>
      </c>
      <c r="K6" s="1">
        <f>J6*I6</f>
        <v>3026.1111599999999</v>
      </c>
      <c r="M6" s="1">
        <f>K6*M2</f>
        <v>929.01612611999997</v>
      </c>
      <c r="N6" s="1">
        <f>M6+K6</f>
        <v>3955.12728612</v>
      </c>
    </row>
    <row r="7" spans="1:14" x14ac:dyDescent="0.25">
      <c r="A7" s="11" t="s">
        <v>160</v>
      </c>
      <c r="B7" s="6" t="s">
        <v>179</v>
      </c>
      <c r="C7" s="7"/>
      <c r="D7" s="26">
        <f>L12</f>
        <v>0</v>
      </c>
      <c r="E7" s="41">
        <f>M12</f>
        <v>0</v>
      </c>
      <c r="F7" s="43">
        <f>E7+D7</f>
        <v>0</v>
      </c>
    </row>
    <row r="8" spans="1:14" x14ac:dyDescent="0.25">
      <c r="A8" s="11" t="s">
        <v>160</v>
      </c>
      <c r="B8" s="6" t="s">
        <v>161</v>
      </c>
      <c r="C8" s="7" t="s">
        <v>30</v>
      </c>
      <c r="D8" s="5">
        <v>0</v>
      </c>
      <c r="E8" s="5">
        <v>0</v>
      </c>
      <c r="F8" s="43">
        <f>E8+D8</f>
        <v>0</v>
      </c>
      <c r="G8" s="37">
        <f>D7+D6</f>
        <v>57373.472000000002</v>
      </c>
    </row>
    <row r="9" spans="1:14" x14ac:dyDescent="0.25">
      <c r="A9" s="11" t="s">
        <v>15</v>
      </c>
      <c r="B9" s="6" t="s">
        <v>166</v>
      </c>
      <c r="C9" s="7"/>
      <c r="D9" s="5">
        <f>D8</f>
        <v>0</v>
      </c>
      <c r="E9" s="5">
        <v>0</v>
      </c>
      <c r="F9" s="43">
        <f t="shared" ref="F9:F10" si="0">SUM(D9:E9)</f>
        <v>0</v>
      </c>
      <c r="I9" s="1" t="s">
        <v>32</v>
      </c>
      <c r="L9" s="1" t="s">
        <v>131</v>
      </c>
      <c r="M9" s="1">
        <v>0.41799999999999998</v>
      </c>
      <c r="N9" s="1">
        <v>2.1000000000000001E-2</v>
      </c>
    </row>
    <row r="10" spans="1:14" x14ac:dyDescent="0.25">
      <c r="A10" s="11" t="str">
        <f>'1year'!A10</f>
        <v>Elowyn Yager</v>
      </c>
      <c r="B10" s="6"/>
      <c r="C10" s="7"/>
      <c r="D10" s="32">
        <f>K6</f>
        <v>3026.1111599999999</v>
      </c>
      <c r="E10" s="5">
        <f>M6</f>
        <v>929.01612611999997</v>
      </c>
      <c r="F10" s="43">
        <f t="shared" si="0"/>
        <v>3955.12728612</v>
      </c>
      <c r="H10" s="50">
        <f>D9+D8</f>
        <v>0</v>
      </c>
      <c r="I10" s="1" t="s">
        <v>23</v>
      </c>
      <c r="J10" s="1" t="s">
        <v>24</v>
      </c>
      <c r="K10" s="1" t="s">
        <v>26</v>
      </c>
      <c r="M10" s="1" t="s">
        <v>29</v>
      </c>
      <c r="N10" s="1" t="s">
        <v>25</v>
      </c>
    </row>
    <row r="11" spans="1:14" x14ac:dyDescent="0.25">
      <c r="A11" s="12" t="s">
        <v>8</v>
      </c>
      <c r="B11" s="8"/>
      <c r="C11" s="8"/>
      <c r="D11" s="32">
        <f>SUM(D4:D10)</f>
        <v>63279.290120000005</v>
      </c>
      <c r="E11" s="32">
        <f>SUM(E4:E10)</f>
        <v>25795.197458840001</v>
      </c>
      <c r="F11" s="33">
        <f>SUM(F4:F10)</f>
        <v>89074.487578839995</v>
      </c>
      <c r="I11" s="1">
        <f>K29</f>
        <v>27.583400000000001</v>
      </c>
      <c r="J11" s="1">
        <v>40</v>
      </c>
      <c r="K11" s="1">
        <v>52</v>
      </c>
      <c r="L11" s="1">
        <f>K11*J11*I11</f>
        <v>57373.472000000002</v>
      </c>
      <c r="M11" s="1">
        <f>L11*M9</f>
        <v>23982.111295999999</v>
      </c>
      <c r="N11" s="1">
        <f>M11+L11</f>
        <v>81355.583295999997</v>
      </c>
    </row>
    <row r="12" spans="1:14" x14ac:dyDescent="0.25">
      <c r="A12" s="11"/>
      <c r="B12" s="6"/>
      <c r="C12" s="6"/>
      <c r="D12" s="5"/>
      <c r="E12" s="5"/>
      <c r="F12" s="15"/>
      <c r="I12" s="1">
        <f>K30</f>
        <v>22.2789</v>
      </c>
      <c r="J12" s="1">
        <v>0</v>
      </c>
      <c r="K12" s="1">
        <f>52/2</f>
        <v>26</v>
      </c>
      <c r="L12" s="1">
        <f>K12*J12*I12</f>
        <v>0</v>
      </c>
      <c r="M12" s="1">
        <f>L12*N9</f>
        <v>0</v>
      </c>
      <c r="N12" s="1">
        <f>M12+L12</f>
        <v>0</v>
      </c>
    </row>
    <row r="13" spans="1:14" x14ac:dyDescent="0.25">
      <c r="A13" s="12" t="s">
        <v>10</v>
      </c>
      <c r="B13" s="6"/>
      <c r="C13" s="6"/>
      <c r="D13" s="6"/>
      <c r="E13" s="6"/>
      <c r="F13" s="16"/>
    </row>
    <row r="14" spans="1:14" x14ac:dyDescent="0.25">
      <c r="A14" s="11" t="s">
        <v>44</v>
      </c>
      <c r="B14" s="6"/>
      <c r="C14" s="6"/>
      <c r="D14" s="6"/>
      <c r="E14" s="39">
        <f>E63+D80+D77</f>
        <v>4785.2800000000007</v>
      </c>
      <c r="F14" s="42">
        <f>E14</f>
        <v>4785.2800000000007</v>
      </c>
      <c r="N14" s="38"/>
    </row>
    <row r="15" spans="1:14" x14ac:dyDescent="0.25">
      <c r="A15" s="11" t="s">
        <v>43</v>
      </c>
      <c r="B15" s="6"/>
      <c r="C15" s="6"/>
      <c r="D15" s="6" t="s">
        <v>9</v>
      </c>
      <c r="E15" s="39">
        <v>0</v>
      </c>
      <c r="F15" s="42">
        <f>E15</f>
        <v>0</v>
      </c>
      <c r="N15" s="37"/>
    </row>
    <row r="16" spans="1:14" x14ac:dyDescent="0.25">
      <c r="A16" s="11"/>
      <c r="B16" s="6"/>
      <c r="C16" s="6"/>
      <c r="D16" s="6"/>
      <c r="E16" s="40"/>
      <c r="F16" s="23"/>
    </row>
    <row r="17" spans="1:19" x14ac:dyDescent="0.25">
      <c r="A17" s="12" t="s">
        <v>21</v>
      </c>
      <c r="B17" s="6"/>
      <c r="C17" s="6"/>
      <c r="D17" s="6"/>
      <c r="E17" s="6"/>
      <c r="F17" s="15"/>
      <c r="I17" s="1" t="s">
        <v>42</v>
      </c>
    </row>
    <row r="18" spans="1:19" x14ac:dyDescent="0.25">
      <c r="A18" s="11" t="str">
        <f>'1year'!A18</f>
        <v>data management</v>
      </c>
      <c r="B18" s="6"/>
      <c r="C18" s="6"/>
      <c r="D18" s="6"/>
      <c r="E18" s="6"/>
      <c r="F18" s="15">
        <v>500</v>
      </c>
      <c r="I18" s="1" t="s">
        <v>34</v>
      </c>
      <c r="J18" s="1" t="s">
        <v>35</v>
      </c>
      <c r="K18" s="1" t="s">
        <v>36</v>
      </c>
      <c r="L18" s="1" t="s">
        <v>37</v>
      </c>
      <c r="M18" s="1" t="s">
        <v>38</v>
      </c>
    </row>
    <row r="19" spans="1:19" x14ac:dyDescent="0.25">
      <c r="A19" s="11" t="s">
        <v>20</v>
      </c>
      <c r="B19" s="6"/>
      <c r="C19" s="6"/>
      <c r="D19" s="6"/>
      <c r="E19" s="6"/>
      <c r="F19" s="15">
        <v>1000</v>
      </c>
      <c r="I19" s="1">
        <f>'1year'!I19</f>
        <v>67.86</v>
      </c>
      <c r="J19" s="1">
        <f>I19*1.03</f>
        <v>69.895799999999994</v>
      </c>
      <c r="K19" s="1">
        <f>J19*1.03</f>
        <v>71.992673999999994</v>
      </c>
      <c r="L19" s="1">
        <f>K19*1.03</f>
        <v>74.152454219999996</v>
      </c>
      <c r="M19" s="1">
        <f>L19*1.03</f>
        <v>76.377027846600001</v>
      </c>
    </row>
    <row r="20" spans="1:19" x14ac:dyDescent="0.25">
      <c r="A20" s="11" t="s">
        <v>56</v>
      </c>
      <c r="B20" s="6"/>
      <c r="C20" s="6"/>
      <c r="D20" s="6"/>
      <c r="E20" s="6"/>
      <c r="F20" s="15">
        <v>1000</v>
      </c>
      <c r="I20" s="1">
        <f>'1year'!I20</f>
        <v>67.86</v>
      </c>
      <c r="J20" s="1">
        <f>I20*1.03</f>
        <v>69.895799999999994</v>
      </c>
      <c r="K20" s="1">
        <f t="shared" ref="K20:M20" si="1">J20*1.03</f>
        <v>71.992673999999994</v>
      </c>
      <c r="L20" s="1">
        <f t="shared" si="1"/>
        <v>74.152454219999996</v>
      </c>
      <c r="M20" s="1">
        <f t="shared" si="1"/>
        <v>76.377027846600001</v>
      </c>
    </row>
    <row r="21" spans="1:19" x14ac:dyDescent="0.25">
      <c r="A21" s="11" t="s">
        <v>47</v>
      </c>
      <c r="B21" s="6"/>
      <c r="C21" s="6"/>
      <c r="D21" s="6"/>
      <c r="E21" s="6"/>
      <c r="F21" s="15">
        <f>'Flume costs'!H25</f>
        <v>0</v>
      </c>
    </row>
    <row r="22" spans="1:19" x14ac:dyDescent="0.25">
      <c r="A22" s="11" t="s">
        <v>49</v>
      </c>
      <c r="B22" s="6"/>
      <c r="C22" s="6"/>
      <c r="D22" s="6"/>
      <c r="E22" s="6"/>
      <c r="F22" s="15">
        <v>500</v>
      </c>
      <c r="G22" s="50"/>
    </row>
    <row r="23" spans="1:19" x14ac:dyDescent="0.25">
      <c r="A23" s="25" t="s">
        <v>159</v>
      </c>
      <c r="B23" s="6"/>
      <c r="C23" s="6"/>
      <c r="D23" s="6"/>
      <c r="E23" s="6"/>
      <c r="F23" s="15">
        <v>0</v>
      </c>
      <c r="G23" s="76">
        <f>SUM(F18:F23)-F19</f>
        <v>2000</v>
      </c>
      <c r="H23" s="77" t="s">
        <v>171</v>
      </c>
    </row>
    <row r="24" spans="1:19" x14ac:dyDescent="0.25">
      <c r="A24" s="11"/>
      <c r="B24" s="6"/>
      <c r="C24" s="6"/>
      <c r="D24" s="6"/>
      <c r="E24" s="6"/>
      <c r="F24" s="15"/>
      <c r="G24" s="78">
        <f>SUM(F18:F23)+F33</f>
        <v>3000</v>
      </c>
      <c r="H24" s="79" t="s">
        <v>172</v>
      </c>
    </row>
    <row r="25" spans="1:19" x14ac:dyDescent="0.25">
      <c r="A25" s="14" t="s">
        <v>11</v>
      </c>
      <c r="B25" s="3"/>
      <c r="C25" s="3"/>
      <c r="D25" s="3"/>
      <c r="E25" s="3"/>
      <c r="F25" s="15">
        <f>SUM(F11:F24)</f>
        <v>96859.767578839994</v>
      </c>
      <c r="G25" s="80">
        <f>F25+SUM(F29:F33)</f>
        <v>96859.767578839994</v>
      </c>
      <c r="H25" s="81" t="s">
        <v>173</v>
      </c>
    </row>
    <row r="26" spans="1:19" x14ac:dyDescent="0.25">
      <c r="A26" s="13" t="str">
        <f>'2year'!A26</f>
        <v>Indirect Costs</v>
      </c>
      <c r="B26" s="2"/>
      <c r="C26" s="2">
        <f>'1year'!C26</f>
        <v>0.47499999999999998</v>
      </c>
      <c r="D26" s="2"/>
      <c r="E26" s="2"/>
      <c r="F26" s="15">
        <f>F25*C26</f>
        <v>46008.389599948998</v>
      </c>
    </row>
    <row r="27" spans="1:19" x14ac:dyDescent="0.25">
      <c r="A27" s="12"/>
      <c r="B27" s="6"/>
      <c r="C27" s="6"/>
      <c r="D27" s="6"/>
      <c r="E27" s="6"/>
      <c r="F27" s="15"/>
      <c r="I27" s="1" t="s">
        <v>39</v>
      </c>
      <c r="S27" s="48"/>
    </row>
    <row r="28" spans="1:19" x14ac:dyDescent="0.25">
      <c r="A28" s="12" t="s">
        <v>22</v>
      </c>
      <c r="B28" s="6"/>
      <c r="C28" s="6"/>
      <c r="D28" s="6"/>
      <c r="E28" s="6"/>
      <c r="F28" s="15"/>
      <c r="I28" s="1" t="s">
        <v>34</v>
      </c>
      <c r="J28" s="1" t="s">
        <v>35</v>
      </c>
      <c r="K28" s="1" t="s">
        <v>36</v>
      </c>
      <c r="L28" s="1" t="s">
        <v>37</v>
      </c>
      <c r="M28" s="1" t="s">
        <v>38</v>
      </c>
    </row>
    <row r="29" spans="1:19" x14ac:dyDescent="0.25">
      <c r="A29" s="25"/>
      <c r="B29" s="6"/>
      <c r="C29" s="6"/>
      <c r="D29" s="6"/>
      <c r="E29" s="6"/>
      <c r="F29" s="15"/>
      <c r="I29" s="1">
        <f>'1year'!I29</f>
        <v>26</v>
      </c>
      <c r="J29" s="1">
        <f>I29*1.03</f>
        <v>26.78</v>
      </c>
      <c r="K29" s="1">
        <f>J29*1.03</f>
        <v>27.583400000000001</v>
      </c>
      <c r="L29" s="1">
        <f>K29*1.03</f>
        <v>28.410902</v>
      </c>
      <c r="M29" s="1">
        <f>L29*1.03</f>
        <v>29.26322906</v>
      </c>
    </row>
    <row r="30" spans="1:19" x14ac:dyDescent="0.25">
      <c r="A30" s="25"/>
      <c r="B30" s="6"/>
      <c r="C30" s="6"/>
      <c r="D30" s="6"/>
      <c r="E30" s="6"/>
      <c r="F30" s="15"/>
      <c r="H30" s="1" t="s">
        <v>18</v>
      </c>
      <c r="I30" s="1">
        <v>21</v>
      </c>
      <c r="J30" s="1">
        <f>I30*1.03</f>
        <v>21.63</v>
      </c>
      <c r="K30" s="1">
        <f t="shared" ref="K30:M30" si="2">J30*1.03</f>
        <v>22.2789</v>
      </c>
      <c r="L30" s="1">
        <f t="shared" si="2"/>
        <v>22.947267</v>
      </c>
      <c r="M30" s="1">
        <f t="shared" si="2"/>
        <v>23.63568501</v>
      </c>
    </row>
    <row r="31" spans="1:19" x14ac:dyDescent="0.25">
      <c r="A31" s="25"/>
      <c r="B31" s="6"/>
      <c r="C31" s="6"/>
      <c r="D31" s="6"/>
      <c r="E31" s="6"/>
      <c r="F31" s="15"/>
      <c r="H31" s="1" t="s">
        <v>162</v>
      </c>
      <c r="I31" s="1">
        <v>2</v>
      </c>
    </row>
    <row r="32" spans="1:19" x14ac:dyDescent="0.25">
      <c r="A32" s="12" t="s">
        <v>12</v>
      </c>
      <c r="B32" s="6"/>
      <c r="C32" s="6"/>
      <c r="D32" s="6"/>
      <c r="E32" s="6"/>
      <c r="F32" s="15"/>
      <c r="I32" s="1" t="s">
        <v>34</v>
      </c>
      <c r="J32" s="1" t="s">
        <v>35</v>
      </c>
      <c r="K32" s="1" t="s">
        <v>36</v>
      </c>
      <c r="L32" s="1" t="s">
        <v>37</v>
      </c>
      <c r="M32" s="1" t="s">
        <v>38</v>
      </c>
    </row>
    <row r="33" spans="1:14" x14ac:dyDescent="0.25">
      <c r="A33" s="25" t="s">
        <v>31</v>
      </c>
      <c r="B33" s="6"/>
      <c r="C33" s="6"/>
      <c r="D33" s="6"/>
      <c r="E33" s="6"/>
      <c r="F33" s="18">
        <f>K33</f>
        <v>0</v>
      </c>
      <c r="I33" s="1">
        <f>'1year'!I33</f>
        <v>0</v>
      </c>
      <c r="J33" s="1">
        <f>I33*1.1</f>
        <v>0</v>
      </c>
      <c r="K33" s="1">
        <f>J33*1.1</f>
        <v>0</v>
      </c>
      <c r="L33" s="1">
        <f>K33*1.1</f>
        <v>0</v>
      </c>
      <c r="M33" s="1">
        <f>L33*1.1</f>
        <v>0</v>
      </c>
    </row>
    <row r="34" spans="1:14" x14ac:dyDescent="0.25">
      <c r="A34" s="11"/>
      <c r="B34" s="6"/>
      <c r="C34" s="6"/>
      <c r="D34" s="6"/>
      <c r="E34" s="6"/>
      <c r="F34" s="17"/>
      <c r="I34" s="1">
        <f>I33*2*$I$31</f>
        <v>0</v>
      </c>
      <c r="J34" s="1">
        <f t="shared" ref="J34:M34" si="3">J33*2*$I$31</f>
        <v>0</v>
      </c>
      <c r="K34" s="1">
        <f t="shared" si="3"/>
        <v>0</v>
      </c>
      <c r="L34" s="1">
        <f t="shared" si="3"/>
        <v>0</v>
      </c>
      <c r="M34" s="1">
        <f t="shared" si="3"/>
        <v>0</v>
      </c>
    </row>
    <row r="35" spans="1:14" x14ac:dyDescent="0.25">
      <c r="A35" s="13" t="s">
        <v>13</v>
      </c>
      <c r="B35" s="2"/>
      <c r="C35" s="2"/>
      <c r="D35" s="2"/>
      <c r="E35" s="2"/>
      <c r="F35" s="22">
        <f>SUM(F25:F33)</f>
        <v>142868.157178789</v>
      </c>
    </row>
    <row r="37" spans="1:14" x14ac:dyDescent="0.25">
      <c r="H37" s="1" t="s">
        <v>54</v>
      </c>
      <c r="I37" s="1">
        <v>3060</v>
      </c>
    </row>
    <row r="38" spans="1:14" x14ac:dyDescent="0.25">
      <c r="H38" s="1" t="s">
        <v>53</v>
      </c>
      <c r="I38" s="1">
        <v>694</v>
      </c>
    </row>
    <row r="39" spans="1:14" x14ac:dyDescent="0.25">
      <c r="E39" s="1">
        <v>2000</v>
      </c>
      <c r="H39" s="1" t="s">
        <v>55</v>
      </c>
      <c r="I39" s="1">
        <f>I38+I37</f>
        <v>3754</v>
      </c>
      <c r="J39" s="1">
        <f>I39*1.1</f>
        <v>4129.4000000000005</v>
      </c>
    </row>
    <row r="40" spans="1:14" x14ac:dyDescent="0.25">
      <c r="E40" s="1">
        <v>3000</v>
      </c>
    </row>
    <row r="41" spans="1:14" x14ac:dyDescent="0.25">
      <c r="E41" s="1">
        <f>2*250</f>
        <v>500</v>
      </c>
    </row>
    <row r="42" spans="1:14" x14ac:dyDescent="0.25">
      <c r="B42" s="52">
        <v>8640</v>
      </c>
      <c r="E42" s="1">
        <f>2*250</f>
        <v>500</v>
      </c>
    </row>
    <row r="43" spans="1:14" x14ac:dyDescent="0.25">
      <c r="B43" s="53">
        <f>B42/3</f>
        <v>2880</v>
      </c>
      <c r="E43" s="1">
        <f>2*750</f>
        <v>1500</v>
      </c>
      <c r="I43" s="1" t="s">
        <v>59</v>
      </c>
      <c r="N43" s="38"/>
    </row>
    <row r="44" spans="1:14" x14ac:dyDescent="0.25">
      <c r="E44" s="1">
        <f>SUM(E39:E43)</f>
        <v>7500</v>
      </c>
      <c r="K44" s="1" t="s">
        <v>60</v>
      </c>
      <c r="L44" s="1" t="s">
        <v>61</v>
      </c>
      <c r="N44" s="37"/>
    </row>
    <row r="45" spans="1:14" x14ac:dyDescent="0.25">
      <c r="I45" s="1" t="s">
        <v>62</v>
      </c>
      <c r="K45" s="1">
        <v>125</v>
      </c>
      <c r="L45" s="1">
        <f>12*3*2+4</f>
        <v>76</v>
      </c>
      <c r="M45" s="1">
        <f>L45*K45</f>
        <v>9500</v>
      </c>
    </row>
    <row r="46" spans="1:14" x14ac:dyDescent="0.25">
      <c r="I46" s="1" t="s">
        <v>63</v>
      </c>
      <c r="K46" s="1">
        <v>460</v>
      </c>
      <c r="L46" s="1">
        <v>26</v>
      </c>
      <c r="M46" s="1">
        <f>L46*K46</f>
        <v>11960</v>
      </c>
    </row>
    <row r="47" spans="1:14" x14ac:dyDescent="0.25">
      <c r="I47" s="1" t="s">
        <v>64</v>
      </c>
      <c r="K47" s="1">
        <v>220</v>
      </c>
      <c r="L47" s="1">
        <v>1</v>
      </c>
      <c r="M47" s="1">
        <f>K47*L47</f>
        <v>220</v>
      </c>
    </row>
    <row r="48" spans="1:14" x14ac:dyDescent="0.25">
      <c r="I48" s="1" t="s">
        <v>65</v>
      </c>
      <c r="K48" s="1">
        <v>220</v>
      </c>
      <c r="L48" s="1">
        <v>1</v>
      </c>
      <c r="M48" s="1">
        <f>K48*L48</f>
        <v>220</v>
      </c>
    </row>
    <row r="49" spans="1:14" x14ac:dyDescent="0.25">
      <c r="A49" s="31" t="s">
        <v>66</v>
      </c>
      <c r="B49" s="31">
        <v>1</v>
      </c>
      <c r="I49" s="1" t="s">
        <v>67</v>
      </c>
      <c r="K49" s="1">
        <v>1000</v>
      </c>
      <c r="L49" s="1">
        <v>1</v>
      </c>
      <c r="M49" s="1">
        <f>L49*K49</f>
        <v>1000</v>
      </c>
    </row>
    <row r="50" spans="1:14" x14ac:dyDescent="0.25">
      <c r="A50" s="1" t="s">
        <v>68</v>
      </c>
      <c r="B50" s="1">
        <v>0</v>
      </c>
    </row>
    <row r="51" spans="1:14" x14ac:dyDescent="0.25">
      <c r="A51" s="31" t="s">
        <v>69</v>
      </c>
      <c r="M51" s="1">
        <f>SUM(M45:M49)</f>
        <v>22900</v>
      </c>
    </row>
    <row r="52" spans="1:14" x14ac:dyDescent="0.25">
      <c r="A52" s="31" t="s">
        <v>70</v>
      </c>
      <c r="B52" s="54">
        <f>'1year'!B52</f>
        <v>1</v>
      </c>
      <c r="I52" s="31" t="s">
        <v>71</v>
      </c>
      <c r="K52" s="1" t="s">
        <v>72</v>
      </c>
      <c r="L52" s="1" t="s">
        <v>73</v>
      </c>
      <c r="M52" s="1" t="s">
        <v>74</v>
      </c>
      <c r="N52" s="1" t="s">
        <v>25</v>
      </c>
    </row>
    <row r="53" spans="1:14" ht="30" x14ac:dyDescent="0.25">
      <c r="B53" s="54"/>
      <c r="D53" s="36" t="s">
        <v>75</v>
      </c>
      <c r="E53" s="36" t="s">
        <v>76</v>
      </c>
      <c r="F53" s="1" t="s">
        <v>77</v>
      </c>
      <c r="I53" s="1" t="s">
        <v>78</v>
      </c>
      <c r="K53" s="1">
        <v>200</v>
      </c>
      <c r="L53" s="1">
        <v>200</v>
      </c>
      <c r="M53" s="1">
        <v>200</v>
      </c>
      <c r="N53" s="1">
        <f>SUM(K53:M53)</f>
        <v>600</v>
      </c>
    </row>
    <row r="54" spans="1:14" x14ac:dyDescent="0.25">
      <c r="A54" s="1" t="s">
        <v>79</v>
      </c>
      <c r="B54" s="34">
        <f>'1year'!B54</f>
        <v>8</v>
      </c>
      <c r="I54" s="1" t="s">
        <v>80</v>
      </c>
      <c r="J54" s="1" t="s">
        <v>81</v>
      </c>
      <c r="K54" s="1">
        <v>0</v>
      </c>
    </row>
    <row r="55" spans="1:14" x14ac:dyDescent="0.25">
      <c r="A55" s="1" t="s">
        <v>82</v>
      </c>
      <c r="B55" s="34">
        <f>'1year'!B55</f>
        <v>8</v>
      </c>
      <c r="J55" s="1" t="s">
        <v>83</v>
      </c>
      <c r="K55" s="1">
        <v>0</v>
      </c>
    </row>
    <row r="56" spans="1:14" x14ac:dyDescent="0.25">
      <c r="A56" s="1" t="s">
        <v>84</v>
      </c>
      <c r="B56" s="34">
        <f>'1year'!B56</f>
        <v>500</v>
      </c>
      <c r="D56" s="1">
        <f>B56</f>
        <v>500</v>
      </c>
      <c r="E56" s="1">
        <f>CEILING(D56*$B$52,$B$49)</f>
        <v>500</v>
      </c>
      <c r="F56" s="31">
        <f>E56*3</f>
        <v>1500</v>
      </c>
      <c r="J56" s="1" t="s">
        <v>85</v>
      </c>
      <c r="K56" s="1">
        <v>0</v>
      </c>
      <c r="L56" s="1">
        <v>0</v>
      </c>
      <c r="M56" s="1">
        <v>0</v>
      </c>
    </row>
    <row r="57" spans="1:14" x14ac:dyDescent="0.25">
      <c r="A57" s="1" t="s">
        <v>86</v>
      </c>
      <c r="B57" s="34">
        <f>'1year'!B57</f>
        <v>150</v>
      </c>
      <c r="D57" s="1">
        <f>B57*B55</f>
        <v>1200</v>
      </c>
      <c r="E57" s="1">
        <f t="shared" ref="E57:E59" si="4">CEILING(D57*$B$52,$B$49)</f>
        <v>1200</v>
      </c>
      <c r="F57" s="31">
        <f>E57*3</f>
        <v>3600</v>
      </c>
      <c r="K57" s="1">
        <f>K56+K55+K54</f>
        <v>0</v>
      </c>
      <c r="L57" s="1">
        <f t="shared" ref="L57:M57" si="5">L56+L55+L54</f>
        <v>0</v>
      </c>
      <c r="M57" s="1">
        <f t="shared" si="5"/>
        <v>0</v>
      </c>
      <c r="N57" s="1">
        <f>SUM(K57:M57)</f>
        <v>0</v>
      </c>
    </row>
    <row r="58" spans="1:14" x14ac:dyDescent="0.25">
      <c r="A58" s="1" t="s">
        <v>87</v>
      </c>
      <c r="B58" s="34">
        <f>'1year'!B58</f>
        <v>46</v>
      </c>
      <c r="D58" s="1">
        <f>B58*B54</f>
        <v>368</v>
      </c>
      <c r="E58" s="1">
        <f t="shared" si="4"/>
        <v>368</v>
      </c>
      <c r="F58" s="31">
        <f>E58*3</f>
        <v>1104</v>
      </c>
      <c r="I58" s="1" t="s">
        <v>88</v>
      </c>
      <c r="K58" s="1">
        <f>K57+K53</f>
        <v>200</v>
      </c>
      <c r="L58" s="1">
        <f t="shared" ref="L58:M58" si="6">L57+L53</f>
        <v>200</v>
      </c>
      <c r="M58" s="1">
        <f t="shared" si="6"/>
        <v>200</v>
      </c>
    </row>
    <row r="59" spans="1:14" x14ac:dyDescent="0.25">
      <c r="A59" s="1" t="s">
        <v>89</v>
      </c>
      <c r="B59" s="34">
        <f>'1year'!B59</f>
        <v>500</v>
      </c>
      <c r="D59" s="1">
        <f>B59</f>
        <v>500</v>
      </c>
      <c r="E59" s="1">
        <f t="shared" si="4"/>
        <v>500</v>
      </c>
      <c r="F59" s="31">
        <f>E59*3</f>
        <v>1500</v>
      </c>
    </row>
    <row r="61" spans="1:14" x14ac:dyDescent="0.25">
      <c r="G61" s="1">
        <f>3*8800</f>
        <v>26400</v>
      </c>
    </row>
    <row r="63" spans="1:14" x14ac:dyDescent="0.25">
      <c r="A63" s="31" t="s">
        <v>25</v>
      </c>
      <c r="D63" s="31">
        <f>SUM(D56:D59)*1.1^2</f>
        <v>3107.2800000000007</v>
      </c>
      <c r="E63" s="31">
        <f>SUM(E56:E59)*1.1^2</f>
        <v>3107.2800000000007</v>
      </c>
      <c r="F63" s="55">
        <f>E63*3</f>
        <v>9321.840000000002</v>
      </c>
      <c r="I63" s="1">
        <f>E63-D63</f>
        <v>0</v>
      </c>
    </row>
    <row r="64" spans="1:14" x14ac:dyDescent="0.25">
      <c r="A64" s="31"/>
      <c r="D64" s="31"/>
      <c r="E64" s="31"/>
      <c r="F64" s="55"/>
    </row>
    <row r="65" spans="1:10" x14ac:dyDescent="0.25">
      <c r="A65" s="31" t="s">
        <v>90</v>
      </c>
    </row>
    <row r="66" spans="1:10" x14ac:dyDescent="0.25">
      <c r="A66" s="31" t="s">
        <v>70</v>
      </c>
      <c r="B66" s="54">
        <v>0</v>
      </c>
      <c r="C66" s="1" t="s">
        <v>91</v>
      </c>
      <c r="D66" s="1">
        <v>3</v>
      </c>
    </row>
    <row r="67" spans="1:10" ht="30" x14ac:dyDescent="0.25">
      <c r="D67" s="56" t="s">
        <v>75</v>
      </c>
      <c r="E67" s="56" t="s">
        <v>92</v>
      </c>
      <c r="F67" s="31" t="s">
        <v>77</v>
      </c>
    </row>
    <row r="68" spans="1:10" x14ac:dyDescent="0.25">
      <c r="A68" s="1" t="s">
        <v>79</v>
      </c>
      <c r="B68" s="1">
        <v>14</v>
      </c>
    </row>
    <row r="69" spans="1:10" x14ac:dyDescent="0.25">
      <c r="A69" s="1" t="s">
        <v>82</v>
      </c>
      <c r="B69" s="1">
        <v>14</v>
      </c>
      <c r="J69" s="1" t="s">
        <v>93</v>
      </c>
    </row>
    <row r="70" spans="1:10" x14ac:dyDescent="0.25">
      <c r="A70" s="1" t="s">
        <v>94</v>
      </c>
      <c r="B70" s="1">
        <v>400</v>
      </c>
      <c r="D70" s="1">
        <f>B70</f>
        <v>400</v>
      </c>
      <c r="E70" s="31">
        <f t="shared" ref="E70:E71" si="7">CEILING(D70*$B$66,$B$49)</f>
        <v>0</v>
      </c>
      <c r="F70" s="31">
        <f>E70*$E$81</f>
        <v>0</v>
      </c>
      <c r="J70" s="57" t="s">
        <v>95</v>
      </c>
    </row>
    <row r="71" spans="1:10" x14ac:dyDescent="0.25">
      <c r="A71" s="1" t="s">
        <v>96</v>
      </c>
      <c r="B71" s="1">
        <v>54</v>
      </c>
      <c r="D71" s="1">
        <f>B71*B69</f>
        <v>756</v>
      </c>
      <c r="E71" s="31">
        <f t="shared" si="7"/>
        <v>0</v>
      </c>
      <c r="F71" s="31">
        <f>E71*$E$81</f>
        <v>0</v>
      </c>
      <c r="J71" s="57" t="s">
        <v>97</v>
      </c>
    </row>
    <row r="72" spans="1:10" x14ac:dyDescent="0.25">
      <c r="A72" s="1" t="s">
        <v>87</v>
      </c>
      <c r="B72" s="1">
        <v>20</v>
      </c>
      <c r="C72" s="1" t="s">
        <v>98</v>
      </c>
      <c r="D72" s="1">
        <f>B72*B68</f>
        <v>280</v>
      </c>
      <c r="E72" s="31">
        <f>CEILING(D72*$B$66,$B$49)*4</f>
        <v>0</v>
      </c>
      <c r="F72" s="31">
        <f>E72*$E$81</f>
        <v>0</v>
      </c>
      <c r="J72" s="57" t="s">
        <v>99</v>
      </c>
    </row>
    <row r="73" spans="1:10" x14ac:dyDescent="0.25">
      <c r="A73" s="1" t="s">
        <v>89</v>
      </c>
      <c r="B73" s="1">
        <v>0</v>
      </c>
      <c r="D73" s="1">
        <f>B73</f>
        <v>0</v>
      </c>
      <c r="E73" s="31">
        <f>CEILING(D73*$B$66,$B$49)</f>
        <v>0</v>
      </c>
      <c r="F73" s="31">
        <f>E73*$E$81</f>
        <v>0</v>
      </c>
      <c r="J73" s="57" t="s">
        <v>100</v>
      </c>
    </row>
    <row r="74" spans="1:10" x14ac:dyDescent="0.25">
      <c r="J74" s="1" t="s">
        <v>101</v>
      </c>
    </row>
    <row r="75" spans="1:10" x14ac:dyDescent="0.25">
      <c r="J75" s="1" t="s">
        <v>102</v>
      </c>
    </row>
    <row r="77" spans="1:10" x14ac:dyDescent="0.25">
      <c r="D77" s="31">
        <f>SUM(D70:D73)</f>
        <v>1436</v>
      </c>
      <c r="E77" s="31">
        <f>SUM(E70:E73)</f>
        <v>0</v>
      </c>
      <c r="F77" s="55">
        <f>E77*3</f>
        <v>0</v>
      </c>
    </row>
    <row r="80" spans="1:10" x14ac:dyDescent="0.25">
      <c r="A80" s="1" t="s">
        <v>103</v>
      </c>
      <c r="D80" s="1">
        <f>'1year'!D80*1.1^2</f>
        <v>242.00000000000003</v>
      </c>
    </row>
    <row r="85" spans="1:11" x14ac:dyDescent="0.25">
      <c r="B85" s="1" t="s">
        <v>104</v>
      </c>
      <c r="C85" s="1">
        <v>0.41799999999999998</v>
      </c>
    </row>
    <row r="87" spans="1:11" x14ac:dyDescent="0.25">
      <c r="A87" s="31" t="s">
        <v>105</v>
      </c>
      <c r="E87" s="1">
        <f>E89*D89</f>
        <v>0</v>
      </c>
    </row>
    <row r="88" spans="1:11" x14ac:dyDescent="0.25">
      <c r="B88" s="58"/>
      <c r="C88" s="1" t="s">
        <v>23</v>
      </c>
      <c r="D88" s="1" t="s">
        <v>24</v>
      </c>
      <c r="E88" s="1" t="s">
        <v>26</v>
      </c>
      <c r="F88" s="31" t="s">
        <v>106</v>
      </c>
      <c r="G88" s="31" t="s">
        <v>107</v>
      </c>
      <c r="H88" s="1" t="s">
        <v>108</v>
      </c>
      <c r="I88" s="1" t="s">
        <v>109</v>
      </c>
      <c r="J88" s="1" t="s">
        <v>110</v>
      </c>
      <c r="K88" s="1" t="s">
        <v>111</v>
      </c>
    </row>
    <row r="89" spans="1:11" x14ac:dyDescent="0.25">
      <c r="C89" s="1">
        <v>40</v>
      </c>
      <c r="D89" s="1">
        <v>40</v>
      </c>
      <c r="E89" s="1">
        <v>0</v>
      </c>
      <c r="F89" s="1">
        <f>CEILING(E89*D89*C89,$B$49)</f>
        <v>0</v>
      </c>
      <c r="G89" s="1">
        <f>CEILING(F89*$C$85,$B$49)</f>
        <v>0</v>
      </c>
      <c r="H89" s="31">
        <f>G89+F89</f>
        <v>0</v>
      </c>
      <c r="I89" s="1">
        <f>1*F89</f>
        <v>0</v>
      </c>
      <c r="J89" s="1">
        <f>$C$2*G89</f>
        <v>0</v>
      </c>
      <c r="K89" s="31">
        <f>H89*$C$2</f>
        <v>0</v>
      </c>
    </row>
    <row r="90" spans="1:11" x14ac:dyDescent="0.25">
      <c r="C90" s="34">
        <f>C89*1.03</f>
        <v>41.2</v>
      </c>
      <c r="D90" s="1">
        <v>40</v>
      </c>
      <c r="E90" s="1">
        <v>0</v>
      </c>
      <c r="F90" s="1">
        <f>CEILING(E90*D90*C90,$B$49)</f>
        <v>0</v>
      </c>
      <c r="G90" s="1">
        <f>CEILING(F90*$C$85,$B$49)</f>
        <v>0</v>
      </c>
      <c r="H90" s="31">
        <f>G90+F90</f>
        <v>0</v>
      </c>
      <c r="I90" s="1">
        <f>1*F90</f>
        <v>0</v>
      </c>
      <c r="J90" s="1">
        <f t="shared" ref="J90:J91" si="8">$C$2*G90</f>
        <v>0</v>
      </c>
      <c r="K90" s="31">
        <f t="shared" ref="K90:K91" si="9">H90*$C$2</f>
        <v>0</v>
      </c>
    </row>
    <row r="91" spans="1:11" x14ac:dyDescent="0.25">
      <c r="C91" s="34">
        <f>C90*1.03</f>
        <v>42.436000000000007</v>
      </c>
      <c r="D91" s="1">
        <v>40</v>
      </c>
      <c r="E91" s="1">
        <v>0</v>
      </c>
      <c r="F91" s="1">
        <f t="shared" ref="F91" si="10">CEILING(E91*D91*C91,$B$49)</f>
        <v>0</v>
      </c>
      <c r="G91" s="1">
        <f t="shared" ref="G91" si="11">CEILING(F91*$C$85,$B$49)</f>
        <v>0</v>
      </c>
      <c r="H91" s="31">
        <f>G91+F91</f>
        <v>0</v>
      </c>
      <c r="I91" s="1">
        <f>1*F91</f>
        <v>0</v>
      </c>
      <c r="J91" s="1">
        <f t="shared" si="8"/>
        <v>0</v>
      </c>
      <c r="K91" s="31">
        <f t="shared" si="9"/>
        <v>0</v>
      </c>
    </row>
    <row r="93" spans="1:11" x14ac:dyDescent="0.25">
      <c r="B93" s="1" t="s">
        <v>112</v>
      </c>
      <c r="F93" s="59">
        <f t="shared" ref="F93:G93" si="12">SUM(F89:F91)</f>
        <v>0</v>
      </c>
      <c r="G93" s="59">
        <f t="shared" si="12"/>
        <v>0</v>
      </c>
      <c r="H93" s="59">
        <f>SUM(H89:H91)</f>
        <v>0</v>
      </c>
      <c r="I93" s="59">
        <f>SUM(I89:I91)</f>
        <v>0</v>
      </c>
      <c r="J93" s="59">
        <f>SUM(J89:J91)</f>
        <v>0</v>
      </c>
      <c r="K93" s="55">
        <f>SUM(K89:K91)</f>
        <v>0</v>
      </c>
    </row>
    <row r="94" spans="1:11" x14ac:dyDescent="0.25">
      <c r="F94" s="59"/>
      <c r="G94" s="59"/>
      <c r="H94" s="59"/>
      <c r="I94" s="59"/>
      <c r="J94" s="59"/>
      <c r="K94" s="55"/>
    </row>
    <row r="95" spans="1:11" x14ac:dyDescent="0.25">
      <c r="B95" s="1" t="s">
        <v>104</v>
      </c>
      <c r="C95" s="1">
        <v>2.1000000000000001E-2</v>
      </c>
    </row>
    <row r="97" spans="1:11" x14ac:dyDescent="0.25">
      <c r="A97" s="31" t="s">
        <v>161</v>
      </c>
    </row>
    <row r="98" spans="1:11" x14ac:dyDescent="0.25">
      <c r="B98" s="58"/>
      <c r="C98" s="1" t="s">
        <v>23</v>
      </c>
      <c r="D98" s="1" t="s">
        <v>24</v>
      </c>
      <c r="E98" s="1" t="s">
        <v>26</v>
      </c>
      <c r="F98" s="31" t="s">
        <v>106</v>
      </c>
      <c r="G98" s="31" t="s">
        <v>107</v>
      </c>
      <c r="H98" s="1" t="s">
        <v>108</v>
      </c>
      <c r="I98" s="1" t="s">
        <v>109</v>
      </c>
      <c r="J98" s="1" t="s">
        <v>110</v>
      </c>
      <c r="K98" s="1" t="s">
        <v>111</v>
      </c>
    </row>
    <row r="99" spans="1:11" x14ac:dyDescent="0.25">
      <c r="C99" s="1">
        <v>11</v>
      </c>
      <c r="D99" s="1">
        <v>40</v>
      </c>
      <c r="E99" s="1">
        <v>12</v>
      </c>
      <c r="F99" s="1">
        <f>CEILING(E99*D99*C99,$B$49)</f>
        <v>5280</v>
      </c>
      <c r="G99" s="1">
        <f>CEILING(F99*$C$95,$B$49)</f>
        <v>111</v>
      </c>
      <c r="H99" s="31">
        <f>G99+F99</f>
        <v>5391</v>
      </c>
      <c r="I99" s="1">
        <f>1*F99</f>
        <v>5280</v>
      </c>
      <c r="J99" s="1">
        <f>$C$2*G99</f>
        <v>0</v>
      </c>
      <c r="K99" s="31">
        <f>H99*$C$2</f>
        <v>0</v>
      </c>
    </row>
    <row r="100" spans="1:11" x14ac:dyDescent="0.25">
      <c r="C100" s="34">
        <f>'1year'!C100</f>
        <v>11.33</v>
      </c>
      <c r="D100" s="1">
        <v>40</v>
      </c>
      <c r="E100" s="1">
        <v>12</v>
      </c>
      <c r="F100" s="1">
        <f>CEILING(E100*D100*C100,$B$49)</f>
        <v>5439</v>
      </c>
      <c r="G100" s="1">
        <f>CEILING(F100*$C$95,$B$49)</f>
        <v>115</v>
      </c>
      <c r="H100" s="31">
        <f>G100+F100</f>
        <v>5554</v>
      </c>
      <c r="I100" s="1">
        <f>1*F100</f>
        <v>5439</v>
      </c>
      <c r="J100" s="1">
        <f t="shared" ref="J100:J101" si="13">$C$2*G100</f>
        <v>0</v>
      </c>
      <c r="K100" s="31">
        <f t="shared" ref="K100:K101" si="14">H100*$C$2</f>
        <v>0</v>
      </c>
    </row>
    <row r="101" spans="1:11" x14ac:dyDescent="0.25">
      <c r="C101" s="34">
        <f>'1year'!C101</f>
        <v>11.6699</v>
      </c>
      <c r="D101" s="1">
        <v>40</v>
      </c>
      <c r="E101" s="1">
        <v>12</v>
      </c>
      <c r="F101" s="1">
        <f t="shared" ref="F101" si="15">CEILING(E101*D101*C101,$B$49)</f>
        <v>5602</v>
      </c>
      <c r="G101" s="1">
        <f>CEILING(F101*$C$95,$B$49)</f>
        <v>118</v>
      </c>
      <c r="H101" s="31">
        <f>G101+F101</f>
        <v>5720</v>
      </c>
      <c r="I101" s="1">
        <f>1*F101</f>
        <v>5602</v>
      </c>
      <c r="J101" s="1">
        <f t="shared" si="13"/>
        <v>0</v>
      </c>
      <c r="K101" s="31">
        <f t="shared" si="14"/>
        <v>0</v>
      </c>
    </row>
    <row r="103" spans="1:11" x14ac:dyDescent="0.25">
      <c r="B103" s="1" t="s">
        <v>112</v>
      </c>
      <c r="F103" s="59">
        <f t="shared" ref="F103:G103" si="16">SUM(F99:F101)</f>
        <v>16321</v>
      </c>
      <c r="G103" s="59">
        <f t="shared" si="16"/>
        <v>344</v>
      </c>
      <c r="H103" s="59">
        <f>SUM(H99:H101)</f>
        <v>16665</v>
      </c>
      <c r="I103" s="59">
        <f>SUM(I99:I101)</f>
        <v>16321</v>
      </c>
      <c r="J103" s="59">
        <f>SUM(J99:J101)</f>
        <v>0</v>
      </c>
      <c r="K103" s="55">
        <f>SUM(K99:K101)</f>
        <v>0</v>
      </c>
    </row>
    <row r="104" spans="1:11" x14ac:dyDescent="0.25">
      <c r="A104" s="31" t="s">
        <v>113</v>
      </c>
    </row>
    <row r="106" spans="1:11" x14ac:dyDescent="0.25">
      <c r="C106" s="1" t="s">
        <v>114</v>
      </c>
      <c r="D106" s="1" t="s">
        <v>115</v>
      </c>
      <c r="E106" s="1" t="s">
        <v>116</v>
      </c>
    </row>
    <row r="107" spans="1:11" x14ac:dyDescent="0.25">
      <c r="B107" s="1" t="s">
        <v>117</v>
      </c>
      <c r="C107" s="1">
        <v>100</v>
      </c>
      <c r="D107" s="1">
        <v>0</v>
      </c>
      <c r="E107" s="1">
        <v>2</v>
      </c>
      <c r="F107" s="31"/>
    </row>
    <row r="108" spans="1:11" x14ac:dyDescent="0.25">
      <c r="B108" s="1" t="s">
        <v>118</v>
      </c>
      <c r="F108" s="31"/>
    </row>
    <row r="109" spans="1:11" x14ac:dyDescent="0.25">
      <c r="B109" s="1" t="s">
        <v>119</v>
      </c>
      <c r="F109" s="31"/>
    </row>
    <row r="110" spans="1:11" x14ac:dyDescent="0.25">
      <c r="B110" s="1" t="s">
        <v>120</v>
      </c>
    </row>
    <row r="111" spans="1:11" x14ac:dyDescent="0.25">
      <c r="B111" s="1" t="s">
        <v>121</v>
      </c>
      <c r="F111" s="31"/>
    </row>
    <row r="112" spans="1:11" x14ac:dyDescent="0.25">
      <c r="B112" s="1" t="s">
        <v>122</v>
      </c>
      <c r="F112" s="31"/>
    </row>
    <row r="113" spans="1:6" x14ac:dyDescent="0.25">
      <c r="F113" s="58"/>
    </row>
    <row r="114" spans="1:6" x14ac:dyDescent="0.25">
      <c r="B114" s="1" t="s">
        <v>118</v>
      </c>
      <c r="D114" s="31">
        <v>3050</v>
      </c>
    </row>
    <row r="115" spans="1:6" x14ac:dyDescent="0.25">
      <c r="B115" s="1" t="s">
        <v>123</v>
      </c>
      <c r="C115" s="1" t="s">
        <v>124</v>
      </c>
      <c r="D115" s="1">
        <v>250</v>
      </c>
      <c r="F115" s="58"/>
    </row>
    <row r="116" spans="1:6" x14ac:dyDescent="0.25">
      <c r="C116" s="1" t="s">
        <v>125</v>
      </c>
      <c r="D116" s="1">
        <v>250</v>
      </c>
      <c r="F116" s="58"/>
    </row>
    <row r="117" spans="1:6" x14ac:dyDescent="0.25">
      <c r="C117" s="1" t="s">
        <v>126</v>
      </c>
      <c r="D117" s="1">
        <v>750</v>
      </c>
      <c r="F117" s="58"/>
    </row>
    <row r="118" spans="1:6" x14ac:dyDescent="0.25">
      <c r="C118" s="1" t="s">
        <v>127</v>
      </c>
      <c r="D118" s="1">
        <v>1000</v>
      </c>
    </row>
    <row r="119" spans="1:6" x14ac:dyDescent="0.25">
      <c r="C119" s="1" t="s">
        <v>128</v>
      </c>
    </row>
    <row r="120" spans="1:6" x14ac:dyDescent="0.25">
      <c r="C120" s="1" t="s">
        <v>129</v>
      </c>
      <c r="D120" s="1">
        <f>SUM(D115:D119)</f>
        <v>2250</v>
      </c>
    </row>
    <row r="122" spans="1:6" x14ac:dyDescent="0.25">
      <c r="A122" s="31" t="s">
        <v>130</v>
      </c>
      <c r="D122" s="58">
        <f>D120+E113</f>
        <v>2250</v>
      </c>
    </row>
  </sheetData>
  <hyperlinks>
    <hyperlink ref="J70" r:id="rId1" display="http://www.campbellsci.com/cs547a-l" xr:uid="{00000000-0004-0000-0300-000000000000}"/>
    <hyperlink ref="J71" r:id="rId2" display="http://www.campbellsci.com/am16-32b" xr:uid="{00000000-0004-0000-0300-000001000000}"/>
    <hyperlink ref="J72" r:id="rId3" display="http://www.campbellsci.com/a547" xr:uid="{00000000-0004-0000-0300-000002000000}"/>
    <hyperlink ref="J73" r:id="rId4" display="http://www.campbellsci.com/cr800-specifications" xr:uid="{00000000-0004-0000-0300-000003000000}"/>
  </hyperlinks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S122"/>
  <sheetViews>
    <sheetView workbookViewId="0">
      <selection activeCell="A3" sqref="A3"/>
    </sheetView>
  </sheetViews>
  <sheetFormatPr defaultColWidth="9.140625" defaultRowHeight="15" x14ac:dyDescent="0.25"/>
  <cols>
    <col min="1" max="1" width="15.140625" style="1" customWidth="1"/>
    <col min="2" max="2" width="19.140625" style="1" customWidth="1"/>
    <col min="3" max="3" width="11.42578125" style="1" customWidth="1"/>
    <col min="4" max="4" width="21.85546875" style="1" customWidth="1"/>
    <col min="5" max="5" width="16.85546875" style="1" customWidth="1"/>
    <col min="6" max="7" width="9.140625" style="1"/>
    <col min="8" max="8" width="13.85546875" style="1" customWidth="1"/>
    <col min="9" max="10" width="9.140625" style="1"/>
    <col min="11" max="11" width="11.85546875" style="1" customWidth="1"/>
    <col min="12" max="16384" width="9.140625" style="1"/>
  </cols>
  <sheetData>
    <row r="1" spans="1:14" s="31" customFormat="1" x14ac:dyDescent="0.25">
      <c r="A1" s="30" t="str">
        <f>Summary!A1</f>
        <v>MRE</v>
      </c>
      <c r="B1" s="9"/>
      <c r="C1" s="9"/>
      <c r="D1" s="9"/>
      <c r="E1" s="9"/>
      <c r="F1" s="10"/>
    </row>
    <row r="2" spans="1:14" x14ac:dyDescent="0.25">
      <c r="A2" s="12" t="str">
        <f>Summary!A2</f>
        <v>Project Period: August 1, 2021 through July 31, 2024</v>
      </c>
      <c r="B2" s="8"/>
      <c r="C2" s="8"/>
      <c r="D2" s="8"/>
      <c r="E2" s="8"/>
      <c r="F2" s="4"/>
      <c r="I2" s="1" t="s">
        <v>33</v>
      </c>
    </row>
    <row r="3" spans="1:14" ht="45" x14ac:dyDescent="0.25">
      <c r="A3" s="19" t="s">
        <v>0</v>
      </c>
      <c r="B3" s="20" t="s">
        <v>1</v>
      </c>
      <c r="C3" s="21" t="s">
        <v>2</v>
      </c>
      <c r="D3" s="21" t="s">
        <v>3</v>
      </c>
      <c r="E3" s="21" t="s">
        <v>4</v>
      </c>
      <c r="F3" s="45" t="s">
        <v>5</v>
      </c>
      <c r="I3" s="1" t="s">
        <v>23</v>
      </c>
      <c r="J3" s="35" t="s">
        <v>24</v>
      </c>
      <c r="M3" s="36" t="s">
        <v>57</v>
      </c>
      <c r="N3" s="1" t="s">
        <v>25</v>
      </c>
    </row>
    <row r="4" spans="1:14" x14ac:dyDescent="0.25">
      <c r="A4" s="24" t="s">
        <v>14</v>
      </c>
      <c r="B4" s="28" t="s">
        <v>6</v>
      </c>
      <c r="C4" s="29" t="s">
        <v>30</v>
      </c>
      <c r="D4" s="1">
        <v>0</v>
      </c>
      <c r="E4" s="46">
        <f>D4*0.23</f>
        <v>0</v>
      </c>
      <c r="F4" s="27">
        <f>SUM(D4:E4)</f>
        <v>0</v>
      </c>
      <c r="G4" s="1" t="s">
        <v>17</v>
      </c>
      <c r="I4" s="1">
        <f>L20</f>
        <v>74.152454219999996</v>
      </c>
      <c r="J4" s="1">
        <v>120</v>
      </c>
      <c r="K4" s="1">
        <f>CEILING(J4*I4,$B$49)</f>
        <v>8899</v>
      </c>
      <c r="M4" s="1">
        <f>K4*0.21</f>
        <v>1868.79</v>
      </c>
      <c r="N4" s="1">
        <f>M4+K4</f>
        <v>10767.79</v>
      </c>
    </row>
    <row r="5" spans="1:14" ht="15.75" x14ac:dyDescent="0.25">
      <c r="A5" s="49" t="s">
        <v>158</v>
      </c>
      <c r="B5" s="28"/>
      <c r="C5" s="29"/>
      <c r="D5" s="1">
        <v>0</v>
      </c>
      <c r="E5" s="41">
        <v>0</v>
      </c>
      <c r="F5" s="27">
        <f>SUM(D5:E5)</f>
        <v>0</v>
      </c>
      <c r="G5" s="1" t="s">
        <v>58</v>
      </c>
      <c r="I5" s="1">
        <f>I4</f>
        <v>74.152454219999996</v>
      </c>
      <c r="J5" s="1">
        <v>0</v>
      </c>
      <c r="K5" s="1">
        <f>J5*I5</f>
        <v>0</v>
      </c>
      <c r="M5" s="1">
        <f>K5*Z5</f>
        <v>0</v>
      </c>
      <c r="N5" s="1">
        <f>M5+K5</f>
        <v>0</v>
      </c>
    </row>
    <row r="6" spans="1:14" x14ac:dyDescent="0.25">
      <c r="A6" s="11" t="s">
        <v>15</v>
      </c>
      <c r="B6" s="6" t="s">
        <v>7</v>
      </c>
      <c r="C6" s="7"/>
      <c r="D6" s="26">
        <v>0</v>
      </c>
      <c r="E6" s="41">
        <f>D6*0.03</f>
        <v>0</v>
      </c>
      <c r="F6" s="43">
        <f>SUM(D6:E6)</f>
        <v>0</v>
      </c>
    </row>
    <row r="7" spans="1:14" x14ac:dyDescent="0.25">
      <c r="A7" s="11" t="s">
        <v>15</v>
      </c>
      <c r="B7" s="6" t="s">
        <v>7</v>
      </c>
      <c r="C7" s="7" t="s">
        <v>9</v>
      </c>
      <c r="D7" s="26">
        <v>0</v>
      </c>
      <c r="E7" s="41">
        <v>0</v>
      </c>
      <c r="F7" s="43">
        <f>SUM(D7:E7)</f>
        <v>0</v>
      </c>
      <c r="G7" s="50">
        <f>D7+D6</f>
        <v>0</v>
      </c>
    </row>
    <row r="8" spans="1:14" x14ac:dyDescent="0.25">
      <c r="A8" s="11" t="s">
        <v>160</v>
      </c>
      <c r="B8" s="6" t="s">
        <v>161</v>
      </c>
      <c r="C8" s="7" t="s">
        <v>30</v>
      </c>
      <c r="D8" s="5">
        <v>0</v>
      </c>
      <c r="E8" s="5">
        <v>0</v>
      </c>
      <c r="F8" s="43">
        <f>E8+D8</f>
        <v>0</v>
      </c>
      <c r="G8" s="50">
        <f>D7+D6</f>
        <v>0</v>
      </c>
    </row>
    <row r="9" spans="1:14" x14ac:dyDescent="0.25">
      <c r="A9" s="11"/>
      <c r="B9" s="6"/>
      <c r="C9" s="7"/>
      <c r="D9" s="5"/>
      <c r="E9" s="5"/>
      <c r="F9" s="43"/>
      <c r="I9" s="1" t="s">
        <v>32</v>
      </c>
      <c r="L9" s="1" t="s">
        <v>131</v>
      </c>
      <c r="M9" s="1">
        <v>0.03</v>
      </c>
    </row>
    <row r="10" spans="1:14" x14ac:dyDescent="0.25">
      <c r="A10" s="11"/>
      <c r="B10" s="6"/>
      <c r="C10" s="7"/>
      <c r="D10" s="5"/>
      <c r="E10" s="5"/>
      <c r="F10" s="43"/>
      <c r="I10" s="1" t="s">
        <v>23</v>
      </c>
      <c r="J10" s="1" t="s">
        <v>24</v>
      </c>
      <c r="K10" s="1" t="s">
        <v>26</v>
      </c>
      <c r="M10" s="1" t="s">
        <v>29</v>
      </c>
      <c r="N10" s="1" t="s">
        <v>25</v>
      </c>
    </row>
    <row r="11" spans="1:14" x14ac:dyDescent="0.25">
      <c r="A11" s="12" t="s">
        <v>8</v>
      </c>
      <c r="B11" s="8"/>
      <c r="C11" s="8"/>
      <c r="D11" s="32">
        <f>SUM(D4:D10)</f>
        <v>0</v>
      </c>
      <c r="E11" s="32">
        <f>SUM(E4:E10)</f>
        <v>0</v>
      </c>
      <c r="F11" s="33">
        <f>SUM(F4:F10)</f>
        <v>0</v>
      </c>
      <c r="I11" s="1">
        <f>L29</f>
        <v>21.854540000000004</v>
      </c>
      <c r="J11" s="1">
        <v>20</v>
      </c>
      <c r="K11" s="1">
        <v>52</v>
      </c>
      <c r="L11" s="1">
        <f>K11*J11*I11</f>
        <v>22728.721600000004</v>
      </c>
      <c r="M11" s="1">
        <f>L11*M9</f>
        <v>681.86164800000006</v>
      </c>
      <c r="N11" s="1">
        <f>M11+L11</f>
        <v>23410.583248000003</v>
      </c>
    </row>
    <row r="12" spans="1:14" x14ac:dyDescent="0.25">
      <c r="A12" s="11"/>
      <c r="B12" s="6"/>
      <c r="C12" s="6"/>
      <c r="D12" s="5"/>
      <c r="E12" s="5"/>
      <c r="F12" s="15"/>
      <c r="I12" s="1">
        <f>L29</f>
        <v>21.854540000000004</v>
      </c>
      <c r="J12" s="1">
        <v>20</v>
      </c>
      <c r="K12" s="1">
        <v>52</v>
      </c>
      <c r="L12" s="1">
        <f>K12*J12*I12</f>
        <v>22728.721600000004</v>
      </c>
      <c r="M12" s="1">
        <f>L12*M9</f>
        <v>681.86164800000006</v>
      </c>
      <c r="N12" s="1">
        <f>M12+L12</f>
        <v>23410.583248000003</v>
      </c>
    </row>
    <row r="13" spans="1:14" x14ac:dyDescent="0.25">
      <c r="A13" s="12" t="s">
        <v>10</v>
      </c>
      <c r="B13" s="6"/>
      <c r="C13" s="6"/>
      <c r="D13" s="6"/>
      <c r="E13" s="6"/>
      <c r="F13" s="16"/>
    </row>
    <row r="14" spans="1:14" x14ac:dyDescent="0.25">
      <c r="A14" s="11" t="s">
        <v>44</v>
      </c>
      <c r="B14" s="6"/>
      <c r="C14" s="6"/>
      <c r="D14" s="6"/>
      <c r="E14" s="39">
        <v>0</v>
      </c>
      <c r="F14" s="42">
        <f>E14</f>
        <v>0</v>
      </c>
      <c r="N14" s="38"/>
    </row>
    <row r="15" spans="1:14" x14ac:dyDescent="0.25">
      <c r="A15" s="11" t="s">
        <v>43</v>
      </c>
      <c r="B15" s="6"/>
      <c r="C15" s="6"/>
      <c r="D15" s="6" t="s">
        <v>9</v>
      </c>
      <c r="E15" s="39">
        <v>0</v>
      </c>
      <c r="F15" s="42">
        <f>E15</f>
        <v>0</v>
      </c>
      <c r="N15" s="37"/>
    </row>
    <row r="16" spans="1:14" x14ac:dyDescent="0.25">
      <c r="A16" s="11"/>
      <c r="B16" s="6"/>
      <c r="C16" s="6"/>
      <c r="D16" s="6"/>
      <c r="E16" s="40"/>
      <c r="F16" s="23"/>
    </row>
    <row r="17" spans="1:19" x14ac:dyDescent="0.25">
      <c r="A17" s="12" t="s">
        <v>21</v>
      </c>
      <c r="B17" s="6"/>
      <c r="C17" s="6"/>
      <c r="D17" s="6"/>
      <c r="E17" s="6"/>
      <c r="F17" s="15"/>
      <c r="I17" s="1" t="s">
        <v>42</v>
      </c>
    </row>
    <row r="18" spans="1:19" x14ac:dyDescent="0.25">
      <c r="A18" s="11" t="s">
        <v>19</v>
      </c>
      <c r="B18" s="6"/>
      <c r="C18" s="6"/>
      <c r="D18" s="6"/>
      <c r="E18" s="6"/>
      <c r="F18" s="15">
        <v>0</v>
      </c>
      <c r="I18" s="1" t="s">
        <v>34</v>
      </c>
      <c r="J18" s="1" t="s">
        <v>35</v>
      </c>
      <c r="K18" s="1" t="s">
        <v>36</v>
      </c>
      <c r="L18" s="1" t="s">
        <v>37</v>
      </c>
      <c r="M18" s="1" t="s">
        <v>38</v>
      </c>
    </row>
    <row r="19" spans="1:19" x14ac:dyDescent="0.25">
      <c r="A19" s="11" t="s">
        <v>20</v>
      </c>
      <c r="B19" s="6"/>
      <c r="C19" s="6"/>
      <c r="D19" s="6"/>
      <c r="E19" s="6"/>
      <c r="F19" s="15">
        <v>0</v>
      </c>
      <c r="I19" s="1">
        <f>'1year'!I19</f>
        <v>67.86</v>
      </c>
      <c r="J19" s="1">
        <f>I19*1.03</f>
        <v>69.895799999999994</v>
      </c>
      <c r="K19" s="1">
        <f>J19*1.03</f>
        <v>71.992673999999994</v>
      </c>
      <c r="L19" s="1">
        <f>K19*1.03</f>
        <v>74.152454219999996</v>
      </c>
      <c r="M19" s="1">
        <f>L19*1.03</f>
        <v>76.377027846600001</v>
      </c>
    </row>
    <row r="20" spans="1:19" x14ac:dyDescent="0.25">
      <c r="A20" s="11" t="s">
        <v>56</v>
      </c>
      <c r="B20" s="6"/>
      <c r="C20" s="6"/>
      <c r="D20" s="6"/>
      <c r="E20" s="6"/>
      <c r="F20" s="15">
        <v>0</v>
      </c>
      <c r="I20" s="1">
        <f>'1year'!I20</f>
        <v>67.86</v>
      </c>
      <c r="J20" s="1">
        <f>I20*1.03</f>
        <v>69.895799999999994</v>
      </c>
      <c r="K20" s="1">
        <f t="shared" ref="K20:M20" si="0">J20*1.03</f>
        <v>71.992673999999994</v>
      </c>
      <c r="L20" s="1">
        <f t="shared" si="0"/>
        <v>74.152454219999996</v>
      </c>
      <c r="M20" s="1">
        <f t="shared" si="0"/>
        <v>76.377027846600001</v>
      </c>
    </row>
    <row r="21" spans="1:19" x14ac:dyDescent="0.25">
      <c r="A21" s="11" t="s">
        <v>47</v>
      </c>
      <c r="B21" s="6"/>
      <c r="C21" s="6"/>
      <c r="D21" s="6"/>
      <c r="E21" s="6"/>
      <c r="F21" s="15">
        <v>0</v>
      </c>
    </row>
    <row r="22" spans="1:19" x14ac:dyDescent="0.25">
      <c r="A22" s="11" t="s">
        <v>49</v>
      </c>
      <c r="B22" s="6"/>
      <c r="C22" s="6"/>
      <c r="D22" s="6"/>
      <c r="E22" s="6"/>
      <c r="F22" s="15">
        <v>0</v>
      </c>
      <c r="G22" s="50"/>
    </row>
    <row r="23" spans="1:19" x14ac:dyDescent="0.25">
      <c r="A23" s="25" t="s">
        <v>159</v>
      </c>
      <c r="B23" s="6"/>
      <c r="C23" s="6"/>
      <c r="D23" s="6"/>
      <c r="E23" s="6"/>
      <c r="F23" s="15">
        <v>0</v>
      </c>
      <c r="G23" s="76">
        <f>SUM(F18:F23)-F19</f>
        <v>0</v>
      </c>
      <c r="H23" s="77" t="s">
        <v>171</v>
      </c>
    </row>
    <row r="24" spans="1:19" x14ac:dyDescent="0.25">
      <c r="A24" s="11"/>
      <c r="B24" s="6"/>
      <c r="C24" s="6"/>
      <c r="D24" s="6"/>
      <c r="E24" s="6"/>
      <c r="F24" s="15"/>
      <c r="G24" s="78">
        <f>SUM(F18:F23)+F33</f>
        <v>0</v>
      </c>
      <c r="H24" s="79" t="s">
        <v>172</v>
      </c>
    </row>
    <row r="25" spans="1:19" x14ac:dyDescent="0.25">
      <c r="A25" s="14" t="s">
        <v>11</v>
      </c>
      <c r="B25" s="3"/>
      <c r="C25" s="3"/>
      <c r="D25" s="3"/>
      <c r="E25" s="3"/>
      <c r="F25" s="15">
        <f>SUM(F11:F23)</f>
        <v>0</v>
      </c>
      <c r="G25" s="80">
        <f>F25+SUM(F29:F33)</f>
        <v>0</v>
      </c>
      <c r="H25" s="81" t="s">
        <v>173</v>
      </c>
    </row>
    <row r="26" spans="1:19" x14ac:dyDescent="0.25">
      <c r="A26" s="13" t="str">
        <f>'1year'!A26</f>
        <v>Indirect Costs</v>
      </c>
      <c r="B26" s="2"/>
      <c r="C26" s="2">
        <f>'3year'!C26</f>
        <v>0.47499999999999998</v>
      </c>
      <c r="D26" s="2"/>
      <c r="E26" s="2"/>
      <c r="F26" s="15">
        <f>F25*C26</f>
        <v>0</v>
      </c>
    </row>
    <row r="27" spans="1:19" x14ac:dyDescent="0.25">
      <c r="A27" s="12"/>
      <c r="B27" s="6"/>
      <c r="C27" s="6"/>
      <c r="D27" s="6"/>
      <c r="E27" s="6"/>
      <c r="F27" s="15"/>
      <c r="I27" s="1" t="s">
        <v>39</v>
      </c>
      <c r="S27" s="48"/>
    </row>
    <row r="28" spans="1:19" x14ac:dyDescent="0.25">
      <c r="A28" s="12" t="s">
        <v>22</v>
      </c>
      <c r="B28" s="6"/>
      <c r="C28" s="6"/>
      <c r="D28" s="6"/>
      <c r="E28" s="6"/>
      <c r="F28" s="15"/>
      <c r="I28" s="1" t="s">
        <v>34</v>
      </c>
      <c r="J28" s="1" t="s">
        <v>35</v>
      </c>
      <c r="K28" s="1" t="s">
        <v>36</v>
      </c>
      <c r="L28" s="1" t="s">
        <v>37</v>
      </c>
      <c r="M28" s="1" t="s">
        <v>38</v>
      </c>
    </row>
    <row r="29" spans="1:19" x14ac:dyDescent="0.25">
      <c r="A29" s="25"/>
      <c r="B29" s="6"/>
      <c r="C29" s="6"/>
      <c r="D29" s="6"/>
      <c r="E29" s="6"/>
      <c r="F29" s="15"/>
      <c r="I29" s="1">
        <v>20</v>
      </c>
      <c r="J29" s="1">
        <f>I29*1.03</f>
        <v>20.6</v>
      </c>
      <c r="K29" s="1">
        <f>J29*1.03</f>
        <v>21.218000000000004</v>
      </c>
      <c r="L29" s="1">
        <f>K29*1.03</f>
        <v>21.854540000000004</v>
      </c>
      <c r="M29" s="1">
        <f>L29*1.03</f>
        <v>22.510176200000004</v>
      </c>
    </row>
    <row r="30" spans="1:19" x14ac:dyDescent="0.25">
      <c r="A30" s="25"/>
      <c r="B30" s="6"/>
      <c r="C30" s="6"/>
      <c r="D30" s="6"/>
      <c r="E30" s="6"/>
      <c r="F30" s="15"/>
    </row>
    <row r="31" spans="1:19" x14ac:dyDescent="0.25">
      <c r="A31" s="25"/>
      <c r="B31" s="6"/>
      <c r="C31" s="6"/>
      <c r="D31" s="6"/>
      <c r="E31" s="6"/>
      <c r="F31" s="15"/>
      <c r="H31" s="1" t="s">
        <v>162</v>
      </c>
      <c r="I31" s="1">
        <v>2</v>
      </c>
    </row>
    <row r="32" spans="1:19" x14ac:dyDescent="0.25">
      <c r="A32" s="12" t="s">
        <v>12</v>
      </c>
      <c r="B32" s="6"/>
      <c r="C32" s="6"/>
      <c r="D32" s="6"/>
      <c r="E32" s="6"/>
      <c r="F32" s="15"/>
      <c r="I32" s="1" t="s">
        <v>34</v>
      </c>
      <c r="J32" s="1" t="s">
        <v>35</v>
      </c>
      <c r="K32" s="1" t="s">
        <v>36</v>
      </c>
      <c r="L32" s="1" t="s">
        <v>37</v>
      </c>
      <c r="M32" s="1" t="s">
        <v>38</v>
      </c>
    </row>
    <row r="33" spans="1:14" x14ac:dyDescent="0.25">
      <c r="A33" s="25" t="s">
        <v>31</v>
      </c>
      <c r="B33" s="6"/>
      <c r="C33" s="6"/>
      <c r="D33" s="6"/>
      <c r="E33" s="6"/>
      <c r="F33" s="51">
        <v>0</v>
      </c>
      <c r="I33" s="1">
        <v>5000</v>
      </c>
      <c r="J33" s="1">
        <f>I33*1.1</f>
        <v>5500</v>
      </c>
      <c r="K33" s="1">
        <f>J33*1.1</f>
        <v>6050.0000000000009</v>
      </c>
      <c r="L33" s="1">
        <f>K33*1.1</f>
        <v>6655.0000000000018</v>
      </c>
      <c r="M33" s="1">
        <f>L33*1.1</f>
        <v>7320.5000000000027</v>
      </c>
    </row>
    <row r="34" spans="1:14" x14ac:dyDescent="0.25">
      <c r="A34" s="11"/>
      <c r="B34" s="6"/>
      <c r="C34" s="6"/>
      <c r="D34" s="6"/>
      <c r="E34" s="6"/>
      <c r="F34" s="17"/>
      <c r="I34" s="1">
        <f>I33*2*$I$31</f>
        <v>20000</v>
      </c>
      <c r="J34" s="1">
        <f t="shared" ref="J34:M34" si="1">J33*2*$I$31</f>
        <v>22000</v>
      </c>
      <c r="K34" s="1">
        <f t="shared" si="1"/>
        <v>24200.000000000004</v>
      </c>
      <c r="L34" s="1">
        <f>L33*2*$I$31</f>
        <v>26620.000000000007</v>
      </c>
      <c r="M34" s="1">
        <f t="shared" si="1"/>
        <v>29282.000000000011</v>
      </c>
    </row>
    <row r="35" spans="1:14" x14ac:dyDescent="0.25">
      <c r="A35" s="13" t="s">
        <v>13</v>
      </c>
      <c r="B35" s="2"/>
      <c r="C35" s="2"/>
      <c r="D35" s="2"/>
      <c r="E35" s="2"/>
      <c r="F35" s="22">
        <f>SUM(F25:F33)</f>
        <v>0</v>
      </c>
    </row>
    <row r="37" spans="1:14" x14ac:dyDescent="0.25">
      <c r="H37" s="1" t="s">
        <v>54</v>
      </c>
      <c r="I37" s="1">
        <v>3060</v>
      </c>
    </row>
    <row r="38" spans="1:14" x14ac:dyDescent="0.25">
      <c r="H38" s="1" t="s">
        <v>53</v>
      </c>
      <c r="I38" s="1">
        <v>694</v>
      </c>
    </row>
    <row r="39" spans="1:14" x14ac:dyDescent="0.25">
      <c r="E39" s="1">
        <v>2000</v>
      </c>
      <c r="H39" s="1" t="s">
        <v>55</v>
      </c>
      <c r="I39" s="1">
        <f>I38+I37</f>
        <v>3754</v>
      </c>
      <c r="J39" s="1">
        <f>I39*1.1</f>
        <v>4129.4000000000005</v>
      </c>
    </row>
    <row r="40" spans="1:14" x14ac:dyDescent="0.25">
      <c r="E40" s="1">
        <v>3000</v>
      </c>
    </row>
    <row r="41" spans="1:14" x14ac:dyDescent="0.25">
      <c r="E41" s="1">
        <f>2*250</f>
        <v>500</v>
      </c>
    </row>
    <row r="42" spans="1:14" x14ac:dyDescent="0.25">
      <c r="B42" s="52">
        <v>8640</v>
      </c>
      <c r="E42" s="1">
        <f>2*250</f>
        <v>500</v>
      </c>
    </row>
    <row r="43" spans="1:14" x14ac:dyDescent="0.25">
      <c r="B43" s="53">
        <f>B42/3</f>
        <v>2880</v>
      </c>
      <c r="E43" s="1">
        <f>2*750</f>
        <v>1500</v>
      </c>
      <c r="I43" s="1" t="s">
        <v>59</v>
      </c>
      <c r="N43" s="38"/>
    </row>
    <row r="44" spans="1:14" x14ac:dyDescent="0.25">
      <c r="E44" s="1">
        <f>SUM(E39:E43)</f>
        <v>7500</v>
      </c>
      <c r="K44" s="1" t="s">
        <v>60</v>
      </c>
      <c r="L44" s="1" t="s">
        <v>61</v>
      </c>
      <c r="N44" s="37"/>
    </row>
    <row r="45" spans="1:14" x14ac:dyDescent="0.25">
      <c r="I45" s="1" t="s">
        <v>62</v>
      </c>
      <c r="K45" s="1">
        <v>125</v>
      </c>
      <c r="L45" s="1">
        <f>12*3*2+4</f>
        <v>76</v>
      </c>
      <c r="M45" s="1">
        <f>L45*K45</f>
        <v>9500</v>
      </c>
    </row>
    <row r="46" spans="1:14" x14ac:dyDescent="0.25">
      <c r="I46" s="1" t="s">
        <v>63</v>
      </c>
      <c r="K46" s="1">
        <v>460</v>
      </c>
      <c r="L46" s="1">
        <v>26</v>
      </c>
      <c r="M46" s="1">
        <f>L46*K46</f>
        <v>11960</v>
      </c>
    </row>
    <row r="47" spans="1:14" x14ac:dyDescent="0.25">
      <c r="I47" s="1" t="s">
        <v>64</v>
      </c>
      <c r="K47" s="1">
        <v>220</v>
      </c>
      <c r="L47" s="1">
        <v>1</v>
      </c>
      <c r="M47" s="1">
        <f>K47*L47</f>
        <v>220</v>
      </c>
    </row>
    <row r="48" spans="1:14" x14ac:dyDescent="0.25">
      <c r="I48" s="1" t="s">
        <v>65</v>
      </c>
      <c r="K48" s="1">
        <v>220</v>
      </c>
      <c r="L48" s="1">
        <v>1</v>
      </c>
      <c r="M48" s="1">
        <f>K48*L48</f>
        <v>220</v>
      </c>
    </row>
    <row r="49" spans="1:14" x14ac:dyDescent="0.25">
      <c r="A49" s="31" t="s">
        <v>66</v>
      </c>
      <c r="B49" s="31">
        <v>1</v>
      </c>
      <c r="I49" s="1" t="s">
        <v>67</v>
      </c>
      <c r="K49" s="1">
        <v>1000</v>
      </c>
      <c r="L49" s="1">
        <v>1</v>
      </c>
      <c r="M49" s="1">
        <f>L49*K49</f>
        <v>1000</v>
      </c>
    </row>
    <row r="50" spans="1:14" x14ac:dyDescent="0.25">
      <c r="A50" s="1" t="s">
        <v>68</v>
      </c>
      <c r="B50" s="1">
        <v>0</v>
      </c>
    </row>
    <row r="51" spans="1:14" x14ac:dyDescent="0.25">
      <c r="A51" s="31" t="s">
        <v>69</v>
      </c>
      <c r="M51" s="1">
        <f>SUM(M45:M49)</f>
        <v>22900</v>
      </c>
    </row>
    <row r="52" spans="1:14" x14ac:dyDescent="0.25">
      <c r="A52" s="31" t="s">
        <v>70</v>
      </c>
      <c r="B52" s="54">
        <v>2</v>
      </c>
      <c r="I52" s="31" t="s">
        <v>71</v>
      </c>
      <c r="K52" s="1" t="s">
        <v>72</v>
      </c>
      <c r="L52" s="1" t="s">
        <v>73</v>
      </c>
      <c r="M52" s="1" t="s">
        <v>74</v>
      </c>
      <c r="N52" s="1" t="s">
        <v>25</v>
      </c>
    </row>
    <row r="53" spans="1:14" ht="30" x14ac:dyDescent="0.25">
      <c r="D53" s="36" t="s">
        <v>75</v>
      </c>
      <c r="E53" s="36" t="s">
        <v>76</v>
      </c>
      <c r="F53" s="1" t="s">
        <v>77</v>
      </c>
      <c r="I53" s="1" t="s">
        <v>78</v>
      </c>
      <c r="K53" s="1">
        <v>200</v>
      </c>
      <c r="L53" s="1">
        <v>200</v>
      </c>
      <c r="M53" s="1">
        <v>200</v>
      </c>
      <c r="N53" s="1">
        <f>SUM(K53:M53)</f>
        <v>600</v>
      </c>
    </row>
    <row r="54" spans="1:14" x14ac:dyDescent="0.25">
      <c r="A54" s="1" t="s">
        <v>79</v>
      </c>
      <c r="B54" s="1">
        <v>8</v>
      </c>
      <c r="I54" s="1" t="s">
        <v>80</v>
      </c>
      <c r="J54" s="1" t="s">
        <v>81</v>
      </c>
      <c r="K54" s="1">
        <v>0</v>
      </c>
    </row>
    <row r="55" spans="1:14" x14ac:dyDescent="0.25">
      <c r="A55" s="1" t="s">
        <v>82</v>
      </c>
      <c r="B55" s="1">
        <v>8</v>
      </c>
      <c r="J55" s="1" t="s">
        <v>83</v>
      </c>
      <c r="K55" s="1">
        <v>0</v>
      </c>
    </row>
    <row r="56" spans="1:14" x14ac:dyDescent="0.25">
      <c r="A56" s="1" t="s">
        <v>84</v>
      </c>
      <c r="B56" s="1">
        <v>500</v>
      </c>
      <c r="D56" s="1">
        <f>B56</f>
        <v>500</v>
      </c>
      <c r="E56" s="1">
        <f>CEILING(D56*$B$52,$B$49)</f>
        <v>1000</v>
      </c>
      <c r="F56" s="31">
        <f>E56*3</f>
        <v>3000</v>
      </c>
      <c r="J56" s="1" t="s">
        <v>85</v>
      </c>
      <c r="K56" s="1">
        <v>0</v>
      </c>
      <c r="L56" s="1">
        <v>0</v>
      </c>
      <c r="M56" s="1">
        <v>0</v>
      </c>
    </row>
    <row r="57" spans="1:14" x14ac:dyDescent="0.25">
      <c r="A57" s="1" t="s">
        <v>86</v>
      </c>
      <c r="B57" s="1">
        <v>120</v>
      </c>
      <c r="D57" s="1">
        <f>B57*B55</f>
        <v>960</v>
      </c>
      <c r="E57" s="1">
        <f t="shared" ref="E57:E59" si="2">CEILING(D57*$B$52,$B$49)</f>
        <v>1920</v>
      </c>
      <c r="F57" s="31">
        <f>E57*3</f>
        <v>5760</v>
      </c>
      <c r="K57" s="1">
        <f>K56+K55+K54</f>
        <v>0</v>
      </c>
      <c r="L57" s="1">
        <f t="shared" ref="L57:M57" si="3">L56+L55+L54</f>
        <v>0</v>
      </c>
      <c r="M57" s="1">
        <f t="shared" si="3"/>
        <v>0</v>
      </c>
      <c r="N57" s="1">
        <f>SUM(K57:M57)</f>
        <v>0</v>
      </c>
    </row>
    <row r="58" spans="1:14" x14ac:dyDescent="0.25">
      <c r="A58" s="1" t="s">
        <v>87</v>
      </c>
      <c r="B58" s="1">
        <v>46</v>
      </c>
      <c r="D58" s="1">
        <f>B58*B54</f>
        <v>368</v>
      </c>
      <c r="E58" s="1">
        <f t="shared" si="2"/>
        <v>736</v>
      </c>
      <c r="F58" s="31">
        <f>E58*3</f>
        <v>2208</v>
      </c>
      <c r="I58" s="1" t="s">
        <v>88</v>
      </c>
      <c r="K58" s="1">
        <f>K57+K53</f>
        <v>200</v>
      </c>
      <c r="L58" s="1">
        <f t="shared" ref="L58:M58" si="4">L57+L53</f>
        <v>200</v>
      </c>
      <c r="M58" s="1">
        <f t="shared" si="4"/>
        <v>200</v>
      </c>
    </row>
    <row r="59" spans="1:14" x14ac:dyDescent="0.25">
      <c r="A59" s="1" t="s">
        <v>89</v>
      </c>
      <c r="B59" s="1">
        <v>450</v>
      </c>
      <c r="D59" s="1">
        <f>B59</f>
        <v>450</v>
      </c>
      <c r="E59" s="1">
        <f t="shared" si="2"/>
        <v>900</v>
      </c>
      <c r="F59" s="31">
        <f>E59*3</f>
        <v>2700</v>
      </c>
    </row>
    <row r="61" spans="1:14" x14ac:dyDescent="0.25">
      <c r="G61" s="1">
        <f>3*8800</f>
        <v>26400</v>
      </c>
    </row>
    <row r="63" spans="1:14" x14ac:dyDescent="0.25">
      <c r="A63" s="31" t="s">
        <v>25</v>
      </c>
      <c r="D63" s="31">
        <f>SUM(D56:D59)</f>
        <v>2278</v>
      </c>
      <c r="E63" s="31">
        <f>SUM(E56:E59)</f>
        <v>4556</v>
      </c>
      <c r="F63" s="55">
        <f>E63*3</f>
        <v>13668</v>
      </c>
    </row>
    <row r="64" spans="1:14" x14ac:dyDescent="0.25">
      <c r="A64" s="31"/>
      <c r="D64" s="31"/>
      <c r="E64" s="31"/>
      <c r="F64" s="55"/>
    </row>
    <row r="65" spans="1:10" x14ac:dyDescent="0.25">
      <c r="A65" s="31" t="s">
        <v>90</v>
      </c>
    </row>
    <row r="66" spans="1:10" x14ac:dyDescent="0.25">
      <c r="A66" s="31" t="s">
        <v>70</v>
      </c>
      <c r="B66" s="54">
        <v>0</v>
      </c>
      <c r="C66" s="1" t="s">
        <v>91</v>
      </c>
      <c r="D66" s="1">
        <v>3</v>
      </c>
    </row>
    <row r="67" spans="1:10" ht="30" x14ac:dyDescent="0.25">
      <c r="D67" s="56" t="s">
        <v>75</v>
      </c>
      <c r="E67" s="56" t="s">
        <v>92</v>
      </c>
      <c r="F67" s="31" t="s">
        <v>77</v>
      </c>
    </row>
    <row r="68" spans="1:10" x14ac:dyDescent="0.25">
      <c r="A68" s="1" t="s">
        <v>79</v>
      </c>
      <c r="B68" s="1">
        <v>28</v>
      </c>
    </row>
    <row r="69" spans="1:10" x14ac:dyDescent="0.25">
      <c r="A69" s="1" t="s">
        <v>82</v>
      </c>
      <c r="B69" s="1">
        <v>28</v>
      </c>
      <c r="J69" s="1" t="s">
        <v>93</v>
      </c>
    </row>
    <row r="70" spans="1:10" x14ac:dyDescent="0.25">
      <c r="A70" s="1" t="s">
        <v>94</v>
      </c>
      <c r="B70" s="1">
        <v>400</v>
      </c>
      <c r="D70" s="1">
        <f>B70</f>
        <v>400</v>
      </c>
      <c r="E70" s="31">
        <f t="shared" ref="E70:E71" si="5">CEILING(D70*$B$66,$B$49)</f>
        <v>0</v>
      </c>
      <c r="F70" s="31">
        <f>E70*$E$81</f>
        <v>0</v>
      </c>
      <c r="J70" s="57" t="s">
        <v>95</v>
      </c>
    </row>
    <row r="71" spans="1:10" x14ac:dyDescent="0.25">
      <c r="A71" s="1" t="s">
        <v>96</v>
      </c>
      <c r="B71" s="1">
        <v>54</v>
      </c>
      <c r="D71" s="1">
        <f>B71*B69</f>
        <v>1512</v>
      </c>
      <c r="E71" s="31">
        <f t="shared" si="5"/>
        <v>0</v>
      </c>
      <c r="F71" s="31">
        <f>E71*$E$81</f>
        <v>0</v>
      </c>
      <c r="J71" s="57" t="s">
        <v>97</v>
      </c>
    </row>
    <row r="72" spans="1:10" x14ac:dyDescent="0.25">
      <c r="A72" s="1" t="s">
        <v>87</v>
      </c>
      <c r="B72" s="1">
        <v>20</v>
      </c>
      <c r="C72" s="1" t="s">
        <v>98</v>
      </c>
      <c r="D72" s="1">
        <f>B72*B68</f>
        <v>560</v>
      </c>
      <c r="E72" s="31">
        <f>CEILING(D72*$B$66,$B$49)*4</f>
        <v>0</v>
      </c>
      <c r="F72" s="31">
        <f>E72*$E$81</f>
        <v>0</v>
      </c>
      <c r="J72" s="57" t="s">
        <v>99</v>
      </c>
    </row>
    <row r="73" spans="1:10" x14ac:dyDescent="0.25">
      <c r="A73" s="1" t="s">
        <v>89</v>
      </c>
      <c r="B73" s="1">
        <v>0</v>
      </c>
      <c r="D73" s="1">
        <f>B73</f>
        <v>0</v>
      </c>
      <c r="E73" s="31">
        <f>CEILING(D73*$B$66,$B$49)</f>
        <v>0</v>
      </c>
      <c r="F73" s="31">
        <f>E73*$E$81</f>
        <v>0</v>
      </c>
      <c r="J73" s="57" t="s">
        <v>100</v>
      </c>
    </row>
    <row r="74" spans="1:10" x14ac:dyDescent="0.25">
      <c r="J74" s="1" t="s">
        <v>101</v>
      </c>
    </row>
    <row r="75" spans="1:10" x14ac:dyDescent="0.25">
      <c r="J75" s="1" t="s">
        <v>102</v>
      </c>
    </row>
    <row r="77" spans="1:10" x14ac:dyDescent="0.25">
      <c r="D77" s="31">
        <f>SUM(D70:D73)</f>
        <v>2472</v>
      </c>
      <c r="E77" s="31">
        <f>SUM(E70:E73)</f>
        <v>0</v>
      </c>
      <c r="F77" s="55">
        <f>E77*3</f>
        <v>0</v>
      </c>
    </row>
    <row r="80" spans="1:10" x14ac:dyDescent="0.25">
      <c r="A80" s="1" t="s">
        <v>103</v>
      </c>
      <c r="D80" s="1">
        <v>800</v>
      </c>
    </row>
    <row r="85" spans="1:11" x14ac:dyDescent="0.25">
      <c r="B85" s="1" t="s">
        <v>104</v>
      </c>
      <c r="C85" s="1">
        <v>0.41</v>
      </c>
    </row>
    <row r="87" spans="1:11" x14ac:dyDescent="0.25">
      <c r="A87" s="31" t="s">
        <v>105</v>
      </c>
    </row>
    <row r="88" spans="1:11" x14ac:dyDescent="0.25">
      <c r="B88" s="58"/>
      <c r="C88" s="1" t="s">
        <v>23</v>
      </c>
      <c r="D88" s="1" t="s">
        <v>24</v>
      </c>
      <c r="E88" s="1" t="s">
        <v>26</v>
      </c>
      <c r="F88" s="31" t="s">
        <v>106</v>
      </c>
      <c r="G88" s="31" t="s">
        <v>107</v>
      </c>
      <c r="H88" s="1" t="s">
        <v>108</v>
      </c>
      <c r="I88" s="1" t="s">
        <v>109</v>
      </c>
      <c r="J88" s="1" t="s">
        <v>110</v>
      </c>
      <c r="K88" s="1" t="s">
        <v>111</v>
      </c>
    </row>
    <row r="89" spans="1:11" x14ac:dyDescent="0.25">
      <c r="C89" s="1">
        <v>30</v>
      </c>
      <c r="D89" s="1">
        <v>40</v>
      </c>
      <c r="E89" s="1">
        <v>2</v>
      </c>
      <c r="F89" s="1">
        <f>CEILING(E89*D89*C89,$B$49)</f>
        <v>2400</v>
      </c>
      <c r="G89" s="1">
        <f>CEILING(F89*$C$85,$B$49)</f>
        <v>984</v>
      </c>
      <c r="H89" s="31">
        <f>G89+F89</f>
        <v>3384</v>
      </c>
      <c r="I89" s="1">
        <f>1*F89</f>
        <v>2400</v>
      </c>
      <c r="J89" s="1">
        <f>$C$2*G89</f>
        <v>0</v>
      </c>
      <c r="K89" s="31">
        <f>H89*$C$2</f>
        <v>0</v>
      </c>
    </row>
    <row r="90" spans="1:11" x14ac:dyDescent="0.25">
      <c r="C90" s="34">
        <f>C89*1.03</f>
        <v>30.900000000000002</v>
      </c>
      <c r="D90" s="1">
        <v>40</v>
      </c>
      <c r="E90" s="1">
        <v>2</v>
      </c>
      <c r="F90" s="1">
        <f>CEILING(E90*D90*C90,$B$49)</f>
        <v>2472</v>
      </c>
      <c r="G90" s="1">
        <f>CEILING(F90*$C$85,$B$49)</f>
        <v>1014</v>
      </c>
      <c r="H90" s="31">
        <f>G90+F90</f>
        <v>3486</v>
      </c>
      <c r="I90" s="1">
        <f>1*F90</f>
        <v>2472</v>
      </c>
      <c r="J90" s="1">
        <f t="shared" ref="J90:J91" si="6">$C$2*G90</f>
        <v>0</v>
      </c>
      <c r="K90" s="31">
        <f t="shared" ref="K90:K91" si="7">H90*$C$2</f>
        <v>0</v>
      </c>
    </row>
    <row r="91" spans="1:11" x14ac:dyDescent="0.25">
      <c r="C91" s="34">
        <f>C90*1.03</f>
        <v>31.827000000000002</v>
      </c>
      <c r="D91" s="1">
        <v>40</v>
      </c>
      <c r="E91" s="1">
        <v>2</v>
      </c>
      <c r="F91" s="1">
        <f t="shared" ref="F91" si="8">CEILING(E91*D91*C91,$B$49)</f>
        <v>2547</v>
      </c>
      <c r="G91" s="1">
        <f t="shared" ref="G91" si="9">CEILING(F91*$C$85,$B$49)</f>
        <v>1045</v>
      </c>
      <c r="H91" s="31">
        <f>G91+F91</f>
        <v>3592</v>
      </c>
      <c r="I91" s="1">
        <f>1*F91</f>
        <v>2547</v>
      </c>
      <c r="J91" s="1">
        <f t="shared" si="6"/>
        <v>0</v>
      </c>
      <c r="K91" s="31">
        <f t="shared" si="7"/>
        <v>0</v>
      </c>
    </row>
    <row r="93" spans="1:11" x14ac:dyDescent="0.25">
      <c r="B93" s="1" t="s">
        <v>112</v>
      </c>
      <c r="F93" s="59">
        <f t="shared" ref="F93:G93" si="10">SUM(F89:F91)</f>
        <v>7419</v>
      </c>
      <c r="G93" s="59">
        <f t="shared" si="10"/>
        <v>3043</v>
      </c>
      <c r="H93" s="59">
        <f>SUM(H89:H91)</f>
        <v>10462</v>
      </c>
      <c r="I93" s="59">
        <f>SUM(I89:I91)</f>
        <v>7419</v>
      </c>
      <c r="J93" s="59">
        <f>SUM(J89:J91)</f>
        <v>0</v>
      </c>
      <c r="K93" s="55">
        <f>SUM(K89:K91)</f>
        <v>0</v>
      </c>
    </row>
    <row r="94" spans="1:11" x14ac:dyDescent="0.25">
      <c r="F94" s="59"/>
      <c r="G94" s="59"/>
      <c r="H94" s="59"/>
      <c r="I94" s="59"/>
      <c r="J94" s="59"/>
      <c r="K94" s="55"/>
    </row>
    <row r="95" spans="1:11" x14ac:dyDescent="0.25">
      <c r="B95" s="1" t="s">
        <v>104</v>
      </c>
      <c r="C95" s="1">
        <v>0.09</v>
      </c>
    </row>
    <row r="97" spans="1:11" x14ac:dyDescent="0.25">
      <c r="A97" s="31" t="s">
        <v>161</v>
      </c>
    </row>
    <row r="98" spans="1:11" x14ac:dyDescent="0.25">
      <c r="B98" s="58"/>
      <c r="C98" s="1" t="s">
        <v>23</v>
      </c>
      <c r="D98" s="1" t="s">
        <v>24</v>
      </c>
      <c r="E98" s="1" t="s">
        <v>26</v>
      </c>
      <c r="F98" s="31" t="s">
        <v>106</v>
      </c>
      <c r="G98" s="31" t="s">
        <v>107</v>
      </c>
      <c r="H98" s="1" t="s">
        <v>108</v>
      </c>
      <c r="I98" s="1" t="s">
        <v>109</v>
      </c>
      <c r="J98" s="1" t="s">
        <v>110</v>
      </c>
      <c r="K98" s="1" t="s">
        <v>111</v>
      </c>
    </row>
    <row r="99" spans="1:11" x14ac:dyDescent="0.25">
      <c r="C99" s="1">
        <v>11</v>
      </c>
      <c r="D99" s="1">
        <v>40</v>
      </c>
      <c r="E99" s="1">
        <v>12</v>
      </c>
      <c r="F99" s="1">
        <f>CEILING(E99*D99*C99,$B$49)</f>
        <v>5280</v>
      </c>
      <c r="G99" s="1">
        <f>CEILING(F99*$C$95,$B$49)</f>
        <v>476</v>
      </c>
      <c r="H99" s="31">
        <f>G99+F99</f>
        <v>5756</v>
      </c>
      <c r="I99" s="1">
        <f>1*F99</f>
        <v>5280</v>
      </c>
      <c r="J99" s="1">
        <f>$C$2*G99</f>
        <v>0</v>
      </c>
      <c r="K99" s="31">
        <f>H99*$C$2</f>
        <v>0</v>
      </c>
    </row>
    <row r="100" spans="1:11" x14ac:dyDescent="0.25">
      <c r="C100" s="34">
        <v>11</v>
      </c>
      <c r="D100" s="1">
        <v>40</v>
      </c>
      <c r="E100" s="1">
        <v>12</v>
      </c>
      <c r="F100" s="1">
        <f>CEILING(E100*D100*C100,$B$49)</f>
        <v>5280</v>
      </c>
      <c r="G100" s="1">
        <f>CEILING(F100*$C$95,$B$49)</f>
        <v>476</v>
      </c>
      <c r="H100" s="31">
        <f>G100+F100</f>
        <v>5756</v>
      </c>
      <c r="I100" s="1">
        <f>1*F100</f>
        <v>5280</v>
      </c>
      <c r="J100" s="1">
        <f t="shared" ref="J100:J101" si="11">$C$2*G100</f>
        <v>0</v>
      </c>
      <c r="K100" s="31">
        <f t="shared" ref="K100:K101" si="12">H100*$C$2</f>
        <v>0</v>
      </c>
    </row>
    <row r="101" spans="1:11" x14ac:dyDescent="0.25">
      <c r="C101" s="34">
        <v>11</v>
      </c>
      <c r="D101" s="1">
        <v>40</v>
      </c>
      <c r="E101" s="1">
        <v>12</v>
      </c>
      <c r="F101" s="1">
        <f t="shared" ref="F101" si="13">CEILING(E101*D101*C101,$B$49)</f>
        <v>5280</v>
      </c>
      <c r="G101" s="1">
        <f>CEILING(F101*$C$95,$B$49)</f>
        <v>476</v>
      </c>
      <c r="H101" s="31">
        <f>G101+F101</f>
        <v>5756</v>
      </c>
      <c r="I101" s="1">
        <f>1*F101</f>
        <v>5280</v>
      </c>
      <c r="J101" s="1">
        <f t="shared" si="11"/>
        <v>0</v>
      </c>
      <c r="K101" s="31">
        <f t="shared" si="12"/>
        <v>0</v>
      </c>
    </row>
    <row r="103" spans="1:11" x14ac:dyDescent="0.25">
      <c r="B103" s="1" t="s">
        <v>112</v>
      </c>
      <c r="F103" s="59">
        <f t="shared" ref="F103:G103" si="14">SUM(F99:F101)</f>
        <v>15840</v>
      </c>
      <c r="G103" s="59">
        <f t="shared" si="14"/>
        <v>1428</v>
      </c>
      <c r="H103" s="59">
        <f>SUM(H99:H101)</f>
        <v>17268</v>
      </c>
      <c r="I103" s="59">
        <f>SUM(I99:I101)</f>
        <v>15840</v>
      </c>
      <c r="J103" s="59">
        <f>SUM(J99:J101)</f>
        <v>0</v>
      </c>
      <c r="K103" s="55">
        <f>SUM(K99:K101)</f>
        <v>0</v>
      </c>
    </row>
    <row r="104" spans="1:11" x14ac:dyDescent="0.25">
      <c r="A104" s="31" t="s">
        <v>113</v>
      </c>
    </row>
    <row r="106" spans="1:11" x14ac:dyDescent="0.25">
      <c r="C106" s="1" t="s">
        <v>114</v>
      </c>
      <c r="D106" s="1" t="s">
        <v>115</v>
      </c>
      <c r="E106" s="1" t="s">
        <v>116</v>
      </c>
    </row>
    <row r="107" spans="1:11" x14ac:dyDescent="0.25">
      <c r="B107" s="1" t="s">
        <v>117</v>
      </c>
      <c r="C107" s="1">
        <v>100</v>
      </c>
      <c r="D107" s="1">
        <v>0</v>
      </c>
      <c r="E107" s="1">
        <v>2</v>
      </c>
      <c r="F107" s="31"/>
    </row>
    <row r="108" spans="1:11" x14ac:dyDescent="0.25">
      <c r="B108" s="1" t="s">
        <v>118</v>
      </c>
      <c r="F108" s="31"/>
    </row>
    <row r="109" spans="1:11" x14ac:dyDescent="0.25">
      <c r="B109" s="1" t="s">
        <v>119</v>
      </c>
      <c r="F109" s="31"/>
    </row>
    <row r="110" spans="1:11" x14ac:dyDescent="0.25">
      <c r="B110" s="1" t="s">
        <v>120</v>
      </c>
    </row>
    <row r="111" spans="1:11" x14ac:dyDescent="0.25">
      <c r="B111" s="1" t="s">
        <v>121</v>
      </c>
      <c r="F111" s="31"/>
    </row>
    <row r="112" spans="1:11" x14ac:dyDescent="0.25">
      <c r="B112" s="1" t="s">
        <v>122</v>
      </c>
      <c r="F112" s="31"/>
    </row>
    <row r="113" spans="1:6" x14ac:dyDescent="0.25">
      <c r="F113" s="58"/>
    </row>
    <row r="114" spans="1:6" x14ac:dyDescent="0.25">
      <c r="B114" s="1" t="s">
        <v>118</v>
      </c>
      <c r="D114" s="31">
        <v>3050</v>
      </c>
    </row>
    <row r="115" spans="1:6" x14ac:dyDescent="0.25">
      <c r="B115" s="1" t="s">
        <v>123</v>
      </c>
      <c r="C115" s="1" t="s">
        <v>124</v>
      </c>
      <c r="D115" s="1">
        <v>250</v>
      </c>
      <c r="F115" s="58"/>
    </row>
    <row r="116" spans="1:6" x14ac:dyDescent="0.25">
      <c r="C116" s="1" t="s">
        <v>125</v>
      </c>
      <c r="D116" s="1">
        <v>250</v>
      </c>
      <c r="F116" s="58"/>
    </row>
    <row r="117" spans="1:6" x14ac:dyDescent="0.25">
      <c r="C117" s="1" t="s">
        <v>126</v>
      </c>
      <c r="D117" s="1">
        <v>750</v>
      </c>
      <c r="F117" s="58"/>
    </row>
    <row r="118" spans="1:6" x14ac:dyDescent="0.25">
      <c r="C118" s="1" t="s">
        <v>127</v>
      </c>
      <c r="D118" s="1">
        <v>1000</v>
      </c>
    </row>
    <row r="119" spans="1:6" x14ac:dyDescent="0.25">
      <c r="C119" s="1" t="s">
        <v>128</v>
      </c>
    </row>
    <row r="120" spans="1:6" x14ac:dyDescent="0.25">
      <c r="C120" s="1" t="s">
        <v>129</v>
      </c>
      <c r="D120" s="1">
        <f>SUM(D115:D119)</f>
        <v>2250</v>
      </c>
    </row>
    <row r="122" spans="1:6" x14ac:dyDescent="0.25">
      <c r="A122" s="31" t="s">
        <v>130</v>
      </c>
      <c r="D122" s="58">
        <f>D120+E113</f>
        <v>2250</v>
      </c>
    </row>
  </sheetData>
  <hyperlinks>
    <hyperlink ref="J70" r:id="rId1" display="http://www.campbellsci.com/cs547a-l" xr:uid="{00000000-0004-0000-0400-000000000000}"/>
    <hyperlink ref="J71" r:id="rId2" display="http://www.campbellsci.com/am16-32b" xr:uid="{00000000-0004-0000-0400-000001000000}"/>
    <hyperlink ref="J72" r:id="rId3" display="http://www.campbellsci.com/a547" xr:uid="{00000000-0004-0000-0400-000002000000}"/>
    <hyperlink ref="J73" r:id="rId4" display="http://www.campbellsci.com/cr800-specifications" xr:uid="{00000000-0004-0000-0400-000003000000}"/>
  </hyperlinks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122"/>
  <sheetViews>
    <sheetView workbookViewId="0">
      <selection activeCell="A3" sqref="A3"/>
    </sheetView>
  </sheetViews>
  <sheetFormatPr defaultColWidth="9.140625" defaultRowHeight="15" x14ac:dyDescent="0.25"/>
  <cols>
    <col min="1" max="1" width="15.140625" style="1" customWidth="1"/>
    <col min="2" max="2" width="19.140625" style="1" customWidth="1"/>
    <col min="3" max="3" width="11.42578125" style="1" customWidth="1"/>
    <col min="4" max="4" width="21.85546875" style="1" customWidth="1"/>
    <col min="5" max="5" width="17.42578125" style="1" customWidth="1"/>
    <col min="6" max="7" width="9.140625" style="1"/>
    <col min="8" max="8" width="13.85546875" style="1" customWidth="1"/>
    <col min="9" max="10" width="9.140625" style="1"/>
    <col min="11" max="11" width="11.85546875" style="1" customWidth="1"/>
    <col min="12" max="16384" width="9.140625" style="1"/>
  </cols>
  <sheetData>
    <row r="1" spans="1:14" s="31" customFormat="1" x14ac:dyDescent="0.25">
      <c r="A1" s="30" t="str">
        <f>Summary!A1</f>
        <v>MRE</v>
      </c>
      <c r="B1" s="9"/>
      <c r="C1" s="9"/>
      <c r="D1" s="9"/>
      <c r="E1" s="9"/>
      <c r="F1" s="10"/>
    </row>
    <row r="2" spans="1:14" x14ac:dyDescent="0.25">
      <c r="A2" s="12" t="str">
        <f>Summary!A2</f>
        <v>Project Period: August 1, 2021 through July 31, 2024</v>
      </c>
      <c r="B2" s="8"/>
      <c r="C2" s="8"/>
      <c r="D2" s="8"/>
      <c r="E2" s="8"/>
      <c r="F2" s="4"/>
      <c r="I2" s="1" t="s">
        <v>33</v>
      </c>
    </row>
    <row r="3" spans="1:14" ht="45" x14ac:dyDescent="0.25">
      <c r="A3" s="19" t="s">
        <v>0</v>
      </c>
      <c r="B3" s="20" t="s">
        <v>1</v>
      </c>
      <c r="C3" s="21" t="s">
        <v>2</v>
      </c>
      <c r="D3" s="21" t="s">
        <v>3</v>
      </c>
      <c r="E3" s="21" t="s">
        <v>4</v>
      </c>
      <c r="F3" s="45" t="s">
        <v>5</v>
      </c>
      <c r="I3" s="1" t="s">
        <v>23</v>
      </c>
      <c r="J3" s="35" t="s">
        <v>24</v>
      </c>
      <c r="M3" s="36" t="s">
        <v>57</v>
      </c>
      <c r="N3" s="1" t="s">
        <v>25</v>
      </c>
    </row>
    <row r="4" spans="1:14" x14ac:dyDescent="0.25">
      <c r="A4" s="24" t="s">
        <v>14</v>
      </c>
      <c r="B4" s="28" t="s">
        <v>6</v>
      </c>
      <c r="C4" s="29" t="s">
        <v>30</v>
      </c>
      <c r="D4" s="1">
        <v>0</v>
      </c>
      <c r="E4" s="46">
        <f>D4*0.23</f>
        <v>0</v>
      </c>
      <c r="F4" s="27">
        <f>SUM(D4:E4)</f>
        <v>0</v>
      </c>
      <c r="G4" s="1" t="s">
        <v>17</v>
      </c>
      <c r="I4" s="1">
        <f>M20</f>
        <v>76.377027846600001</v>
      </c>
      <c r="J4" s="1">
        <v>120</v>
      </c>
      <c r="K4" s="1">
        <f>CEILING(J4*I4,$B$49)</f>
        <v>9166</v>
      </c>
      <c r="M4" s="1">
        <f>K4*0.21</f>
        <v>1924.86</v>
      </c>
      <c r="N4" s="1">
        <f>M4+K4</f>
        <v>11090.86</v>
      </c>
    </row>
    <row r="5" spans="1:14" ht="15.75" x14ac:dyDescent="0.25">
      <c r="A5" s="49"/>
      <c r="B5" s="28"/>
      <c r="C5" s="29"/>
      <c r="E5" s="41"/>
      <c r="F5" s="43"/>
      <c r="G5" s="1" t="s">
        <v>58</v>
      </c>
      <c r="I5" s="1">
        <f>I4</f>
        <v>76.377027846600001</v>
      </c>
      <c r="J5" s="1">
        <v>0</v>
      </c>
      <c r="K5" s="1">
        <f>CEILING(J5*I5,$B$49)</f>
        <v>0</v>
      </c>
      <c r="M5" s="1">
        <f>K5*Z5</f>
        <v>0</v>
      </c>
      <c r="N5" s="1">
        <f>M5+K5</f>
        <v>0</v>
      </c>
    </row>
    <row r="6" spans="1:14" x14ac:dyDescent="0.25">
      <c r="A6" s="11" t="s">
        <v>15</v>
      </c>
      <c r="B6" s="6" t="s">
        <v>7</v>
      </c>
      <c r="C6" s="7"/>
      <c r="D6" s="26">
        <v>0</v>
      </c>
      <c r="E6" s="41">
        <f>D6*0.03</f>
        <v>0</v>
      </c>
      <c r="F6" s="43">
        <f>SUM(D6:E6)</f>
        <v>0</v>
      </c>
    </row>
    <row r="7" spans="1:14" x14ac:dyDescent="0.25">
      <c r="A7" s="11" t="s">
        <v>15</v>
      </c>
      <c r="B7" s="6" t="s">
        <v>7</v>
      </c>
      <c r="C7" s="7"/>
      <c r="D7" s="26">
        <f>L12</f>
        <v>0</v>
      </c>
      <c r="E7" s="41">
        <f>D7*0.03</f>
        <v>0</v>
      </c>
      <c r="F7" s="43">
        <f>SUM(D7:E7)</f>
        <v>0</v>
      </c>
    </row>
    <row r="8" spans="1:14" x14ac:dyDescent="0.25">
      <c r="A8" s="11"/>
      <c r="B8" s="6"/>
      <c r="C8" s="7"/>
      <c r="D8" s="5"/>
      <c r="E8" s="5"/>
      <c r="F8" s="43"/>
      <c r="G8" s="50">
        <f>D7+D6</f>
        <v>0</v>
      </c>
    </row>
    <row r="9" spans="1:14" x14ac:dyDescent="0.25">
      <c r="A9" s="11"/>
      <c r="B9" s="6"/>
      <c r="C9" s="7"/>
      <c r="D9" s="5"/>
      <c r="E9" s="5"/>
      <c r="F9" s="43"/>
      <c r="I9" s="1" t="s">
        <v>32</v>
      </c>
      <c r="L9" s="1" t="s">
        <v>131</v>
      </c>
      <c r="M9" s="1">
        <v>0.03</v>
      </c>
    </row>
    <row r="10" spans="1:14" x14ac:dyDescent="0.25">
      <c r="A10" s="11"/>
      <c r="B10" s="6"/>
      <c r="C10" s="7"/>
      <c r="D10" s="5"/>
      <c r="E10" s="5"/>
      <c r="F10" s="43"/>
      <c r="I10" s="1" t="s">
        <v>23</v>
      </c>
      <c r="J10" s="1" t="s">
        <v>24</v>
      </c>
      <c r="K10" s="1" t="s">
        <v>26</v>
      </c>
      <c r="M10" s="1" t="s">
        <v>29</v>
      </c>
      <c r="N10" s="1" t="s">
        <v>25</v>
      </c>
    </row>
    <row r="11" spans="1:14" x14ac:dyDescent="0.25">
      <c r="A11" s="12" t="s">
        <v>8</v>
      </c>
      <c r="B11" s="8"/>
      <c r="C11" s="8"/>
      <c r="D11" s="32">
        <f>SUM(D4:D10)</f>
        <v>0</v>
      </c>
      <c r="E11" s="32">
        <f>SUM(E4:E10)</f>
        <v>0</v>
      </c>
      <c r="F11" s="33">
        <f>SUM(F4:F10)</f>
        <v>0</v>
      </c>
      <c r="I11" s="1">
        <f>M29</f>
        <v>22.510176200000004</v>
      </c>
      <c r="J11" s="1">
        <v>20</v>
      </c>
      <c r="K11" s="1">
        <v>52</v>
      </c>
      <c r="L11" s="1">
        <f>K11*J11*I11</f>
        <v>23410.583248000003</v>
      </c>
      <c r="M11" s="1">
        <f>L11*M9</f>
        <v>702.31749744000001</v>
      </c>
      <c r="N11" s="1">
        <f>M11+L11</f>
        <v>24112.900745440002</v>
      </c>
    </row>
    <row r="12" spans="1:14" x14ac:dyDescent="0.25">
      <c r="A12" s="11"/>
      <c r="B12" s="6"/>
      <c r="C12" s="6"/>
      <c r="D12" s="5"/>
      <c r="E12" s="5"/>
      <c r="F12" s="15"/>
      <c r="I12" s="1">
        <f>M29</f>
        <v>22.510176200000004</v>
      </c>
      <c r="J12" s="1">
        <v>0</v>
      </c>
      <c r="K12" s="1">
        <v>52</v>
      </c>
      <c r="L12" s="1">
        <f>K12*J12*I12</f>
        <v>0</v>
      </c>
      <c r="M12" s="1">
        <f>L12*M9</f>
        <v>0</v>
      </c>
      <c r="N12" s="1">
        <f>M12+L12</f>
        <v>0</v>
      </c>
    </row>
    <row r="13" spans="1:14" x14ac:dyDescent="0.25">
      <c r="A13" s="12" t="s">
        <v>10</v>
      </c>
      <c r="B13" s="6"/>
      <c r="C13" s="6"/>
      <c r="D13" s="6"/>
      <c r="E13" s="6"/>
      <c r="F13" s="16"/>
      <c r="K13" s="1" t="s">
        <v>27</v>
      </c>
      <c r="L13" s="1">
        <f>L12+L11</f>
        <v>23410.583248000003</v>
      </c>
      <c r="M13" s="1">
        <f>M12+M11</f>
        <v>702.31749744000001</v>
      </c>
      <c r="N13" s="1">
        <f>N12+N11</f>
        <v>24112.900745440002</v>
      </c>
    </row>
    <row r="14" spans="1:14" x14ac:dyDescent="0.25">
      <c r="A14" s="11" t="s">
        <v>44</v>
      </c>
      <c r="B14" s="6"/>
      <c r="C14" s="6"/>
      <c r="D14" s="6"/>
      <c r="E14" s="39">
        <v>0</v>
      </c>
      <c r="F14" s="42">
        <f>E14</f>
        <v>0</v>
      </c>
      <c r="K14" s="1" t="s">
        <v>28</v>
      </c>
      <c r="N14" s="38">
        <v>3300</v>
      </c>
    </row>
    <row r="15" spans="1:14" x14ac:dyDescent="0.25">
      <c r="A15" s="11" t="s">
        <v>43</v>
      </c>
      <c r="B15" s="6"/>
      <c r="C15" s="6"/>
      <c r="D15" s="6" t="s">
        <v>9</v>
      </c>
      <c r="E15" s="39">
        <v>0</v>
      </c>
      <c r="F15" s="42">
        <f>E15</f>
        <v>0</v>
      </c>
      <c r="N15" s="37">
        <f>N14+N13</f>
        <v>27412.900745440002</v>
      </c>
    </row>
    <row r="16" spans="1:14" x14ac:dyDescent="0.25">
      <c r="A16" s="11"/>
      <c r="B16" s="6"/>
      <c r="C16" s="6"/>
      <c r="D16" s="6"/>
      <c r="E16" s="40"/>
      <c r="F16" s="23"/>
    </row>
    <row r="17" spans="1:13" x14ac:dyDescent="0.25">
      <c r="A17" s="12" t="s">
        <v>21</v>
      </c>
      <c r="B17" s="6"/>
      <c r="C17" s="6"/>
      <c r="D17" s="6"/>
      <c r="E17" s="6"/>
      <c r="F17" s="15"/>
      <c r="I17" s="1" t="s">
        <v>42</v>
      </c>
    </row>
    <row r="18" spans="1:13" x14ac:dyDescent="0.25">
      <c r="A18" s="11" t="s">
        <v>19</v>
      </c>
      <c r="B18" s="6"/>
      <c r="C18" s="6"/>
      <c r="D18" s="6"/>
      <c r="E18" s="6"/>
      <c r="F18" s="15">
        <v>0</v>
      </c>
      <c r="I18" s="1" t="s">
        <v>34</v>
      </c>
      <c r="J18" s="1" t="s">
        <v>35</v>
      </c>
      <c r="K18" s="1" t="s">
        <v>36</v>
      </c>
      <c r="L18" s="1" t="s">
        <v>37</v>
      </c>
      <c r="M18" s="1" t="s">
        <v>38</v>
      </c>
    </row>
    <row r="19" spans="1:13" x14ac:dyDescent="0.25">
      <c r="A19" s="11" t="s">
        <v>20</v>
      </c>
      <c r="B19" s="6"/>
      <c r="C19" s="6"/>
      <c r="D19" s="6"/>
      <c r="E19" s="6"/>
      <c r="F19" s="15">
        <v>0</v>
      </c>
      <c r="I19" s="1">
        <f>'1year'!I19</f>
        <v>67.86</v>
      </c>
      <c r="J19" s="1">
        <f>I19*1.03</f>
        <v>69.895799999999994</v>
      </c>
      <c r="K19" s="1">
        <f>J19*1.03</f>
        <v>71.992673999999994</v>
      </c>
      <c r="L19" s="1">
        <f>K19*1.03</f>
        <v>74.152454219999996</v>
      </c>
      <c r="M19" s="1">
        <f>L19*1.03</f>
        <v>76.377027846600001</v>
      </c>
    </row>
    <row r="20" spans="1:13" x14ac:dyDescent="0.25">
      <c r="A20" s="11" t="s">
        <v>56</v>
      </c>
      <c r="B20" s="6"/>
      <c r="C20" s="6"/>
      <c r="D20" s="6"/>
      <c r="E20" s="6"/>
      <c r="F20" s="15">
        <v>0</v>
      </c>
      <c r="I20" s="1">
        <f>'1year'!I20</f>
        <v>67.86</v>
      </c>
      <c r="J20" s="1">
        <f>I20*1.03</f>
        <v>69.895799999999994</v>
      </c>
      <c r="K20" s="1">
        <f t="shared" ref="K20:M20" si="0">J20*1.03</f>
        <v>71.992673999999994</v>
      </c>
      <c r="L20" s="1">
        <f t="shared" si="0"/>
        <v>74.152454219999996</v>
      </c>
      <c r="M20" s="1">
        <f t="shared" si="0"/>
        <v>76.377027846600001</v>
      </c>
    </row>
    <row r="21" spans="1:13" x14ac:dyDescent="0.25">
      <c r="A21" s="11" t="s">
        <v>47</v>
      </c>
      <c r="B21" s="6"/>
      <c r="C21" s="6"/>
      <c r="D21" s="6"/>
      <c r="E21" s="6"/>
      <c r="F21" s="15">
        <v>0</v>
      </c>
    </row>
    <row r="22" spans="1:13" x14ac:dyDescent="0.25">
      <c r="A22" s="11" t="s">
        <v>49</v>
      </c>
      <c r="B22" s="6"/>
      <c r="C22" s="6"/>
      <c r="D22" s="6"/>
      <c r="E22" s="6"/>
      <c r="F22" s="15">
        <v>0</v>
      </c>
      <c r="G22" s="50"/>
      <c r="K22" s="1">
        <f>5204/3*2</f>
        <v>3469.3333333333335</v>
      </c>
    </row>
    <row r="23" spans="1:13" x14ac:dyDescent="0.25">
      <c r="A23" s="25" t="s">
        <v>159</v>
      </c>
      <c r="B23" s="6"/>
      <c r="C23" s="6"/>
      <c r="D23" s="6"/>
      <c r="E23" s="6"/>
      <c r="F23" s="15">
        <v>0</v>
      </c>
      <c r="G23" s="76">
        <f>SUM(F18:F23)-F19</f>
        <v>0</v>
      </c>
      <c r="H23" s="77" t="s">
        <v>171</v>
      </c>
    </row>
    <row r="24" spans="1:13" x14ac:dyDescent="0.25">
      <c r="A24" s="11"/>
      <c r="B24" s="6"/>
      <c r="C24" s="6"/>
      <c r="D24" s="6"/>
      <c r="E24" s="6"/>
      <c r="F24" s="15"/>
      <c r="G24" s="78">
        <f>SUM(F18:F23)+F33</f>
        <v>0</v>
      </c>
      <c r="H24" s="79" t="s">
        <v>172</v>
      </c>
    </row>
    <row r="25" spans="1:13" x14ac:dyDescent="0.25">
      <c r="A25" s="14" t="s">
        <v>11</v>
      </c>
      <c r="B25" s="3"/>
      <c r="C25" s="3"/>
      <c r="D25" s="3"/>
      <c r="E25" s="3"/>
      <c r="F25" s="15">
        <f>SUM(F11:F23)</f>
        <v>0</v>
      </c>
      <c r="G25" s="80">
        <f>F25+SUM(F29:F33)</f>
        <v>0</v>
      </c>
      <c r="H25" s="81" t="s">
        <v>173</v>
      </c>
    </row>
    <row r="26" spans="1:13" x14ac:dyDescent="0.25">
      <c r="A26" s="13" t="s">
        <v>16</v>
      </c>
      <c r="B26" s="2"/>
      <c r="C26" s="2">
        <f>'3year'!C26</f>
        <v>0.47499999999999998</v>
      </c>
      <c r="D26" s="2"/>
      <c r="E26" s="2"/>
      <c r="F26" s="15">
        <f>F25*C26</f>
        <v>0</v>
      </c>
    </row>
    <row r="27" spans="1:13" x14ac:dyDescent="0.25">
      <c r="A27" s="12"/>
      <c r="B27" s="6"/>
      <c r="C27" s="6"/>
      <c r="D27" s="6"/>
      <c r="E27" s="6"/>
      <c r="F27" s="15"/>
      <c r="I27" s="1" t="s">
        <v>39</v>
      </c>
    </row>
    <row r="28" spans="1:13" x14ac:dyDescent="0.25">
      <c r="A28" s="12" t="s">
        <v>22</v>
      </c>
      <c r="B28" s="6"/>
      <c r="C28" s="6"/>
      <c r="D28" s="6"/>
      <c r="E28" s="6"/>
      <c r="F28" s="15"/>
      <c r="I28" s="1" t="s">
        <v>34</v>
      </c>
      <c r="J28" s="1" t="s">
        <v>35</v>
      </c>
      <c r="K28" s="1" t="s">
        <v>36</v>
      </c>
      <c r="L28" s="1" t="s">
        <v>37</v>
      </c>
      <c r="M28" s="1" t="s">
        <v>38</v>
      </c>
    </row>
    <row r="29" spans="1:13" x14ac:dyDescent="0.25">
      <c r="A29" s="25"/>
      <c r="B29" s="6"/>
      <c r="C29" s="6"/>
      <c r="D29" s="6"/>
      <c r="E29" s="6"/>
      <c r="F29" s="15"/>
      <c r="I29" s="1">
        <v>20</v>
      </c>
      <c r="J29" s="1">
        <f>I29*1.03</f>
        <v>20.6</v>
      </c>
      <c r="K29" s="1">
        <f>J29*1.03</f>
        <v>21.218000000000004</v>
      </c>
      <c r="L29" s="1">
        <f>K29*1.03</f>
        <v>21.854540000000004</v>
      </c>
      <c r="M29" s="1">
        <f>L29*1.03</f>
        <v>22.510176200000004</v>
      </c>
    </row>
    <row r="30" spans="1:13" x14ac:dyDescent="0.25">
      <c r="A30" s="25"/>
      <c r="B30" s="6"/>
      <c r="C30" s="6"/>
      <c r="D30" s="6"/>
      <c r="E30" s="6"/>
      <c r="F30" s="15"/>
    </row>
    <row r="31" spans="1:13" x14ac:dyDescent="0.25">
      <c r="A31" s="25"/>
      <c r="B31" s="6"/>
      <c r="C31" s="6"/>
      <c r="D31" s="6"/>
      <c r="E31" s="6"/>
      <c r="F31" s="15"/>
      <c r="H31" s="1" t="s">
        <v>162</v>
      </c>
      <c r="I31" s="1">
        <v>1</v>
      </c>
    </row>
    <row r="32" spans="1:13" x14ac:dyDescent="0.25">
      <c r="A32" s="12" t="s">
        <v>12</v>
      </c>
      <c r="B32" s="6"/>
      <c r="C32" s="6"/>
      <c r="D32" s="6"/>
      <c r="E32" s="6"/>
      <c r="F32" s="15"/>
      <c r="I32" s="1" t="s">
        <v>34</v>
      </c>
      <c r="J32" s="1" t="s">
        <v>35</v>
      </c>
      <c r="K32" s="1" t="s">
        <v>36</v>
      </c>
      <c r="L32" s="1" t="s">
        <v>37</v>
      </c>
      <c r="M32" s="1" t="s">
        <v>38</v>
      </c>
    </row>
    <row r="33" spans="1:14" x14ac:dyDescent="0.25">
      <c r="A33" s="25" t="s">
        <v>50</v>
      </c>
      <c r="B33" s="6"/>
      <c r="C33" s="6"/>
      <c r="D33" s="6"/>
      <c r="E33" s="6"/>
      <c r="F33" s="18">
        <v>0</v>
      </c>
      <c r="I33" s="1">
        <f>5000</f>
        <v>5000</v>
      </c>
      <c r="J33" s="1">
        <f>I33*1.1</f>
        <v>5500</v>
      </c>
      <c r="K33" s="1">
        <f>J33*1.1</f>
        <v>6050.0000000000009</v>
      </c>
      <c r="L33" s="1">
        <f>K33*1.1</f>
        <v>6655.0000000000018</v>
      </c>
      <c r="M33" s="1">
        <f>L33*1.1</f>
        <v>7320.5000000000027</v>
      </c>
    </row>
    <row r="34" spans="1:14" x14ac:dyDescent="0.25">
      <c r="A34" s="11"/>
      <c r="B34" s="6"/>
      <c r="C34" s="6"/>
      <c r="D34" s="6"/>
      <c r="E34" s="6"/>
      <c r="F34" s="17"/>
      <c r="I34" s="1">
        <f>I33*2*$I$31</f>
        <v>10000</v>
      </c>
      <c r="J34" s="1">
        <f t="shared" ref="J34:M34" si="1">J33*2*$I$31</f>
        <v>11000</v>
      </c>
      <c r="K34" s="1">
        <f t="shared" si="1"/>
        <v>12100.000000000002</v>
      </c>
      <c r="L34" s="1">
        <f t="shared" si="1"/>
        <v>13310.000000000004</v>
      </c>
      <c r="M34" s="1">
        <f t="shared" si="1"/>
        <v>14641.000000000005</v>
      </c>
    </row>
    <row r="35" spans="1:14" x14ac:dyDescent="0.25">
      <c r="A35" s="13" t="s">
        <v>13</v>
      </c>
      <c r="B35" s="2"/>
      <c r="C35" s="2"/>
      <c r="D35" s="2"/>
      <c r="E35" s="2"/>
      <c r="F35" s="22">
        <f>SUM(F25:F33)</f>
        <v>0</v>
      </c>
    </row>
    <row r="37" spans="1:14" x14ac:dyDescent="0.25">
      <c r="H37" s="1" t="s">
        <v>54</v>
      </c>
      <c r="I37" s="1">
        <v>3060</v>
      </c>
    </row>
    <row r="38" spans="1:14" x14ac:dyDescent="0.25">
      <c r="H38" s="1" t="s">
        <v>53</v>
      </c>
      <c r="I38" s="1">
        <v>694</v>
      </c>
    </row>
    <row r="39" spans="1:14" x14ac:dyDescent="0.25">
      <c r="E39" s="1">
        <v>2000</v>
      </c>
      <c r="H39" s="1" t="s">
        <v>55</v>
      </c>
      <c r="I39" s="1">
        <f>I38+I37</f>
        <v>3754</v>
      </c>
      <c r="J39" s="1">
        <f>I39*1.1</f>
        <v>4129.4000000000005</v>
      </c>
    </row>
    <row r="40" spans="1:14" x14ac:dyDescent="0.25">
      <c r="E40" s="1">
        <v>3000</v>
      </c>
    </row>
    <row r="41" spans="1:14" x14ac:dyDescent="0.25">
      <c r="E41" s="1">
        <f>2*250</f>
        <v>500</v>
      </c>
    </row>
    <row r="42" spans="1:14" x14ac:dyDescent="0.25">
      <c r="B42" s="52">
        <v>8640</v>
      </c>
      <c r="E42" s="1">
        <f>2*250</f>
        <v>500</v>
      </c>
    </row>
    <row r="43" spans="1:14" x14ac:dyDescent="0.25">
      <c r="B43" s="53">
        <f>B42/3</f>
        <v>2880</v>
      </c>
      <c r="E43" s="1">
        <f>2*750</f>
        <v>1500</v>
      </c>
      <c r="I43" s="1" t="s">
        <v>59</v>
      </c>
      <c r="N43" s="38"/>
    </row>
    <row r="44" spans="1:14" x14ac:dyDescent="0.25">
      <c r="E44" s="1">
        <f>SUM(E39:E43)</f>
        <v>7500</v>
      </c>
      <c r="K44" s="1" t="s">
        <v>60</v>
      </c>
      <c r="L44" s="1" t="s">
        <v>61</v>
      </c>
      <c r="N44" s="37"/>
    </row>
    <row r="45" spans="1:14" x14ac:dyDescent="0.25">
      <c r="I45" s="1" t="s">
        <v>62</v>
      </c>
      <c r="K45" s="1">
        <v>125</v>
      </c>
      <c r="L45" s="1">
        <f>12*3*2+4</f>
        <v>76</v>
      </c>
      <c r="M45" s="1">
        <f>L45*K45</f>
        <v>9500</v>
      </c>
    </row>
    <row r="46" spans="1:14" x14ac:dyDescent="0.25">
      <c r="I46" s="1" t="s">
        <v>63</v>
      </c>
      <c r="K46" s="1">
        <v>460</v>
      </c>
      <c r="L46" s="1">
        <v>26</v>
      </c>
      <c r="M46" s="1">
        <f>L46*K46</f>
        <v>11960</v>
      </c>
    </row>
    <row r="47" spans="1:14" x14ac:dyDescent="0.25">
      <c r="I47" s="1" t="s">
        <v>64</v>
      </c>
      <c r="K47" s="1">
        <v>220</v>
      </c>
      <c r="L47" s="1">
        <v>1</v>
      </c>
      <c r="M47" s="1">
        <f>K47*L47</f>
        <v>220</v>
      </c>
    </row>
    <row r="48" spans="1:14" x14ac:dyDescent="0.25">
      <c r="I48" s="1" t="s">
        <v>65</v>
      </c>
      <c r="K48" s="1">
        <v>220</v>
      </c>
      <c r="L48" s="1">
        <v>1</v>
      </c>
      <c r="M48" s="1">
        <f>K48*L48</f>
        <v>220</v>
      </c>
    </row>
    <row r="49" spans="1:14" x14ac:dyDescent="0.25">
      <c r="A49" s="31" t="s">
        <v>66</v>
      </c>
      <c r="B49" s="31">
        <v>1</v>
      </c>
      <c r="I49" s="1" t="s">
        <v>67</v>
      </c>
      <c r="K49" s="1">
        <v>1000</v>
      </c>
      <c r="L49" s="1">
        <v>1</v>
      </c>
      <c r="M49" s="1">
        <f>L49*K49</f>
        <v>1000</v>
      </c>
    </row>
    <row r="50" spans="1:14" x14ac:dyDescent="0.25">
      <c r="A50" s="1" t="s">
        <v>68</v>
      </c>
      <c r="B50" s="1">
        <v>0</v>
      </c>
    </row>
    <row r="51" spans="1:14" x14ac:dyDescent="0.25">
      <c r="A51" s="31" t="s">
        <v>69</v>
      </c>
      <c r="M51" s="1">
        <f>SUM(M45:M49)</f>
        <v>22900</v>
      </c>
    </row>
    <row r="52" spans="1:14" x14ac:dyDescent="0.25">
      <c r="A52" s="31" t="s">
        <v>70</v>
      </c>
      <c r="B52" s="54">
        <v>2</v>
      </c>
      <c r="I52" s="31" t="s">
        <v>71</v>
      </c>
      <c r="K52" s="1" t="s">
        <v>72</v>
      </c>
      <c r="L52" s="1" t="s">
        <v>73</v>
      </c>
      <c r="M52" s="1" t="s">
        <v>74</v>
      </c>
      <c r="N52" s="1" t="s">
        <v>25</v>
      </c>
    </row>
    <row r="53" spans="1:14" ht="30" x14ac:dyDescent="0.25">
      <c r="D53" s="36" t="s">
        <v>75</v>
      </c>
      <c r="E53" s="36" t="s">
        <v>76</v>
      </c>
      <c r="F53" s="1" t="s">
        <v>77</v>
      </c>
      <c r="I53" s="1" t="s">
        <v>78</v>
      </c>
      <c r="K53" s="1">
        <v>200</v>
      </c>
      <c r="L53" s="1">
        <v>200</v>
      </c>
      <c r="M53" s="1">
        <v>200</v>
      </c>
      <c r="N53" s="1">
        <f>SUM(K53:M53)</f>
        <v>600</v>
      </c>
    </row>
    <row r="54" spans="1:14" x14ac:dyDescent="0.25">
      <c r="A54" s="1" t="s">
        <v>79</v>
      </c>
      <c r="B54" s="1">
        <v>8</v>
      </c>
      <c r="I54" s="1" t="s">
        <v>80</v>
      </c>
      <c r="J54" s="1" t="s">
        <v>81</v>
      </c>
      <c r="K54" s="1">
        <v>0</v>
      </c>
    </row>
    <row r="55" spans="1:14" x14ac:dyDescent="0.25">
      <c r="A55" s="1" t="s">
        <v>82</v>
      </c>
      <c r="B55" s="1">
        <v>8</v>
      </c>
      <c r="J55" s="1" t="s">
        <v>83</v>
      </c>
      <c r="K55" s="1">
        <v>0</v>
      </c>
    </row>
    <row r="56" spans="1:14" x14ac:dyDescent="0.25">
      <c r="A56" s="1" t="s">
        <v>84</v>
      </c>
      <c r="B56" s="1">
        <v>500</v>
      </c>
      <c r="D56" s="1">
        <f>B56</f>
        <v>500</v>
      </c>
      <c r="E56" s="1">
        <f>CEILING(D56*$B$52,$B$49)</f>
        <v>1000</v>
      </c>
      <c r="F56" s="31">
        <f>E56*3</f>
        <v>3000</v>
      </c>
      <c r="J56" s="1" t="s">
        <v>85</v>
      </c>
      <c r="K56" s="1">
        <v>0</v>
      </c>
      <c r="L56" s="1">
        <v>0</v>
      </c>
      <c r="M56" s="1">
        <v>0</v>
      </c>
    </row>
    <row r="57" spans="1:14" x14ac:dyDescent="0.25">
      <c r="A57" s="1" t="s">
        <v>86</v>
      </c>
      <c r="B57" s="1">
        <v>120</v>
      </c>
      <c r="D57" s="1">
        <f>B57*B55</f>
        <v>960</v>
      </c>
      <c r="E57" s="1">
        <f t="shared" ref="E57:E59" si="2">CEILING(D57*$B$52,$B$49)</f>
        <v>1920</v>
      </c>
      <c r="F57" s="31">
        <f>E57*3</f>
        <v>5760</v>
      </c>
      <c r="K57" s="1">
        <f>K56+K55+K54</f>
        <v>0</v>
      </c>
      <c r="L57" s="1">
        <f t="shared" ref="L57:M57" si="3">L56+L55+L54</f>
        <v>0</v>
      </c>
      <c r="M57" s="1">
        <f t="shared" si="3"/>
        <v>0</v>
      </c>
      <c r="N57" s="1">
        <f>SUM(K57:M57)</f>
        <v>0</v>
      </c>
    </row>
    <row r="58" spans="1:14" x14ac:dyDescent="0.25">
      <c r="A58" s="1" t="s">
        <v>87</v>
      </c>
      <c r="B58" s="1">
        <v>46</v>
      </c>
      <c r="D58" s="1">
        <f>B58*B54</f>
        <v>368</v>
      </c>
      <c r="E58" s="1">
        <f t="shared" si="2"/>
        <v>736</v>
      </c>
      <c r="F58" s="31">
        <f>E58*3</f>
        <v>2208</v>
      </c>
      <c r="I58" s="1" t="s">
        <v>88</v>
      </c>
      <c r="K58" s="1">
        <f>K57+K53</f>
        <v>200</v>
      </c>
      <c r="L58" s="1">
        <f t="shared" ref="L58:M58" si="4">L57+L53</f>
        <v>200</v>
      </c>
      <c r="M58" s="1">
        <f t="shared" si="4"/>
        <v>200</v>
      </c>
    </row>
    <row r="59" spans="1:14" x14ac:dyDescent="0.25">
      <c r="A59" s="1" t="s">
        <v>89</v>
      </c>
      <c r="B59" s="1">
        <v>450</v>
      </c>
      <c r="D59" s="1">
        <f>B59</f>
        <v>450</v>
      </c>
      <c r="E59" s="1">
        <f t="shared" si="2"/>
        <v>900</v>
      </c>
      <c r="F59" s="31">
        <f>E59*3</f>
        <v>2700</v>
      </c>
    </row>
    <row r="61" spans="1:14" x14ac:dyDescent="0.25">
      <c r="G61" s="1">
        <f>3*8800</f>
        <v>26400</v>
      </c>
    </row>
    <row r="63" spans="1:14" x14ac:dyDescent="0.25">
      <c r="A63" s="31" t="s">
        <v>25</v>
      </c>
      <c r="D63" s="31">
        <f>SUM(D56:D59)</f>
        <v>2278</v>
      </c>
      <c r="E63" s="31">
        <f>SUM(E56:E59)</f>
        <v>4556</v>
      </c>
      <c r="F63" s="55">
        <f>E63*3</f>
        <v>13668</v>
      </c>
    </row>
    <row r="64" spans="1:14" x14ac:dyDescent="0.25">
      <c r="A64" s="31"/>
      <c r="D64" s="31"/>
      <c r="E64" s="31"/>
      <c r="F64" s="55"/>
    </row>
    <row r="65" spans="1:10" x14ac:dyDescent="0.25">
      <c r="A65" s="31" t="s">
        <v>90</v>
      </c>
    </row>
    <row r="66" spans="1:10" x14ac:dyDescent="0.25">
      <c r="A66" s="31" t="s">
        <v>70</v>
      </c>
      <c r="B66" s="54">
        <v>0</v>
      </c>
      <c r="C66" s="1" t="s">
        <v>91</v>
      </c>
      <c r="D66" s="1">
        <v>3</v>
      </c>
    </row>
    <row r="67" spans="1:10" ht="30" x14ac:dyDescent="0.25">
      <c r="D67" s="56" t="s">
        <v>75</v>
      </c>
      <c r="E67" s="56" t="s">
        <v>92</v>
      </c>
      <c r="F67" s="31" t="s">
        <v>77</v>
      </c>
    </row>
    <row r="68" spans="1:10" x14ac:dyDescent="0.25">
      <c r="A68" s="1" t="s">
        <v>79</v>
      </c>
      <c r="B68" s="1">
        <v>28</v>
      </c>
    </row>
    <row r="69" spans="1:10" x14ac:dyDescent="0.25">
      <c r="A69" s="1" t="s">
        <v>82</v>
      </c>
      <c r="B69" s="1">
        <v>28</v>
      </c>
      <c r="J69" s="1" t="s">
        <v>93</v>
      </c>
    </row>
    <row r="70" spans="1:10" x14ac:dyDescent="0.25">
      <c r="A70" s="1" t="s">
        <v>94</v>
      </c>
      <c r="B70" s="1">
        <v>400</v>
      </c>
      <c r="D70" s="1">
        <f>B70</f>
        <v>400</v>
      </c>
      <c r="E70" s="31">
        <f t="shared" ref="E70:E71" si="5">CEILING(D70*$B$66,$B$49)</f>
        <v>0</v>
      </c>
      <c r="F70" s="31">
        <f>E70*$E$81</f>
        <v>0</v>
      </c>
      <c r="J70" s="57" t="s">
        <v>95</v>
      </c>
    </row>
    <row r="71" spans="1:10" x14ac:dyDescent="0.25">
      <c r="A71" s="1" t="s">
        <v>96</v>
      </c>
      <c r="B71" s="1">
        <v>54</v>
      </c>
      <c r="D71" s="1">
        <f>B71*B69</f>
        <v>1512</v>
      </c>
      <c r="E71" s="31">
        <f t="shared" si="5"/>
        <v>0</v>
      </c>
      <c r="F71" s="31">
        <f>E71*$E$81</f>
        <v>0</v>
      </c>
      <c r="J71" s="57" t="s">
        <v>97</v>
      </c>
    </row>
    <row r="72" spans="1:10" x14ac:dyDescent="0.25">
      <c r="A72" s="1" t="s">
        <v>87</v>
      </c>
      <c r="B72" s="1">
        <v>20</v>
      </c>
      <c r="C72" s="1" t="s">
        <v>98</v>
      </c>
      <c r="D72" s="1">
        <f>B72*B68</f>
        <v>560</v>
      </c>
      <c r="E72" s="31">
        <f>CEILING(D72*$B$66,$B$49)*4</f>
        <v>0</v>
      </c>
      <c r="F72" s="31">
        <f>E72*$E$81</f>
        <v>0</v>
      </c>
      <c r="J72" s="57" t="s">
        <v>99</v>
      </c>
    </row>
    <row r="73" spans="1:10" x14ac:dyDescent="0.25">
      <c r="A73" s="1" t="s">
        <v>89</v>
      </c>
      <c r="B73" s="1">
        <v>0</v>
      </c>
      <c r="D73" s="1">
        <f>B73</f>
        <v>0</v>
      </c>
      <c r="E73" s="31">
        <f>CEILING(D73*$B$66,$B$49)</f>
        <v>0</v>
      </c>
      <c r="F73" s="31">
        <f>E73*$E$81</f>
        <v>0</v>
      </c>
      <c r="J73" s="57" t="s">
        <v>100</v>
      </c>
    </row>
    <row r="74" spans="1:10" x14ac:dyDescent="0.25">
      <c r="J74" s="1" t="s">
        <v>101</v>
      </c>
    </row>
    <row r="75" spans="1:10" x14ac:dyDescent="0.25">
      <c r="J75" s="1" t="s">
        <v>102</v>
      </c>
    </row>
    <row r="77" spans="1:10" x14ac:dyDescent="0.25">
      <c r="D77" s="31">
        <f>SUM(D70:D73)</f>
        <v>2472</v>
      </c>
      <c r="E77" s="31">
        <f>SUM(E70:E73)</f>
        <v>0</v>
      </c>
      <c r="F77" s="55">
        <f>E77*3</f>
        <v>0</v>
      </c>
    </row>
    <row r="80" spans="1:10" x14ac:dyDescent="0.25">
      <c r="A80" s="1" t="s">
        <v>103</v>
      </c>
      <c r="D80" s="1">
        <v>800</v>
      </c>
    </row>
    <row r="85" spans="1:11" x14ac:dyDescent="0.25">
      <c r="B85" s="1" t="s">
        <v>104</v>
      </c>
      <c r="C85" s="1">
        <v>0.41</v>
      </c>
    </row>
    <row r="87" spans="1:11" x14ac:dyDescent="0.25">
      <c r="A87" s="31" t="s">
        <v>105</v>
      </c>
    </row>
    <row r="88" spans="1:11" x14ac:dyDescent="0.25">
      <c r="B88" s="58"/>
      <c r="C88" s="1" t="s">
        <v>23</v>
      </c>
      <c r="D88" s="1" t="s">
        <v>24</v>
      </c>
      <c r="E88" s="1" t="s">
        <v>26</v>
      </c>
      <c r="F88" s="31" t="s">
        <v>106</v>
      </c>
      <c r="G88" s="31" t="s">
        <v>107</v>
      </c>
      <c r="H88" s="1" t="s">
        <v>108</v>
      </c>
      <c r="I88" s="1" t="s">
        <v>109</v>
      </c>
      <c r="J88" s="1" t="s">
        <v>110</v>
      </c>
      <c r="K88" s="1" t="s">
        <v>111</v>
      </c>
    </row>
    <row r="89" spans="1:11" x14ac:dyDescent="0.25">
      <c r="C89" s="1">
        <v>0</v>
      </c>
      <c r="D89" s="1">
        <v>40</v>
      </c>
      <c r="E89" s="1">
        <v>4</v>
      </c>
      <c r="F89" s="1">
        <f>CEILING(E89*D89*C89,$B$49)</f>
        <v>0</v>
      </c>
      <c r="G89" s="1">
        <f>CEILING(F89*$C$85,$B$49)</f>
        <v>0</v>
      </c>
      <c r="H89" s="31">
        <f>G89+F89</f>
        <v>0</v>
      </c>
      <c r="I89" s="1">
        <f>1*F89</f>
        <v>0</v>
      </c>
      <c r="J89" s="1">
        <f>$C$2*G89</f>
        <v>0</v>
      </c>
      <c r="K89" s="31">
        <f>H89*$C$2</f>
        <v>0</v>
      </c>
    </row>
    <row r="90" spans="1:11" x14ac:dyDescent="0.25">
      <c r="C90" s="34">
        <v>30</v>
      </c>
      <c r="D90" s="1">
        <v>40</v>
      </c>
      <c r="E90" s="1">
        <v>2</v>
      </c>
      <c r="F90" s="1">
        <f>CEILING(E90*D90*C90,$B$49)</f>
        <v>2400</v>
      </c>
      <c r="G90" s="1">
        <f>CEILING(F90*$C$85,$B$49)</f>
        <v>984</v>
      </c>
      <c r="H90" s="31">
        <f>G90+F90</f>
        <v>3384</v>
      </c>
      <c r="I90" s="1">
        <f>1*F90</f>
        <v>2400</v>
      </c>
      <c r="J90" s="1">
        <f t="shared" ref="J90:J91" si="6">$C$2*G90</f>
        <v>0</v>
      </c>
      <c r="K90" s="31">
        <f t="shared" ref="K90:K91" si="7">H90*$C$2</f>
        <v>0</v>
      </c>
    </row>
    <row r="91" spans="1:11" x14ac:dyDescent="0.25">
      <c r="C91" s="34">
        <f>C90*1.03</f>
        <v>30.900000000000002</v>
      </c>
      <c r="D91" s="1">
        <v>40</v>
      </c>
      <c r="E91" s="1">
        <v>1</v>
      </c>
      <c r="F91" s="1">
        <f t="shared" ref="F91" si="8">CEILING(E91*D91*C91,$B$49)</f>
        <v>1236</v>
      </c>
      <c r="G91" s="1">
        <f t="shared" ref="G91" si="9">CEILING(F91*$C$85,$B$49)</f>
        <v>507</v>
      </c>
      <c r="H91" s="31">
        <f>G91+F91</f>
        <v>1743</v>
      </c>
      <c r="I91" s="1">
        <f>1*F91</f>
        <v>1236</v>
      </c>
      <c r="J91" s="1">
        <f t="shared" si="6"/>
        <v>0</v>
      </c>
      <c r="K91" s="31">
        <f t="shared" si="7"/>
        <v>0</v>
      </c>
    </row>
    <row r="93" spans="1:11" x14ac:dyDescent="0.25">
      <c r="B93" s="1" t="s">
        <v>112</v>
      </c>
      <c r="F93" s="59">
        <f t="shared" ref="F93:G93" si="10">SUM(F89:F91)</f>
        <v>3636</v>
      </c>
      <c r="G93" s="59">
        <f t="shared" si="10"/>
        <v>1491</v>
      </c>
      <c r="H93" s="59">
        <f>SUM(H89:H91)</f>
        <v>5127</v>
      </c>
      <c r="I93" s="59">
        <f>SUM(I89:I91)</f>
        <v>3636</v>
      </c>
      <c r="J93" s="59">
        <f>SUM(J89:J91)</f>
        <v>0</v>
      </c>
      <c r="K93" s="55">
        <f>SUM(K89:K91)</f>
        <v>0</v>
      </c>
    </row>
    <row r="94" spans="1:11" x14ac:dyDescent="0.25">
      <c r="F94" s="59"/>
      <c r="G94" s="59"/>
      <c r="H94" s="59"/>
      <c r="I94" s="59"/>
      <c r="J94" s="59"/>
      <c r="K94" s="55"/>
    </row>
    <row r="95" spans="1:11" x14ac:dyDescent="0.25">
      <c r="B95" s="1" t="s">
        <v>104</v>
      </c>
      <c r="C95" s="1">
        <v>0.09</v>
      </c>
    </row>
    <row r="97" spans="1:11" x14ac:dyDescent="0.25">
      <c r="A97" s="31" t="s">
        <v>161</v>
      </c>
    </row>
    <row r="98" spans="1:11" x14ac:dyDescent="0.25">
      <c r="B98" s="58"/>
      <c r="C98" s="1" t="s">
        <v>23</v>
      </c>
      <c r="D98" s="1" t="s">
        <v>24</v>
      </c>
      <c r="E98" s="1" t="s">
        <v>26</v>
      </c>
      <c r="F98" s="31" t="s">
        <v>106</v>
      </c>
      <c r="G98" s="31" t="s">
        <v>107</v>
      </c>
      <c r="H98" s="1" t="s">
        <v>108</v>
      </c>
      <c r="I98" s="1" t="s">
        <v>109</v>
      </c>
      <c r="J98" s="1" t="s">
        <v>110</v>
      </c>
      <c r="K98" s="1" t="s">
        <v>111</v>
      </c>
    </row>
    <row r="99" spans="1:11" x14ac:dyDescent="0.25">
      <c r="C99" s="1">
        <v>11</v>
      </c>
      <c r="D99" s="1">
        <v>40</v>
      </c>
      <c r="E99" s="1">
        <v>12</v>
      </c>
      <c r="F99" s="1">
        <f>CEILING(E99*D99*C99,$B$49)</f>
        <v>5280</v>
      </c>
      <c r="G99" s="1">
        <f>CEILING(F99*$C$95,$B$49)</f>
        <v>476</v>
      </c>
      <c r="H99" s="31">
        <f>G99+F99</f>
        <v>5756</v>
      </c>
      <c r="I99" s="1">
        <f>1*F99</f>
        <v>5280</v>
      </c>
      <c r="J99" s="1">
        <f>$C$2*G99</f>
        <v>0</v>
      </c>
      <c r="K99" s="31">
        <f>H99*$C$2</f>
        <v>0</v>
      </c>
    </row>
    <row r="100" spans="1:11" x14ac:dyDescent="0.25">
      <c r="C100" s="34">
        <v>11</v>
      </c>
      <c r="D100" s="1">
        <v>40</v>
      </c>
      <c r="E100" s="1">
        <v>12</v>
      </c>
      <c r="F100" s="1">
        <f>CEILING(E100*D100*C100,$B$49)</f>
        <v>5280</v>
      </c>
      <c r="G100" s="1">
        <f>CEILING(F100*$C$95,$B$49)</f>
        <v>476</v>
      </c>
      <c r="H100" s="31">
        <f>G100+F100</f>
        <v>5756</v>
      </c>
      <c r="I100" s="1">
        <f>1*F100</f>
        <v>5280</v>
      </c>
      <c r="J100" s="1">
        <f t="shared" ref="J100:J101" si="11">$C$2*G100</f>
        <v>0</v>
      </c>
      <c r="K100" s="31">
        <f t="shared" ref="K100:K101" si="12">H100*$C$2</f>
        <v>0</v>
      </c>
    </row>
    <row r="101" spans="1:11" x14ac:dyDescent="0.25">
      <c r="C101" s="34">
        <v>11</v>
      </c>
      <c r="D101" s="1">
        <v>40</v>
      </c>
      <c r="E101" s="1">
        <v>12</v>
      </c>
      <c r="F101" s="1">
        <f t="shared" ref="F101" si="13">CEILING(E101*D101*C101,$B$49)</f>
        <v>5280</v>
      </c>
      <c r="G101" s="1">
        <f>CEILING(F101*$C$95,$B$49)</f>
        <v>476</v>
      </c>
      <c r="H101" s="31">
        <f>G101+F101</f>
        <v>5756</v>
      </c>
      <c r="I101" s="1">
        <f>1*F101</f>
        <v>5280</v>
      </c>
      <c r="J101" s="1">
        <f t="shared" si="11"/>
        <v>0</v>
      </c>
      <c r="K101" s="31">
        <f t="shared" si="12"/>
        <v>0</v>
      </c>
    </row>
    <row r="103" spans="1:11" x14ac:dyDescent="0.25">
      <c r="B103" s="1" t="s">
        <v>112</v>
      </c>
      <c r="F103" s="59">
        <f t="shared" ref="F103:G103" si="14">SUM(F99:F101)</f>
        <v>15840</v>
      </c>
      <c r="G103" s="59">
        <f t="shared" si="14"/>
        <v>1428</v>
      </c>
      <c r="H103" s="59">
        <f>SUM(H99:H101)</f>
        <v>17268</v>
      </c>
      <c r="I103" s="59">
        <f>SUM(I99:I101)</f>
        <v>15840</v>
      </c>
      <c r="J103" s="59">
        <f>SUM(J99:J101)</f>
        <v>0</v>
      </c>
      <c r="K103" s="55">
        <f>SUM(K99:K101)</f>
        <v>0</v>
      </c>
    </row>
    <row r="104" spans="1:11" x14ac:dyDescent="0.25">
      <c r="A104" s="31" t="s">
        <v>113</v>
      </c>
    </row>
    <row r="106" spans="1:11" x14ac:dyDescent="0.25">
      <c r="C106" s="1" t="s">
        <v>114</v>
      </c>
      <c r="D106" s="1" t="s">
        <v>115</v>
      </c>
      <c r="E106" s="1" t="s">
        <v>116</v>
      </c>
    </row>
    <row r="107" spans="1:11" x14ac:dyDescent="0.25">
      <c r="B107" s="1" t="s">
        <v>117</v>
      </c>
      <c r="C107" s="1">
        <v>100</v>
      </c>
      <c r="D107" s="1">
        <v>0</v>
      </c>
      <c r="E107" s="1">
        <v>2</v>
      </c>
      <c r="F107" s="31"/>
    </row>
    <row r="108" spans="1:11" x14ac:dyDescent="0.25">
      <c r="B108" s="1" t="s">
        <v>118</v>
      </c>
      <c r="F108" s="31"/>
    </row>
    <row r="109" spans="1:11" x14ac:dyDescent="0.25">
      <c r="B109" s="1" t="s">
        <v>119</v>
      </c>
      <c r="F109" s="31"/>
    </row>
    <row r="110" spans="1:11" x14ac:dyDescent="0.25">
      <c r="B110" s="1" t="s">
        <v>120</v>
      </c>
    </row>
    <row r="111" spans="1:11" x14ac:dyDescent="0.25">
      <c r="B111" s="1" t="s">
        <v>121</v>
      </c>
      <c r="F111" s="31"/>
    </row>
    <row r="112" spans="1:11" x14ac:dyDescent="0.25">
      <c r="B112" s="1" t="s">
        <v>122</v>
      </c>
      <c r="F112" s="31"/>
    </row>
    <row r="113" spans="1:6" x14ac:dyDescent="0.25">
      <c r="F113" s="58"/>
    </row>
    <row r="114" spans="1:6" x14ac:dyDescent="0.25">
      <c r="B114" s="1" t="s">
        <v>118</v>
      </c>
      <c r="D114" s="31">
        <v>3050</v>
      </c>
    </row>
    <row r="115" spans="1:6" x14ac:dyDescent="0.25">
      <c r="B115" s="1" t="s">
        <v>123</v>
      </c>
      <c r="C115" s="1" t="s">
        <v>124</v>
      </c>
      <c r="D115" s="1">
        <v>250</v>
      </c>
      <c r="F115" s="58"/>
    </row>
    <row r="116" spans="1:6" x14ac:dyDescent="0.25">
      <c r="C116" s="1" t="s">
        <v>125</v>
      </c>
      <c r="D116" s="1">
        <v>250</v>
      </c>
      <c r="F116" s="58"/>
    </row>
    <row r="117" spans="1:6" x14ac:dyDescent="0.25">
      <c r="C117" s="1" t="s">
        <v>126</v>
      </c>
      <c r="D117" s="1">
        <v>750</v>
      </c>
      <c r="F117" s="58"/>
    </row>
    <row r="118" spans="1:6" x14ac:dyDescent="0.25">
      <c r="C118" s="1" t="s">
        <v>127</v>
      </c>
      <c r="D118" s="1">
        <v>1000</v>
      </c>
    </row>
    <row r="119" spans="1:6" x14ac:dyDescent="0.25">
      <c r="C119" s="1" t="s">
        <v>128</v>
      </c>
    </row>
    <row r="120" spans="1:6" x14ac:dyDescent="0.25">
      <c r="C120" s="1" t="s">
        <v>129</v>
      </c>
      <c r="D120" s="1">
        <f>SUM(D115:D119)</f>
        <v>2250</v>
      </c>
    </row>
    <row r="122" spans="1:6" x14ac:dyDescent="0.25">
      <c r="A122" s="31" t="s">
        <v>130</v>
      </c>
      <c r="D122" s="58">
        <f>D120+E113</f>
        <v>2250</v>
      </c>
    </row>
  </sheetData>
  <hyperlinks>
    <hyperlink ref="J70" r:id="rId1" display="http://www.campbellsci.com/cs547a-l" xr:uid="{00000000-0004-0000-0500-000000000000}"/>
    <hyperlink ref="J71" r:id="rId2" display="http://www.campbellsci.com/am16-32b" xr:uid="{00000000-0004-0000-0500-000001000000}"/>
    <hyperlink ref="J72" r:id="rId3" display="http://www.campbellsci.com/a547" xr:uid="{00000000-0004-0000-0500-000002000000}"/>
    <hyperlink ref="J73" r:id="rId4" display="http://www.campbellsci.com/cr800-specifications" xr:uid="{00000000-0004-0000-0500-000003000000}"/>
  </hyperlinks>
  <pageMargins left="0.7" right="0.7" top="0.75" bottom="0.75" header="0.3" footer="0.3"/>
  <pageSetup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55"/>
  <sheetViews>
    <sheetView topLeftCell="A7" zoomScaleNormal="100" workbookViewId="0">
      <selection activeCell="B10" sqref="B10"/>
    </sheetView>
  </sheetViews>
  <sheetFormatPr defaultColWidth="9.140625" defaultRowHeight="12.75" x14ac:dyDescent="0.2"/>
  <cols>
    <col min="1" max="1" width="60.140625" style="61" customWidth="1"/>
    <col min="2" max="3" width="9.85546875" style="61" customWidth="1"/>
    <col min="4" max="4" width="10.85546875" style="61" customWidth="1"/>
    <col min="5" max="16384" width="9.140625" style="61"/>
  </cols>
  <sheetData>
    <row r="1" spans="1:9" x14ac:dyDescent="0.2">
      <c r="A1" s="60"/>
    </row>
    <row r="2" spans="1:9" x14ac:dyDescent="0.2">
      <c r="A2" s="60"/>
      <c r="B2" s="62"/>
      <c r="C2" s="62"/>
      <c r="D2" s="63"/>
    </row>
    <row r="3" spans="1:9" x14ac:dyDescent="0.2">
      <c r="B3" s="64" t="s">
        <v>72</v>
      </c>
      <c r="C3" s="64" t="s">
        <v>73</v>
      </c>
      <c r="D3" s="64" t="s">
        <v>132</v>
      </c>
    </row>
    <row r="4" spans="1:9" x14ac:dyDescent="0.2">
      <c r="A4" s="61" t="s">
        <v>134</v>
      </c>
      <c r="B4" s="65"/>
      <c r="C4" s="65"/>
      <c r="D4" s="65"/>
    </row>
    <row r="5" spans="1:9" x14ac:dyDescent="0.2">
      <c r="B5" s="65"/>
      <c r="C5" s="65"/>
      <c r="D5" s="65"/>
      <c r="G5" s="61">
        <v>0</v>
      </c>
    </row>
    <row r="6" spans="1:9" x14ac:dyDescent="0.2">
      <c r="A6" s="60" t="s">
        <v>135</v>
      </c>
      <c r="B6" s="65"/>
      <c r="C6" s="65"/>
      <c r="D6" s="65"/>
    </row>
    <row r="7" spans="1:9" x14ac:dyDescent="0.2">
      <c r="B7" s="65"/>
      <c r="C7" s="65"/>
      <c r="D7" s="65"/>
    </row>
    <row r="8" spans="1:9" x14ac:dyDescent="0.2">
      <c r="A8" s="61" t="s">
        <v>136</v>
      </c>
      <c r="B8" s="65"/>
      <c r="C8" s="65"/>
      <c r="D8" s="65"/>
    </row>
    <row r="9" spans="1:9" x14ac:dyDescent="0.2">
      <c r="A9" s="60" t="s">
        <v>137</v>
      </c>
      <c r="B9" s="65">
        <v>400</v>
      </c>
      <c r="C9" s="65">
        <v>0</v>
      </c>
      <c r="D9" s="65">
        <v>500</v>
      </c>
    </row>
    <row r="10" spans="1:9" x14ac:dyDescent="0.2">
      <c r="A10" s="60" t="s">
        <v>138</v>
      </c>
      <c r="B10" s="66">
        <v>400</v>
      </c>
      <c r="C10" s="61">
        <v>0</v>
      </c>
      <c r="D10" s="65">
        <f t="shared" ref="D10" si="0">SUM(B10:C10)</f>
        <v>400</v>
      </c>
    </row>
    <row r="11" spans="1:9" x14ac:dyDescent="0.2">
      <c r="A11" s="60" t="s">
        <v>139</v>
      </c>
      <c r="B11" s="66">
        <v>400</v>
      </c>
      <c r="C11" s="66">
        <v>0</v>
      </c>
      <c r="D11" s="65">
        <v>0</v>
      </c>
    </row>
    <row r="12" spans="1:9" x14ac:dyDescent="0.2">
      <c r="A12" s="60" t="s">
        <v>140</v>
      </c>
      <c r="B12" s="66">
        <v>2000</v>
      </c>
      <c r="C12" s="65">
        <v>0</v>
      </c>
      <c r="D12" s="65">
        <v>0</v>
      </c>
    </row>
    <row r="13" spans="1:9" x14ac:dyDescent="0.2">
      <c r="A13" s="60" t="s">
        <v>157</v>
      </c>
      <c r="B13" s="84">
        <v>1000</v>
      </c>
      <c r="C13" s="65"/>
      <c r="D13" s="65"/>
    </row>
    <row r="14" spans="1:9" x14ac:dyDescent="0.2">
      <c r="A14" s="60" t="s">
        <v>180</v>
      </c>
      <c r="B14" s="84">
        <v>6000</v>
      </c>
      <c r="C14" s="65"/>
      <c r="D14" s="65"/>
      <c r="G14" s="61">
        <v>300</v>
      </c>
      <c r="H14" s="61">
        <v>20</v>
      </c>
      <c r="I14" s="61">
        <f>H14*G14</f>
        <v>6000</v>
      </c>
    </row>
    <row r="15" spans="1:9" x14ac:dyDescent="0.2">
      <c r="C15" s="65"/>
      <c r="D15" s="65"/>
    </row>
    <row r="16" spans="1:9" x14ac:dyDescent="0.2">
      <c r="A16" s="60" t="s">
        <v>185</v>
      </c>
      <c r="B16" s="84">
        <v>2000</v>
      </c>
      <c r="C16" s="65"/>
      <c r="D16" s="65"/>
    </row>
    <row r="17" spans="1:8" x14ac:dyDescent="0.2">
      <c r="A17" s="60" t="s">
        <v>186</v>
      </c>
      <c r="B17" s="84">
        <v>4500</v>
      </c>
      <c r="C17" s="65">
        <v>0</v>
      </c>
      <c r="D17" s="65"/>
    </row>
    <row r="18" spans="1:8" x14ac:dyDescent="0.2">
      <c r="A18" s="60" t="s">
        <v>141</v>
      </c>
      <c r="B18" s="65">
        <v>0</v>
      </c>
      <c r="C18" s="65">
        <v>0</v>
      </c>
      <c r="D18" s="65"/>
    </row>
    <row r="19" spans="1:8" x14ac:dyDescent="0.2">
      <c r="A19" s="60" t="s">
        <v>142</v>
      </c>
      <c r="B19" s="65"/>
      <c r="C19" s="65"/>
      <c r="D19" s="65"/>
    </row>
    <row r="20" spans="1:8" x14ac:dyDescent="0.2">
      <c r="A20" s="60" t="s">
        <v>143</v>
      </c>
      <c r="B20" s="65"/>
      <c r="C20" s="65"/>
      <c r="D20" s="65"/>
    </row>
    <row r="21" spans="1:8" x14ac:dyDescent="0.2">
      <c r="A21" s="60" t="s">
        <v>144</v>
      </c>
      <c r="B21" s="65"/>
      <c r="C21" s="65"/>
      <c r="D21" s="65"/>
    </row>
    <row r="22" spans="1:8" x14ac:dyDescent="0.2">
      <c r="A22" s="60" t="s">
        <v>174</v>
      </c>
      <c r="B22" s="65">
        <v>300</v>
      </c>
      <c r="C22" s="65">
        <v>0</v>
      </c>
      <c r="D22" s="65">
        <v>0</v>
      </c>
    </row>
    <row r="23" spans="1:8" x14ac:dyDescent="0.2">
      <c r="A23" s="61" t="s">
        <v>133</v>
      </c>
      <c r="B23" s="65">
        <f>SUM(B9:B22)</f>
        <v>17000</v>
      </c>
      <c r="C23" s="65">
        <f>SUM(C9:C22)</f>
        <v>0</v>
      </c>
      <c r="D23" s="65">
        <v>0</v>
      </c>
    </row>
    <row r="24" spans="1:8" x14ac:dyDescent="0.2">
      <c r="B24" s="66"/>
    </row>
    <row r="25" spans="1:8" x14ac:dyDescent="0.2">
      <c r="A25" s="60" t="s">
        <v>181</v>
      </c>
      <c r="B25" s="66">
        <f>26*500</f>
        <v>13000</v>
      </c>
      <c r="C25" s="66">
        <v>0</v>
      </c>
      <c r="D25" s="66"/>
      <c r="F25" s="67">
        <f>B25+B23</f>
        <v>30000</v>
      </c>
      <c r="G25" s="67">
        <f>C25+C23</f>
        <v>0</v>
      </c>
      <c r="H25" s="67">
        <f>D25+D23</f>
        <v>0</v>
      </c>
    </row>
    <row r="26" spans="1:8" ht="12" customHeight="1" x14ac:dyDescent="0.2">
      <c r="B26" s="65"/>
      <c r="C26" s="65"/>
      <c r="D26" s="65"/>
    </row>
    <row r="27" spans="1:8" x14ac:dyDescent="0.2">
      <c r="A27" s="60" t="s">
        <v>145</v>
      </c>
      <c r="B27" s="65"/>
      <c r="C27" s="65"/>
      <c r="D27" s="65"/>
    </row>
    <row r="29" spans="1:8" x14ac:dyDescent="0.2">
      <c r="A29" s="61" t="s">
        <v>146</v>
      </c>
      <c r="B29" s="65">
        <f>B23+B45+B25</f>
        <v>30000</v>
      </c>
      <c r="C29" s="65">
        <f t="shared" ref="C29:D29" si="1">C23+C45+C25</f>
        <v>0</v>
      </c>
      <c r="D29" s="65">
        <f t="shared" si="1"/>
        <v>0</v>
      </c>
      <c r="F29" s="65">
        <f>SUM(B29:D29)</f>
        <v>30000</v>
      </c>
    </row>
    <row r="30" spans="1:8" ht="12" customHeight="1" x14ac:dyDescent="0.2">
      <c r="B30" s="65"/>
      <c r="C30" s="65"/>
      <c r="D30" s="65"/>
    </row>
    <row r="31" spans="1:8" x14ac:dyDescent="0.2">
      <c r="A31" s="61" t="s">
        <v>147</v>
      </c>
      <c r="B31" s="65"/>
      <c r="C31" s="65"/>
      <c r="D31" s="65"/>
    </row>
    <row r="32" spans="1:8" x14ac:dyDescent="0.2">
      <c r="A32" s="60"/>
      <c r="B32" s="65"/>
      <c r="C32" s="65"/>
      <c r="D32" s="65"/>
    </row>
    <row r="33" spans="1:5" x14ac:dyDescent="0.2">
      <c r="A33" s="61" t="s">
        <v>148</v>
      </c>
      <c r="B33" s="65"/>
      <c r="C33" s="65"/>
      <c r="D33" s="65"/>
    </row>
    <row r="34" spans="1:5" x14ac:dyDescent="0.2">
      <c r="A34" s="60"/>
      <c r="B34" s="65"/>
      <c r="C34" s="65"/>
      <c r="D34" s="65"/>
    </row>
    <row r="35" spans="1:5" x14ac:dyDescent="0.2">
      <c r="A35" s="60" t="s">
        <v>149</v>
      </c>
      <c r="B35" s="65"/>
      <c r="C35" s="65"/>
      <c r="D35" s="65"/>
    </row>
    <row r="36" spans="1:5" x14ac:dyDescent="0.2">
      <c r="A36" s="60" t="s">
        <v>150</v>
      </c>
      <c r="B36" s="65">
        <v>0</v>
      </c>
      <c r="C36" s="65"/>
      <c r="D36" s="65"/>
    </row>
    <row r="37" spans="1:5" x14ac:dyDescent="0.2">
      <c r="A37" s="60" t="s">
        <v>151</v>
      </c>
      <c r="B37" s="65"/>
      <c r="C37" s="65"/>
      <c r="D37" s="65"/>
    </row>
    <row r="38" spans="1:5" x14ac:dyDescent="0.2">
      <c r="A38" s="61" t="s">
        <v>133</v>
      </c>
      <c r="B38" s="65"/>
      <c r="C38" s="65"/>
      <c r="D38" s="65"/>
    </row>
    <row r="39" spans="1:5" x14ac:dyDescent="0.2">
      <c r="B39" s="65"/>
      <c r="C39" s="65"/>
      <c r="D39" s="65"/>
    </row>
    <row r="40" spans="1:5" x14ac:dyDescent="0.2">
      <c r="A40" s="60" t="s">
        <v>152</v>
      </c>
      <c r="B40" s="65"/>
      <c r="C40" s="65"/>
      <c r="D40" s="65"/>
    </row>
    <row r="41" spans="1:5" x14ac:dyDescent="0.2">
      <c r="A41" s="60" t="s">
        <v>153</v>
      </c>
      <c r="B41" s="65"/>
      <c r="C41" s="65"/>
      <c r="D41" s="65"/>
    </row>
    <row r="42" spans="1:5" x14ac:dyDescent="0.2">
      <c r="A42" s="60" t="s">
        <v>154</v>
      </c>
      <c r="B42" s="65"/>
      <c r="C42" s="65"/>
      <c r="D42" s="65"/>
    </row>
    <row r="43" spans="1:5" x14ac:dyDescent="0.2">
      <c r="A43" s="60" t="s">
        <v>155</v>
      </c>
      <c r="B43" s="65"/>
      <c r="C43" s="65"/>
      <c r="D43" s="65"/>
    </row>
    <row r="44" spans="1:5" x14ac:dyDescent="0.2">
      <c r="A44" s="60"/>
      <c r="B44" s="65"/>
      <c r="C44" s="65"/>
      <c r="D44" s="65"/>
    </row>
    <row r="45" spans="1:5" x14ac:dyDescent="0.2">
      <c r="A45" s="61" t="s">
        <v>133</v>
      </c>
      <c r="B45" s="65"/>
      <c r="C45" s="65"/>
      <c r="D45" s="65"/>
    </row>
    <row r="46" spans="1:5" x14ac:dyDescent="0.2">
      <c r="A46" s="61" t="s">
        <v>156</v>
      </c>
      <c r="B46" s="65">
        <f>B29+B31+B38+B45</f>
        <v>30000</v>
      </c>
      <c r="C46" s="65">
        <f>C29+C31+C38+C45</f>
        <v>0</v>
      </c>
      <c r="D46" s="65">
        <f>D29+D31+D38+D45</f>
        <v>0</v>
      </c>
    </row>
    <row r="47" spans="1:5" x14ac:dyDescent="0.2">
      <c r="B47" s="68"/>
      <c r="C47" s="65"/>
      <c r="D47" s="65"/>
      <c r="E47" s="65"/>
    </row>
    <row r="48" spans="1:5" x14ac:dyDescent="0.2">
      <c r="B48" s="68"/>
      <c r="C48" s="68"/>
    </row>
    <row r="49" spans="2:3" x14ac:dyDescent="0.2">
      <c r="B49" s="68"/>
      <c r="C49" s="68"/>
    </row>
    <row r="50" spans="2:3" x14ac:dyDescent="0.2">
      <c r="B50" s="68"/>
      <c r="C50" s="68"/>
    </row>
    <row r="51" spans="2:3" x14ac:dyDescent="0.2">
      <c r="B51" s="68"/>
      <c r="C51" s="68"/>
    </row>
    <row r="52" spans="2:3" x14ac:dyDescent="0.2">
      <c r="B52" s="68"/>
      <c r="C52" s="68"/>
    </row>
    <row r="53" spans="2:3" x14ac:dyDescent="0.2">
      <c r="B53" s="68"/>
      <c r="C53" s="68"/>
    </row>
    <row r="54" spans="2:3" x14ac:dyDescent="0.2">
      <c r="B54" s="68"/>
      <c r="C54" s="68"/>
    </row>
    <row r="55" spans="2:3" x14ac:dyDescent="0.2">
      <c r="B55" s="68"/>
      <c r="C55" s="68"/>
    </row>
  </sheetData>
  <printOptions gridLines="1"/>
  <pageMargins left="0.5" right="0.5" top="0.5" bottom="0.5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1year</vt:lpstr>
      <vt:lpstr>2year</vt:lpstr>
      <vt:lpstr>3year</vt:lpstr>
      <vt:lpstr>4year</vt:lpstr>
      <vt:lpstr>5year</vt:lpstr>
      <vt:lpstr>Flume costs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hanrahan</dc:creator>
  <cp:lastModifiedBy>DTonina</cp:lastModifiedBy>
  <dcterms:created xsi:type="dcterms:W3CDTF">2009-06-16T23:25:16Z</dcterms:created>
  <dcterms:modified xsi:type="dcterms:W3CDTF">2020-09-29T22:29:54Z</dcterms:modified>
</cp:coreProperties>
</file>