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ate1904="1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/Users/sophiegilbert/Syncs_Gilbert/Google Drive/Docs_Academic/Grants and Proposals/Proposals/NSF/NSF CNHS Grant/DISES 2020 Submission/Proposal components (new)/7. Budget and Justification/UI Budget spreadsheet/"/>
    </mc:Choice>
  </mc:AlternateContent>
  <xr:revisionPtr revIDLastSave="0" documentId="13_ncr:1_{6E03DA19-3730-E844-84F3-B6AD70D83060}" xr6:coauthVersionLast="45" xr6:coauthVersionMax="45" xr10:uidLastSave="{00000000-0000-0000-0000-000000000000}"/>
  <bookViews>
    <workbookView xWindow="180" yWindow="520" windowWidth="28800" windowHeight="17540" tabRatio="629" xr2:uid="{00000000-000D-0000-FFFF-FFFF00000000}"/>
  </bookViews>
  <sheets>
    <sheet name="LEAD - UI" sheetId="4" r:id="rId1"/>
    <sheet name="Michigan" sheetId="5" r:id="rId2"/>
    <sheet name="OSU" sheetId="6" r:id="rId3"/>
    <sheet name="Travel" sheetId="7" r:id="rId4"/>
  </sheets>
  <externalReferences>
    <externalReference r:id="rId5"/>
  </externalReferences>
  <definedNames>
    <definedName name="_xlnm.Print_Area" localSheetId="0">'LEAD - UI'!$A$1:$O$105</definedName>
  </definedNames>
  <calcPr calcId="191029"/>
  <customWorkbookViews>
    <customWorkbookView name="agent of evil - Personal View" guid="{2AF0C462-C492-4303-BAE8-1C2A65609893}" mergeInterval="0" personalView="1" maximized="1" windowWidth="1916" windowHeight="932" tabRatio="500" activeSheetId="1"/>
    <customWorkbookView name="Shanna Jose - Personal View" guid="{D131DD1C-0114-46DE-AB44-38736E49FDA9}" mergeInterval="0" personalView="1" maximized="1" windowWidth="1083" windowHeight="548" tabRatio="500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84" i="4" l="1"/>
  <c r="D103" i="4"/>
  <c r="D102" i="4"/>
  <c r="H100" i="4"/>
  <c r="G100" i="4"/>
  <c r="F100" i="4"/>
  <c r="F5" i="5"/>
  <c r="F81" i="4"/>
  <c r="E81" i="4"/>
  <c r="I15" i="4"/>
  <c r="P16" i="4"/>
  <c r="O16" i="4"/>
  <c r="N16" i="4"/>
  <c r="M16" i="4"/>
  <c r="P15" i="4"/>
  <c r="O15" i="4"/>
  <c r="N15" i="4"/>
  <c r="F15" i="4"/>
  <c r="E15" i="4"/>
  <c r="E11" i="4"/>
  <c r="D15" i="4"/>
  <c r="I84" i="4" l="1"/>
  <c r="I83" i="4"/>
  <c r="I82" i="4"/>
  <c r="I80" i="4"/>
  <c r="I79" i="4"/>
  <c r="I78" i="4"/>
  <c r="I77" i="4"/>
  <c r="I73" i="4"/>
  <c r="I72" i="4"/>
  <c r="I71" i="4"/>
  <c r="I70" i="4"/>
  <c r="I69" i="4"/>
  <c r="I68" i="4"/>
  <c r="I67" i="4"/>
  <c r="I66" i="4"/>
  <c r="I58" i="4"/>
  <c r="I57" i="4"/>
  <c r="I56" i="4"/>
  <c r="I55" i="4"/>
  <c r="I54" i="4"/>
  <c r="H113" i="4"/>
  <c r="G113" i="4"/>
  <c r="F113" i="4"/>
  <c r="H112" i="4"/>
  <c r="G112" i="4"/>
  <c r="E112" i="4"/>
  <c r="H111" i="4"/>
  <c r="G111" i="4"/>
  <c r="F111" i="4"/>
  <c r="E111" i="4"/>
  <c r="I111" i="4" s="1"/>
  <c r="H109" i="4"/>
  <c r="G109" i="4"/>
  <c r="F109" i="4"/>
  <c r="E109" i="4"/>
  <c r="H108" i="4"/>
  <c r="G108" i="4"/>
  <c r="F108" i="4"/>
  <c r="E108" i="4"/>
  <c r="I108" i="4" s="1"/>
  <c r="H107" i="4"/>
  <c r="G107" i="4"/>
  <c r="F107" i="4"/>
  <c r="E107" i="4"/>
  <c r="H106" i="4"/>
  <c r="G106" i="4"/>
  <c r="F106" i="4"/>
  <c r="D112" i="4"/>
  <c r="D113" i="4"/>
  <c r="D111" i="4"/>
  <c r="D109" i="4"/>
  <c r="D108" i="4"/>
  <c r="D107" i="4"/>
  <c r="D106" i="4"/>
  <c r="I107" i="4" l="1"/>
  <c r="I109" i="4"/>
  <c r="D81" i="4" l="1"/>
  <c r="E83" i="4"/>
  <c r="E84" i="4"/>
  <c r="F82" i="4"/>
  <c r="E82" i="4"/>
  <c r="D82" i="4"/>
  <c r="C82" i="4"/>
  <c r="D77" i="4"/>
  <c r="D57" i="4"/>
  <c r="D69" i="4"/>
  <c r="D70" i="4"/>
  <c r="D68" i="4"/>
  <c r="D67" i="4"/>
  <c r="D66" i="4"/>
  <c r="C5" i="7"/>
  <c r="C8" i="7"/>
  <c r="D38" i="4"/>
  <c r="D30" i="4"/>
  <c r="F38" i="4"/>
  <c r="E38" i="4"/>
  <c r="C4" i="7"/>
  <c r="D33" i="4"/>
  <c r="E37" i="4"/>
  <c r="D37" i="4"/>
  <c r="D32" i="4"/>
  <c r="E32" i="4" s="1"/>
  <c r="D31" i="4"/>
  <c r="E31" i="4" s="1"/>
  <c r="F36" i="4"/>
  <c r="E36" i="4"/>
  <c r="D36" i="4"/>
  <c r="E35" i="4"/>
  <c r="F35" i="4" s="1"/>
  <c r="D35" i="4"/>
  <c r="E33" i="4"/>
  <c r="F33" i="4" s="1"/>
  <c r="D34" i="4"/>
  <c r="E29" i="7"/>
  <c r="E36" i="7"/>
  <c r="E27" i="7"/>
  <c r="G28" i="7"/>
  <c r="E28" i="7"/>
  <c r="E23" i="4"/>
  <c r="F23" i="4"/>
  <c r="G23" i="4"/>
  <c r="H23" i="4"/>
  <c r="D23" i="4"/>
  <c r="I14" i="4"/>
  <c r="D24" i="4"/>
  <c r="E85" i="4"/>
  <c r="E113" i="4" s="1"/>
  <c r="I113" i="4" s="1"/>
  <c r="F37" i="4" l="1"/>
  <c r="I37" i="4" s="1"/>
  <c r="I23" i="4"/>
  <c r="F32" i="4"/>
  <c r="I32" i="4" s="1"/>
  <c r="D11" i="4"/>
  <c r="E12" i="4"/>
  <c r="M64" i="6"/>
  <c r="M63" i="6"/>
  <c r="M62" i="6"/>
  <c r="M61" i="6"/>
  <c r="M60" i="6"/>
  <c r="M59" i="6"/>
  <c r="M58" i="6"/>
  <c r="M57" i="6"/>
  <c r="L56" i="6"/>
  <c r="K56" i="6"/>
  <c r="J56" i="6"/>
  <c r="I56" i="6"/>
  <c r="H56" i="6"/>
  <c r="M55" i="6"/>
  <c r="M54" i="6"/>
  <c r="M53" i="6"/>
  <c r="M52" i="6"/>
  <c r="M51" i="6"/>
  <c r="M50" i="6"/>
  <c r="M49" i="6"/>
  <c r="M48" i="6"/>
  <c r="M47" i="6"/>
  <c r="M46" i="6"/>
  <c r="M45" i="6"/>
  <c r="M44" i="6"/>
  <c r="M43" i="6"/>
  <c r="L42" i="6"/>
  <c r="K42" i="6"/>
  <c r="J42" i="6"/>
  <c r="I42" i="6"/>
  <c r="H42" i="6"/>
  <c r="M41" i="6"/>
  <c r="L41" i="6"/>
  <c r="I41" i="6"/>
  <c r="H41" i="6"/>
  <c r="L40" i="6"/>
  <c r="K40" i="6"/>
  <c r="J40" i="6"/>
  <c r="I40" i="6"/>
  <c r="M40" i="6" s="1"/>
  <c r="H40" i="6"/>
  <c r="M39" i="6"/>
  <c r="H35" i="6"/>
  <c r="H33" i="6"/>
  <c r="H31" i="6"/>
  <c r="J30" i="6"/>
  <c r="I30" i="6"/>
  <c r="L27" i="6"/>
  <c r="K27" i="6"/>
  <c r="H27" i="6"/>
  <c r="M27" i="6" s="1"/>
  <c r="L25" i="6"/>
  <c r="H25" i="6"/>
  <c r="L24" i="6"/>
  <c r="J20" i="6"/>
  <c r="J35" i="6" s="1"/>
  <c r="I20" i="6"/>
  <c r="H20" i="6"/>
  <c r="H19" i="6"/>
  <c r="H34" i="6" s="1"/>
  <c r="J18" i="6"/>
  <c r="J33" i="6" s="1"/>
  <c r="I18" i="6"/>
  <c r="H18" i="6"/>
  <c r="H17" i="6"/>
  <c r="H32" i="6" s="1"/>
  <c r="J16" i="6"/>
  <c r="J31" i="6" s="1"/>
  <c r="I16" i="6"/>
  <c r="H16" i="6"/>
  <c r="L15" i="6"/>
  <c r="L30" i="6" s="1"/>
  <c r="K15" i="6"/>
  <c r="K30" i="6" s="1"/>
  <c r="H15" i="6"/>
  <c r="H30" i="6" s="1"/>
  <c r="H14" i="6"/>
  <c r="H29" i="6" s="1"/>
  <c r="J13" i="6"/>
  <c r="J28" i="6" s="1"/>
  <c r="I13" i="6"/>
  <c r="I28" i="6" s="1"/>
  <c r="H13" i="6"/>
  <c r="H28" i="6" s="1"/>
  <c r="J12" i="6"/>
  <c r="J27" i="6" s="1"/>
  <c r="I12" i="6"/>
  <c r="I27" i="6" s="1"/>
  <c r="I9" i="6"/>
  <c r="I26" i="6" s="1"/>
  <c r="H9" i="6"/>
  <c r="H26" i="6" s="1"/>
  <c r="J8" i="6"/>
  <c r="J25" i="6" s="1"/>
  <c r="I8" i="6"/>
  <c r="I25" i="6" s="1"/>
  <c r="H8" i="6"/>
  <c r="F8" i="6"/>
  <c r="H7" i="6"/>
  <c r="H24" i="6" s="1"/>
  <c r="I33" i="4" l="1"/>
  <c r="M42" i="6"/>
  <c r="H36" i="6"/>
  <c r="M30" i="6"/>
  <c r="H21" i="6"/>
  <c r="I7" i="6"/>
  <c r="K8" i="6"/>
  <c r="K25" i="6" s="1"/>
  <c r="M25" i="6" s="1"/>
  <c r="J9" i="6"/>
  <c r="H10" i="6"/>
  <c r="M12" i="6"/>
  <c r="K13" i="6"/>
  <c r="I14" i="6"/>
  <c r="M15" i="6"/>
  <c r="K16" i="6"/>
  <c r="I17" i="6"/>
  <c r="K18" i="6"/>
  <c r="I19" i="6"/>
  <c r="K20" i="6"/>
  <c r="I31" i="6"/>
  <c r="I33" i="6"/>
  <c r="I35" i="6"/>
  <c r="M56" i="6"/>
  <c r="J14" i="6" l="1"/>
  <c r="I29" i="6"/>
  <c r="K9" i="6"/>
  <c r="J26" i="6"/>
  <c r="I34" i="6"/>
  <c r="J19" i="6"/>
  <c r="K31" i="6"/>
  <c r="L16" i="6"/>
  <c r="L13" i="6"/>
  <c r="K28" i="6"/>
  <c r="M8" i="6"/>
  <c r="I32" i="6"/>
  <c r="J17" i="6"/>
  <c r="K33" i="6"/>
  <c r="M33" i="6" s="1"/>
  <c r="L18" i="6"/>
  <c r="L33" i="6" s="1"/>
  <c r="I21" i="6"/>
  <c r="I24" i="6"/>
  <c r="I10" i="6"/>
  <c r="J7" i="6"/>
  <c r="K35" i="6"/>
  <c r="L20" i="6"/>
  <c r="H37" i="6"/>
  <c r="M18" i="6"/>
  <c r="M35" i="6" l="1"/>
  <c r="H65" i="6"/>
  <c r="L35" i="6"/>
  <c r="M20" i="6"/>
  <c r="I36" i="6"/>
  <c r="K17" i="6"/>
  <c r="J32" i="6"/>
  <c r="L9" i="6"/>
  <c r="K26" i="6"/>
  <c r="I37" i="6"/>
  <c r="I65" i="6" s="1"/>
  <c r="L31" i="6"/>
  <c r="M31" i="6" s="1"/>
  <c r="M16" i="6"/>
  <c r="M9" i="6"/>
  <c r="L28" i="6"/>
  <c r="M28" i="6" s="1"/>
  <c r="M13" i="6"/>
  <c r="K19" i="6"/>
  <c r="J34" i="6"/>
  <c r="J10" i="6"/>
  <c r="K7" i="6"/>
  <c r="J24" i="6"/>
  <c r="K14" i="6"/>
  <c r="J29" i="6"/>
  <c r="J21" i="6"/>
  <c r="M7" i="6"/>
  <c r="L19" i="6" l="1"/>
  <c r="L34" i="6" s="1"/>
  <c r="K34" i="6"/>
  <c r="J36" i="6"/>
  <c r="I68" i="6"/>
  <c r="I69" i="6" s="1"/>
  <c r="I70" i="6" s="1"/>
  <c r="I67" i="6"/>
  <c r="L17" i="6"/>
  <c r="K32" i="6"/>
  <c r="K10" i="6"/>
  <c r="K24" i="6"/>
  <c r="M19" i="6"/>
  <c r="M24" i="6"/>
  <c r="K29" i="6"/>
  <c r="L14" i="6"/>
  <c r="K21" i="6"/>
  <c r="M14" i="6"/>
  <c r="J37" i="6"/>
  <c r="L26" i="6"/>
  <c r="L10" i="6"/>
  <c r="H68" i="6"/>
  <c r="H67" i="6"/>
  <c r="J65" i="6" l="1"/>
  <c r="L32" i="6"/>
  <c r="M17" i="6"/>
  <c r="M34" i="6"/>
  <c r="M10" i="6"/>
  <c r="M32" i="6"/>
  <c r="H69" i="6"/>
  <c r="M26" i="6"/>
  <c r="L29" i="6"/>
  <c r="L36" i="6" s="1"/>
  <c r="L37" i="6" s="1"/>
  <c r="L65" i="6" s="1"/>
  <c r="L21" i="6"/>
  <c r="M21" i="6" s="1"/>
  <c r="K36" i="6"/>
  <c r="L68" i="6" l="1"/>
  <c r="L69" i="6" s="1"/>
  <c r="L67" i="6"/>
  <c r="M29" i="6"/>
  <c r="M36" i="6"/>
  <c r="H70" i="6"/>
  <c r="K37" i="6"/>
  <c r="J67" i="6"/>
  <c r="J68" i="6"/>
  <c r="L70" i="6" l="1"/>
  <c r="J69" i="6"/>
  <c r="K65" i="6"/>
  <c r="M37" i="6"/>
  <c r="K67" i="6" l="1"/>
  <c r="M67" i="6" s="1"/>
  <c r="K68" i="6"/>
  <c r="M65" i="6"/>
  <c r="J70" i="6"/>
  <c r="K69" i="6" l="1"/>
  <c r="M68" i="6"/>
  <c r="K70" i="6" l="1"/>
  <c r="M69" i="6"/>
  <c r="M70" i="6" s="1"/>
  <c r="F9" i="5" l="1"/>
  <c r="F11" i="4"/>
  <c r="D9" i="4"/>
  <c r="D4" i="4"/>
  <c r="E4" i="4" s="1"/>
  <c r="F4" i="4" s="1"/>
  <c r="E5" i="5"/>
  <c r="D55" i="4"/>
  <c r="E74" i="4"/>
  <c r="F74" i="4"/>
  <c r="G74" i="4"/>
  <c r="D74" i="4"/>
  <c r="F10" i="4"/>
  <c r="D5" i="4"/>
  <c r="H6" i="4" l="1"/>
  <c r="D6" i="4"/>
  <c r="G16" i="4"/>
  <c r="F16" i="4"/>
  <c r="H95" i="4"/>
  <c r="G95" i="4"/>
  <c r="F95" i="4"/>
  <c r="H18" i="4" l="1"/>
  <c r="D3" i="4"/>
  <c r="E3" i="4" s="1"/>
  <c r="F3" i="4" s="1"/>
  <c r="G3" i="4" s="1"/>
  <c r="H3" i="4" s="1"/>
  <c r="D76" i="4"/>
  <c r="D75" i="4"/>
  <c r="H76" i="4"/>
  <c r="G76" i="4"/>
  <c r="F76" i="4"/>
  <c r="E76" i="4"/>
  <c r="D5" i="5"/>
  <c r="D6" i="5" s="1"/>
  <c r="C5" i="5"/>
  <c r="E4" i="5"/>
  <c r="E6" i="5" s="1"/>
  <c r="D4" i="5"/>
  <c r="G6" i="5"/>
  <c r="H9" i="5"/>
  <c r="H10" i="5" s="1"/>
  <c r="C10" i="5"/>
  <c r="C13" i="5" s="1"/>
  <c r="D10" i="5"/>
  <c r="E10" i="5"/>
  <c r="F10" i="5"/>
  <c r="F13" i="5" s="1"/>
  <c r="G10" i="5"/>
  <c r="G13" i="5" s="1"/>
  <c r="G14" i="5" s="1"/>
  <c r="G12" i="5"/>
  <c r="D13" i="5"/>
  <c r="E13" i="5"/>
  <c r="H16" i="5"/>
  <c r="C17" i="5"/>
  <c r="H17" i="5" s="1"/>
  <c r="D17" i="5"/>
  <c r="E17" i="5"/>
  <c r="F17" i="5"/>
  <c r="G17" i="5"/>
  <c r="H19" i="5"/>
  <c r="H20" i="5"/>
  <c r="C21" i="5"/>
  <c r="D21" i="5"/>
  <c r="E21" i="5"/>
  <c r="F21" i="5"/>
  <c r="G21" i="5"/>
  <c r="H21" i="5"/>
  <c r="C23" i="5"/>
  <c r="D23" i="5"/>
  <c r="E23" i="5"/>
  <c r="E24" i="5" s="1"/>
  <c r="F23" i="5"/>
  <c r="F24" i="5" s="1"/>
  <c r="G23" i="5"/>
  <c r="C24" i="5"/>
  <c r="D24" i="5"/>
  <c r="G24" i="5"/>
  <c r="G27" i="5"/>
  <c r="H27" i="5"/>
  <c r="H28" i="5"/>
  <c r="H34" i="5" s="1"/>
  <c r="H29" i="5"/>
  <c r="H30" i="5"/>
  <c r="H31" i="5"/>
  <c r="H32" i="5"/>
  <c r="H33" i="5"/>
  <c r="C34" i="5"/>
  <c r="D34" i="5"/>
  <c r="E34" i="5"/>
  <c r="F34" i="5"/>
  <c r="G34" i="5"/>
  <c r="I35" i="4"/>
  <c r="F30" i="4"/>
  <c r="E30" i="4"/>
  <c r="I34" i="4"/>
  <c r="F31" i="4"/>
  <c r="G34" i="7"/>
  <c r="E35" i="7"/>
  <c r="G35" i="7" s="1"/>
  <c r="G33" i="7"/>
  <c r="E33" i="7"/>
  <c r="G32" i="7"/>
  <c r="E26" i="7"/>
  <c r="G26" i="7" s="1"/>
  <c r="E14" i="7"/>
  <c r="G14" i="7" s="1"/>
  <c r="G13" i="7"/>
  <c r="E12" i="7"/>
  <c r="G11" i="7"/>
  <c r="E22" i="7"/>
  <c r="G22" i="7" s="1"/>
  <c r="G21" i="7"/>
  <c r="E20" i="7"/>
  <c r="G19" i="7"/>
  <c r="G18" i="7"/>
  <c r="I76" i="4" l="1"/>
  <c r="D93" i="4"/>
  <c r="D110" i="4"/>
  <c r="D114" i="4" s="1"/>
  <c r="D86" i="4"/>
  <c r="I30" i="4"/>
  <c r="I31" i="4"/>
  <c r="I36" i="4"/>
  <c r="E93" i="4"/>
  <c r="D12" i="5"/>
  <c r="D14" i="5" s="1"/>
  <c r="D36" i="5"/>
  <c r="D38" i="5"/>
  <c r="D39" i="5" s="1"/>
  <c r="D41" i="5" s="1"/>
  <c r="C6" i="5"/>
  <c r="C12" i="5" s="1"/>
  <c r="F4" i="5"/>
  <c r="G38" i="5"/>
  <c r="G39" i="5" s="1"/>
  <c r="G36" i="5"/>
  <c r="G41" i="5" s="1"/>
  <c r="C14" i="5"/>
  <c r="H13" i="5"/>
  <c r="H24" i="5"/>
  <c r="H23" i="5"/>
  <c r="E12" i="5"/>
  <c r="E14" i="5" s="1"/>
  <c r="E36" i="5" s="1"/>
  <c r="G36" i="7"/>
  <c r="G41" i="4" s="1"/>
  <c r="E23" i="7"/>
  <c r="E15" i="7"/>
  <c r="G27" i="7"/>
  <c r="G29" i="7" s="1"/>
  <c r="E41" i="4" s="1"/>
  <c r="G12" i="7"/>
  <c r="G15" i="7" s="1"/>
  <c r="G20" i="7"/>
  <c r="G23" i="7" s="1"/>
  <c r="I41" i="4" l="1"/>
  <c r="G4" i="5"/>
  <c r="E38" i="5"/>
  <c r="E39" i="5" s="1"/>
  <c r="E41" i="5" s="1"/>
  <c r="F75" i="4" s="1"/>
  <c r="F110" i="4" s="1"/>
  <c r="C36" i="5"/>
  <c r="C38" i="5"/>
  <c r="H40" i="4"/>
  <c r="G40" i="4"/>
  <c r="F40" i="4"/>
  <c r="H39" i="4"/>
  <c r="G39" i="4"/>
  <c r="F39" i="4"/>
  <c r="E39" i="4"/>
  <c r="D39" i="4"/>
  <c r="G72" i="4"/>
  <c r="F72" i="4"/>
  <c r="E72" i="4"/>
  <c r="E57" i="4"/>
  <c r="E79" i="4"/>
  <c r="G79" i="4" s="1"/>
  <c r="E65" i="4"/>
  <c r="I65" i="4" s="1"/>
  <c r="E64" i="4"/>
  <c r="I64" i="4" s="1"/>
  <c r="E63" i="4"/>
  <c r="I63" i="4" s="1"/>
  <c r="E62" i="4"/>
  <c r="I62" i="4" s="1"/>
  <c r="E61" i="4"/>
  <c r="I61" i="4" s="1"/>
  <c r="E60" i="4"/>
  <c r="I60" i="4" s="1"/>
  <c r="E59" i="4"/>
  <c r="E58" i="4"/>
  <c r="D56" i="4"/>
  <c r="E106" i="4" l="1"/>
  <c r="I59" i="4"/>
  <c r="F86" i="4"/>
  <c r="F112" i="4"/>
  <c r="I81" i="4"/>
  <c r="H42" i="4"/>
  <c r="G42" i="4"/>
  <c r="I40" i="4"/>
  <c r="I39" i="4"/>
  <c r="H5" i="5"/>
  <c r="H6" i="5" s="1"/>
  <c r="I10" i="5" s="1"/>
  <c r="F6" i="5"/>
  <c r="C39" i="5"/>
  <c r="H90" i="4" l="1"/>
  <c r="I106" i="4"/>
  <c r="F114" i="4"/>
  <c r="I112" i="4"/>
  <c r="F12" i="5"/>
  <c r="C41" i="5"/>
  <c r="F14" i="5" l="1"/>
  <c r="H12" i="5"/>
  <c r="H14" i="5" s="1"/>
  <c r="I36" i="5" l="1"/>
  <c r="I14" i="5"/>
  <c r="F38" i="5"/>
  <c r="F36" i="5"/>
  <c r="H36" i="5" l="1"/>
  <c r="F39" i="5"/>
  <c r="H39" i="5" s="1"/>
  <c r="H38" i="5"/>
  <c r="F41" i="5" l="1"/>
  <c r="H41" i="5" s="1"/>
  <c r="I41" i="5"/>
  <c r="G75" i="4" l="1"/>
  <c r="G110" i="4" l="1"/>
  <c r="G86" i="4"/>
  <c r="D53" i="4"/>
  <c r="H22" i="4"/>
  <c r="G22" i="4"/>
  <c r="F22" i="4"/>
  <c r="D22" i="4"/>
  <c r="E13" i="4"/>
  <c r="E22" i="4" s="1"/>
  <c r="H24" i="4"/>
  <c r="G24" i="4"/>
  <c r="F24" i="4"/>
  <c r="E24" i="4"/>
  <c r="G114" i="4" l="1"/>
  <c r="F53" i="4"/>
  <c r="E42" i="4"/>
  <c r="F42" i="4"/>
  <c r="F55" i="4"/>
  <c r="E55" i="4"/>
  <c r="E53" i="4"/>
  <c r="I24" i="4"/>
  <c r="I38" i="4" l="1"/>
  <c r="I42" i="4" s="1"/>
  <c r="D42" i="4"/>
  <c r="J42" i="4" s="1"/>
  <c r="H21" i="4"/>
  <c r="G21" i="4"/>
  <c r="I12" i="4"/>
  <c r="F21" i="4" l="1"/>
  <c r="E21" i="4"/>
  <c r="D21" i="4"/>
  <c r="H20" i="4"/>
  <c r="G20" i="4"/>
  <c r="G19" i="4"/>
  <c r="F19" i="4"/>
  <c r="E19" i="4"/>
  <c r="F20" i="4"/>
  <c r="D10" i="4"/>
  <c r="D16" i="4" s="1"/>
  <c r="K11" i="4"/>
  <c r="K9" i="4"/>
  <c r="K10" i="4" s="1"/>
  <c r="D19" i="4"/>
  <c r="E5" i="4"/>
  <c r="F5" i="4" l="1"/>
  <c r="E6" i="4"/>
  <c r="D18" i="4"/>
  <c r="I21" i="4"/>
  <c r="E10" i="4"/>
  <c r="D20" i="4"/>
  <c r="I11" i="4"/>
  <c r="F50" i="4"/>
  <c r="F28" i="4"/>
  <c r="G50" i="4"/>
  <c r="G28" i="4"/>
  <c r="D25" i="4" l="1"/>
  <c r="E20" i="4"/>
  <c r="E16" i="4"/>
  <c r="E18" i="4"/>
  <c r="F6" i="4"/>
  <c r="G5" i="4"/>
  <c r="F18" i="4"/>
  <c r="F25" i="4" s="1"/>
  <c r="D90" i="4" l="1"/>
  <c r="D88" i="4"/>
  <c r="F90" i="4"/>
  <c r="F91" i="4" s="1"/>
  <c r="F88" i="4"/>
  <c r="E25" i="4"/>
  <c r="G4" i="4"/>
  <c r="G6" i="4" s="1"/>
  <c r="F99" i="4" l="1"/>
  <c r="F101" i="4" s="1"/>
  <c r="F102" i="4" s="1"/>
  <c r="F103" i="4"/>
  <c r="D99" i="4"/>
  <c r="E90" i="4"/>
  <c r="E91" i="4" s="1"/>
  <c r="I4" i="4"/>
  <c r="G18" i="4"/>
  <c r="G25" i="4" s="1"/>
  <c r="G90" i="4" l="1"/>
  <c r="I90" i="4" s="1"/>
  <c r="G88" i="4"/>
  <c r="G91" i="4"/>
  <c r="J6" i="4"/>
  <c r="F96" i="4"/>
  <c r="G99" i="4" l="1"/>
  <c r="G101" i="4" s="1"/>
  <c r="G102" i="4" s="1"/>
  <c r="G103" i="4" s="1"/>
  <c r="G96" i="4"/>
  <c r="I13" i="4"/>
  <c r="H50" i="4"/>
  <c r="H28" i="4"/>
  <c r="H75" i="4" l="1"/>
  <c r="H9" i="4"/>
  <c r="D28" i="4"/>
  <c r="D46" i="4"/>
  <c r="I46" i="4" s="1"/>
  <c r="D45" i="4"/>
  <c r="I45" i="4" s="1"/>
  <c r="D48" i="4"/>
  <c r="I48" i="4" s="1"/>
  <c r="E28" i="4"/>
  <c r="I49" i="4"/>
  <c r="I27" i="4"/>
  <c r="J80" i="4"/>
  <c r="I53" i="4"/>
  <c r="J71" i="4" s="1"/>
  <c r="J72" i="4"/>
  <c r="J73" i="4"/>
  <c r="I74" i="4"/>
  <c r="I85" i="4"/>
  <c r="J85" i="4" s="1"/>
  <c r="E50" i="4"/>
  <c r="I47" i="4"/>
  <c r="H86" i="4" l="1"/>
  <c r="H88" i="4" s="1"/>
  <c r="H110" i="4"/>
  <c r="H114" i="4" s="1"/>
  <c r="H19" i="4"/>
  <c r="H25" i="4" s="1"/>
  <c r="H16" i="4"/>
  <c r="J74" i="4"/>
  <c r="I10" i="4"/>
  <c r="I28" i="4"/>
  <c r="D50" i="4"/>
  <c r="I50" i="4" s="1"/>
  <c r="I22" i="4"/>
  <c r="I20" i="4"/>
  <c r="H99" i="4" l="1"/>
  <c r="H101" i="4" s="1"/>
  <c r="H102" i="4" s="1"/>
  <c r="H103" i="4"/>
  <c r="H91" i="4"/>
  <c r="I5" i="4"/>
  <c r="I6" i="4" s="1"/>
  <c r="I19" i="4"/>
  <c r="I9" i="4"/>
  <c r="I16" i="4" s="1"/>
  <c r="J16" i="4" l="1"/>
  <c r="J25" i="4"/>
  <c r="I18" i="4"/>
  <c r="I25" i="4" s="1"/>
  <c r="D94" i="4"/>
  <c r="D95" i="4" l="1"/>
  <c r="D100" i="4"/>
  <c r="D91" i="4"/>
  <c r="D96" i="4" s="1"/>
  <c r="E94" i="4"/>
  <c r="E95" i="4" l="1"/>
  <c r="E100" i="4"/>
  <c r="I100" i="4"/>
  <c r="D101" i="4"/>
  <c r="J94" i="4"/>
  <c r="I94" i="4"/>
  <c r="I91" i="4"/>
  <c r="J93" i="4" l="1"/>
  <c r="I95" i="4"/>
  <c r="J95" i="4" s="1"/>
  <c r="E75" i="4"/>
  <c r="E110" i="4" l="1"/>
  <c r="E86" i="4"/>
  <c r="I75" i="4"/>
  <c r="I86" i="4" s="1"/>
  <c r="H96" i="4"/>
  <c r="J86" i="4" l="1"/>
  <c r="E88" i="4"/>
  <c r="E114" i="4"/>
  <c r="I114" i="4" s="1"/>
  <c r="I110" i="4"/>
  <c r="J76" i="4"/>
  <c r="I93" i="4"/>
  <c r="E99" i="4" l="1"/>
  <c r="E96" i="4"/>
  <c r="I99" i="4" l="1"/>
  <c r="E101" i="4"/>
  <c r="I88" i="4"/>
  <c r="J96" i="4" s="1"/>
  <c r="I96" i="4"/>
  <c r="E102" i="4" l="1"/>
  <c r="I101" i="4"/>
  <c r="I102" i="4" l="1"/>
  <c r="E103" i="4"/>
  <c r="I103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31" authorId="0" shapeId="0" xr:uid="{B976C7E5-3DDF-41D1-A9A2-F8A0A23677FB}">
      <text>
        <r>
          <rPr>
            <sz val="12"/>
            <color rgb="FF000000"/>
            <rFont val="Arial"/>
            <family val="2"/>
          </rPr>
          <t xml:space="preserve">======
</t>
        </r>
        <r>
          <rPr>
            <sz val="12"/>
            <color rgb="FF000000"/>
            <rFont val="Arial"/>
            <family val="2"/>
          </rPr>
          <t xml:space="preserve">ID#AAAAHLva5po
</t>
        </r>
        <r>
          <rPr>
            <sz val="12"/>
            <color rgb="FF000000"/>
            <rFont val="Arial"/>
            <family val="2"/>
          </rPr>
          <t xml:space="preserve">Chloe Wardropper    (2020-10-29 16:37:24)
</t>
        </r>
        <r>
          <rPr>
            <sz val="12"/>
            <color rgb="FF000000"/>
            <rFont val="Arial"/>
            <family val="2"/>
          </rPr>
          <t>This is 1 r/t from Moscow to Burns, OR (just a central location I chose)</t>
        </r>
      </text>
    </comment>
    <comment ref="D32" authorId="0" shapeId="0" xr:uid="{64199FAB-BB13-864D-9ED6-7A75B2C6F633}">
      <text>
        <r>
          <rPr>
            <sz val="12"/>
            <color rgb="FF000000"/>
            <rFont val="Arial"/>
            <family val="2"/>
          </rPr>
          <t xml:space="preserve">======
</t>
        </r>
        <r>
          <rPr>
            <sz val="12"/>
            <color rgb="FF000000"/>
            <rFont val="Arial"/>
            <family val="2"/>
          </rPr>
          <t xml:space="preserve">ID#AAAAHLva5po
</t>
        </r>
        <r>
          <rPr>
            <sz val="12"/>
            <color rgb="FF000000"/>
            <rFont val="Arial"/>
            <family val="2"/>
          </rPr>
          <t xml:space="preserve">Chloe Wardropper    (2020-10-29 16:37:24)
</t>
        </r>
        <r>
          <rPr>
            <sz val="12"/>
            <color rgb="FF000000"/>
            <rFont val="Arial"/>
            <family val="2"/>
          </rPr>
          <t>This is 1 r/t from Moscow to Burns, OR (just a central location I chose)</t>
        </r>
      </text>
    </comment>
    <comment ref="A36" authorId="0" shapeId="0" xr:uid="{F5D9C8E6-D877-4D2B-80D6-7A8ABAD323C8}">
      <text>
        <r>
          <rPr>
            <sz val="12"/>
            <color rgb="FF000000"/>
            <rFont val="Arial"/>
            <family val="2"/>
          </rPr>
          <t xml:space="preserve">======
</t>
        </r>
        <r>
          <rPr>
            <sz val="12"/>
            <color rgb="FF000000"/>
            <rFont val="Arial"/>
            <family val="2"/>
          </rPr>
          <t xml:space="preserve">ID#AAAAHLva8gs
</t>
        </r>
        <r>
          <rPr>
            <sz val="12"/>
            <color rgb="FF000000"/>
            <rFont val="Arial"/>
            <family val="2"/>
          </rPr>
          <t xml:space="preserve">Chloe Wardropper    (2020-10-29 16:39:57)
</t>
        </r>
        <r>
          <rPr>
            <sz val="12"/>
            <color rgb="FF000000"/>
            <rFont val="Arial"/>
            <family val="2"/>
          </rPr>
          <t>does this accuont for Jeff in Y1?</t>
        </r>
      </text>
    </comment>
    <comment ref="A37" authorId="0" shapeId="0" xr:uid="{20742734-00A1-644E-AD22-D2B84AF06F80}">
      <text>
        <r>
          <rPr>
            <sz val="12"/>
            <color rgb="FF000000"/>
            <rFont val="Arial"/>
            <family val="2"/>
          </rPr>
          <t xml:space="preserve">======
</t>
        </r>
        <r>
          <rPr>
            <sz val="12"/>
            <color rgb="FF000000"/>
            <rFont val="Arial"/>
            <family val="2"/>
          </rPr>
          <t xml:space="preserve">ID#AAAAHLva8gs
</t>
        </r>
        <r>
          <rPr>
            <sz val="12"/>
            <color rgb="FF000000"/>
            <rFont val="Arial"/>
            <family val="2"/>
          </rPr>
          <t xml:space="preserve">Chloe Wardropper    (2020-10-29 16:39:57)
</t>
        </r>
        <r>
          <rPr>
            <sz val="12"/>
            <color rgb="FF000000"/>
            <rFont val="Arial"/>
            <family val="2"/>
          </rPr>
          <t>does this accuont for Jeff in Y1?</t>
        </r>
      </text>
    </comment>
  </commentList>
</comments>
</file>

<file path=xl/sharedStrings.xml><?xml version="1.0" encoding="utf-8"?>
<sst xmlns="http://schemas.openxmlformats.org/spreadsheetml/2006/main" count="310" uniqueCount="238">
  <si>
    <t>Totals</t>
  </si>
  <si>
    <t>Notes</t>
  </si>
  <si>
    <t>B. Other PERSONNEL</t>
  </si>
  <si>
    <t xml:space="preserve">D. Permanent EQUIPMENT (&gt;$5,000) </t>
  </si>
  <si>
    <t>E. TRAVEL</t>
  </si>
  <si>
    <t>4. Computer services</t>
  </si>
  <si>
    <t>5. SubAwards</t>
  </si>
  <si>
    <t xml:space="preserve">H. Total Direct Costs (A through G) </t>
  </si>
  <si>
    <t>TOTAL</t>
  </si>
  <si>
    <r>
      <t>G. Other Direct Costs (</t>
    </r>
    <r>
      <rPr>
        <b/>
        <i/>
        <sz val="10"/>
        <rFont val="Arial"/>
        <family val="2"/>
      </rPr>
      <t>itemize by category</t>
    </r>
    <r>
      <rPr>
        <b/>
        <sz val="10"/>
        <rFont val="Arial"/>
        <family val="2"/>
      </rPr>
      <t>)</t>
    </r>
  </si>
  <si>
    <t>2. Publication expenses</t>
  </si>
  <si>
    <t>International - Conference Travel</t>
  </si>
  <si>
    <t>Direct Costs, excluding equipment, subawards, participant support costs</t>
  </si>
  <si>
    <t xml:space="preserve">6. Other: Contracted Services </t>
  </si>
  <si>
    <t>Stipend</t>
  </si>
  <si>
    <t>Travel</t>
  </si>
  <si>
    <t xml:space="preserve">Other </t>
  </si>
  <si>
    <t>3. Consultant Services</t>
  </si>
  <si>
    <t>2021-22</t>
  </si>
  <si>
    <t>A. Senior/Key PERSONNEL (PI/PD, Co-PIs)</t>
  </si>
  <si>
    <t>Fringe Benefits</t>
  </si>
  <si>
    <t>Subsistence</t>
  </si>
  <si>
    <t>Tuition</t>
  </si>
  <si>
    <t>F. Participant Support</t>
  </si>
  <si>
    <t>PI Fringe</t>
  </si>
  <si>
    <t>Rate</t>
  </si>
  <si>
    <t xml:space="preserve">6. Other: </t>
  </si>
  <si>
    <t>Amt to reach 25K</t>
  </si>
  <si>
    <t>Registration</t>
  </si>
  <si>
    <t>Ground transportation (parking, rt mileage, ground)</t>
  </si>
  <si>
    <t>5. SubAwards- Michigan</t>
  </si>
  <si>
    <t>2022-23</t>
  </si>
  <si>
    <t xml:space="preserve">Flights </t>
  </si>
  <si>
    <t>Per person</t>
  </si>
  <si>
    <t>#</t>
  </si>
  <si>
    <t>Total</t>
  </si>
  <si>
    <t># nts</t>
  </si>
  <si>
    <t>Flights</t>
  </si>
  <si>
    <t xml:space="preserve">1. Supplies </t>
  </si>
  <si>
    <t>Subaward Amts applied to Indirect Costs - Michigan</t>
  </si>
  <si>
    <t xml:space="preserve">6. Other: Human Subjects Incentives </t>
  </si>
  <si>
    <t>C. Fringe Benefits</t>
  </si>
  <si>
    <t>PROJECT BUDGET</t>
  </si>
  <si>
    <t>5. SubAward - OSU</t>
  </si>
  <si>
    <t>Subaward Amts applied to Indirect Costs - OSU</t>
  </si>
  <si>
    <t>9/1/21-8/31/22</t>
  </si>
  <si>
    <t>9/1/22-8/31/23</t>
  </si>
  <si>
    <t>9/1/23-8/31/24</t>
  </si>
  <si>
    <t>9/1/24-8/31/25</t>
  </si>
  <si>
    <t>9/1/25-8/31/26</t>
  </si>
  <si>
    <t>PI - Gilbert - Academic Year Salary (base = $77,719; 0.5 months/yr)</t>
  </si>
  <si>
    <t>PI and Co-PI Fringe (OPE = 30.7%)</t>
  </si>
  <si>
    <t>1.0 FTE, 12 mos.</t>
  </si>
  <si>
    <t>1.0 FTE, 1 mos.</t>
  </si>
  <si>
    <t>1.0 FTE, 3 mos</t>
  </si>
  <si>
    <t>0.5 FTE, 9 mos.</t>
  </si>
  <si>
    <t>PhD Student #1 (Yrs 1-2= 520 hrs. summer, 780 hrs. AY @ $20.03/hr; Yr 3 @$22.10/hr)</t>
  </si>
  <si>
    <t>PhD Student Fringe (2.1%)</t>
  </si>
  <si>
    <t>Undergraduate Student Fringe (2.1%)</t>
  </si>
  <si>
    <t>1. Supplies - Small Equipment - Camera Network Costs (6 sites)</t>
  </si>
  <si>
    <t>Cellular linked cameras (10% replacement rate in Yrs 2-3)</t>
  </si>
  <si>
    <t>Cellular data plan</t>
  </si>
  <si>
    <t>Camera accessories (batteries, locks, tree attachments)</t>
  </si>
  <si>
    <t>Total sites</t>
  </si>
  <si>
    <t>Average miles per day</t>
  </si>
  <si>
    <t>Miles per gallon</t>
  </si>
  <si>
    <t>$ per gallon</t>
  </si>
  <si>
    <t>Domestic  Travel - Fieldwork (Fuel)</t>
  </si>
  <si>
    <t>eBikes (n=4)</t>
  </si>
  <si>
    <t>return postage</t>
  </si>
  <si>
    <t>postcard postage</t>
  </si>
  <si>
    <t>10X13 envelopes</t>
  </si>
  <si>
    <t>9X12 envelopes</t>
  </si>
  <si>
    <t>postcard</t>
  </si>
  <si>
    <t>instrument</t>
  </si>
  <si>
    <t>labels</t>
  </si>
  <si>
    <r>
      <rPr>
        <sz val="10"/>
        <rFont val="Arial"/>
        <family val="2"/>
      </rPr>
      <t>1. Supplies - Other (Survey costs)</t>
    </r>
    <r>
      <rPr>
        <i/>
        <sz val="10"/>
        <rFont val="Arial"/>
        <family val="2"/>
      </rPr>
      <t xml:space="preserve"> </t>
    </r>
    <r>
      <rPr>
        <i/>
        <sz val="8"/>
        <rFont val="Arial"/>
        <family val="2"/>
      </rPr>
      <t>Postage - large envelope</t>
    </r>
  </si>
  <si>
    <r>
      <t xml:space="preserve">1. Supplies - Misc. Field - </t>
    </r>
    <r>
      <rPr>
        <i/>
        <sz val="8"/>
        <rFont val="Arial"/>
        <family val="2"/>
      </rPr>
      <t>Garmin Delorme inreach explorer emergency beacons</t>
    </r>
  </si>
  <si>
    <t>Radios</t>
  </si>
  <si>
    <t>First aid kits</t>
  </si>
  <si>
    <t>2 voice recorders</t>
  </si>
  <si>
    <t>6. Other: Contracted Services - Interview transcription</t>
  </si>
  <si>
    <t>6. Other: Contracted Services - Rancher addresses</t>
  </si>
  <si>
    <t>6. Other: Contracted Services - Service agreement w/ TNC</t>
  </si>
  <si>
    <t>2. Publication expenses (1 in Yr2, 2 in Yrs 3-4)</t>
  </si>
  <si>
    <t>6. Other: Contracted Services - Outreach Film (5-10 minutes long)</t>
  </si>
  <si>
    <r>
      <t>4. Computer services - NKN data infrastructure</t>
    </r>
    <r>
      <rPr>
        <sz val="8"/>
        <rFont val="Arial"/>
        <family val="2"/>
      </rPr>
      <t xml:space="preserve"> (virtual server + storage)</t>
    </r>
  </si>
  <si>
    <t>6. Other: Student Tuition and Fees (MS student survey supervisor)</t>
  </si>
  <si>
    <t>Grad Student (MS) Survey Supervisor (Yr2 = 390 hrs @ $19/hr)</t>
  </si>
  <si>
    <t>Grad Student (MS) Fringe (2.1%)</t>
  </si>
  <si>
    <t>Travel - Fuel Mileage Costs</t>
  </si>
  <si>
    <t>Domestic  Travel - NSF Annual Meeting (1 UI PI per year)</t>
  </si>
  <si>
    <t>Lodging (Federal Per Diem Rate Washington DC)</t>
  </si>
  <si>
    <t>Meals &amp; Incidentals (M&amp;IE) $76/$57 first-last</t>
  </si>
  <si>
    <t>Lodging</t>
  </si>
  <si>
    <t>Meals &amp; Incidentals (M&amp;IE)</t>
  </si>
  <si>
    <t>Mileage Round Trip (Moscow to La Grande)</t>
  </si>
  <si>
    <t>$76/$57</t>
  </si>
  <si>
    <t>$55/$42</t>
  </si>
  <si>
    <t>Meals &amp; Incidentals (M&amp;IE) Oregon 2021</t>
  </si>
  <si>
    <t>Travel to Annual Project Meeting in Year 2</t>
  </si>
  <si>
    <t>Domestic Travel - Annual Project Meeting (Yrs 2 and 4)</t>
  </si>
  <si>
    <t>Lodging (La Grande, 3 nights)</t>
  </si>
  <si>
    <t>Travel to Annual Project Meeting in Year 4</t>
  </si>
  <si>
    <t>Airfare RT (Moscow to Ann Arbor)</t>
  </si>
  <si>
    <t>Lodging (Ann Arbor, 3 nights)</t>
  </si>
  <si>
    <t>Meals &amp; Incidentals (M&amp;IE) Ann Arbor</t>
  </si>
  <si>
    <t>$61/$46</t>
  </si>
  <si>
    <t>Virtual 2021, OR 2022, SCB 2023, MI/IN 2024</t>
  </si>
  <si>
    <t>Mileage to field sites, personal vehicle (Gilbert)</t>
  </si>
  <si>
    <t>MICHIGAN - Neil Carter</t>
  </si>
  <si>
    <t>Postdoc (base = 55,000)</t>
  </si>
  <si>
    <t>Postdoc Fringe</t>
  </si>
  <si>
    <t xml:space="preserve">Domestic  - Travel </t>
  </si>
  <si>
    <t>I. INDIRECT COSTS, excluding equipment, subawards, participant support costs (56% MTDC)</t>
  </si>
  <si>
    <t>Year 1</t>
  </si>
  <si>
    <t>Year 2</t>
  </si>
  <si>
    <t>Year 3</t>
  </si>
  <si>
    <t>Year 4</t>
  </si>
  <si>
    <t>Year 5</t>
  </si>
  <si>
    <t>Title:</t>
  </si>
  <si>
    <t>Sponsor: NSF</t>
  </si>
  <si>
    <t>End Date:</t>
  </si>
  <si>
    <t xml:space="preserve"> </t>
  </si>
  <si>
    <t>Rate Required</t>
  </si>
  <si>
    <t>Enter % of time to cacluate wage</t>
  </si>
  <si>
    <t xml:space="preserve">     </t>
  </si>
  <si>
    <t>Salaries</t>
  </si>
  <si>
    <t># of Months per year</t>
  </si>
  <si>
    <t>Key Personnel</t>
  </si>
  <si>
    <t>Cal</t>
  </si>
  <si>
    <t>Aca</t>
  </si>
  <si>
    <t>Sum</t>
  </si>
  <si>
    <t>Release time charged</t>
  </si>
  <si>
    <t>YEAR  1</t>
  </si>
  <si>
    <t>YEAR  2</t>
  </si>
  <si>
    <t>YEAR 3</t>
  </si>
  <si>
    <t>YEAR 4</t>
  </si>
  <si>
    <t>YEAR 5</t>
  </si>
  <si>
    <t>Co-PI Bruskotter</t>
  </si>
  <si>
    <t>PI Bruskotter summer</t>
  </si>
  <si>
    <t xml:space="preserve">Co-PI   </t>
  </si>
  <si>
    <t>Total Key Personnel Salaries</t>
  </si>
  <si>
    <t>Other Personnel</t>
  </si>
  <si>
    <t>Post Doctoral Scholars</t>
  </si>
  <si>
    <t>Other Professionals (Technician)</t>
  </si>
  <si>
    <t>Graduate Students</t>
  </si>
  <si>
    <t>OSU  Undergraduate Students</t>
  </si>
  <si>
    <t>OSU Undergraduate Students</t>
  </si>
  <si>
    <t>Secretarial-Clerical</t>
  </si>
  <si>
    <t>Other</t>
  </si>
  <si>
    <t>Total Other Personnel Salaries</t>
  </si>
  <si>
    <t>Benefits</t>
  </si>
  <si>
    <t>FBR-Fringe Benefit Rates</t>
  </si>
  <si>
    <t>Department</t>
  </si>
  <si>
    <t>Fringe rates</t>
  </si>
  <si>
    <t>Do not enter fringe, it will auto calcuate directly from salary above</t>
  </si>
  <si>
    <t>PI Bruskotter</t>
  </si>
  <si>
    <t>Summer Salary, use 13.9%</t>
  </si>
  <si>
    <t>PI Bruskotter Summer</t>
  </si>
  <si>
    <t>Total Benefits</t>
  </si>
  <si>
    <t>TOTAL SALARY &amp; BENEFITS</t>
  </si>
  <si>
    <t>Direct Costs</t>
  </si>
  <si>
    <t xml:space="preserve">Equipment </t>
  </si>
  <si>
    <t>Enter Travel details on tab below</t>
  </si>
  <si>
    <t>Participant Support Costs</t>
  </si>
  <si>
    <t>Enter Participant Support Costs on tab below</t>
  </si>
  <si>
    <t>Materials and Supplies</t>
  </si>
  <si>
    <t>Enter Material/Supplies on tab below</t>
  </si>
  <si>
    <t>Publication Costs</t>
  </si>
  <si>
    <t>Consultant Services</t>
  </si>
  <si>
    <t>Computer Services</t>
  </si>
  <si>
    <t xml:space="preserve">Subcontract 1: </t>
  </si>
  <si>
    <t>Subcontract 2</t>
  </si>
  <si>
    <t>Subcontract 3</t>
  </si>
  <si>
    <t>Subcontract 4</t>
  </si>
  <si>
    <t>Subcontract 5</t>
  </si>
  <si>
    <t>Subcontract 6</t>
  </si>
  <si>
    <t>Subcontract 7</t>
  </si>
  <si>
    <t>Subcontract 8</t>
  </si>
  <si>
    <t>Subcontract 9</t>
  </si>
  <si>
    <t>Subcontract 10</t>
  </si>
  <si>
    <t>Subcontract Total</t>
  </si>
  <si>
    <t>Facility Rental/User Fees</t>
  </si>
  <si>
    <t>Alterations and Renovations</t>
  </si>
  <si>
    <t xml:space="preserve">Student Tuitions and Fees </t>
  </si>
  <si>
    <t>See Tuition Fee Table Tab</t>
  </si>
  <si>
    <t xml:space="preserve">Other: </t>
  </si>
  <si>
    <t>Total Direct Costs</t>
  </si>
  <si>
    <t xml:space="preserve">Total Direct Costs </t>
  </si>
  <si>
    <t>Form set to print 8x 14</t>
  </si>
  <si>
    <t xml:space="preserve">Modified Total  Indirect Cost Base </t>
  </si>
  <si>
    <t>Source: The Grant Development Support Unit, 2/16</t>
  </si>
  <si>
    <t>MTDC rate</t>
  </si>
  <si>
    <t xml:space="preserve">Total Costs </t>
  </si>
  <si>
    <t>I. INDIRECT COST (UI rate applied to first $25K of each subaward)</t>
  </si>
  <si>
    <t>Professional Conference Travel (Yrs 3-5, n=3)</t>
  </si>
  <si>
    <t>Domestic Travel - Professional Conference Travel (Yrs 3-5, n=3)</t>
  </si>
  <si>
    <t>Double check Direct costs, excluding equipment, subawards, participant support</t>
  </si>
  <si>
    <t>PI - Carter (base = 112,452; 0.5 summer month)</t>
  </si>
  <si>
    <t>co-PI - Wardropper - Summer Salary (base = $76,456; 0.5 months/yr)</t>
  </si>
  <si>
    <t>Undergrad Research Tech (520 hrs summer @ $15/hr)</t>
  </si>
  <si>
    <t>Undergrad Researcher (300 hrs AY @ $15/hr)</t>
  </si>
  <si>
    <t>Subtracted student tuition, fees, healthcare</t>
  </si>
  <si>
    <t>Direct Costs, excluding equipment, subawards, participant support costs, and tuition/fees/healthcare</t>
  </si>
  <si>
    <t>I. INDIRECT COSTS (excluding equipment, subawards, participant support, and tuition/fees/healthcare)</t>
  </si>
  <si>
    <t>Start Date:</t>
  </si>
  <si>
    <t>NSF Annual Meeting (2 UI PI)</t>
  </si>
  <si>
    <t>Field housing rental (5 moths in year 1, 3 months in yrs 2-3, $1100/month)</t>
  </si>
  <si>
    <t>NKN Fringe (41.8%), Lucan Sheneman</t>
  </si>
  <si>
    <t>NKN Fringe (41.8%), Research Applications Architect</t>
  </si>
  <si>
    <r>
      <t xml:space="preserve">Domestic Travel to Field Sites - </t>
    </r>
    <r>
      <rPr>
        <i/>
        <sz val="8"/>
        <rFont val="Arial"/>
        <family val="2"/>
      </rPr>
      <t>Truck rental, FlexFleet, Inc.</t>
    </r>
  </si>
  <si>
    <t>Mileage to field sites, personal vehicle (PhD student)</t>
  </si>
  <si>
    <t>Mileage to field sites, personal vehicle (Wardropper)</t>
  </si>
  <si>
    <t>Mileage to field sites, personal vehicle (Martin)</t>
  </si>
  <si>
    <t>Field food, summer ($250/week)</t>
  </si>
  <si>
    <t>Per Diem to/from field sites</t>
  </si>
  <si>
    <t>Field days per month (7 days/week, 4 weeks/mo)</t>
  </si>
  <si>
    <t>Total miles per month</t>
  </si>
  <si>
    <t>Cost per month</t>
  </si>
  <si>
    <t>Backpacks</t>
  </si>
  <si>
    <t xml:space="preserve">Notebooks </t>
  </si>
  <si>
    <t>1. Supplies - research computer, computer accessories, survey software</t>
  </si>
  <si>
    <t>6. Other: Tuition and Fees (PhD Student)</t>
  </si>
  <si>
    <t>6. Other: Health Insurance (PhD Student)</t>
  </si>
  <si>
    <t>G. Other Direct Costs (itemize by category)</t>
  </si>
  <si>
    <t>6. Other: Contracted Services</t>
  </si>
  <si>
    <t>6. Other: Tuition/Fees/Healthcare Students</t>
  </si>
  <si>
    <t>Northwest Knowledge Network Staff- LucasSheneman, Systems Architect (base = 96,325)</t>
  </si>
  <si>
    <t>Northwest Knowledge Network Staff- Research Applications Architect (base = 70,000)</t>
  </si>
  <si>
    <t>Double check Subaward Direct Costs F&amp;A base</t>
  </si>
  <si>
    <t>Total F&amp;A base</t>
  </si>
  <si>
    <t>F&amp;A</t>
  </si>
  <si>
    <t>Double check Total Costs (Direct + Indirect)</t>
  </si>
  <si>
    <t>6. Other: Health Insurance (MS student survey supervisor)</t>
  </si>
  <si>
    <t>e</t>
  </si>
  <si>
    <t>Research Associate - Jeff Martin (base = 52,000; 0.5FTE in Yr 1)</t>
  </si>
  <si>
    <t>Research Associate Fringe - Jeff Martin (41.8%)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</si>
</sst>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64" formatCode="&quot;$&quot;#,##0.00"/>
    <numFmt numFmtId="165" formatCode="&quot;$&quot;#,##0"/>
    <numFmt numFmtId="166" formatCode="0.000"/>
    <numFmt numFmtId="167" formatCode="_(&quot;$&quot;* #,##0_);_(&quot;$&quot;* \(#,##0\);_(&quot;$&quot;* &quot;-&quot;??_);_(@_)"/>
    <numFmt numFmtId="168" formatCode="&quot;$&quot;#,##0.000_);[Red]\(&quot;$&quot;#,##0.000\)"/>
    <numFmt numFmtId="169" formatCode="#,##0;[Red]\-#,##0"/>
    <numFmt numFmtId="170" formatCode="0.0%"/>
    <numFmt numFmtId="171" formatCode="0.000%"/>
    <numFmt numFmtId="172" formatCode="#,##0.00;[Red]\-#,##0.00"/>
  </numFmts>
  <fonts count="47">
    <font>
      <sz val="10"/>
      <name val="Garamond"/>
    </font>
    <font>
      <sz val="12"/>
      <color theme="1"/>
      <name val="Calibri"/>
      <family val="2"/>
      <scheme val="minor"/>
    </font>
    <font>
      <sz val="8"/>
      <name val="Garamond"/>
      <family val="1"/>
    </font>
    <font>
      <sz val="10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b/>
      <i/>
      <sz val="10"/>
      <name val="Arial"/>
      <family val="2"/>
    </font>
    <font>
      <sz val="8"/>
      <name val="Arial"/>
      <family val="2"/>
    </font>
    <font>
      <u/>
      <sz val="10"/>
      <color theme="10"/>
      <name val="Garamond"/>
      <family val="1"/>
    </font>
    <font>
      <u/>
      <sz val="10"/>
      <color theme="11"/>
      <name val="Garamond"/>
      <family val="1"/>
    </font>
    <font>
      <i/>
      <sz val="10"/>
      <name val="Arial"/>
      <family val="2"/>
    </font>
    <font>
      <i/>
      <sz val="8"/>
      <name val="Arial"/>
      <family val="2"/>
    </font>
    <font>
      <sz val="10"/>
      <name val="Garamond"/>
      <family val="1"/>
    </font>
    <font>
      <b/>
      <i/>
      <sz val="8"/>
      <name val="Arial"/>
      <family val="2"/>
    </font>
    <font>
      <b/>
      <sz val="10"/>
      <name val="Garamond"/>
      <family val="1"/>
    </font>
    <font>
      <sz val="10"/>
      <name val="Garamond"/>
      <family val="1"/>
    </font>
    <font>
      <sz val="12"/>
      <color rgb="FF000000"/>
      <name val="Arial"/>
      <family val="2"/>
    </font>
    <font>
      <sz val="8"/>
      <color rgb="FF000000"/>
      <name val="Arial"/>
      <family val="2"/>
    </font>
    <font>
      <b/>
      <sz val="9"/>
      <name val="Arial"/>
      <family val="2"/>
    </font>
    <font>
      <i/>
      <sz val="8"/>
      <color theme="1"/>
      <name val="Arial"/>
      <family val="2"/>
    </font>
    <font>
      <sz val="10"/>
      <color rgb="FFFF0000"/>
      <name val="Arial"/>
      <family val="2"/>
    </font>
    <font>
      <sz val="10"/>
      <name val="MS Sans Serif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i/>
      <sz val="11"/>
      <name val="Calibri"/>
      <family val="2"/>
      <scheme val="minor"/>
    </font>
    <font>
      <b/>
      <i/>
      <sz val="16"/>
      <name val="Calibri"/>
      <family val="2"/>
      <scheme val="minor"/>
    </font>
    <font>
      <b/>
      <i/>
      <sz val="14"/>
      <name val="Calibri"/>
      <family val="2"/>
      <scheme val="minor"/>
    </font>
    <font>
      <i/>
      <sz val="10"/>
      <name val="Calibri"/>
      <family val="2"/>
      <scheme val="minor"/>
    </font>
    <font>
      <b/>
      <sz val="12"/>
      <name val="Calibri"/>
      <family val="2"/>
      <scheme val="minor"/>
    </font>
    <font>
      <b/>
      <i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9"/>
      <name val="Calibri"/>
      <family val="2"/>
      <scheme val="minor"/>
    </font>
    <font>
      <u/>
      <sz val="10"/>
      <color theme="10"/>
      <name val="Arial"/>
      <family val="2"/>
    </font>
    <font>
      <u/>
      <sz val="10"/>
      <color rgb="FFFF0000"/>
      <name val="Arial"/>
      <family val="2"/>
    </font>
    <font>
      <sz val="11"/>
      <color indexed="9"/>
      <name val="Calibri"/>
      <family val="2"/>
    </font>
    <font>
      <sz val="11"/>
      <name val="Calibri"/>
      <family val="2"/>
    </font>
    <font>
      <sz val="8"/>
      <name val="Cambria"/>
      <family val="1"/>
      <scheme val="major"/>
    </font>
    <font>
      <b/>
      <sz val="12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theme="0"/>
      </patternFill>
    </fill>
    <fill>
      <patternFill patternType="solid">
        <fgColor rgb="FFFFFFCC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D5FE8C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D5FE8C"/>
        <bgColor theme="0"/>
      </patternFill>
    </fill>
    <fill>
      <patternFill patternType="solid">
        <fgColor theme="2" tint="-0.249977111117893"/>
        <bgColor theme="0"/>
      </patternFill>
    </fill>
    <fill>
      <patternFill patternType="gray125">
        <bgColor indexed="42"/>
      </patternFill>
    </fill>
    <fill>
      <patternFill patternType="gray125">
        <bgColor rgb="FF92D050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theme="0"/>
      </patternFill>
    </fill>
    <fill>
      <patternFill patternType="solid">
        <fgColor theme="6" tint="0.79998168889431442"/>
        <bgColor theme="0"/>
      </patternFill>
    </fill>
    <fill>
      <patternFill patternType="solid">
        <fgColor theme="7" tint="0.79998168889431442"/>
        <bgColor theme="0"/>
      </patternFill>
    </fill>
    <fill>
      <patternFill patternType="solid">
        <fgColor theme="9" tint="0.79998168889431442"/>
        <bgColor theme="0"/>
      </patternFill>
    </fill>
    <fill>
      <patternFill patternType="solid">
        <fgColor rgb="FFD5FE8C"/>
        <bgColor theme="5" tint="-0.24994659260841701"/>
      </patternFill>
    </fill>
    <fill>
      <patternFill patternType="solid">
        <fgColor theme="0"/>
        <bgColor theme="5" tint="-0.24994659260841701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theme="5" tint="-0.24994659260841701"/>
      </patternFill>
    </fill>
    <fill>
      <patternFill patternType="solid">
        <fgColor indexed="65"/>
        <bgColor theme="0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57"/>
      </patternFill>
    </fill>
    <fill>
      <patternFill patternType="solid">
        <fgColor theme="8" tint="0.59999389629810485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FF00"/>
        <bgColor indexed="64"/>
      </patternFill>
    </fill>
  </fills>
  <borders count="32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 style="double">
        <color auto="1"/>
      </left>
      <right/>
      <top/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 style="thin">
        <color auto="1"/>
      </top>
      <bottom/>
      <diagonal/>
    </border>
    <border>
      <left style="double">
        <color auto="1"/>
      </left>
      <right/>
      <top style="thin">
        <color auto="1"/>
      </top>
      <bottom/>
      <diagonal/>
    </border>
    <border>
      <left style="hair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</borders>
  <cellStyleXfs count="31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44" fontId="12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21" fillId="0" borderId="0"/>
    <xf numFmtId="0" fontId="1" fillId="0" borderId="0"/>
    <xf numFmtId="169" fontId="21" fillId="0" borderId="0" applyFont="0" applyFill="0" applyBorder="0" applyAlignment="0" applyProtection="0"/>
    <xf numFmtId="172" fontId="21" fillId="0" borderId="0" applyFont="0" applyFill="0" applyBorder="0" applyAlignment="0" applyProtection="0"/>
    <xf numFmtId="0" fontId="40" fillId="0" borderId="0" applyNumberFormat="0" applyFill="0" applyBorder="0" applyAlignment="0" applyProtection="0"/>
    <xf numFmtId="0" fontId="42" fillId="31" borderId="0" applyNumberFormat="0" applyBorder="0" applyAlignment="0" applyProtection="0"/>
  </cellStyleXfs>
  <cellXfs count="332">
    <xf numFmtId="0" fontId="0" fillId="0" borderId="0" xfId="0"/>
    <xf numFmtId="0" fontId="4" fillId="0" borderId="0" xfId="0" applyFont="1" applyFill="1" applyBorder="1" applyAlignment="1">
      <alignment horizontal="right" wrapText="1"/>
    </xf>
    <xf numFmtId="0" fontId="4" fillId="0" borderId="0" xfId="0" applyFont="1"/>
    <xf numFmtId="0" fontId="4" fillId="0" borderId="4" xfId="0" applyFont="1" applyFill="1" applyBorder="1" applyAlignment="1">
      <alignment horizontal="center"/>
    </xf>
    <xf numFmtId="165" fontId="5" fillId="0" borderId="0" xfId="0" applyNumberFormat="1" applyFont="1" applyAlignment="1">
      <alignment horizontal="right" wrapText="1"/>
    </xf>
    <xf numFmtId="164" fontId="3" fillId="0" borderId="5" xfId="0" applyNumberFormat="1" applyFont="1" applyBorder="1"/>
    <xf numFmtId="0" fontId="3" fillId="0" borderId="0" xfId="0" applyFont="1" applyFill="1"/>
    <xf numFmtId="0" fontId="4" fillId="0" borderId="5" xfId="0" applyFont="1" applyBorder="1" applyAlignment="1">
      <alignment wrapText="1"/>
    </xf>
    <xf numFmtId="0" fontId="3" fillId="0" borderId="5" xfId="0" applyFont="1" applyBorder="1" applyAlignment="1">
      <alignment wrapText="1"/>
    </xf>
    <xf numFmtId="0" fontId="3" fillId="0" borderId="5" xfId="0" applyFont="1" applyBorder="1"/>
    <xf numFmtId="0" fontId="4" fillId="0" borderId="6" xfId="0" applyFont="1" applyBorder="1"/>
    <xf numFmtId="165" fontId="3" fillId="0" borderId="0" xfId="0" applyNumberFormat="1" applyFont="1"/>
    <xf numFmtId="0" fontId="7" fillId="0" borderId="4" xfId="0" applyFont="1" applyFill="1" applyBorder="1" applyAlignment="1">
      <alignment wrapText="1"/>
    </xf>
    <xf numFmtId="165" fontId="3" fillId="0" borderId="4" xfId="0" applyNumberFormat="1" applyFont="1" applyFill="1" applyBorder="1"/>
    <xf numFmtId="0" fontId="3" fillId="0" borderId="4" xfId="0" applyFont="1" applyFill="1" applyBorder="1"/>
    <xf numFmtId="165" fontId="4" fillId="0" borderId="7" xfId="0" applyNumberFormat="1" applyFont="1" applyFill="1" applyBorder="1"/>
    <xf numFmtId="0" fontId="4" fillId="0" borderId="2" xfId="0" applyFont="1" applyBorder="1"/>
    <xf numFmtId="165" fontId="3" fillId="0" borderId="0" xfId="0" applyNumberFormat="1" applyFont="1" applyAlignment="1">
      <alignment horizontal="right" wrapText="1"/>
    </xf>
    <xf numFmtId="165" fontId="4" fillId="0" borderId="1" xfId="0" applyNumberFormat="1" applyFont="1" applyBorder="1"/>
    <xf numFmtId="165" fontId="4" fillId="0" borderId="0" xfId="0" applyNumberFormat="1" applyFont="1" applyAlignment="1">
      <alignment horizontal="right" wrapText="1"/>
    </xf>
    <xf numFmtId="165" fontId="4" fillId="0" borderId="0" xfId="0" applyNumberFormat="1" applyFont="1" applyBorder="1"/>
    <xf numFmtId="0" fontId="3" fillId="0" borderId="0" xfId="0" applyFont="1"/>
    <xf numFmtId="165" fontId="4" fillId="0" borderId="0" xfId="0" applyNumberFormat="1" applyFont="1"/>
    <xf numFmtId="0" fontId="4" fillId="3" borderId="5" xfId="0" applyFont="1" applyFill="1" applyBorder="1" applyAlignment="1">
      <alignment horizontal="right"/>
    </xf>
    <xf numFmtId="165" fontId="4" fillId="3" borderId="0" xfId="0" applyNumberFormat="1" applyFont="1" applyFill="1"/>
    <xf numFmtId="0" fontId="4" fillId="0" borderId="5" xfId="0" applyFont="1" applyBorder="1" applyAlignment="1">
      <alignment horizontal="right"/>
    </xf>
    <xf numFmtId="0" fontId="4" fillId="3" borderId="5" xfId="0" applyFont="1" applyFill="1" applyBorder="1" applyAlignment="1">
      <alignment horizontal="right" wrapText="1"/>
    </xf>
    <xf numFmtId="0" fontId="4" fillId="0" borderId="8" xfId="0" applyFont="1" applyBorder="1" applyAlignment="1">
      <alignment horizontal="right"/>
    </xf>
    <xf numFmtId="165" fontId="4" fillId="0" borderId="9" xfId="0" applyNumberFormat="1" applyFont="1" applyBorder="1"/>
    <xf numFmtId="165" fontId="4" fillId="2" borderId="10" xfId="0" applyNumberFormat="1" applyFont="1" applyFill="1" applyBorder="1"/>
    <xf numFmtId="0" fontId="3" fillId="0" borderId="0" xfId="0" applyFont="1" applyFill="1" applyAlignment="1">
      <alignment horizontal="center"/>
    </xf>
    <xf numFmtId="165" fontId="3" fillId="0" borderId="0" xfId="0" applyNumberFormat="1" applyFont="1" applyFill="1"/>
    <xf numFmtId="165" fontId="4" fillId="3" borderId="4" xfId="0" applyNumberFormat="1" applyFont="1" applyFill="1" applyBorder="1"/>
    <xf numFmtId="0" fontId="7" fillId="0" borderId="0" xfId="0" applyFont="1"/>
    <xf numFmtId="165" fontId="3" fillId="0" borderId="4" xfId="0" applyNumberFormat="1" applyFont="1" applyBorder="1" applyAlignment="1">
      <alignment horizontal="right" wrapText="1"/>
    </xf>
    <xf numFmtId="164" fontId="3" fillId="0" borderId="0" xfId="0" applyNumberFormat="1" applyFont="1"/>
    <xf numFmtId="0" fontId="3" fillId="0" borderId="0" xfId="0" applyFont="1" applyAlignment="1"/>
    <xf numFmtId="0" fontId="4" fillId="0" borderId="5" xfId="0" applyFont="1" applyBorder="1"/>
    <xf numFmtId="0" fontId="4" fillId="0" borderId="5" xfId="0" applyFont="1" applyBorder="1" applyAlignment="1">
      <alignment horizontal="right" wrapText="1"/>
    </xf>
    <xf numFmtId="165" fontId="3" fillId="0" borderId="0" xfId="0" applyNumberFormat="1" applyFont="1" applyFill="1" applyAlignment="1">
      <alignment horizontal="right" wrapText="1"/>
    </xf>
    <xf numFmtId="0" fontId="4" fillId="0" borderId="0" xfId="0" applyFont="1" applyBorder="1" applyAlignment="1">
      <alignment horizontal="right"/>
    </xf>
    <xf numFmtId="165" fontId="4" fillId="0" borderId="0" xfId="0" applyNumberFormat="1" applyFont="1" applyBorder="1" applyAlignment="1">
      <alignment horizontal="right" wrapText="1"/>
    </xf>
    <xf numFmtId="165" fontId="3" fillId="0" borderId="0" xfId="0" applyNumberFormat="1" applyFont="1" applyBorder="1"/>
    <xf numFmtId="164" fontId="3" fillId="0" borderId="5" xfId="0" applyNumberFormat="1" applyFont="1" applyFill="1" applyBorder="1"/>
    <xf numFmtId="0" fontId="3" fillId="0" borderId="5" xfId="0" applyFont="1" applyFill="1" applyBorder="1" applyAlignment="1">
      <alignment wrapText="1"/>
    </xf>
    <xf numFmtId="165" fontId="3" fillId="0" borderId="4" xfId="0" applyNumberFormat="1" applyFont="1" applyFill="1" applyBorder="1" applyAlignment="1">
      <alignment horizontal="right" wrapText="1"/>
    </xf>
    <xf numFmtId="0" fontId="10" fillId="0" borderId="0" xfId="0" applyFont="1" applyFill="1"/>
    <xf numFmtId="2" fontId="4" fillId="0" borderId="0" xfId="0" applyNumberFormat="1" applyFont="1" applyBorder="1"/>
    <xf numFmtId="165" fontId="4" fillId="0" borderId="7" xfId="0" applyNumberFormat="1" applyFont="1" applyBorder="1"/>
    <xf numFmtId="165" fontId="4" fillId="0" borderId="4" xfId="0" applyNumberFormat="1" applyFont="1" applyBorder="1"/>
    <xf numFmtId="164" fontId="7" fillId="0" borderId="4" xfId="0" applyNumberFormat="1" applyFont="1" applyFill="1" applyBorder="1" applyAlignment="1">
      <alignment wrapText="1"/>
    </xf>
    <xf numFmtId="165" fontId="3" fillId="0" borderId="4" xfId="0" applyNumberFormat="1" applyFont="1" applyBorder="1"/>
    <xf numFmtId="3" fontId="5" fillId="0" borderId="0" xfId="0" applyNumberFormat="1" applyFont="1" applyFill="1" applyBorder="1" applyAlignment="1">
      <alignment horizontal="right" wrapText="1"/>
    </xf>
    <xf numFmtId="0" fontId="5" fillId="0" borderId="3" xfId="0" applyFont="1" applyBorder="1" applyAlignment="1">
      <alignment horizontal="right" wrapText="1"/>
    </xf>
    <xf numFmtId="0" fontId="4" fillId="0" borderId="0" xfId="0" applyFont="1" applyAlignment="1">
      <alignment horizontal="center"/>
    </xf>
    <xf numFmtId="0" fontId="11" fillId="0" borderId="0" xfId="0" applyFont="1" applyFill="1" applyAlignment="1">
      <alignment horizontal="right"/>
    </xf>
    <xf numFmtId="0" fontId="11" fillId="0" borderId="0" xfId="0" applyFont="1" applyFill="1" applyAlignment="1">
      <alignment horizontal="right" wrapText="1"/>
    </xf>
    <xf numFmtId="0" fontId="4" fillId="0" borderId="3" xfId="0" applyFont="1" applyBorder="1"/>
    <xf numFmtId="0" fontId="4" fillId="0" borderId="0" xfId="0" applyFont="1" applyBorder="1" applyAlignment="1">
      <alignment wrapText="1"/>
    </xf>
    <xf numFmtId="164" fontId="3" fillId="0" borderId="0" xfId="0" applyNumberFormat="1" applyFont="1" applyBorder="1"/>
    <xf numFmtId="0" fontId="4" fillId="0" borderId="1" xfId="0" applyFont="1" applyBorder="1"/>
    <xf numFmtId="0" fontId="4" fillId="0" borderId="0" xfId="0" applyFont="1" applyBorder="1"/>
    <xf numFmtId="0" fontId="3" fillId="0" borderId="0" xfId="0" applyFont="1" applyFill="1" applyBorder="1" applyAlignment="1">
      <alignment wrapText="1"/>
    </xf>
    <xf numFmtId="0" fontId="3" fillId="0" borderId="0" xfId="0" applyFont="1" applyBorder="1"/>
    <xf numFmtId="0" fontId="3" fillId="0" borderId="0" xfId="0" applyFont="1" applyBorder="1" applyAlignment="1">
      <alignment wrapText="1"/>
    </xf>
    <xf numFmtId="0" fontId="4" fillId="3" borderId="0" xfId="0" applyFont="1" applyFill="1" applyBorder="1" applyAlignment="1">
      <alignment horizontal="right"/>
    </xf>
    <xf numFmtId="0" fontId="4" fillId="0" borderId="0" xfId="0" applyFont="1" applyBorder="1" applyAlignment="1">
      <alignment horizontal="right" wrapText="1"/>
    </xf>
    <xf numFmtId="0" fontId="4" fillId="3" borderId="0" xfId="0" applyFont="1" applyFill="1" applyBorder="1" applyAlignment="1">
      <alignment horizontal="right" wrapText="1"/>
    </xf>
    <xf numFmtId="0" fontId="4" fillId="0" borderId="9" xfId="0" applyFont="1" applyBorder="1" applyAlignment="1">
      <alignment horizontal="right"/>
    </xf>
    <xf numFmtId="165" fontId="3" fillId="0" borderId="0" xfId="0" applyNumberFormat="1" applyFont="1" applyFill="1" applyBorder="1"/>
    <xf numFmtId="0" fontId="5" fillId="0" borderId="0" xfId="0" applyFont="1" applyBorder="1" applyAlignment="1">
      <alignment horizontal="center" wrapText="1"/>
    </xf>
    <xf numFmtId="164" fontId="5" fillId="0" borderId="0" xfId="0" applyNumberFormat="1" applyFont="1" applyAlignment="1">
      <alignment horizontal="right" wrapText="1"/>
    </xf>
    <xf numFmtId="0" fontId="11" fillId="0" borderId="0" xfId="0" applyFont="1" applyFill="1" applyAlignment="1">
      <alignment horizontal="left"/>
    </xf>
    <xf numFmtId="165" fontId="11" fillId="0" borderId="0" xfId="0" applyNumberFormat="1" applyFont="1" applyFill="1" applyAlignment="1">
      <alignment horizontal="right"/>
    </xf>
    <xf numFmtId="0" fontId="5" fillId="0" borderId="11" xfId="0" applyFont="1" applyBorder="1"/>
    <xf numFmtId="0" fontId="5" fillId="0" borderId="11" xfId="0" applyNumberFormat="1" applyFont="1" applyBorder="1"/>
    <xf numFmtId="0" fontId="5" fillId="0" borderId="11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7" fillId="0" borderId="0" xfId="0" applyNumberFormat="1" applyFont="1"/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12" xfId="0" applyFont="1" applyBorder="1"/>
    <xf numFmtId="0" fontId="7" fillId="0" borderId="12" xfId="0" applyFont="1" applyBorder="1" applyAlignment="1">
      <alignment horizontal="center" vertical="center"/>
    </xf>
    <xf numFmtId="0" fontId="7" fillId="0" borderId="0" xfId="0" applyFont="1" applyFill="1"/>
    <xf numFmtId="0" fontId="5" fillId="0" borderId="0" xfId="0" applyFont="1" applyBorder="1"/>
    <xf numFmtId="0" fontId="5" fillId="0" borderId="0" xfId="0" applyNumberFormat="1" applyFont="1" applyBorder="1"/>
    <xf numFmtId="0" fontId="7" fillId="2" borderId="12" xfId="0" applyFont="1" applyFill="1" applyBorder="1" applyAlignment="1">
      <alignment horizontal="center" vertical="center"/>
    </xf>
    <xf numFmtId="0" fontId="11" fillId="0" borderId="0" xfId="0" applyFont="1"/>
    <xf numFmtId="42" fontId="3" fillId="0" borderId="0" xfId="23" applyNumberFormat="1" applyFont="1"/>
    <xf numFmtId="164" fontId="3" fillId="0" borderId="0" xfId="0" applyNumberFormat="1" applyFont="1" applyFill="1" applyBorder="1"/>
    <xf numFmtId="0" fontId="4" fillId="3" borderId="0" xfId="0" applyFont="1" applyFill="1" applyBorder="1" applyAlignment="1">
      <alignment wrapText="1"/>
    </xf>
    <xf numFmtId="0" fontId="13" fillId="0" borderId="0" xfId="0" applyFont="1" applyBorder="1" applyAlignment="1">
      <alignment horizontal="right" wrapText="1"/>
    </xf>
    <xf numFmtId="0" fontId="5" fillId="0" borderId="11" xfId="0" applyNumberFormat="1" applyFont="1" applyBorder="1" applyAlignment="1">
      <alignment horizontal="center"/>
    </xf>
    <xf numFmtId="9" fontId="7" fillId="0" borderId="0" xfId="24" applyFont="1" applyFill="1" applyBorder="1"/>
    <xf numFmtId="165" fontId="7" fillId="0" borderId="0" xfId="0" applyNumberFormat="1" applyFont="1" applyFill="1"/>
    <xf numFmtId="165" fontId="4" fillId="4" borderId="1" xfId="0" applyNumberFormat="1" applyFont="1" applyFill="1" applyBorder="1"/>
    <xf numFmtId="165" fontId="4" fillId="4" borderId="7" xfId="0" applyNumberFormat="1" applyFont="1" applyFill="1" applyBorder="1"/>
    <xf numFmtId="166" fontId="7" fillId="0" borderId="0" xfId="0" applyNumberFormat="1" applyFont="1"/>
    <xf numFmtId="166" fontId="7" fillId="0" borderId="0" xfId="0" applyNumberFormat="1" applyFont="1" applyFill="1"/>
    <xf numFmtId="0" fontId="7" fillId="0" borderId="0" xfId="0" applyFont="1" applyFill="1" applyBorder="1" applyAlignment="1">
      <alignment wrapText="1"/>
    </xf>
    <xf numFmtId="167" fontId="7" fillId="0" borderId="0" xfId="23" applyNumberFormat="1" applyFont="1" applyFill="1" applyBorder="1" applyAlignment="1">
      <alignment wrapText="1"/>
    </xf>
    <xf numFmtId="44" fontId="7" fillId="0" borderId="0" xfId="23" applyFont="1"/>
    <xf numFmtId="165" fontId="3" fillId="4" borderId="0" xfId="0" applyNumberFormat="1" applyFont="1" applyFill="1"/>
    <xf numFmtId="0" fontId="11" fillId="0" borderId="5" xfId="0" applyFont="1" applyFill="1" applyBorder="1" applyAlignment="1">
      <alignment wrapText="1"/>
    </xf>
    <xf numFmtId="44" fontId="17" fillId="0" borderId="0" xfId="23" applyFont="1" applyAlignment="1">
      <alignment horizontal="right"/>
    </xf>
    <xf numFmtId="0" fontId="11" fillId="0" borderId="5" xfId="0" applyFont="1" applyFill="1" applyBorder="1" applyAlignment="1">
      <alignment horizontal="left" wrapText="1" indent="2"/>
    </xf>
    <xf numFmtId="0" fontId="19" fillId="0" borderId="0" xfId="0" applyFont="1" applyAlignment="1">
      <alignment horizontal="left" indent="2"/>
    </xf>
    <xf numFmtId="44" fontId="3" fillId="0" borderId="0" xfId="23" applyFont="1"/>
    <xf numFmtId="9" fontId="7" fillId="0" borderId="0" xfId="0" applyNumberFormat="1" applyFont="1" applyBorder="1" applyAlignment="1">
      <alignment wrapText="1"/>
    </xf>
    <xf numFmtId="167" fontId="17" fillId="0" borderId="0" xfId="23" applyNumberFormat="1" applyFont="1" applyAlignment="1">
      <alignment horizontal="right"/>
    </xf>
    <xf numFmtId="1" fontId="7" fillId="0" borderId="0" xfId="0" applyNumberFormat="1" applyFont="1" applyFill="1" applyBorder="1" applyAlignment="1">
      <alignment wrapText="1"/>
    </xf>
    <xf numFmtId="0" fontId="5" fillId="0" borderId="11" xfId="0" applyFont="1" applyBorder="1" applyAlignment="1">
      <alignment horizontal="center"/>
    </xf>
    <xf numFmtId="168" fontId="7" fillId="0" borderId="0" xfId="0" applyNumberFormat="1" applyFont="1"/>
    <xf numFmtId="6" fontId="7" fillId="0" borderId="0" xfId="0" applyNumberFormat="1" applyFont="1" applyAlignment="1">
      <alignment horizontal="center" vertical="center"/>
    </xf>
    <xf numFmtId="1" fontId="7" fillId="0" borderId="0" xfId="0" applyNumberFormat="1" applyFont="1" applyAlignment="1">
      <alignment horizontal="center" vertical="center"/>
    </xf>
    <xf numFmtId="6" fontId="7" fillId="0" borderId="0" xfId="0" applyNumberFormat="1" applyFont="1" applyAlignment="1">
      <alignment horizontal="right"/>
    </xf>
    <xf numFmtId="0" fontId="7" fillId="0" borderId="0" xfId="0" applyFont="1" applyAlignment="1">
      <alignment horizontal="right"/>
    </xf>
    <xf numFmtId="1" fontId="7" fillId="2" borderId="12" xfId="0" applyNumberFormat="1" applyFont="1" applyFill="1" applyBorder="1" applyAlignment="1">
      <alignment horizontal="center" vertical="center"/>
    </xf>
    <xf numFmtId="1" fontId="7" fillId="0" borderId="12" xfId="0" applyNumberFormat="1" applyFont="1" applyBorder="1" applyAlignment="1">
      <alignment horizontal="center" vertical="center"/>
    </xf>
    <xf numFmtId="0" fontId="11" fillId="0" borderId="6" xfId="0" applyFont="1" applyBorder="1"/>
    <xf numFmtId="165" fontId="3" fillId="5" borderId="4" xfId="0" applyNumberFormat="1" applyFont="1" applyFill="1" applyBorder="1"/>
    <xf numFmtId="165" fontId="3" fillId="5" borderId="0" xfId="0" applyNumberFormat="1" applyFont="1" applyFill="1"/>
    <xf numFmtId="165" fontId="3" fillId="6" borderId="4" xfId="0" applyNumberFormat="1" applyFont="1" applyFill="1" applyBorder="1"/>
    <xf numFmtId="165" fontId="3" fillId="6" borderId="0" xfId="0" applyNumberFormat="1" applyFont="1" applyFill="1"/>
    <xf numFmtId="165" fontId="3" fillId="7" borderId="4" xfId="0" applyNumberFormat="1" applyFont="1" applyFill="1" applyBorder="1"/>
    <xf numFmtId="165" fontId="3" fillId="7" borderId="0" xfId="0" applyNumberFormat="1" applyFont="1" applyFill="1"/>
    <xf numFmtId="165" fontId="3" fillId="4" borderId="4" xfId="0" applyNumberFormat="1" applyFont="1" applyFill="1" applyBorder="1"/>
    <xf numFmtId="165" fontId="3" fillId="8" borderId="0" xfId="0" applyNumberFormat="1" applyFont="1" applyFill="1"/>
    <xf numFmtId="165" fontId="3" fillId="8" borderId="4" xfId="0" applyNumberFormat="1" applyFont="1" applyFill="1" applyBorder="1"/>
    <xf numFmtId="165" fontId="3" fillId="9" borderId="0" xfId="0" applyNumberFormat="1" applyFont="1" applyFill="1"/>
    <xf numFmtId="165" fontId="3" fillId="9" borderId="4" xfId="0" applyNumberFormat="1" applyFont="1" applyFill="1" applyBorder="1"/>
    <xf numFmtId="1" fontId="11" fillId="0" borderId="0" xfId="0" applyNumberFormat="1" applyFont="1"/>
    <xf numFmtId="9" fontId="7" fillId="0" borderId="0" xfId="24" applyFont="1" applyBorder="1"/>
    <xf numFmtId="9" fontId="3" fillId="9" borderId="0" xfId="0" applyNumberFormat="1" applyFont="1" applyFill="1"/>
    <xf numFmtId="9" fontId="4" fillId="3" borderId="0" xfId="24" applyFont="1" applyFill="1" applyBorder="1" applyAlignment="1">
      <alignment horizontal="right" wrapText="1"/>
    </xf>
    <xf numFmtId="165" fontId="3" fillId="9" borderId="0" xfId="23" applyNumberFormat="1" applyFont="1" applyFill="1"/>
    <xf numFmtId="0" fontId="18" fillId="0" borderId="5" xfId="0" applyFont="1" applyBorder="1" applyAlignment="1">
      <alignment horizontal="right" wrapText="1"/>
    </xf>
    <xf numFmtId="0" fontId="11" fillId="0" borderId="0" xfId="0" applyFont="1" applyAlignment="1">
      <alignment horizontal="right"/>
    </xf>
    <xf numFmtId="0" fontId="18" fillId="3" borderId="5" xfId="0" applyFont="1" applyFill="1" applyBorder="1" applyAlignment="1">
      <alignment wrapText="1"/>
    </xf>
    <xf numFmtId="0" fontId="18" fillId="3" borderId="5" xfId="0" applyFont="1" applyFill="1" applyBorder="1" applyAlignment="1">
      <alignment horizontal="right" wrapText="1"/>
    </xf>
    <xf numFmtId="170" fontId="18" fillId="3" borderId="0" xfId="24" applyNumberFormat="1" applyFont="1" applyFill="1" applyBorder="1" applyAlignment="1">
      <alignment wrapText="1"/>
    </xf>
    <xf numFmtId="0" fontId="3" fillId="0" borderId="0" xfId="0" applyFont="1" applyAlignment="1">
      <alignment horizontal="right"/>
    </xf>
    <xf numFmtId="0" fontId="21" fillId="0" borderId="0" xfId="25"/>
    <xf numFmtId="0" fontId="22" fillId="0" borderId="0" xfId="25" applyFont="1"/>
    <xf numFmtId="10" fontId="21" fillId="0" borderId="0" xfId="25" applyNumberFormat="1"/>
    <xf numFmtId="0" fontId="23" fillId="0" borderId="0" xfId="25" applyFont="1"/>
    <xf numFmtId="0" fontId="24" fillId="0" borderId="0" xfId="26" applyFont="1"/>
    <xf numFmtId="0" fontId="23" fillId="0" borderId="0" xfId="0" applyFont="1"/>
    <xf numFmtId="10" fontId="23" fillId="0" borderId="0" xfId="25" applyNumberFormat="1" applyFont="1"/>
    <xf numFmtId="0" fontId="25" fillId="0" borderId="0" xfId="25" applyFont="1"/>
    <xf numFmtId="0" fontId="22" fillId="2" borderId="11" xfId="25" applyFont="1" applyFill="1" applyBorder="1"/>
    <xf numFmtId="0" fontId="26" fillId="2" borderId="11" xfId="25" applyFont="1" applyFill="1" applyBorder="1"/>
    <xf numFmtId="0" fontId="25" fillId="2" borderId="11" xfId="25" applyFont="1" applyFill="1" applyBorder="1"/>
    <xf numFmtId="10" fontId="25" fillId="2" borderId="11" xfId="25" applyNumberFormat="1" applyFont="1" applyFill="1" applyBorder="1"/>
    <xf numFmtId="0" fontId="27" fillId="0" borderId="0" xfId="25" applyFont="1" applyAlignment="1">
      <alignment horizontal="center"/>
    </xf>
    <xf numFmtId="0" fontId="28" fillId="0" borderId="0" xfId="25" applyFont="1"/>
    <xf numFmtId="0" fontId="29" fillId="0" borderId="13" xfId="25" applyFont="1" applyBorder="1" applyAlignment="1">
      <alignment horizontal="center" wrapText="1"/>
    </xf>
    <xf numFmtId="0" fontId="31" fillId="0" borderId="0" xfId="25" applyFont="1" applyAlignment="1">
      <alignment horizontal="center" wrapText="1"/>
    </xf>
    <xf numFmtId="0" fontId="31" fillId="0" borderId="0" xfId="25" applyFont="1" applyAlignment="1">
      <alignment horizontal="left" wrapText="1"/>
    </xf>
    <xf numFmtId="0" fontId="32" fillId="0" borderId="14" xfId="25" applyFont="1" applyBorder="1"/>
    <xf numFmtId="0" fontId="25" fillId="0" borderId="17" xfId="25" applyFont="1" applyBorder="1"/>
    <xf numFmtId="3" fontId="25" fillId="0" borderId="0" xfId="25" applyNumberFormat="1" applyFont="1"/>
    <xf numFmtId="0" fontId="25" fillId="0" borderId="14" xfId="25" applyFont="1" applyBorder="1"/>
    <xf numFmtId="0" fontId="33" fillId="0" borderId="0" xfId="25" applyFont="1"/>
    <xf numFmtId="0" fontId="23" fillId="12" borderId="13" xfId="25" applyFont="1" applyFill="1" applyBorder="1" applyAlignment="1">
      <alignment horizontal="center" vertical="center"/>
    </xf>
    <xf numFmtId="0" fontId="31" fillId="13" borderId="13" xfId="25" applyFont="1" applyFill="1" applyBorder="1" applyAlignment="1">
      <alignment horizontal="center" vertical="center"/>
    </xf>
    <xf numFmtId="10" fontId="34" fillId="13" borderId="13" xfId="25" applyNumberFormat="1" applyFont="1" applyFill="1" applyBorder="1" applyAlignment="1">
      <alignment horizontal="center" vertical="center" wrapText="1"/>
    </xf>
    <xf numFmtId="0" fontId="35" fillId="12" borderId="15" xfId="25" applyFont="1" applyFill="1" applyBorder="1" applyAlignment="1">
      <alignment horizontal="center" vertical="center"/>
    </xf>
    <xf numFmtId="0" fontId="25" fillId="14" borderId="15" xfId="25" applyFont="1" applyFill="1" applyBorder="1"/>
    <xf numFmtId="0" fontId="25" fillId="0" borderId="13" xfId="25" applyFont="1" applyBorder="1"/>
    <xf numFmtId="0" fontId="36" fillId="0" borderId="18" xfId="25" applyFont="1" applyBorder="1" applyAlignment="1">
      <alignment horizontal="center"/>
    </xf>
    <xf numFmtId="165" fontId="37" fillId="13" borderId="18" xfId="25" applyNumberFormat="1" applyFont="1" applyFill="1" applyBorder="1" applyAlignment="1">
      <alignment horizontal="right"/>
    </xf>
    <xf numFmtId="9" fontId="25" fillId="13" borderId="15" xfId="25" applyNumberFormat="1" applyFont="1" applyFill="1" applyBorder="1" applyAlignment="1">
      <alignment horizontal="right"/>
    </xf>
    <xf numFmtId="165" fontId="25" fillId="0" borderId="15" xfId="25" applyNumberFormat="1" applyFont="1" applyBorder="1"/>
    <xf numFmtId="165" fontId="28" fillId="0" borderId="15" xfId="27" applyNumberFormat="1" applyFont="1" applyFill="1" applyBorder="1"/>
    <xf numFmtId="0" fontId="25" fillId="0" borderId="19" xfId="25" applyFont="1" applyBorder="1"/>
    <xf numFmtId="0" fontId="25" fillId="10" borderId="13" xfId="25" applyFont="1" applyFill="1" applyBorder="1"/>
    <xf numFmtId="0" fontId="36" fillId="10" borderId="18" xfId="25" applyFont="1" applyFill="1" applyBorder="1" applyAlignment="1">
      <alignment horizontal="center"/>
    </xf>
    <xf numFmtId="10" fontId="25" fillId="15" borderId="13" xfId="25" applyNumberFormat="1" applyFont="1" applyFill="1" applyBorder="1" applyAlignment="1">
      <alignment horizontal="right"/>
    </xf>
    <xf numFmtId="165" fontId="25" fillId="10" borderId="15" xfId="25" applyNumberFormat="1" applyFont="1" applyFill="1" applyBorder="1"/>
    <xf numFmtId="0" fontId="25" fillId="16" borderId="15" xfId="25" applyFont="1" applyFill="1" applyBorder="1"/>
    <xf numFmtId="9" fontId="25" fillId="15" borderId="20" xfId="25" applyNumberFormat="1" applyFont="1" applyFill="1" applyBorder="1" applyAlignment="1">
      <alignment horizontal="right"/>
    </xf>
    <xf numFmtId="0" fontId="36" fillId="17" borderId="21" xfId="25" applyFont="1" applyFill="1" applyBorder="1" applyAlignment="1">
      <alignment horizontal="centerContinuous"/>
    </xf>
    <xf numFmtId="0" fontId="36" fillId="18" borderId="11" xfId="25" applyFont="1" applyFill="1" applyBorder="1" applyAlignment="1">
      <alignment horizontal="centerContinuous"/>
    </xf>
    <xf numFmtId="0" fontId="25" fillId="18" borderId="11" xfId="25" applyFont="1" applyFill="1" applyBorder="1" applyAlignment="1">
      <alignment horizontal="centerContinuous"/>
    </xf>
    <xf numFmtId="10" fontId="28" fillId="18" borderId="11" xfId="25" applyNumberFormat="1" applyFont="1" applyFill="1" applyBorder="1" applyAlignment="1">
      <alignment horizontal="centerContinuous"/>
    </xf>
    <xf numFmtId="165" fontId="28" fillId="19" borderId="17" xfId="27" applyNumberFormat="1" applyFont="1" applyFill="1" applyBorder="1"/>
    <xf numFmtId="165" fontId="28" fillId="19" borderId="15" xfId="27" applyNumberFormat="1" applyFont="1" applyFill="1" applyBorder="1"/>
    <xf numFmtId="0" fontId="1" fillId="0" borderId="0" xfId="26"/>
    <xf numFmtId="0" fontId="38" fillId="0" borderId="0" xfId="26" applyFont="1"/>
    <xf numFmtId="0" fontId="1" fillId="0" borderId="22" xfId="26" applyBorder="1"/>
    <xf numFmtId="0" fontId="25" fillId="20" borderId="15" xfId="25" applyFont="1" applyFill="1" applyBorder="1"/>
    <xf numFmtId="9" fontId="25" fillId="15" borderId="15" xfId="25" applyNumberFormat="1" applyFont="1" applyFill="1" applyBorder="1" applyAlignment="1">
      <alignment horizontal="right"/>
    </xf>
    <xf numFmtId="165" fontId="25" fillId="10" borderId="17" xfId="25" applyNumberFormat="1" applyFont="1" applyFill="1" applyBorder="1"/>
    <xf numFmtId="0" fontId="25" fillId="10" borderId="18" xfId="25" applyFont="1" applyFill="1" applyBorder="1"/>
    <xf numFmtId="0" fontId="25" fillId="21" borderId="15" xfId="25" applyFont="1" applyFill="1" applyBorder="1"/>
    <xf numFmtId="0" fontId="25" fillId="22" borderId="15" xfId="25" applyFont="1" applyFill="1" applyBorder="1" applyAlignment="1">
      <alignment horizontal="left" vertical="top" wrapText="1"/>
    </xf>
    <xf numFmtId="3" fontId="25" fillId="10" borderId="23" xfId="28" applyNumberFormat="1" applyFont="1" applyFill="1" applyBorder="1"/>
    <xf numFmtId="9" fontId="25" fillId="15" borderId="17" xfId="25" applyNumberFormat="1" applyFont="1" applyFill="1" applyBorder="1"/>
    <xf numFmtId="0" fontId="25" fillId="23" borderId="16" xfId="25" applyFont="1" applyFill="1" applyBorder="1"/>
    <xf numFmtId="3" fontId="25" fillId="10" borderId="15" xfId="28" applyNumberFormat="1" applyFont="1" applyFill="1" applyBorder="1"/>
    <xf numFmtId="9" fontId="25" fillId="15" borderId="24" xfId="25" applyNumberFormat="1" applyFont="1" applyFill="1" applyBorder="1"/>
    <xf numFmtId="0" fontId="25" fillId="23" borderId="15" xfId="25" applyFont="1" applyFill="1" applyBorder="1"/>
    <xf numFmtId="0" fontId="36" fillId="18" borderId="25" xfId="25" applyFont="1" applyFill="1" applyBorder="1" applyAlignment="1">
      <alignment horizontal="centerContinuous"/>
    </xf>
    <xf numFmtId="10" fontId="25" fillId="0" borderId="0" xfId="25" applyNumberFormat="1" applyFont="1"/>
    <xf numFmtId="3" fontId="25" fillId="0" borderId="19" xfId="27" applyNumberFormat="1" applyFont="1" applyBorder="1"/>
    <xf numFmtId="169" fontId="25" fillId="0" borderId="13" xfId="27" applyFont="1" applyBorder="1"/>
    <xf numFmtId="0" fontId="21" fillId="11" borderId="24" xfId="25" applyFill="1" applyBorder="1"/>
    <xf numFmtId="165" fontId="25" fillId="25" borderId="23" xfId="27" applyNumberFormat="1" applyFont="1" applyFill="1" applyBorder="1" applyProtection="1"/>
    <xf numFmtId="165" fontId="25" fillId="25" borderId="15" xfId="27" applyNumberFormat="1" applyFont="1" applyFill="1" applyBorder="1" applyProtection="1"/>
    <xf numFmtId="165" fontId="28" fillId="25" borderId="15" xfId="27" applyNumberFormat="1" applyFont="1" applyFill="1" applyBorder="1" applyProtection="1"/>
    <xf numFmtId="0" fontId="25" fillId="16" borderId="16" xfId="25" applyFont="1" applyFill="1" applyBorder="1"/>
    <xf numFmtId="0" fontId="39" fillId="0" borderId="14" xfId="25" applyFont="1" applyBorder="1"/>
    <xf numFmtId="165" fontId="25" fillId="25" borderId="17" xfId="27" applyNumberFormat="1" applyFont="1" applyFill="1" applyBorder="1" applyProtection="1"/>
    <xf numFmtId="0" fontId="25" fillId="22" borderId="16" xfId="25" applyFont="1" applyFill="1" applyBorder="1" applyAlignment="1">
      <alignment horizontal="left" vertical="top" wrapText="1"/>
    </xf>
    <xf numFmtId="165" fontId="25" fillId="27" borderId="23" xfId="27" applyNumberFormat="1" applyFont="1" applyFill="1" applyBorder="1" applyProtection="1"/>
    <xf numFmtId="165" fontId="25" fillId="27" borderId="17" xfId="27" applyNumberFormat="1" applyFont="1" applyFill="1" applyBorder="1" applyProtection="1"/>
    <xf numFmtId="0" fontId="36" fillId="18" borderId="16" xfId="25" applyFont="1" applyFill="1" applyBorder="1" applyAlignment="1">
      <alignment horizontal="centerContinuous"/>
    </xf>
    <xf numFmtId="165" fontId="28" fillId="19" borderId="17" xfId="27" applyNumberFormat="1" applyFont="1" applyFill="1" applyBorder="1" applyProtection="1"/>
    <xf numFmtId="165" fontId="28" fillId="28" borderId="15" xfId="27" applyNumberFormat="1" applyFont="1" applyFill="1" applyBorder="1" applyProtection="1"/>
    <xf numFmtId="0" fontId="36" fillId="0" borderId="0" xfId="25" applyFont="1" applyAlignment="1">
      <alignment horizontal="centerContinuous"/>
    </xf>
    <xf numFmtId="165" fontId="28" fillId="2" borderId="17" xfId="27" applyNumberFormat="1" applyFont="1" applyFill="1" applyBorder="1" applyProtection="1"/>
    <xf numFmtId="165" fontId="28" fillId="2" borderId="15" xfId="27" applyNumberFormat="1" applyFont="1" applyFill="1" applyBorder="1" applyProtection="1"/>
    <xf numFmtId="0" fontId="33" fillId="0" borderId="14" xfId="25" applyFont="1" applyBorder="1"/>
    <xf numFmtId="0" fontId="25" fillId="0" borderId="0" xfId="25" applyFont="1" applyAlignment="1">
      <alignment horizontal="centerContinuous"/>
    </xf>
    <xf numFmtId="10" fontId="25" fillId="0" borderId="0" xfId="25" applyNumberFormat="1" applyFont="1" applyAlignment="1">
      <alignment horizontal="centerContinuous"/>
    </xf>
    <xf numFmtId="169" fontId="25" fillId="0" borderId="15" xfId="27" applyFont="1" applyFill="1" applyBorder="1"/>
    <xf numFmtId="169" fontId="25" fillId="0" borderId="23" xfId="27" applyFont="1" applyFill="1" applyBorder="1"/>
    <xf numFmtId="0" fontId="25" fillId="0" borderId="15" xfId="25" applyFont="1" applyBorder="1"/>
    <xf numFmtId="165" fontId="25" fillId="0" borderId="17" xfId="27" applyNumberFormat="1" applyFont="1" applyBorder="1"/>
    <xf numFmtId="165" fontId="28" fillId="0" borderId="24" xfId="27" applyNumberFormat="1" applyFont="1" applyBorder="1"/>
    <xf numFmtId="165" fontId="25" fillId="27" borderId="15" xfId="27" applyNumberFormat="1" applyFont="1" applyFill="1" applyBorder="1"/>
    <xf numFmtId="165" fontId="25" fillId="27" borderId="17" xfId="27" applyNumberFormat="1" applyFont="1" applyFill="1" applyBorder="1"/>
    <xf numFmtId="0" fontId="25" fillId="0" borderId="16" xfId="25" applyFont="1" applyBorder="1" applyAlignment="1">
      <alignment vertical="center"/>
    </xf>
    <xf numFmtId="0" fontId="25" fillId="0" borderId="25" xfId="25" applyFont="1" applyBorder="1" applyAlignment="1">
      <alignment vertical="center"/>
    </xf>
    <xf numFmtId="10" fontId="25" fillId="0" borderId="25" xfId="25" applyNumberFormat="1" applyFont="1" applyBorder="1" applyAlignment="1">
      <alignment vertical="center"/>
    </xf>
    <xf numFmtId="0" fontId="25" fillId="29" borderId="17" xfId="25" applyFont="1" applyFill="1" applyBorder="1"/>
    <xf numFmtId="0" fontId="25" fillId="29" borderId="11" xfId="25" applyFont="1" applyFill="1" applyBorder="1"/>
    <xf numFmtId="10" fontId="25" fillId="29" borderId="11" xfId="25" applyNumberFormat="1" applyFont="1" applyFill="1" applyBorder="1"/>
    <xf numFmtId="165" fontId="25" fillId="10" borderId="15" xfId="27" applyNumberFormat="1" applyFont="1" applyFill="1" applyBorder="1"/>
    <xf numFmtId="0" fontId="25" fillId="0" borderId="11" xfId="25" applyFont="1" applyBorder="1"/>
    <xf numFmtId="165" fontId="25" fillId="0" borderId="11" xfId="25" applyNumberFormat="1" applyFont="1" applyBorder="1"/>
    <xf numFmtId="165" fontId="25" fillId="0" borderId="15" xfId="27" applyNumberFormat="1" applyFont="1" applyBorder="1"/>
    <xf numFmtId="0" fontId="25" fillId="30" borderId="16" xfId="25" applyFont="1" applyFill="1" applyBorder="1"/>
    <xf numFmtId="0" fontId="25" fillId="30" borderId="11" xfId="25" applyFont="1" applyFill="1" applyBorder="1"/>
    <xf numFmtId="10" fontId="25" fillId="30" borderId="11" xfId="25" applyNumberFormat="1" applyFont="1" applyFill="1" applyBorder="1"/>
    <xf numFmtId="165" fontId="25" fillId="30" borderId="17" xfId="27" applyNumberFormat="1" applyFont="1" applyFill="1" applyBorder="1"/>
    <xf numFmtId="165" fontId="28" fillId="30" borderId="17" xfId="27" applyNumberFormat="1" applyFont="1" applyFill="1" applyBorder="1"/>
    <xf numFmtId="0" fontId="42" fillId="32" borderId="16" xfId="30" applyFill="1" applyBorder="1"/>
    <xf numFmtId="0" fontId="43" fillId="32" borderId="11" xfId="30" applyFont="1" applyFill="1" applyBorder="1"/>
    <xf numFmtId="10" fontId="43" fillId="32" borderId="11" xfId="30" applyNumberFormat="1" applyFont="1" applyFill="1" applyBorder="1"/>
    <xf numFmtId="165" fontId="43" fillId="32" borderId="17" xfId="30" applyNumberFormat="1" applyFont="1" applyFill="1" applyBorder="1"/>
    <xf numFmtId="10" fontId="25" fillId="0" borderId="11" xfId="25" applyNumberFormat="1" applyFont="1" applyBorder="1"/>
    <xf numFmtId="0" fontId="25" fillId="0" borderId="16" xfId="25" applyFont="1" applyBorder="1"/>
    <xf numFmtId="165" fontId="25" fillId="0" borderId="17" xfId="27" applyNumberFormat="1" applyFont="1" applyFill="1" applyBorder="1"/>
    <xf numFmtId="165" fontId="28" fillId="0" borderId="17" xfId="27" applyNumberFormat="1" applyFont="1" applyFill="1" applyBorder="1"/>
    <xf numFmtId="10" fontId="25" fillId="18" borderId="11" xfId="25" applyNumberFormat="1" applyFont="1" applyFill="1" applyBorder="1" applyAlignment="1">
      <alignment horizontal="centerContinuous"/>
    </xf>
    <xf numFmtId="0" fontId="36" fillId="0" borderId="20" xfId="25" applyFont="1" applyBorder="1"/>
    <xf numFmtId="0" fontId="25" fillId="0" borderId="1" xfId="25" applyFont="1" applyBorder="1"/>
    <xf numFmtId="9" fontId="25" fillId="0" borderId="1" xfId="25" applyNumberFormat="1" applyFont="1" applyBorder="1"/>
    <xf numFmtId="9" fontId="25" fillId="0" borderId="0" xfId="25" applyNumberFormat="1" applyFont="1"/>
    <xf numFmtId="171" fontId="25" fillId="0" borderId="0" xfId="25" applyNumberFormat="1" applyFont="1"/>
    <xf numFmtId="165" fontId="25" fillId="27" borderId="19" xfId="27" applyNumberFormat="1" applyFont="1" applyFill="1" applyBorder="1"/>
    <xf numFmtId="0" fontId="36" fillId="0" borderId="0" xfId="25" applyFont="1"/>
    <xf numFmtId="165" fontId="27" fillId="33" borderId="28" xfId="27" applyNumberFormat="1" applyFont="1" applyFill="1" applyBorder="1"/>
    <xf numFmtId="165" fontId="27" fillId="34" borderId="17" xfId="27" applyNumberFormat="1" applyFont="1" applyFill="1" applyBorder="1"/>
    <xf numFmtId="0" fontId="45" fillId="0" borderId="0" xfId="25" applyFont="1"/>
    <xf numFmtId="0" fontId="46" fillId="0" borderId="0" xfId="25" applyFont="1" applyAlignment="1">
      <alignment horizontal="center" vertical="center" wrapText="1"/>
    </xf>
    <xf numFmtId="0" fontId="28" fillId="35" borderId="16" xfId="25" applyFont="1" applyFill="1" applyBorder="1" applyAlignment="1">
      <alignment horizontal="center"/>
    </xf>
    <xf numFmtId="10" fontId="28" fillId="35" borderId="15" xfId="25" applyNumberFormat="1" applyFont="1" applyFill="1" applyBorder="1"/>
    <xf numFmtId="165" fontId="23" fillId="35" borderId="17" xfId="27" applyNumberFormat="1" applyFont="1" applyFill="1" applyBorder="1"/>
    <xf numFmtId="0" fontId="29" fillId="0" borderId="0" xfId="25" applyFont="1"/>
    <xf numFmtId="165" fontId="27" fillId="2" borderId="31" xfId="27" applyNumberFormat="1" applyFont="1" applyFill="1" applyBorder="1"/>
    <xf numFmtId="44" fontId="17" fillId="0" borderId="0" xfId="23" applyFont="1" applyFill="1" applyAlignment="1">
      <alignment horizontal="right"/>
    </xf>
    <xf numFmtId="0" fontId="7" fillId="0" borderId="0" xfId="0" applyFont="1" applyBorder="1" applyAlignment="1">
      <alignment wrapText="1"/>
    </xf>
    <xf numFmtId="6" fontId="3" fillId="0" borderId="0" xfId="0" applyNumberFormat="1" applyFont="1"/>
    <xf numFmtId="6" fontId="7" fillId="0" borderId="0" xfId="0" applyNumberFormat="1" applyFont="1"/>
    <xf numFmtId="8" fontId="3" fillId="0" borderId="0" xfId="0" applyNumberFormat="1" applyFont="1"/>
    <xf numFmtId="0" fontId="3" fillId="8" borderId="0" xfId="0" applyFont="1" applyFill="1" applyAlignment="1">
      <alignment horizontal="left"/>
    </xf>
    <xf numFmtId="0" fontId="3" fillId="8" borderId="0" xfId="0" applyFont="1" applyFill="1"/>
    <xf numFmtId="0" fontId="3" fillId="4" borderId="0" xfId="0" applyFont="1" applyFill="1"/>
    <xf numFmtId="0" fontId="3" fillId="7" borderId="5" xfId="0" applyFont="1" applyFill="1" applyBorder="1" applyAlignment="1">
      <alignment wrapText="1"/>
    </xf>
    <xf numFmtId="0" fontId="3" fillId="7" borderId="0" xfId="0" applyFont="1" applyFill="1"/>
    <xf numFmtId="0" fontId="3" fillId="9" borderId="0" xfId="0" applyFont="1" applyFill="1"/>
    <xf numFmtId="0" fontId="3" fillId="5" borderId="5" xfId="0" applyFont="1" applyFill="1" applyBorder="1" applyAlignment="1">
      <alignment wrapText="1"/>
    </xf>
    <xf numFmtId="0" fontId="3" fillId="5" borderId="0" xfId="0" applyFont="1" applyFill="1"/>
    <xf numFmtId="0" fontId="3" fillId="6" borderId="0" xfId="0" applyFont="1" applyFill="1"/>
    <xf numFmtId="0" fontId="3" fillId="0" borderId="9" xfId="0" applyFont="1" applyBorder="1"/>
    <xf numFmtId="165" fontId="3" fillId="0" borderId="9" xfId="0" applyNumberFormat="1" applyFont="1" applyBorder="1"/>
    <xf numFmtId="165" fontId="3" fillId="0" borderId="10" xfId="0" applyNumberFormat="1" applyFont="1" applyBorder="1"/>
    <xf numFmtId="1" fontId="3" fillId="0" borderId="0" xfId="0" applyNumberFormat="1" applyFont="1"/>
    <xf numFmtId="0" fontId="4" fillId="3" borderId="0" xfId="0" applyFont="1" applyFill="1"/>
    <xf numFmtId="0" fontId="4" fillId="3" borderId="0" xfId="0" applyFont="1" applyFill="1" applyAlignment="1">
      <alignment horizontal="right"/>
    </xf>
    <xf numFmtId="165" fontId="4" fillId="2" borderId="0" xfId="0" applyNumberFormat="1" applyFont="1" applyFill="1"/>
    <xf numFmtId="0" fontId="12" fillId="0" borderId="0" xfId="0" applyFont="1"/>
    <xf numFmtId="0" fontId="21" fillId="14" borderId="15" xfId="25" applyFill="1" applyBorder="1" applyAlignment="1">
      <alignment horizontal="center"/>
    </xf>
    <xf numFmtId="170" fontId="23" fillId="24" borderId="15" xfId="25" applyNumberFormat="1" applyFont="1" applyFill="1" applyBorder="1" applyAlignment="1">
      <alignment horizontal="center"/>
    </xf>
    <xf numFmtId="0" fontId="0" fillId="0" borderId="15" xfId="0" applyBorder="1" applyAlignment="1">
      <alignment horizontal="center"/>
    </xf>
    <xf numFmtId="10" fontId="30" fillId="0" borderId="13" xfId="25" applyNumberFormat="1" applyFont="1" applyBorder="1" applyAlignment="1">
      <alignment horizontal="center" vertical="center" wrapText="1"/>
    </xf>
    <xf numFmtId="10" fontId="30" fillId="0" borderId="17" xfId="25" applyNumberFormat="1" applyFont="1" applyBorder="1" applyAlignment="1">
      <alignment horizontal="center" vertical="center" wrapText="1"/>
    </xf>
    <xf numFmtId="0" fontId="27" fillId="11" borderId="15" xfId="25" applyFont="1" applyFill="1" applyBorder="1" applyAlignment="1">
      <alignment horizontal="center"/>
    </xf>
    <xf numFmtId="0" fontId="27" fillId="11" borderId="16" xfId="25" applyFont="1" applyFill="1" applyBorder="1" applyAlignment="1">
      <alignment horizontal="center"/>
    </xf>
    <xf numFmtId="0" fontId="25" fillId="0" borderId="11" xfId="25" applyFont="1" applyBorder="1" applyAlignment="1">
      <alignment horizontal="center"/>
    </xf>
    <xf numFmtId="0" fontId="27" fillId="12" borderId="16" xfId="25" applyFont="1" applyFill="1" applyBorder="1" applyAlignment="1">
      <alignment horizontal="center" vertical="center"/>
    </xf>
    <xf numFmtId="0" fontId="27" fillId="12" borderId="23" xfId="25" applyFont="1" applyFill="1" applyBorder="1" applyAlignment="1">
      <alignment horizontal="center" vertical="center"/>
    </xf>
    <xf numFmtId="3" fontId="28" fillId="11" borderId="11" xfId="27" applyNumberFormat="1" applyFont="1" applyFill="1" applyBorder="1" applyAlignment="1">
      <alignment horizontal="center" vertical="center" wrapText="1"/>
    </xf>
    <xf numFmtId="0" fontId="3" fillId="14" borderId="15" xfId="0" applyFont="1" applyFill="1" applyBorder="1" applyAlignment="1">
      <alignment horizontal="center"/>
    </xf>
    <xf numFmtId="0" fontId="0" fillId="14" borderId="15" xfId="0" applyFill="1" applyBorder="1" applyAlignment="1">
      <alignment horizontal="center"/>
    </xf>
    <xf numFmtId="0" fontId="21" fillId="26" borderId="15" xfId="25" applyFill="1" applyBorder="1" applyAlignment="1">
      <alignment horizontal="center"/>
    </xf>
    <xf numFmtId="0" fontId="21" fillId="26" borderId="16" xfId="25" applyFill="1" applyBorder="1" applyAlignment="1">
      <alignment horizontal="center"/>
    </xf>
    <xf numFmtId="0" fontId="21" fillId="26" borderId="25" xfId="25" applyFill="1" applyBorder="1" applyAlignment="1">
      <alignment horizontal="center"/>
    </xf>
    <xf numFmtId="0" fontId="21" fillId="26" borderId="23" xfId="25" applyFill="1" applyBorder="1" applyAlignment="1">
      <alignment horizontal="center"/>
    </xf>
    <xf numFmtId="0" fontId="21" fillId="9" borderId="15" xfId="25" applyFill="1" applyBorder="1" applyAlignment="1">
      <alignment horizontal="center"/>
    </xf>
    <xf numFmtId="0" fontId="21" fillId="7" borderId="15" xfId="25" applyFill="1" applyBorder="1" applyAlignment="1">
      <alignment horizontal="center"/>
    </xf>
    <xf numFmtId="0" fontId="21" fillId="4" borderId="15" xfId="25" applyFill="1" applyBorder="1" applyAlignment="1">
      <alignment horizontal="center"/>
    </xf>
    <xf numFmtId="0" fontId="25" fillId="2" borderId="29" xfId="25" applyFont="1" applyFill="1" applyBorder="1" applyAlignment="1">
      <alignment horizontal="center"/>
    </xf>
    <xf numFmtId="0" fontId="25" fillId="2" borderId="30" xfId="25" applyFont="1" applyFill="1" applyBorder="1" applyAlignment="1">
      <alignment horizontal="center"/>
    </xf>
    <xf numFmtId="0" fontId="28" fillId="0" borderId="16" xfId="25" applyFont="1" applyBorder="1" applyAlignment="1">
      <alignment horizontal="right" wrapText="1"/>
    </xf>
    <xf numFmtId="0" fontId="28" fillId="0" borderId="25" xfId="25" applyFont="1" applyBorder="1" applyAlignment="1">
      <alignment horizontal="right" wrapText="1"/>
    </xf>
    <xf numFmtId="0" fontId="39" fillId="0" borderId="15" xfId="25" applyFont="1" applyBorder="1" applyAlignment="1">
      <alignment horizontal="center" wrapText="1"/>
    </xf>
    <xf numFmtId="0" fontId="20" fillId="0" borderId="16" xfId="29" applyFont="1" applyFill="1" applyBorder="1" applyAlignment="1">
      <alignment horizontal="center" vertical="center" wrapText="1"/>
    </xf>
    <xf numFmtId="0" fontId="41" fillId="0" borderId="25" xfId="29" applyFont="1" applyFill="1" applyBorder="1" applyAlignment="1">
      <alignment horizontal="center" vertical="center" wrapText="1"/>
    </xf>
    <xf numFmtId="0" fontId="20" fillId="0" borderId="25" xfId="29" applyFont="1" applyFill="1" applyBorder="1" applyAlignment="1">
      <alignment horizontal="center" vertical="center" wrapText="1"/>
    </xf>
    <xf numFmtId="0" fontId="20" fillId="0" borderId="23" xfId="29" applyFont="1" applyFill="1" applyBorder="1" applyAlignment="1">
      <alignment horizontal="center" vertical="center" wrapText="1"/>
    </xf>
    <xf numFmtId="0" fontId="20" fillId="0" borderId="0" xfId="0" applyFont="1" applyAlignment="1">
      <alignment horizontal="center" vertical="center"/>
    </xf>
    <xf numFmtId="0" fontId="20" fillId="0" borderId="16" xfId="0" applyFont="1" applyBorder="1" applyAlignment="1">
      <alignment horizontal="center" vertical="center"/>
    </xf>
    <xf numFmtId="0" fontId="20" fillId="0" borderId="25" xfId="0" applyFont="1" applyBorder="1" applyAlignment="1">
      <alignment horizontal="center" vertical="center"/>
    </xf>
    <xf numFmtId="0" fontId="20" fillId="0" borderId="23" xfId="0" applyFont="1" applyBorder="1" applyAlignment="1">
      <alignment horizontal="center" vertical="center"/>
    </xf>
    <xf numFmtId="9" fontId="25" fillId="0" borderId="26" xfId="25" applyNumberFormat="1" applyFont="1" applyBorder="1" applyAlignment="1">
      <alignment horizontal="center"/>
    </xf>
    <xf numFmtId="9" fontId="25" fillId="0" borderId="27" xfId="25" applyNumberFormat="1" applyFont="1" applyBorder="1" applyAlignment="1">
      <alignment horizontal="center"/>
    </xf>
    <xf numFmtId="0" fontId="44" fillId="34" borderId="16" xfId="25" applyFont="1" applyFill="1" applyBorder="1" applyAlignment="1">
      <alignment horizontal="center"/>
    </xf>
    <xf numFmtId="0" fontId="44" fillId="34" borderId="25" xfId="25" applyFont="1" applyFill="1" applyBorder="1" applyAlignment="1">
      <alignment horizontal="center"/>
    </xf>
  </cellXfs>
  <cellStyles count="31">
    <cellStyle name="Accent3 2" xfId="30" xr:uid="{390D1B44-BACE-C341-B4B2-6A798C54A201}"/>
    <cellStyle name="Comma [0]_WORKSHEET" xfId="27" xr:uid="{9983D823-6BC3-5345-A636-5DFB4AE98618}"/>
    <cellStyle name="Comma_WORKSHEET" xfId="28" xr:uid="{E07C4D67-0850-4643-A8E2-3C0EEA904D18}"/>
    <cellStyle name="Currency" xfId="23" builtinId="4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9" builtinId="8"/>
    <cellStyle name="Normal" xfId="0" builtinId="0"/>
    <cellStyle name="Normal 2" xfId="26" xr:uid="{F263F885-76DA-E749-A580-024EAE3F9A44}"/>
    <cellStyle name="Normal_WORKSHEET" xfId="25" xr:uid="{9F66343A-2795-A440-A1FD-82EBBEB9921E}"/>
    <cellStyle name="Percent" xfId="24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C1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466725</xdr:colOff>
      <xdr:row>4</xdr:row>
      <xdr:rowOff>38100</xdr:rowOff>
    </xdr:from>
    <xdr:ext cx="190500" cy="219075"/>
    <xdr:sp macro="" textlink="">
      <xdr:nvSpPr>
        <xdr:cNvPr id="2" name="Shape 3">
          <a:extLst>
            <a:ext uri="{FF2B5EF4-FFF2-40B4-BE49-F238E27FC236}">
              <a16:creationId xmlns:a16="http://schemas.microsoft.com/office/drawing/2014/main" id="{4108F887-B638-44BB-918F-A70641A21AF1}"/>
            </a:ext>
          </a:extLst>
        </xdr:cNvPr>
        <xdr:cNvSpPr/>
      </xdr:nvSpPr>
      <xdr:spPr>
        <a:xfrm>
          <a:off x="5076825" y="830580"/>
          <a:ext cx="190500" cy="219075"/>
        </a:xfrm>
        <a:prstGeom prst="downArrow">
          <a:avLst>
            <a:gd name="adj1" fmla="val 50000"/>
            <a:gd name="adj2" fmla="val 50000"/>
          </a:avLst>
        </a:prstGeom>
        <a:solidFill>
          <a:srgbClr val="090000"/>
        </a:solidFill>
        <a:ln w="9525" cap="flat" cmpd="sng">
          <a:solidFill>
            <a:srgbClr val="40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18275" tIns="0" rIns="0" bIns="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twoCellAnchor>
    <xdr:from>
      <xdr:col>5</xdr:col>
      <xdr:colOff>476249</xdr:colOff>
      <xdr:row>4</xdr:row>
      <xdr:rowOff>43657</xdr:rowOff>
    </xdr:from>
    <xdr:to>
      <xdr:col>5</xdr:col>
      <xdr:colOff>666749</xdr:colOff>
      <xdr:row>5</xdr:row>
      <xdr:rowOff>55564</xdr:rowOff>
    </xdr:to>
    <xdr:sp macro="" textlink="">
      <xdr:nvSpPr>
        <xdr:cNvPr id="3" name="Down Arrow 2">
          <a:extLst>
            <a:ext uri="{FF2B5EF4-FFF2-40B4-BE49-F238E27FC236}">
              <a16:creationId xmlns:a16="http://schemas.microsoft.com/office/drawing/2014/main" id="{833D7AC6-4D1E-A149-8B98-64C63E5C6BCA}"/>
            </a:ext>
          </a:extLst>
        </xdr:cNvPr>
        <xdr:cNvSpPr/>
      </xdr:nvSpPr>
      <xdr:spPr bwMode="auto">
        <a:xfrm>
          <a:off x="5035549" y="1364457"/>
          <a:ext cx="190500" cy="253207"/>
        </a:xfrm>
        <a:prstGeom prst="downArrow">
          <a:avLst/>
        </a:pr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microsoft.com/office/2019/04/relationships/externalLinkLongPath" Target="https://vandalsuidaho.sharepoint.com/Users/sophiegilbert/Syncs_Gilbert/Google%20Drive/Docs_Academic/Grants%20and%20Proposals/Proposals/NSF/NSF%20CNHS%20Grant/DISES%202020%20Submission/Proposal%20components%20(new)/7.%20Budget%20and%20Justification/Subaward%20materials/Bruskotter%20-%20Ohio%20State%20University/Bruskotter_OSU_Budget_v3.xlsx?76A2CC75" TargetMode="External"/><Relationship Id="rId1" Type="http://schemas.openxmlformats.org/officeDocument/2006/relationships/externalLinkPath" Target="file:///76A2CC75/Bruskotter_OSU_Budget_v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vel"/>
      <sheetName val="Participant Support Costs"/>
      <sheetName val="Materials_Supplies"/>
    </sheetNames>
    <sheetDataSet>
      <sheetData sheetId="0" refreshError="1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114"/>
  <sheetViews>
    <sheetView tabSelected="1" topLeftCell="A82" zoomScale="137" zoomScaleNormal="100" workbookViewId="0">
      <selection activeCell="B86" sqref="B86"/>
    </sheetView>
  </sheetViews>
  <sheetFormatPr baseColWidth="10" defaultColWidth="10.3984375" defaultRowHeight="13"/>
  <cols>
    <col min="1" max="1" width="70.59765625" style="21" customWidth="1"/>
    <col min="2" max="2" width="7" style="21" customWidth="1"/>
    <col min="3" max="3" width="9.3984375" style="21" bestFit="1" customWidth="1"/>
    <col min="4" max="8" width="12.796875" style="21" customWidth="1"/>
    <col min="9" max="9" width="14.3984375" style="6" customWidth="1"/>
    <col min="10" max="10" width="21.59765625" style="6" customWidth="1"/>
    <col min="11" max="11" width="11.19921875" style="21" bestFit="1" customWidth="1"/>
    <col min="12" max="12" width="5.3984375" style="21" customWidth="1"/>
    <col min="13" max="13" width="10.796875" style="21" bestFit="1" customWidth="1"/>
    <col min="14" max="14" width="10.3984375" style="21" customWidth="1"/>
    <col min="15" max="16384" width="10.3984375" style="21"/>
  </cols>
  <sheetData>
    <row r="1" spans="1:16">
      <c r="A1" s="2" t="s">
        <v>42</v>
      </c>
      <c r="B1" s="2"/>
      <c r="C1" s="2"/>
      <c r="D1" s="54" t="s">
        <v>18</v>
      </c>
      <c r="E1" s="54" t="s">
        <v>31</v>
      </c>
      <c r="F1" s="54" t="s">
        <v>31</v>
      </c>
      <c r="G1" s="54" t="s">
        <v>31</v>
      </c>
      <c r="H1" s="54" t="s">
        <v>31</v>
      </c>
    </row>
    <row r="2" spans="1:16" ht="14">
      <c r="A2" s="16"/>
      <c r="B2" s="57"/>
      <c r="C2" s="57"/>
      <c r="D2" s="53" t="s">
        <v>45</v>
      </c>
      <c r="E2" s="53" t="s">
        <v>46</v>
      </c>
      <c r="F2" s="53" t="s">
        <v>47</v>
      </c>
      <c r="G2" s="53" t="s">
        <v>48</v>
      </c>
      <c r="H2" s="53" t="s">
        <v>49</v>
      </c>
      <c r="I2" s="3" t="s">
        <v>0</v>
      </c>
      <c r="J2" s="1" t="s">
        <v>1</v>
      </c>
    </row>
    <row r="3" spans="1:16" ht="14">
      <c r="A3" s="7" t="s">
        <v>19</v>
      </c>
      <c r="B3" s="58"/>
      <c r="C3" s="58"/>
      <c r="D3" s="52">
        <f>77719/9</f>
        <v>8635.4444444444453</v>
      </c>
      <c r="E3" s="52">
        <f>D3*1.02</f>
        <v>8808.1533333333336</v>
      </c>
      <c r="F3" s="52">
        <f>E3*1.02</f>
        <v>8984.3163999999997</v>
      </c>
      <c r="G3" s="52">
        <f>F3*1.02</f>
        <v>9164.0027279999995</v>
      </c>
      <c r="H3" s="52">
        <f>G3*1.02</f>
        <v>9347.2827825599998</v>
      </c>
      <c r="I3" s="12"/>
      <c r="J3" s="33"/>
    </row>
    <row r="4" spans="1:16">
      <c r="A4" s="5" t="s">
        <v>50</v>
      </c>
      <c r="B4" s="59"/>
      <c r="C4" s="93">
        <v>0.02</v>
      </c>
      <c r="D4" s="39">
        <f>(77719/9)*1</f>
        <v>8635.4444444444453</v>
      </c>
      <c r="E4" s="39">
        <f>D4/2*1.02</f>
        <v>4404.0766666666668</v>
      </c>
      <c r="F4" s="39">
        <f>(E4)*1.02</f>
        <v>4492.1581999999999</v>
      </c>
      <c r="G4" s="39">
        <f t="shared" ref="E4:G5" si="0">F4*1.02</f>
        <v>4582.0013639999997</v>
      </c>
      <c r="H4" s="39">
        <v>0</v>
      </c>
      <c r="I4" s="45">
        <f>SUM(D4:H4)</f>
        <v>22113.680675111111</v>
      </c>
      <c r="M4" s="6"/>
    </row>
    <row r="5" spans="1:16">
      <c r="A5" s="5" t="s">
        <v>200</v>
      </c>
      <c r="B5" s="59"/>
      <c r="C5" s="93">
        <v>0.02</v>
      </c>
      <c r="D5" s="39">
        <f>(76456/9)*0.5</f>
        <v>4247.5555555555557</v>
      </c>
      <c r="E5" s="39">
        <f t="shared" si="0"/>
        <v>4332.5066666666671</v>
      </c>
      <c r="F5" s="39">
        <f t="shared" si="0"/>
        <v>4419.1568000000007</v>
      </c>
      <c r="G5" s="39">
        <f t="shared" si="0"/>
        <v>4507.539936000001</v>
      </c>
      <c r="H5" s="39">
        <v>0</v>
      </c>
      <c r="I5" s="34">
        <f>SUM(D5:H5)</f>
        <v>17506.758958222224</v>
      </c>
    </row>
    <row r="6" spans="1:16">
      <c r="A6" s="10"/>
      <c r="B6" s="60"/>
      <c r="C6" s="60"/>
      <c r="D6" s="95">
        <f t="shared" ref="D6:I6" si="1">SUM(D4:D5)</f>
        <v>12883</v>
      </c>
      <c r="E6" s="95">
        <f t="shared" si="1"/>
        <v>8736.5833333333339</v>
      </c>
      <c r="F6" s="95">
        <f t="shared" si="1"/>
        <v>8911.3150000000005</v>
      </c>
      <c r="G6" s="95">
        <f t="shared" si="1"/>
        <v>9089.5413000000008</v>
      </c>
      <c r="H6" s="95">
        <f t="shared" si="1"/>
        <v>0</v>
      </c>
      <c r="I6" s="96">
        <f t="shared" si="1"/>
        <v>39620.439633333335</v>
      </c>
      <c r="J6" s="94">
        <f>SUM(D6:H6)</f>
        <v>39620.439633333342</v>
      </c>
    </row>
    <row r="7" spans="1:16">
      <c r="A7" s="37"/>
      <c r="B7" s="61"/>
      <c r="C7" s="61"/>
      <c r="D7" s="20"/>
      <c r="E7" s="20"/>
      <c r="F7" s="20"/>
      <c r="G7" s="20"/>
      <c r="H7" s="20"/>
      <c r="I7" s="49"/>
    </row>
    <row r="8" spans="1:16" ht="14">
      <c r="A8" s="7" t="s">
        <v>2</v>
      </c>
      <c r="B8" s="58"/>
      <c r="C8" s="91"/>
      <c r="D8" s="71"/>
      <c r="E8" s="71"/>
      <c r="F8" s="71"/>
      <c r="G8" s="71"/>
      <c r="H8" s="71"/>
      <c r="I8" s="14"/>
      <c r="J8" s="137" t="s">
        <v>52</v>
      </c>
      <c r="K8" s="87">
        <v>2080</v>
      </c>
    </row>
    <row r="9" spans="1:16">
      <c r="A9" s="43" t="s">
        <v>236</v>
      </c>
      <c r="B9" s="89"/>
      <c r="C9" s="93">
        <v>0.02</v>
      </c>
      <c r="D9" s="39">
        <f>52000*0.5</f>
        <v>26000</v>
      </c>
      <c r="E9" s="39">
        <v>0</v>
      </c>
      <c r="F9" s="39">
        <v>0</v>
      </c>
      <c r="G9" s="39">
        <v>0</v>
      </c>
      <c r="H9" s="39">
        <f>E9*1.03</f>
        <v>0</v>
      </c>
      <c r="I9" s="13">
        <f t="shared" ref="I9:I14" si="2">SUM(D9:H9)</f>
        <v>26000</v>
      </c>
      <c r="J9" s="137" t="s">
        <v>53</v>
      </c>
      <c r="K9" s="131">
        <f>K8/12</f>
        <v>173.33333333333334</v>
      </c>
      <c r="M9" s="36"/>
      <c r="N9" s="36"/>
      <c r="O9" s="36"/>
    </row>
    <row r="10" spans="1:16">
      <c r="A10" s="43" t="s">
        <v>56</v>
      </c>
      <c r="B10" s="89"/>
      <c r="C10" s="93">
        <v>0.02</v>
      </c>
      <c r="D10" s="39">
        <f>(20.03*520)+(20.03*780)</f>
        <v>26039</v>
      </c>
      <c r="E10" s="39">
        <f>D10*1.02</f>
        <v>26559.78</v>
      </c>
      <c r="F10" s="39">
        <f>(22.1*1300)*(1+$C$10)</f>
        <v>29304.600000000006</v>
      </c>
      <c r="G10" s="39">
        <v>0</v>
      </c>
      <c r="H10" s="39">
        <v>0</v>
      </c>
      <c r="I10" s="13">
        <f t="shared" si="2"/>
        <v>81903.38</v>
      </c>
      <c r="J10" s="137" t="s">
        <v>54</v>
      </c>
      <c r="K10" s="87">
        <f>K9*3</f>
        <v>520</v>
      </c>
      <c r="L10" s="36"/>
      <c r="M10" s="36"/>
      <c r="N10" s="36"/>
      <c r="O10" s="36"/>
    </row>
    <row r="11" spans="1:16">
      <c r="A11" s="43" t="s">
        <v>201</v>
      </c>
      <c r="B11" s="89"/>
      <c r="C11" s="93">
        <v>0.02</v>
      </c>
      <c r="D11" s="39">
        <f>520*15</f>
        <v>7800</v>
      </c>
      <c r="E11" s="39">
        <f>D11*(1+C11)</f>
        <v>7956</v>
      </c>
      <c r="F11" s="39">
        <f>E11*(1+C11)</f>
        <v>8115.12</v>
      </c>
      <c r="G11" s="39">
        <v>0</v>
      </c>
      <c r="H11" s="39">
        <v>0</v>
      </c>
      <c r="I11" s="13">
        <f t="shared" si="2"/>
        <v>23871.119999999999</v>
      </c>
      <c r="J11" s="137" t="s">
        <v>55</v>
      </c>
      <c r="K11" s="87">
        <f>(2080-520)*0.5</f>
        <v>780</v>
      </c>
      <c r="L11" s="36"/>
      <c r="M11" s="36"/>
      <c r="N11" s="36"/>
      <c r="O11" s="36"/>
    </row>
    <row r="12" spans="1:16">
      <c r="A12" s="43" t="s">
        <v>202</v>
      </c>
      <c r="B12" s="89"/>
      <c r="C12" s="93">
        <v>0</v>
      </c>
      <c r="D12" s="39">
        <v>0</v>
      </c>
      <c r="E12" s="39">
        <f>300*15</f>
        <v>4500</v>
      </c>
      <c r="F12" s="39">
        <v>0</v>
      </c>
      <c r="G12" s="39">
        <v>0</v>
      </c>
      <c r="H12" s="39">
        <v>0</v>
      </c>
      <c r="I12" s="13">
        <f t="shared" si="2"/>
        <v>4500</v>
      </c>
      <c r="J12" s="46"/>
      <c r="K12" s="36"/>
      <c r="L12" s="36"/>
      <c r="M12" s="36"/>
      <c r="N12" s="36"/>
      <c r="O12" s="36"/>
    </row>
    <row r="13" spans="1:16" ht="14">
      <c r="A13" s="44" t="s">
        <v>88</v>
      </c>
      <c r="B13" s="62"/>
      <c r="C13" s="93">
        <v>0.02</v>
      </c>
      <c r="D13" s="39">
        <v>0</v>
      </c>
      <c r="E13" s="39">
        <f>390*19</f>
        <v>7410</v>
      </c>
      <c r="F13" s="39">
        <v>0</v>
      </c>
      <c r="G13" s="39">
        <v>0</v>
      </c>
      <c r="H13" s="39">
        <v>0</v>
      </c>
      <c r="I13" s="13">
        <f t="shared" si="2"/>
        <v>7410</v>
      </c>
      <c r="J13" s="55"/>
      <c r="K13" s="87"/>
    </row>
    <row r="14" spans="1:16" ht="28">
      <c r="A14" s="44" t="s">
        <v>229</v>
      </c>
      <c r="B14" s="62"/>
      <c r="C14" s="93">
        <v>0.02</v>
      </c>
      <c r="D14" s="39">
        <v>21000</v>
      </c>
      <c r="E14" s="39">
        <v>21000</v>
      </c>
      <c r="F14" s="39">
        <v>14000</v>
      </c>
      <c r="G14" s="39">
        <v>7000</v>
      </c>
      <c r="H14" s="39">
        <v>0</v>
      </c>
      <c r="I14" s="13">
        <f t="shared" si="2"/>
        <v>63000</v>
      </c>
      <c r="J14" s="55"/>
      <c r="K14" s="87"/>
    </row>
    <row r="15" spans="1:16" ht="28">
      <c r="A15" s="44" t="s">
        <v>228</v>
      </c>
      <c r="B15" s="62"/>
      <c r="C15" s="93">
        <v>0.02</v>
      </c>
      <c r="D15" s="39">
        <f>96325*0.15</f>
        <v>14448.75</v>
      </c>
      <c r="E15" s="39">
        <f>D15*(1+C15)</f>
        <v>14737.725</v>
      </c>
      <c r="F15" s="39">
        <f>E15*(1+C15)</f>
        <v>15032.479500000001</v>
      </c>
      <c r="G15" s="39">
        <v>10222</v>
      </c>
      <c r="H15" s="39">
        <v>0</v>
      </c>
      <c r="I15" s="13">
        <f>SUM(D15:H15)</f>
        <v>54440.9545</v>
      </c>
      <c r="J15" s="55"/>
      <c r="K15" s="87"/>
      <c r="M15" s="290">
        <v>96325</v>
      </c>
      <c r="N15" s="290">
        <f>M15*1.02</f>
        <v>98251.5</v>
      </c>
      <c r="O15" s="290">
        <f>N15*1.02</f>
        <v>100216.53</v>
      </c>
      <c r="P15" s="290">
        <f>O15*1.02</f>
        <v>102220.8606</v>
      </c>
    </row>
    <row r="16" spans="1:16">
      <c r="A16" s="10"/>
      <c r="B16" s="60"/>
      <c r="C16" s="60"/>
      <c r="D16" s="95">
        <f t="shared" ref="D16:I16" si="3">SUM(D9:D15)</f>
        <v>95287.75</v>
      </c>
      <c r="E16" s="95">
        <f t="shared" si="3"/>
        <v>82163.505000000005</v>
      </c>
      <c r="F16" s="95">
        <f t="shared" si="3"/>
        <v>66452.199500000017</v>
      </c>
      <c r="G16" s="95">
        <f t="shared" si="3"/>
        <v>17222</v>
      </c>
      <c r="H16" s="95">
        <f t="shared" si="3"/>
        <v>0</v>
      </c>
      <c r="I16" s="96">
        <f t="shared" si="3"/>
        <v>261125.45449999999</v>
      </c>
      <c r="J16" s="96">
        <f>SUM(I6,I16)</f>
        <v>300745.89413333335</v>
      </c>
      <c r="K16" s="11"/>
      <c r="M16" s="290">
        <f>M15*0.15</f>
        <v>14448.75</v>
      </c>
      <c r="N16" s="290">
        <f>N15*0.15</f>
        <v>14737.724999999999</v>
      </c>
      <c r="O16" s="290">
        <f>O15*0.15</f>
        <v>15032.479499999999</v>
      </c>
      <c r="P16" s="290">
        <f>P15*0.1</f>
        <v>10222.086060000001</v>
      </c>
    </row>
    <row r="17" spans="1:11" ht="14">
      <c r="A17" s="7" t="s">
        <v>41</v>
      </c>
      <c r="B17" s="58"/>
      <c r="C17" s="58"/>
      <c r="D17" s="19"/>
      <c r="E17" s="19"/>
      <c r="F17" s="41"/>
      <c r="G17" s="41"/>
      <c r="H17" s="41"/>
      <c r="I17" s="14"/>
    </row>
    <row r="18" spans="1:11">
      <c r="A18" s="21" t="s">
        <v>51</v>
      </c>
      <c r="C18" s="97">
        <v>0.307</v>
      </c>
      <c r="D18" s="39">
        <f>SUM(D4:D5)*0.307</f>
        <v>3955.0810000000001</v>
      </c>
      <c r="E18" s="39">
        <f>SUM(E4:E5)*0.307</f>
        <v>2682.1310833333337</v>
      </c>
      <c r="F18" s="39">
        <f>SUM(F4:F5)*0.307</f>
        <v>2735.7737050000001</v>
      </c>
      <c r="G18" s="39">
        <f>SUM(G4:G5)*0.307</f>
        <v>2790.4891791</v>
      </c>
      <c r="H18" s="39">
        <f>SUM(H4:H5)*0.307</f>
        <v>0</v>
      </c>
      <c r="I18" s="45">
        <f t="shared" ref="I18:I24" si="4">SUM(D18:H18)</f>
        <v>12163.474967433332</v>
      </c>
      <c r="J18" s="55"/>
    </row>
    <row r="19" spans="1:11">
      <c r="A19" s="6" t="s">
        <v>237</v>
      </c>
      <c r="B19" s="6"/>
      <c r="C19" s="98">
        <v>0.41799999999999998</v>
      </c>
      <c r="D19" s="39">
        <f>SUM(D9)*0.418</f>
        <v>10868</v>
      </c>
      <c r="E19" s="39">
        <f>SUM(E9)*0.418</f>
        <v>0</v>
      </c>
      <c r="F19" s="39">
        <f>SUM(F9)*0.418</f>
        <v>0</v>
      </c>
      <c r="G19" s="39">
        <f>SUM(G9)*0.418</f>
        <v>0</v>
      </c>
      <c r="H19" s="39">
        <f>SUM(H9)*0.418</f>
        <v>0</v>
      </c>
      <c r="I19" s="45">
        <f t="shared" si="4"/>
        <v>10868</v>
      </c>
    </row>
    <row r="20" spans="1:11">
      <c r="A20" s="21" t="s">
        <v>57</v>
      </c>
      <c r="C20" s="97">
        <v>2.1000000000000001E-2</v>
      </c>
      <c r="D20" s="39">
        <f>SUM(D10)*0.021</f>
        <v>546.81900000000007</v>
      </c>
      <c r="E20" s="39">
        <f>SUM(E10)*0.021</f>
        <v>557.75538000000006</v>
      </c>
      <c r="F20" s="39">
        <f>SUM(F10)*0.021</f>
        <v>615.39660000000015</v>
      </c>
      <c r="G20" s="39">
        <f>SUM(G10)*0.021</f>
        <v>0</v>
      </c>
      <c r="H20" s="39">
        <f>SUM(H10)*0.021</f>
        <v>0</v>
      </c>
      <c r="I20" s="45">
        <f t="shared" si="4"/>
        <v>1719.9709800000001</v>
      </c>
    </row>
    <row r="21" spans="1:11">
      <c r="A21" s="21" t="s">
        <v>58</v>
      </c>
      <c r="C21" s="97">
        <v>2.1000000000000001E-2</v>
      </c>
      <c r="D21" s="39">
        <f>SUM(D11:D12)*0.021</f>
        <v>163.80000000000001</v>
      </c>
      <c r="E21" s="39">
        <f>SUM(E11:E12)*0.021</f>
        <v>261.57600000000002</v>
      </c>
      <c r="F21" s="39">
        <f>SUM(F11:F12)*0.021</f>
        <v>170.41752</v>
      </c>
      <c r="G21" s="39">
        <f>SUM(G11:G12)*0.021</f>
        <v>0</v>
      </c>
      <c r="H21" s="39">
        <f>SUM(H11:H12)*0.021</f>
        <v>0</v>
      </c>
      <c r="I21" s="45">
        <f t="shared" si="4"/>
        <v>595.79352000000006</v>
      </c>
    </row>
    <row r="22" spans="1:11">
      <c r="A22" s="6" t="s">
        <v>89</v>
      </c>
      <c r="B22" s="6"/>
      <c r="C22" s="98">
        <v>2.1000000000000001E-2</v>
      </c>
      <c r="D22" s="39">
        <f>SUM(D13)*0.021</f>
        <v>0</v>
      </c>
      <c r="E22" s="39">
        <f t="shared" ref="E22:H22" si="5">SUM(E13)*0.021</f>
        <v>155.61000000000001</v>
      </c>
      <c r="F22" s="39">
        <f t="shared" si="5"/>
        <v>0</v>
      </c>
      <c r="G22" s="39">
        <f t="shared" si="5"/>
        <v>0</v>
      </c>
      <c r="H22" s="39">
        <f t="shared" si="5"/>
        <v>0</v>
      </c>
      <c r="I22" s="45">
        <f t="shared" si="4"/>
        <v>155.61000000000001</v>
      </c>
    </row>
    <row r="23" spans="1:11">
      <c r="A23" s="6" t="s">
        <v>209</v>
      </c>
      <c r="B23" s="6"/>
      <c r="C23" s="98">
        <v>0.41799999999999998</v>
      </c>
      <c r="D23" s="39">
        <f>$C$23*D14</f>
        <v>8778</v>
      </c>
      <c r="E23" s="39">
        <f t="shared" ref="E23:H23" si="6">$C$23*E14</f>
        <v>8778</v>
      </c>
      <c r="F23" s="39">
        <f t="shared" si="6"/>
        <v>5852</v>
      </c>
      <c r="G23" s="39">
        <f t="shared" si="6"/>
        <v>2926</v>
      </c>
      <c r="H23" s="39">
        <f t="shared" si="6"/>
        <v>0</v>
      </c>
      <c r="I23" s="45">
        <f t="shared" si="4"/>
        <v>26334</v>
      </c>
    </row>
    <row r="24" spans="1:11">
      <c r="A24" s="6" t="s">
        <v>210</v>
      </c>
      <c r="B24" s="6"/>
      <c r="C24" s="98">
        <v>0.41799999999999998</v>
      </c>
      <c r="D24" s="39">
        <f>SUM(D15)*0.418</f>
        <v>6039.5774999999994</v>
      </c>
      <c r="E24" s="39">
        <f>SUM(E15)*0.418</f>
        <v>6160.3690500000002</v>
      </c>
      <c r="F24" s="39">
        <f>SUM(F15)*0.418</f>
        <v>6283.5764310000004</v>
      </c>
      <c r="G24" s="39">
        <f>SUM(G15)*0.418</f>
        <v>4272.7960000000003</v>
      </c>
      <c r="H24" s="39">
        <f>SUM(H15)*0.418</f>
        <v>0</v>
      </c>
      <c r="I24" s="45">
        <f t="shared" si="4"/>
        <v>22756.318981000004</v>
      </c>
    </row>
    <row r="25" spans="1:11">
      <c r="A25" s="10"/>
      <c r="B25" s="60"/>
      <c r="C25" s="60"/>
      <c r="D25" s="18">
        <f t="shared" ref="D25:I25" si="7">SUM(D18:D24)</f>
        <v>30351.277499999997</v>
      </c>
      <c r="E25" s="18">
        <f t="shared" si="7"/>
        <v>18595.441513333335</v>
      </c>
      <c r="F25" s="18">
        <f t="shared" si="7"/>
        <v>15657.164256</v>
      </c>
      <c r="G25" s="18">
        <f t="shared" si="7"/>
        <v>9989.2851790999994</v>
      </c>
      <c r="H25" s="18">
        <f t="shared" si="7"/>
        <v>0</v>
      </c>
      <c r="I25" s="48">
        <f t="shared" si="7"/>
        <v>74593.168448433338</v>
      </c>
      <c r="J25" s="94">
        <f>SUM(D25:H25)</f>
        <v>74593.168448433338</v>
      </c>
    </row>
    <row r="26" spans="1:11" ht="14">
      <c r="A26" s="7" t="s">
        <v>3</v>
      </c>
      <c r="B26" s="58"/>
      <c r="C26" s="58"/>
      <c r="D26" s="22"/>
      <c r="E26" s="22"/>
      <c r="F26" s="20"/>
      <c r="G26" s="20"/>
      <c r="H26" s="20"/>
      <c r="I26" s="50"/>
      <c r="J26" s="30"/>
    </row>
    <row r="27" spans="1:11">
      <c r="A27" s="9"/>
      <c r="B27" s="63"/>
      <c r="C27" s="63"/>
      <c r="D27" s="11">
        <v>0</v>
      </c>
      <c r="E27" s="11">
        <v>0</v>
      </c>
      <c r="F27" s="11">
        <v>0</v>
      </c>
      <c r="G27" s="11">
        <v>0</v>
      </c>
      <c r="H27" s="11">
        <v>0</v>
      </c>
      <c r="I27" s="13">
        <f>SUM(D27:H27)</f>
        <v>0</v>
      </c>
      <c r="J27" s="55"/>
    </row>
    <row r="28" spans="1:11">
      <c r="A28" s="10"/>
      <c r="B28" s="60"/>
      <c r="C28" s="60"/>
      <c r="D28" s="18">
        <f>SUM(D27:D27)</f>
        <v>0</v>
      </c>
      <c r="E28" s="18">
        <f>SUM(E27:E27)</f>
        <v>0</v>
      </c>
      <c r="F28" s="18">
        <f>SUM(F27:F27)</f>
        <v>0</v>
      </c>
      <c r="G28" s="18">
        <f>SUM(G27:G27)</f>
        <v>0</v>
      </c>
      <c r="H28" s="18">
        <f>SUM(H27:H27)</f>
        <v>0</v>
      </c>
      <c r="I28" s="15">
        <f>SUM(D28:H28)</f>
        <v>0</v>
      </c>
      <c r="J28" s="21"/>
    </row>
    <row r="29" spans="1:11" ht="14">
      <c r="A29" s="7" t="s">
        <v>4</v>
      </c>
      <c r="B29" s="58"/>
      <c r="C29" s="58"/>
      <c r="D29" s="11"/>
      <c r="E29" s="11"/>
      <c r="F29" s="42"/>
      <c r="G29" s="42"/>
      <c r="H29" s="42"/>
      <c r="I29" s="14"/>
      <c r="J29" s="21"/>
    </row>
    <row r="30" spans="1:11" s="6" customFormat="1" ht="15">
      <c r="A30" s="44" t="s">
        <v>211</v>
      </c>
      <c r="B30" s="62"/>
      <c r="C30" s="62"/>
      <c r="D30" s="31">
        <f>1200*5</f>
        <v>6000</v>
      </c>
      <c r="E30" s="31">
        <f t="shared" ref="E30:F30" si="8">1200*4</f>
        <v>4800</v>
      </c>
      <c r="F30" s="31">
        <f t="shared" si="8"/>
        <v>4800</v>
      </c>
      <c r="G30" s="31">
        <v>0</v>
      </c>
      <c r="H30" s="31">
        <v>0</v>
      </c>
      <c r="I30" s="13">
        <f t="shared" ref="I30:I41" si="9">SUM(D30:H30)</f>
        <v>15600</v>
      </c>
      <c r="K30" s="294" t="s">
        <v>235</v>
      </c>
    </row>
    <row r="31" spans="1:11" s="6" customFormat="1">
      <c r="A31" s="105" t="s">
        <v>109</v>
      </c>
      <c r="B31" s="62"/>
      <c r="C31" s="62"/>
      <c r="D31" s="31">
        <f>800*0.575*2</f>
        <v>919.99999999999989</v>
      </c>
      <c r="E31" s="31">
        <f>D31/2*1.02</f>
        <v>469.19999999999993</v>
      </c>
      <c r="F31" s="31">
        <f>E31*1.02</f>
        <v>478.58399999999995</v>
      </c>
      <c r="G31" s="31">
        <v>0</v>
      </c>
      <c r="H31" s="31">
        <v>0</v>
      </c>
      <c r="I31" s="13">
        <f t="shared" si="9"/>
        <v>1867.7839999999997</v>
      </c>
      <c r="J31" s="55"/>
    </row>
    <row r="32" spans="1:11" s="6" customFormat="1">
      <c r="A32" s="105" t="s">
        <v>213</v>
      </c>
      <c r="B32" s="62"/>
      <c r="C32" s="62"/>
      <c r="D32" s="31">
        <f>800*0.575*2</f>
        <v>919.99999999999989</v>
      </c>
      <c r="E32" s="31">
        <f>D32*1.02</f>
        <v>938.39999999999986</v>
      </c>
      <c r="F32" s="31">
        <f>E32*1.02</f>
        <v>957.16799999999989</v>
      </c>
      <c r="G32" s="31">
        <v>0</v>
      </c>
      <c r="H32" s="31">
        <v>0</v>
      </c>
      <c r="I32" s="13">
        <f t="shared" si="9"/>
        <v>2815.5679999999993</v>
      </c>
      <c r="J32" s="55"/>
    </row>
    <row r="33" spans="1:16" s="6" customFormat="1">
      <c r="A33" s="105" t="s">
        <v>212</v>
      </c>
      <c r="B33" s="62"/>
      <c r="C33" s="62"/>
      <c r="D33" s="31">
        <f>800*0.575*(2)+(200*0.575*10)</f>
        <v>2069.9999999999995</v>
      </c>
      <c r="E33" s="31">
        <f>800*0.575*2*1.02</f>
        <v>938.39999999999986</v>
      </c>
      <c r="F33" s="31">
        <f>E33*(1.02*1.02)</f>
        <v>976.31135999999981</v>
      </c>
      <c r="G33" s="31">
        <v>0</v>
      </c>
      <c r="H33" s="31">
        <v>0</v>
      </c>
      <c r="I33" s="13">
        <f t="shared" si="9"/>
        <v>3984.7113599999993</v>
      </c>
      <c r="J33" s="55"/>
    </row>
    <row r="34" spans="1:16" s="6" customFormat="1">
      <c r="A34" s="105" t="s">
        <v>214</v>
      </c>
      <c r="B34" s="62"/>
      <c r="C34" s="62"/>
      <c r="D34" s="31">
        <f>1200*0.575</f>
        <v>690</v>
      </c>
      <c r="E34" s="31">
        <v>0</v>
      </c>
      <c r="F34" s="31">
        <v>0</v>
      </c>
      <c r="G34" s="31">
        <v>0</v>
      </c>
      <c r="H34" s="31">
        <v>0</v>
      </c>
      <c r="I34" s="13">
        <f t="shared" si="9"/>
        <v>690</v>
      </c>
      <c r="J34" s="55"/>
    </row>
    <row r="35" spans="1:16" s="6" customFormat="1">
      <c r="A35" s="105" t="s">
        <v>208</v>
      </c>
      <c r="B35" s="62"/>
      <c r="C35" s="62"/>
      <c r="D35" s="31">
        <f>5*1100</f>
        <v>5500</v>
      </c>
      <c r="E35" s="31">
        <f>3*1100*1.02</f>
        <v>3366</v>
      </c>
      <c r="F35" s="31">
        <f>E35*1.02</f>
        <v>3433.32</v>
      </c>
      <c r="G35" s="31">
        <v>0</v>
      </c>
      <c r="H35" s="31">
        <v>0</v>
      </c>
      <c r="I35" s="13">
        <f t="shared" si="9"/>
        <v>12299.32</v>
      </c>
      <c r="J35" s="55"/>
    </row>
    <row r="36" spans="1:16" s="6" customFormat="1">
      <c r="A36" s="105" t="s">
        <v>215</v>
      </c>
      <c r="B36" s="62"/>
      <c r="C36" s="62"/>
      <c r="D36" s="31">
        <f>(5*4*250)</f>
        <v>5000</v>
      </c>
      <c r="E36" s="31">
        <f>(3*4)*250*1.02</f>
        <v>3060</v>
      </c>
      <c r="F36" s="31">
        <f>3*4*250*(1.02*1.02)</f>
        <v>3121.2</v>
      </c>
      <c r="G36" s="31">
        <v>0</v>
      </c>
      <c r="H36" s="31">
        <v>0</v>
      </c>
      <c r="I36" s="13">
        <f>SUM(D36:H36)</f>
        <v>11181.2</v>
      </c>
      <c r="J36" s="55"/>
    </row>
    <row r="37" spans="1:16">
      <c r="A37" s="105" t="s">
        <v>216</v>
      </c>
      <c r="C37" s="276">
        <v>55</v>
      </c>
      <c r="D37" s="275">
        <f>34*C37</f>
        <v>1870</v>
      </c>
      <c r="E37" s="277">
        <f>12*C37*1.02</f>
        <v>673.2</v>
      </c>
      <c r="F37" s="277">
        <f>E37*1.02</f>
        <v>686.6640000000001</v>
      </c>
      <c r="G37" s="31">
        <v>0</v>
      </c>
      <c r="H37" s="31">
        <v>0</v>
      </c>
      <c r="I37" s="13">
        <f>SUM(D37:H37)</f>
        <v>3229.864</v>
      </c>
    </row>
    <row r="38" spans="1:16" s="6" customFormat="1">
      <c r="A38" s="105" t="s">
        <v>67</v>
      </c>
      <c r="B38" s="62"/>
      <c r="C38" s="62"/>
      <c r="D38" s="31">
        <f>Travel!C8*5</f>
        <v>4900</v>
      </c>
      <c r="E38" s="31">
        <f>Travel!C8*4</f>
        <v>3920</v>
      </c>
      <c r="F38" s="31">
        <f>Travel!C8*4</f>
        <v>3920</v>
      </c>
      <c r="G38" s="31">
        <v>0</v>
      </c>
      <c r="H38" s="31">
        <v>0</v>
      </c>
      <c r="I38" s="13">
        <f t="shared" si="9"/>
        <v>12740</v>
      </c>
      <c r="J38" s="72"/>
    </row>
    <row r="39" spans="1:16" s="6" customFormat="1" ht="14">
      <c r="A39" s="44" t="s">
        <v>91</v>
      </c>
      <c r="B39" s="62"/>
      <c r="C39" s="62"/>
      <c r="D39" s="31">
        <f>Travel!G15</f>
        <v>3880</v>
      </c>
      <c r="E39" s="31">
        <f>Travel!G15*1.02</f>
        <v>3957.6</v>
      </c>
      <c r="F39" s="31">
        <f>Travel!G15*1.02*1.02</f>
        <v>4036.752</v>
      </c>
      <c r="G39" s="31">
        <f>Travel!G15*1.02*1.02*1.02</f>
        <v>4117.48704</v>
      </c>
      <c r="H39" s="31">
        <f>Travel!G15*1.02*1.02*1.02*1.02</f>
        <v>4199.8367808000003</v>
      </c>
      <c r="I39" s="13">
        <f t="shared" si="9"/>
        <v>20191.675820800003</v>
      </c>
      <c r="J39" s="55"/>
    </row>
    <row r="40" spans="1:16" s="6" customFormat="1" ht="14">
      <c r="A40" s="44" t="s">
        <v>197</v>
      </c>
      <c r="B40" s="62"/>
      <c r="C40" s="62"/>
      <c r="D40" s="31">
        <v>0</v>
      </c>
      <c r="E40" s="31">
        <v>0</v>
      </c>
      <c r="F40" s="31">
        <f>Travel!G23</f>
        <v>6840</v>
      </c>
      <c r="G40" s="31">
        <f>Travel!G23*1.02</f>
        <v>6976.8</v>
      </c>
      <c r="H40" s="31">
        <f>Travel!G23*1.02*1.02</f>
        <v>7116.3360000000002</v>
      </c>
      <c r="I40" s="13">
        <f t="shared" si="9"/>
        <v>20933.135999999999</v>
      </c>
      <c r="J40" s="55"/>
    </row>
    <row r="41" spans="1:16" ht="14">
      <c r="A41" s="8" t="s">
        <v>101</v>
      </c>
      <c r="B41" s="64"/>
      <c r="C41" s="64"/>
      <c r="D41" s="31">
        <v>0</v>
      </c>
      <c r="E41" s="31">
        <f>Travel!G29</f>
        <v>1693.0250000000001</v>
      </c>
      <c r="F41" s="31">
        <v>0</v>
      </c>
      <c r="G41" s="31">
        <f>Travel!G36</f>
        <v>4542</v>
      </c>
      <c r="H41" s="31">
        <v>0</v>
      </c>
      <c r="I41" s="13">
        <f t="shared" si="9"/>
        <v>6235.0249999999996</v>
      </c>
      <c r="J41" s="21"/>
    </row>
    <row r="42" spans="1:16">
      <c r="A42" s="119" t="s">
        <v>108</v>
      </c>
      <c r="B42" s="60"/>
      <c r="C42" s="60"/>
      <c r="D42" s="18">
        <f t="shared" ref="D42:I42" si="10">SUM(D30:D41)</f>
        <v>31750</v>
      </c>
      <c r="E42" s="18">
        <f t="shared" si="10"/>
        <v>23815.825000000001</v>
      </c>
      <c r="F42" s="18">
        <f t="shared" si="10"/>
        <v>29249.999360000002</v>
      </c>
      <c r="G42" s="18">
        <f t="shared" si="10"/>
        <v>15636.287039999999</v>
      </c>
      <c r="H42" s="18">
        <f t="shared" si="10"/>
        <v>11316.1727808</v>
      </c>
      <c r="I42" s="48">
        <f t="shared" si="10"/>
        <v>111768.28418079999</v>
      </c>
      <c r="J42" s="94">
        <f>SUM(D42:H42)</f>
        <v>111768.28418079999</v>
      </c>
    </row>
    <row r="43" spans="1:16">
      <c r="A43" s="37"/>
      <c r="B43" s="61"/>
      <c r="C43" s="61"/>
      <c r="D43" s="20"/>
      <c r="E43" s="20"/>
      <c r="F43" s="20"/>
      <c r="G43" s="20"/>
      <c r="H43" s="20"/>
      <c r="I43" s="49"/>
      <c r="J43" s="21"/>
    </row>
    <row r="44" spans="1:16">
      <c r="A44" s="37" t="s">
        <v>23</v>
      </c>
      <c r="B44" s="61"/>
      <c r="C44" s="61"/>
      <c r="D44" s="47">
        <v>0</v>
      </c>
      <c r="E44" s="47">
        <v>0</v>
      </c>
      <c r="F44" s="47">
        <v>0</v>
      </c>
      <c r="G44" s="47">
        <v>0</v>
      </c>
      <c r="H44" s="47">
        <v>0</v>
      </c>
      <c r="I44" s="49"/>
      <c r="J44" s="21"/>
    </row>
    <row r="45" spans="1:16">
      <c r="A45" s="9" t="s">
        <v>22</v>
      </c>
      <c r="B45" s="63"/>
      <c r="C45" s="63"/>
      <c r="D45" s="42">
        <f>4000*D43</f>
        <v>0</v>
      </c>
      <c r="E45" s="42">
        <v>0</v>
      </c>
      <c r="F45" s="42">
        <v>0</v>
      </c>
      <c r="G45" s="42">
        <v>0</v>
      </c>
      <c r="H45" s="42">
        <v>0</v>
      </c>
      <c r="I45" s="51">
        <f t="shared" ref="I45:I50" si="11">SUM(D45:H45)</f>
        <v>0</v>
      </c>
      <c r="J45" s="21"/>
      <c r="L45" s="107"/>
      <c r="M45" s="107"/>
      <c r="N45" s="107"/>
      <c r="O45" s="107"/>
      <c r="P45" s="107"/>
    </row>
    <row r="46" spans="1:16">
      <c r="A46" s="9" t="s">
        <v>14</v>
      </c>
      <c r="B46" s="63"/>
      <c r="C46" s="63"/>
      <c r="D46" s="42">
        <f>4000*D44</f>
        <v>0</v>
      </c>
      <c r="E46" s="42">
        <v>0</v>
      </c>
      <c r="F46" s="42">
        <v>0</v>
      </c>
      <c r="G46" s="42">
        <v>0</v>
      </c>
      <c r="H46" s="42">
        <v>0</v>
      </c>
      <c r="I46" s="51">
        <f t="shared" si="11"/>
        <v>0</v>
      </c>
      <c r="J46" s="21"/>
    </row>
    <row r="47" spans="1:16">
      <c r="A47" s="9" t="s">
        <v>15</v>
      </c>
      <c r="B47" s="63"/>
      <c r="C47" s="63"/>
      <c r="D47" s="69">
        <v>0</v>
      </c>
      <c r="E47" s="69">
        <v>0</v>
      </c>
      <c r="F47" s="69">
        <v>0</v>
      </c>
      <c r="G47" s="69">
        <v>0</v>
      </c>
      <c r="H47" s="69">
        <v>0</v>
      </c>
      <c r="I47" s="51">
        <f t="shared" si="11"/>
        <v>0</v>
      </c>
      <c r="J47" s="21"/>
    </row>
    <row r="48" spans="1:16">
      <c r="A48" s="9" t="s">
        <v>21</v>
      </c>
      <c r="B48" s="63"/>
      <c r="C48" s="63"/>
      <c r="D48" s="42">
        <f>1500*D44</f>
        <v>0</v>
      </c>
      <c r="E48" s="42">
        <v>0</v>
      </c>
      <c r="F48" s="42">
        <v>0</v>
      </c>
      <c r="G48" s="42">
        <v>0</v>
      </c>
      <c r="H48" s="42">
        <v>0</v>
      </c>
      <c r="I48" s="51">
        <f t="shared" si="11"/>
        <v>0</v>
      </c>
      <c r="J48" s="21"/>
    </row>
    <row r="49" spans="1:10">
      <c r="A49" s="9" t="s">
        <v>16</v>
      </c>
      <c r="B49" s="63"/>
      <c r="C49" s="63"/>
      <c r="D49" s="42">
        <v>0</v>
      </c>
      <c r="E49" s="42">
        <v>0</v>
      </c>
      <c r="F49" s="42">
        <v>0</v>
      </c>
      <c r="G49" s="42">
        <v>0</v>
      </c>
      <c r="H49" s="42">
        <v>0</v>
      </c>
      <c r="I49" s="51">
        <f t="shared" si="11"/>
        <v>0</v>
      </c>
      <c r="J49" s="21"/>
    </row>
    <row r="50" spans="1:10">
      <c r="A50" s="10"/>
      <c r="B50" s="60"/>
      <c r="C50" s="60"/>
      <c r="D50" s="18">
        <f>SUM(D45:D49)</f>
        <v>0</v>
      </c>
      <c r="E50" s="18">
        <f>SUM(E45:E49)</f>
        <v>0</v>
      </c>
      <c r="F50" s="18">
        <f>SUM(F45:F49)</f>
        <v>0</v>
      </c>
      <c r="G50" s="18">
        <f>SUM(G45:G49)</f>
        <v>0</v>
      </c>
      <c r="H50" s="18">
        <f>SUM(H45:H49)</f>
        <v>0</v>
      </c>
      <c r="I50" s="48">
        <f t="shared" si="11"/>
        <v>0</v>
      </c>
      <c r="J50" s="21"/>
    </row>
    <row r="51" spans="1:10" ht="14">
      <c r="A51" s="7" t="s">
        <v>9</v>
      </c>
      <c r="B51" s="58"/>
      <c r="C51" s="58"/>
      <c r="D51" s="11"/>
      <c r="E51" s="11"/>
      <c r="F51" s="42"/>
      <c r="G51" s="42"/>
      <c r="H51" s="42"/>
      <c r="I51" s="14"/>
      <c r="J51" s="21"/>
    </row>
    <row r="52" spans="1:10" ht="14">
      <c r="A52" s="8" t="s">
        <v>59</v>
      </c>
      <c r="B52" s="58"/>
      <c r="C52" s="58"/>
      <c r="D52" s="11"/>
      <c r="E52" s="11"/>
      <c r="F52" s="42"/>
      <c r="G52" s="42"/>
      <c r="H52" s="42"/>
      <c r="I52" s="14"/>
      <c r="J52" s="21"/>
    </row>
    <row r="53" spans="1:10" s="6" customFormat="1">
      <c r="A53" s="105" t="s">
        <v>60</v>
      </c>
      <c r="B53" s="99">
        <v>50</v>
      </c>
      <c r="C53" s="100">
        <v>400</v>
      </c>
      <c r="D53" s="31">
        <f>6*B53*C53</f>
        <v>120000</v>
      </c>
      <c r="E53" s="31">
        <f>D53*0.1</f>
        <v>12000</v>
      </c>
      <c r="F53" s="31">
        <f>D53*0.1</f>
        <v>12000</v>
      </c>
      <c r="G53" s="31">
        <v>0</v>
      </c>
      <c r="H53" s="31">
        <v>0</v>
      </c>
      <c r="I53" s="128">
        <f>SUM(D53:H53)</f>
        <v>144000</v>
      </c>
    </row>
    <row r="54" spans="1:10" s="6" customFormat="1">
      <c r="A54" s="105" t="s">
        <v>61</v>
      </c>
      <c r="B54" s="62"/>
      <c r="C54" s="62"/>
      <c r="D54" s="31">
        <v>2100</v>
      </c>
      <c r="E54" s="31">
        <v>2100</v>
      </c>
      <c r="F54" s="31">
        <v>2100</v>
      </c>
      <c r="G54" s="31">
        <v>0</v>
      </c>
      <c r="H54" s="31">
        <v>0</v>
      </c>
      <c r="I54" s="128">
        <f t="shared" ref="I54:I71" si="12">SUM(D54:H54)</f>
        <v>6300</v>
      </c>
      <c r="J54" s="31"/>
    </row>
    <row r="55" spans="1:10" s="6" customFormat="1">
      <c r="A55" s="105" t="s">
        <v>62</v>
      </c>
      <c r="B55" s="99">
        <v>50</v>
      </c>
      <c r="C55" s="100">
        <v>100</v>
      </c>
      <c r="D55" s="31">
        <f>6*B55*C55</f>
        <v>30000</v>
      </c>
      <c r="E55" s="31">
        <f>D55*0.1</f>
        <v>3000</v>
      </c>
      <c r="F55" s="31">
        <f>D55*0.1</f>
        <v>3000</v>
      </c>
      <c r="G55" s="31">
        <v>0</v>
      </c>
      <c r="H55" s="31">
        <v>0</v>
      </c>
      <c r="I55" s="128">
        <f t="shared" si="12"/>
        <v>36000</v>
      </c>
    </row>
    <row r="56" spans="1:10" s="6" customFormat="1">
      <c r="A56" s="105" t="s">
        <v>68</v>
      </c>
      <c r="B56" s="62"/>
      <c r="C56" s="62"/>
      <c r="D56" s="31">
        <f>(4*1500)+2000</f>
        <v>8000</v>
      </c>
      <c r="E56" s="31">
        <v>500</v>
      </c>
      <c r="F56" s="31">
        <v>500</v>
      </c>
      <c r="G56" s="31">
        <v>0</v>
      </c>
      <c r="H56" s="31">
        <v>0</v>
      </c>
      <c r="I56" s="128">
        <f t="shared" si="12"/>
        <v>9000</v>
      </c>
    </row>
    <row r="57" spans="1:10" s="6" customFormat="1" ht="14">
      <c r="A57" s="44" t="s">
        <v>222</v>
      </c>
      <c r="B57" s="99"/>
      <c r="C57" s="104"/>
      <c r="D57" s="31">
        <f>2000+1400+8*100+10*20</f>
        <v>4400</v>
      </c>
      <c r="E57" s="31">
        <f>B57*C57</f>
        <v>0</v>
      </c>
      <c r="F57" s="31">
        <v>0</v>
      </c>
      <c r="G57" s="31">
        <v>0</v>
      </c>
      <c r="H57" s="31">
        <v>0</v>
      </c>
      <c r="I57" s="128">
        <f t="shared" si="12"/>
        <v>4400</v>
      </c>
    </row>
    <row r="58" spans="1:10" s="6" customFormat="1" ht="14">
      <c r="A58" s="103" t="s">
        <v>76</v>
      </c>
      <c r="B58" s="99">
        <v>3500</v>
      </c>
      <c r="C58" s="104">
        <v>1</v>
      </c>
      <c r="D58" s="31">
        <v>0</v>
      </c>
      <c r="E58" s="31">
        <f>B58*C58</f>
        <v>3500</v>
      </c>
      <c r="F58" s="31">
        <v>0</v>
      </c>
      <c r="G58" s="31">
        <v>0</v>
      </c>
      <c r="H58" s="31">
        <v>0</v>
      </c>
      <c r="I58" s="128">
        <f t="shared" si="12"/>
        <v>3500</v>
      </c>
    </row>
    <row r="59" spans="1:10" s="6" customFormat="1">
      <c r="A59" s="105" t="s">
        <v>69</v>
      </c>
      <c r="B59" s="99">
        <v>3500</v>
      </c>
      <c r="C59" s="104">
        <v>1</v>
      </c>
      <c r="D59" s="31">
        <v>0</v>
      </c>
      <c r="E59" s="31">
        <f t="shared" ref="E59:E65" si="13">B59*C59</f>
        <v>3500</v>
      </c>
      <c r="F59" s="31">
        <v>0</v>
      </c>
      <c r="G59" s="31">
        <v>0</v>
      </c>
      <c r="H59" s="31">
        <v>0</v>
      </c>
      <c r="I59" s="128">
        <f t="shared" si="12"/>
        <v>3500</v>
      </c>
    </row>
    <row r="60" spans="1:10" s="6" customFormat="1">
      <c r="A60" s="105" t="s">
        <v>70</v>
      </c>
      <c r="B60" s="99">
        <v>1500</v>
      </c>
      <c r="C60" s="104">
        <v>0.35</v>
      </c>
      <c r="D60" s="31">
        <v>0</v>
      </c>
      <c r="E60" s="31">
        <f t="shared" si="13"/>
        <v>525</v>
      </c>
      <c r="F60" s="31">
        <v>0</v>
      </c>
      <c r="G60" s="31">
        <v>0</v>
      </c>
      <c r="H60" s="31">
        <v>0</v>
      </c>
      <c r="I60" s="128">
        <f t="shared" si="12"/>
        <v>525</v>
      </c>
    </row>
    <row r="61" spans="1:10" s="6" customFormat="1">
      <c r="A61" s="105" t="s">
        <v>71</v>
      </c>
      <c r="B61" s="99">
        <v>3500</v>
      </c>
      <c r="C61" s="104">
        <v>0.08</v>
      </c>
      <c r="D61" s="31">
        <v>0</v>
      </c>
      <c r="E61" s="31">
        <f t="shared" si="13"/>
        <v>280</v>
      </c>
      <c r="F61" s="31">
        <v>0</v>
      </c>
      <c r="G61" s="31">
        <v>0</v>
      </c>
      <c r="H61" s="31">
        <v>0</v>
      </c>
      <c r="I61" s="128">
        <f t="shared" si="12"/>
        <v>280</v>
      </c>
    </row>
    <row r="62" spans="1:10" s="6" customFormat="1">
      <c r="A62" s="105" t="s">
        <v>72</v>
      </c>
      <c r="B62" s="99">
        <v>3500</v>
      </c>
      <c r="C62" s="104">
        <v>0.05</v>
      </c>
      <c r="D62" s="31">
        <v>0</v>
      </c>
      <c r="E62" s="31">
        <f t="shared" si="13"/>
        <v>175</v>
      </c>
      <c r="F62" s="31">
        <v>0</v>
      </c>
      <c r="G62" s="31">
        <v>0</v>
      </c>
      <c r="H62" s="31">
        <v>0</v>
      </c>
      <c r="I62" s="128">
        <f t="shared" si="12"/>
        <v>175</v>
      </c>
    </row>
    <row r="63" spans="1:10" s="6" customFormat="1">
      <c r="A63" s="105" t="s">
        <v>73</v>
      </c>
      <c r="B63" s="99">
        <v>1800</v>
      </c>
      <c r="C63" s="104">
        <v>0.1</v>
      </c>
      <c r="D63" s="31">
        <v>0</v>
      </c>
      <c r="E63" s="31">
        <f t="shared" si="13"/>
        <v>180</v>
      </c>
      <c r="F63" s="31">
        <v>0</v>
      </c>
      <c r="G63" s="31">
        <v>0</v>
      </c>
      <c r="H63" s="31">
        <v>0</v>
      </c>
      <c r="I63" s="128">
        <f t="shared" si="12"/>
        <v>180</v>
      </c>
    </row>
    <row r="64" spans="1:10" s="6" customFormat="1">
      <c r="A64" s="105" t="s">
        <v>74</v>
      </c>
      <c r="B64" s="99">
        <v>3500</v>
      </c>
      <c r="C64" s="104">
        <v>0.2</v>
      </c>
      <c r="D64" s="31">
        <v>0</v>
      </c>
      <c r="E64" s="31">
        <f t="shared" si="13"/>
        <v>700</v>
      </c>
      <c r="F64" s="31">
        <v>0</v>
      </c>
      <c r="G64" s="31">
        <v>0</v>
      </c>
      <c r="H64" s="31">
        <v>0</v>
      </c>
      <c r="I64" s="128">
        <f t="shared" si="12"/>
        <v>700</v>
      </c>
    </row>
    <row r="65" spans="1:13" s="6" customFormat="1">
      <c r="A65" s="105" t="s">
        <v>75</v>
      </c>
      <c r="B65" s="99">
        <v>2</v>
      </c>
      <c r="C65" s="273">
        <v>65</v>
      </c>
      <c r="D65" s="31">
        <v>0</v>
      </c>
      <c r="E65" s="31">
        <f t="shared" si="13"/>
        <v>130</v>
      </c>
      <c r="F65" s="31">
        <v>0</v>
      </c>
      <c r="G65" s="31">
        <v>0</v>
      </c>
      <c r="H65" s="31">
        <v>0</v>
      </c>
      <c r="I65" s="128">
        <f t="shared" si="12"/>
        <v>130</v>
      </c>
    </row>
    <row r="66" spans="1:13" s="6" customFormat="1" ht="14">
      <c r="A66" s="44" t="s">
        <v>77</v>
      </c>
      <c r="B66" s="99"/>
      <c r="C66" s="104"/>
      <c r="D66" s="31">
        <f>450*4</f>
        <v>1800</v>
      </c>
      <c r="E66" s="31">
        <v>0</v>
      </c>
      <c r="F66" s="31">
        <v>0</v>
      </c>
      <c r="G66" s="31">
        <v>0</v>
      </c>
      <c r="H66" s="31">
        <v>0</v>
      </c>
      <c r="I66" s="128">
        <f t="shared" si="12"/>
        <v>1800</v>
      </c>
    </row>
    <row r="67" spans="1:13" s="6" customFormat="1">
      <c r="A67" s="106" t="s">
        <v>78</v>
      </c>
      <c r="B67" s="99"/>
      <c r="C67" s="104"/>
      <c r="D67" s="31">
        <f>4*225</f>
        <v>900</v>
      </c>
      <c r="E67" s="31">
        <v>0</v>
      </c>
      <c r="F67" s="31">
        <v>0</v>
      </c>
      <c r="G67" s="31">
        <v>0</v>
      </c>
      <c r="H67" s="31">
        <v>0</v>
      </c>
      <c r="I67" s="128">
        <f t="shared" si="12"/>
        <v>900</v>
      </c>
    </row>
    <row r="68" spans="1:13" s="6" customFormat="1">
      <c r="A68" s="106" t="s">
        <v>79</v>
      </c>
      <c r="B68" s="99"/>
      <c r="C68" s="104"/>
      <c r="D68" s="31">
        <f>100*4</f>
        <v>400</v>
      </c>
      <c r="E68" s="31">
        <v>0</v>
      </c>
      <c r="F68" s="31">
        <v>0</v>
      </c>
      <c r="G68" s="31">
        <v>0</v>
      </c>
      <c r="H68" s="31">
        <v>0</v>
      </c>
      <c r="I68" s="128">
        <f t="shared" si="12"/>
        <v>400</v>
      </c>
    </row>
    <row r="69" spans="1:13" s="6" customFormat="1">
      <c r="A69" s="106" t="s">
        <v>221</v>
      </c>
      <c r="B69" s="99"/>
      <c r="C69" s="104"/>
      <c r="D69" s="31">
        <f>12*50</f>
        <v>600</v>
      </c>
      <c r="E69" s="31">
        <v>0</v>
      </c>
      <c r="F69" s="31">
        <v>0</v>
      </c>
      <c r="G69" s="31">
        <v>0</v>
      </c>
      <c r="H69" s="31">
        <v>0</v>
      </c>
      <c r="I69" s="128">
        <f t="shared" si="12"/>
        <v>600</v>
      </c>
    </row>
    <row r="70" spans="1:13" s="6" customFormat="1">
      <c r="A70" s="106" t="s">
        <v>220</v>
      </c>
      <c r="B70" s="99"/>
      <c r="C70" s="104"/>
      <c r="D70" s="31">
        <f>100*4</f>
        <v>400</v>
      </c>
      <c r="E70" s="31">
        <v>0</v>
      </c>
      <c r="F70" s="31">
        <v>0</v>
      </c>
      <c r="G70" s="31">
        <v>0</v>
      </c>
      <c r="H70" s="31">
        <v>0</v>
      </c>
      <c r="I70" s="128">
        <f t="shared" si="12"/>
        <v>400</v>
      </c>
    </row>
    <row r="71" spans="1:13" s="6" customFormat="1">
      <c r="A71" s="106" t="s">
        <v>80</v>
      </c>
      <c r="B71" s="99"/>
      <c r="C71" s="104"/>
      <c r="D71" s="31">
        <v>100</v>
      </c>
      <c r="E71" s="31">
        <v>0</v>
      </c>
      <c r="F71" s="31">
        <v>0</v>
      </c>
      <c r="G71" s="31">
        <v>0</v>
      </c>
      <c r="H71" s="31">
        <v>0</v>
      </c>
      <c r="I71" s="128">
        <f t="shared" si="12"/>
        <v>100</v>
      </c>
      <c r="J71" s="127">
        <f>SUM(I53:I71)</f>
        <v>212890</v>
      </c>
    </row>
    <row r="72" spans="1:13" ht="14">
      <c r="A72" s="8" t="s">
        <v>84</v>
      </c>
      <c r="B72" s="99">
        <v>12</v>
      </c>
      <c r="C72" s="104">
        <v>50</v>
      </c>
      <c r="D72" s="31">
        <v>0</v>
      </c>
      <c r="E72" s="31">
        <f>B72*C72</f>
        <v>600</v>
      </c>
      <c r="F72" s="31">
        <f>B72*C72*2</f>
        <v>1200</v>
      </c>
      <c r="G72" s="31">
        <f>B72*C72*2</f>
        <v>1200</v>
      </c>
      <c r="H72" s="31">
        <v>0</v>
      </c>
      <c r="I72" s="126">
        <f>SUM(D72:H72)</f>
        <v>3000</v>
      </c>
      <c r="J72" s="102">
        <f>I72</f>
        <v>3000</v>
      </c>
    </row>
    <row r="73" spans="1:13" ht="14">
      <c r="A73" s="8" t="s">
        <v>17</v>
      </c>
      <c r="B73" s="64"/>
      <c r="C73" s="64"/>
      <c r="D73" s="31">
        <v>0</v>
      </c>
      <c r="E73" s="31">
        <v>0</v>
      </c>
      <c r="F73" s="31">
        <v>0</v>
      </c>
      <c r="G73" s="31">
        <v>0</v>
      </c>
      <c r="H73" s="31">
        <v>0</v>
      </c>
      <c r="I73" s="13">
        <f>SUM(D73:H73)</f>
        <v>0</v>
      </c>
      <c r="J73" s="31">
        <f>I73</f>
        <v>0</v>
      </c>
    </row>
    <row r="74" spans="1:13" ht="14">
      <c r="A74" s="8" t="s">
        <v>86</v>
      </c>
      <c r="B74" s="64"/>
      <c r="C74" s="64"/>
      <c r="D74" s="31">
        <f>3250+1500</f>
        <v>4750</v>
      </c>
      <c r="E74" s="31">
        <f t="shared" ref="E74:G74" si="14">3250+1500</f>
        <v>4750</v>
      </c>
      <c r="F74" s="31">
        <f t="shared" si="14"/>
        <v>4750</v>
      </c>
      <c r="G74" s="31">
        <f t="shared" si="14"/>
        <v>4750</v>
      </c>
      <c r="H74" s="31">
        <v>0</v>
      </c>
      <c r="I74" s="124">
        <f t="shared" ref="I74" si="15">SUM(D74:H74)</f>
        <v>19000</v>
      </c>
      <c r="J74" s="125">
        <f>I74</f>
        <v>19000</v>
      </c>
      <c r="K74" s="87"/>
    </row>
    <row r="75" spans="1:13" ht="14">
      <c r="A75" s="8" t="s">
        <v>30</v>
      </c>
      <c r="B75" s="64"/>
      <c r="C75" s="64"/>
      <c r="D75" s="129">
        <f>Michigan!C41</f>
        <v>14114.706666666669</v>
      </c>
      <c r="E75" s="129">
        <f>Michigan!D41</f>
        <v>13375.526666666665</v>
      </c>
      <c r="F75" s="129">
        <f>Michigan!E41</f>
        <v>84065.021733333328</v>
      </c>
      <c r="G75" s="129">
        <f>Michigan!F41</f>
        <v>153525.37118533332</v>
      </c>
      <c r="H75" s="129">
        <f>Michigan!G41</f>
        <v>0</v>
      </c>
      <c r="I75" s="130">
        <f t="shared" ref="I75:I84" si="16">SUM(D75:H75)</f>
        <v>265080.62625199999</v>
      </c>
      <c r="J75" s="88"/>
      <c r="K75" s="88"/>
      <c r="M75" s="6"/>
    </row>
    <row r="76" spans="1:13" ht="14">
      <c r="A76" s="8" t="s">
        <v>43</v>
      </c>
      <c r="B76" s="64"/>
      <c r="C76" s="64"/>
      <c r="D76" s="129">
        <f>OSU!H70</f>
        <v>13499.546642400002</v>
      </c>
      <c r="E76" s="129">
        <f>OSU!I70</f>
        <v>64655.591841671994</v>
      </c>
      <c r="F76" s="129">
        <f>OSU!J70</f>
        <v>73942.360396922159</v>
      </c>
      <c r="G76" s="129">
        <f>OSU!K70</f>
        <v>15322.859824829826</v>
      </c>
      <c r="H76" s="129">
        <f>OSU!L70</f>
        <v>0</v>
      </c>
      <c r="I76" s="130">
        <f t="shared" si="16"/>
        <v>167420.35870582398</v>
      </c>
      <c r="J76" s="135">
        <f>SUM(I75:I76)</f>
        <v>432500.984957824</v>
      </c>
      <c r="K76" s="88"/>
      <c r="M76" s="31"/>
    </row>
    <row r="77" spans="1:13" ht="14">
      <c r="A77" s="8" t="s">
        <v>81</v>
      </c>
      <c r="B77" s="99">
        <v>50</v>
      </c>
      <c r="C77" s="104">
        <v>45</v>
      </c>
      <c r="D77" s="31">
        <f>B77*C77</f>
        <v>2250</v>
      </c>
      <c r="E77" s="31">
        <v>0</v>
      </c>
      <c r="F77" s="31">
        <v>0</v>
      </c>
      <c r="G77" s="31">
        <v>0</v>
      </c>
      <c r="H77" s="31">
        <v>0</v>
      </c>
      <c r="I77" s="120">
        <f t="shared" si="16"/>
        <v>2250</v>
      </c>
      <c r="J77" s="21"/>
    </row>
    <row r="78" spans="1:13" ht="14">
      <c r="A78" s="8" t="s">
        <v>82</v>
      </c>
      <c r="B78" s="64"/>
      <c r="C78" s="108"/>
      <c r="D78" s="31">
        <v>0</v>
      </c>
      <c r="E78" s="31">
        <v>500</v>
      </c>
      <c r="F78" s="31">
        <v>0</v>
      </c>
      <c r="G78" s="31">
        <v>0</v>
      </c>
      <c r="H78" s="31">
        <v>0</v>
      </c>
      <c r="I78" s="120">
        <f t="shared" si="16"/>
        <v>500</v>
      </c>
      <c r="J78" s="21"/>
    </row>
    <row r="79" spans="1:13" ht="14">
      <c r="A79" s="8" t="s">
        <v>83</v>
      </c>
      <c r="B79" s="64"/>
      <c r="C79" s="108">
        <v>0.02</v>
      </c>
      <c r="D79" s="31">
        <v>1500</v>
      </c>
      <c r="E79" s="31">
        <f>D79*1.02</f>
        <v>1530</v>
      </c>
      <c r="F79" s="31">
        <v>0</v>
      </c>
      <c r="G79" s="31">
        <f>E79*1.02*1.02</f>
        <v>1591.8120000000001</v>
      </c>
      <c r="H79" s="31">
        <v>0</v>
      </c>
      <c r="I79" s="120">
        <f t="shared" si="16"/>
        <v>4621.8119999999999</v>
      </c>
      <c r="J79" s="21"/>
      <c r="K79" s="31"/>
      <c r="M79" s="6"/>
    </row>
    <row r="80" spans="1:13" ht="14">
      <c r="A80" s="8" t="s">
        <v>85</v>
      </c>
      <c r="B80" s="64"/>
      <c r="C80" s="108">
        <v>0</v>
      </c>
      <c r="D80" s="31">
        <v>0</v>
      </c>
      <c r="E80" s="31">
        <v>0</v>
      </c>
      <c r="F80" s="31">
        <v>10000</v>
      </c>
      <c r="G80" s="31">
        <v>0</v>
      </c>
      <c r="H80" s="31">
        <v>0</v>
      </c>
      <c r="I80" s="120">
        <f t="shared" si="16"/>
        <v>10000</v>
      </c>
      <c r="J80" s="121">
        <f>SUM(I77:I80)</f>
        <v>17371.811999999998</v>
      </c>
      <c r="K80" s="11"/>
      <c r="M80" s="6"/>
    </row>
    <row r="81" spans="1:13" ht="15">
      <c r="A81" s="8" t="s">
        <v>223</v>
      </c>
      <c r="B81" s="110">
        <v>1</v>
      </c>
      <c r="C81" s="109">
        <v>10368</v>
      </c>
      <c r="D81" s="31">
        <f>4938*2+492</f>
        <v>10368</v>
      </c>
      <c r="E81" s="31">
        <f>D81*1.05</f>
        <v>10886.4</v>
      </c>
      <c r="F81" s="31">
        <f>E81*1.05</f>
        <v>11430.72</v>
      </c>
      <c r="G81" s="31">
        <v>0</v>
      </c>
      <c r="H81" s="31">
        <v>0</v>
      </c>
      <c r="I81" s="122">
        <f t="shared" si="16"/>
        <v>32685.120000000003</v>
      </c>
      <c r="J81" s="11"/>
      <c r="K81"/>
      <c r="M81" s="6"/>
    </row>
    <row r="82" spans="1:13" ht="15">
      <c r="A82" s="8" t="s">
        <v>224</v>
      </c>
      <c r="B82" s="110">
        <v>1</v>
      </c>
      <c r="C82" s="109">
        <f>951*2</f>
        <v>1902</v>
      </c>
      <c r="D82" s="31">
        <f>C82</f>
        <v>1902</v>
      </c>
      <c r="E82" s="31">
        <f>D82*1.05</f>
        <v>1997.1000000000001</v>
      </c>
      <c r="F82" s="31">
        <f>E82*1.05</f>
        <v>2096.9550000000004</v>
      </c>
      <c r="G82" s="31">
        <v>0</v>
      </c>
      <c r="H82" s="31">
        <v>0</v>
      </c>
      <c r="I82" s="122">
        <f t="shared" si="16"/>
        <v>5996.0550000000003</v>
      </c>
      <c r="J82" s="21"/>
      <c r="K82"/>
      <c r="M82" s="6"/>
    </row>
    <row r="83" spans="1:13" ht="15">
      <c r="A83" s="8" t="s">
        <v>87</v>
      </c>
      <c r="B83" s="64"/>
      <c r="C83" s="62"/>
      <c r="D83" s="31">
        <v>0</v>
      </c>
      <c r="E83" s="31">
        <f>4938+492</f>
        <v>5430</v>
      </c>
      <c r="F83" s="31">
        <v>0</v>
      </c>
      <c r="G83" s="31">
        <v>0</v>
      </c>
      <c r="H83" s="31">
        <v>0</v>
      </c>
      <c r="I83" s="122">
        <f t="shared" si="16"/>
        <v>5430</v>
      </c>
      <c r="J83" s="21"/>
      <c r="K83"/>
      <c r="M83" s="6"/>
    </row>
    <row r="84" spans="1:13" ht="15">
      <c r="A84" s="8" t="s">
        <v>234</v>
      </c>
      <c r="B84" s="64"/>
      <c r="C84" s="62"/>
      <c r="D84" s="31">
        <v>0</v>
      </c>
      <c r="E84" s="31">
        <f>(C82/2)*(1.05)</f>
        <v>998.55000000000007</v>
      </c>
      <c r="F84" s="31">
        <v>0</v>
      </c>
      <c r="G84" s="31">
        <v>0</v>
      </c>
      <c r="H84" s="31">
        <v>0</v>
      </c>
      <c r="I84" s="122">
        <f t="shared" si="16"/>
        <v>998.55000000000007</v>
      </c>
      <c r="J84" s="123">
        <f>SUM(I81:I84)</f>
        <v>45109.725000000006</v>
      </c>
      <c r="K84"/>
      <c r="M84" s="6"/>
    </row>
    <row r="85" spans="1:13" ht="14">
      <c r="A85" s="8" t="s">
        <v>40</v>
      </c>
      <c r="B85" s="274">
        <v>40</v>
      </c>
      <c r="C85" s="274">
        <v>100</v>
      </c>
      <c r="D85" s="31">
        <v>0</v>
      </c>
      <c r="E85" s="39">
        <f>C85*B85</f>
        <v>4000</v>
      </c>
      <c r="F85" s="39">
        <v>0</v>
      </c>
      <c r="G85" s="39">
        <v>0</v>
      </c>
      <c r="H85" s="39">
        <v>0</v>
      </c>
      <c r="I85" s="13">
        <f t="shared" ref="I85" si="17">SUM(D85:H85)</f>
        <v>4000</v>
      </c>
      <c r="J85" s="11">
        <f>SUM(I77:I85)</f>
        <v>66481.537000000011</v>
      </c>
      <c r="M85" s="6"/>
    </row>
    <row r="86" spans="1:13">
      <c r="A86" s="10"/>
      <c r="B86" s="60"/>
      <c r="C86" s="60"/>
      <c r="D86" s="18">
        <f>SUM(D53:D85)</f>
        <v>217084.25330906667</v>
      </c>
      <c r="E86" s="18">
        <f t="shared" ref="E86:H86" si="18">SUM(E53:E85)</f>
        <v>135313.16850833865</v>
      </c>
      <c r="F86" s="18">
        <f t="shared" si="18"/>
        <v>205085.05713025547</v>
      </c>
      <c r="G86" s="18">
        <f t="shared" si="18"/>
        <v>176390.04301016315</v>
      </c>
      <c r="H86" s="18">
        <f t="shared" si="18"/>
        <v>0</v>
      </c>
      <c r="I86" s="48">
        <f>SUM(I53:I85)</f>
        <v>733872.52195782412</v>
      </c>
      <c r="J86" s="11">
        <f>SUM(D86:H86)</f>
        <v>733872.52195782389</v>
      </c>
    </row>
    <row r="87" spans="1:13">
      <c r="A87" s="8"/>
      <c r="B87" s="64"/>
      <c r="C87" s="64"/>
      <c r="D87" s="20"/>
      <c r="E87" s="20"/>
      <c r="F87" s="20"/>
      <c r="G87" s="20"/>
      <c r="H87" s="20"/>
      <c r="I87" s="14"/>
      <c r="J87" s="21"/>
    </row>
    <row r="88" spans="1:13">
      <c r="A88" s="23" t="s">
        <v>7</v>
      </c>
      <c r="B88" s="65"/>
      <c r="C88" s="65"/>
      <c r="D88" s="24">
        <f xml:space="preserve"> SUM(D6,D16,D25,D28,D42,D50,D86)</f>
        <v>387356.28080906667</v>
      </c>
      <c r="E88" s="24">
        <f t="shared" ref="E88:H88" si="19" xml:space="preserve"> SUM(E6,E16,E25,E28,E42,E50,E86)</f>
        <v>268624.52335500531</v>
      </c>
      <c r="F88" s="24">
        <f t="shared" si="19"/>
        <v>325355.73524625553</v>
      </c>
      <c r="G88" s="24">
        <f t="shared" si="19"/>
        <v>228327.15652926313</v>
      </c>
      <c r="H88" s="24">
        <f t="shared" si="19"/>
        <v>11316.1727808</v>
      </c>
      <c r="I88" s="32">
        <f>SUM(D88:H88)</f>
        <v>1220979.8687203906</v>
      </c>
      <c r="J88" s="11"/>
      <c r="K88" s="21" t="s">
        <v>203</v>
      </c>
    </row>
    <row r="89" spans="1:13">
      <c r="A89" s="25"/>
      <c r="B89" s="40"/>
      <c r="C89" s="40"/>
      <c r="D89" s="22"/>
      <c r="E89" s="22"/>
      <c r="F89" s="20"/>
      <c r="G89" s="20"/>
      <c r="H89" s="20"/>
      <c r="I89" s="14"/>
      <c r="J89" s="31"/>
    </row>
    <row r="90" spans="1:13" ht="26">
      <c r="A90" s="136" t="s">
        <v>204</v>
      </c>
      <c r="B90" s="66"/>
      <c r="C90" s="66"/>
      <c r="D90" s="11">
        <f>SUM(D6,D16,D25,D42,D53:D74,D77:D80, D85)</f>
        <v>347472.02749999997</v>
      </c>
      <c r="E90" s="11">
        <f t="shared" ref="E90:H90" si="20">SUM(E6,E16,E25,E42,E53:E74,E77:E80, E85)</f>
        <v>171281.35484666668</v>
      </c>
      <c r="F90" s="11">
        <f t="shared" si="20"/>
        <v>153820.67811600002</v>
      </c>
      <c r="G90" s="11">
        <f t="shared" si="20"/>
        <v>59478.92551909999</v>
      </c>
      <c r="H90" s="11">
        <f t="shared" si="20"/>
        <v>11316.1727808</v>
      </c>
      <c r="I90" s="13">
        <f>SUM(D90:H90)</f>
        <v>743369.15876256675</v>
      </c>
    </row>
    <row r="91" spans="1:13" ht="26">
      <c r="A91" s="139" t="s">
        <v>205</v>
      </c>
      <c r="B91" s="67"/>
      <c r="C91" s="140">
        <v>0.47499999999999998</v>
      </c>
      <c r="D91" s="24">
        <f>D90*0.475</f>
        <v>165049.21306249997</v>
      </c>
      <c r="E91" s="24">
        <f t="shared" ref="E91:H91" si="21">E90*0.475</f>
        <v>81358.643552166672</v>
      </c>
      <c r="F91" s="24">
        <f t="shared" si="21"/>
        <v>73064.822105100015</v>
      </c>
      <c r="G91" s="24">
        <f t="shared" si="21"/>
        <v>28252.489621572495</v>
      </c>
      <c r="H91" s="24">
        <f t="shared" si="21"/>
        <v>5375.1820708799996</v>
      </c>
      <c r="I91" s="32">
        <f>SUM(D91:H91)</f>
        <v>353100.35041221918</v>
      </c>
      <c r="M91" s="11"/>
    </row>
    <row r="92" spans="1:13">
      <c r="A92" s="25"/>
      <c r="B92" s="40"/>
      <c r="C92" s="40"/>
      <c r="D92" s="22"/>
      <c r="E92" s="22"/>
      <c r="F92" s="20"/>
      <c r="G92" s="20"/>
      <c r="H92" s="20"/>
      <c r="I92" s="14"/>
      <c r="J92" s="55" t="s">
        <v>27</v>
      </c>
      <c r="K92" s="11"/>
    </row>
    <row r="93" spans="1:13">
      <c r="A93" s="25" t="s">
        <v>39</v>
      </c>
      <c r="B93" s="40"/>
      <c r="C93" s="40"/>
      <c r="D93" s="31">
        <f>D75</f>
        <v>14114.706666666669</v>
      </c>
      <c r="E93" s="11">
        <f>25000-D93</f>
        <v>10885.293333333331</v>
      </c>
      <c r="F93" s="31">
        <v>0</v>
      </c>
      <c r="G93" s="31">
        <v>0</v>
      </c>
      <c r="H93" s="31">
        <v>0</v>
      </c>
      <c r="I93" s="13">
        <f>SUM(D93:H93)</f>
        <v>25000</v>
      </c>
      <c r="J93" s="73">
        <f>25000-SUM(D93:H93)</f>
        <v>0</v>
      </c>
    </row>
    <row r="94" spans="1:13">
      <c r="A94" s="25" t="s">
        <v>44</v>
      </c>
      <c r="B94" s="40"/>
      <c r="C94" s="40"/>
      <c r="D94" s="31">
        <f>D76</f>
        <v>13499.546642400002</v>
      </c>
      <c r="E94" s="11">
        <f>25000-D94</f>
        <v>11500.453357599998</v>
      </c>
      <c r="F94" s="31">
        <v>0</v>
      </c>
      <c r="G94" s="31">
        <v>0</v>
      </c>
      <c r="H94" s="31">
        <v>0</v>
      </c>
      <c r="I94" s="13">
        <f>SUM(D94:H94)</f>
        <v>25000</v>
      </c>
      <c r="J94" s="73">
        <f>25000-SUM(D94:H94)</f>
        <v>0</v>
      </c>
    </row>
    <row r="95" spans="1:13" ht="14" thickBot="1">
      <c r="A95" s="138" t="s">
        <v>195</v>
      </c>
      <c r="B95" s="90"/>
      <c r="C95" s="140">
        <v>0.47499999999999998</v>
      </c>
      <c r="D95" s="24">
        <f>SUM(D93:D94)*0.475</f>
        <v>13116.770321806667</v>
      </c>
      <c r="E95" s="24">
        <f>SUM(E93:E94)*0.475</f>
        <v>10633.229678193331</v>
      </c>
      <c r="F95" s="24">
        <f>SUM(F93:F94)*0.475</f>
        <v>0</v>
      </c>
      <c r="G95" s="24">
        <f>SUM(G93:G94)*0.475</f>
        <v>0</v>
      </c>
      <c r="H95" s="24">
        <f>SUM(H93:H94)*0.475</f>
        <v>0</v>
      </c>
      <c r="I95" s="32">
        <f>SUM(D95:H95)</f>
        <v>23750</v>
      </c>
      <c r="J95" s="24">
        <f>SUM(I91,I95)</f>
        <v>376850.35041221918</v>
      </c>
      <c r="M95" s="11"/>
    </row>
    <row r="96" spans="1:13" ht="14" thickTop="1">
      <c r="A96" s="27" t="s">
        <v>8</v>
      </c>
      <c r="B96" s="68"/>
      <c r="C96" s="68"/>
      <c r="D96" s="28">
        <f>SUM(D88,D91,D95)</f>
        <v>565522.26419337327</v>
      </c>
      <c r="E96" s="28">
        <f>SUM(E88,E91,E95)</f>
        <v>360616.39658536529</v>
      </c>
      <c r="F96" s="28">
        <f>SUM(F88,F91,F95)</f>
        <v>398420.55735135556</v>
      </c>
      <c r="G96" s="28">
        <f>SUM(G88,G91,G95)</f>
        <v>256579.64615083562</v>
      </c>
      <c r="H96" s="28">
        <f>SUM(H88,H91,H95)</f>
        <v>16691.35485168</v>
      </c>
      <c r="I96" s="29">
        <f>SUM(D96:H96)</f>
        <v>1597830.2191326097</v>
      </c>
      <c r="J96" s="31">
        <f>SUM(I88,I91,I95)</f>
        <v>1597830.2191326097</v>
      </c>
    </row>
    <row r="97" spans="1:13">
      <c r="A97" s="40"/>
      <c r="B97" s="40"/>
      <c r="C97" s="40"/>
      <c r="D97" s="20"/>
      <c r="E97" s="20"/>
      <c r="F97" s="20"/>
      <c r="G97" s="20"/>
      <c r="H97" s="20"/>
      <c r="I97" s="31"/>
    </row>
    <row r="98" spans="1:13">
      <c r="A98" s="40"/>
      <c r="B98" s="40"/>
      <c r="C98" s="40"/>
      <c r="D98" s="20"/>
      <c r="E98" s="20"/>
      <c r="F98" s="20"/>
      <c r="G98" s="20"/>
      <c r="H98" s="20"/>
      <c r="I98" s="31"/>
      <c r="J98" s="31"/>
      <c r="K98" s="11"/>
      <c r="L98" s="11"/>
      <c r="M98" s="11"/>
    </row>
    <row r="99" spans="1:13">
      <c r="C99" s="141" t="s">
        <v>198</v>
      </c>
      <c r="D99" s="11">
        <f>D88-(D28+D50+D75+D76+D81+D82+D83+D84)</f>
        <v>347472.02749999997</v>
      </c>
      <c r="E99" s="11">
        <f t="shared" ref="E99:H99" si="22">E88-(E28+E50+E75+E76+E81+E82+E83+E84)</f>
        <v>171281.35484666663</v>
      </c>
      <c r="F99" s="11">
        <f t="shared" si="22"/>
        <v>153820.67811600005</v>
      </c>
      <c r="G99" s="11">
        <f t="shared" si="22"/>
        <v>59478.925519099983</v>
      </c>
      <c r="H99" s="11">
        <f t="shared" si="22"/>
        <v>11316.1727808</v>
      </c>
      <c r="I99" s="11">
        <f>SUM(D99:H99)</f>
        <v>743369.15876256663</v>
      </c>
      <c r="J99" s="21"/>
    </row>
    <row r="100" spans="1:13">
      <c r="C100" s="141" t="s">
        <v>230</v>
      </c>
      <c r="D100" s="11">
        <f>SUM(D93:D94)</f>
        <v>27614.253309066669</v>
      </c>
      <c r="E100" s="11">
        <f t="shared" ref="E100:H100" si="23">SUM(E93:E94)</f>
        <v>22385.746690933331</v>
      </c>
      <c r="F100" s="11">
        <f t="shared" si="23"/>
        <v>0</v>
      </c>
      <c r="G100" s="11">
        <f t="shared" si="23"/>
        <v>0</v>
      </c>
      <c r="H100" s="11">
        <f t="shared" si="23"/>
        <v>0</v>
      </c>
      <c r="I100" s="11">
        <f>SUM(D100:H100)</f>
        <v>50000</v>
      </c>
      <c r="J100" s="21"/>
    </row>
    <row r="101" spans="1:13">
      <c r="C101" s="141" t="s">
        <v>231</v>
      </c>
      <c r="D101" s="11">
        <f>SUM(D99:D100)</f>
        <v>375086.28080906661</v>
      </c>
      <c r="E101" s="11">
        <f t="shared" ref="E101:H101" si="24">SUM(E99:E100)</f>
        <v>193667.10153759996</v>
      </c>
      <c r="F101" s="11">
        <f t="shared" si="24"/>
        <v>153820.67811600005</v>
      </c>
      <c r="G101" s="11">
        <f t="shared" si="24"/>
        <v>59478.925519099983</v>
      </c>
      <c r="H101" s="11">
        <f t="shared" si="24"/>
        <v>11316.1727808</v>
      </c>
      <c r="I101" s="11">
        <f>SUM(D101:H101)</f>
        <v>793369.15876256663</v>
      </c>
      <c r="J101" s="21"/>
    </row>
    <row r="102" spans="1:13">
      <c r="C102" s="141" t="s">
        <v>232</v>
      </c>
      <c r="D102" s="11">
        <f>D101*0.475</f>
        <v>178165.98338430663</v>
      </c>
      <c r="E102" s="11">
        <f t="shared" ref="E102:H102" si="25">E101*0.475</f>
        <v>91991.873230359968</v>
      </c>
      <c r="F102" s="11">
        <f t="shared" si="25"/>
        <v>73064.822105100029</v>
      </c>
      <c r="G102" s="11">
        <f t="shared" si="25"/>
        <v>28252.489621572491</v>
      </c>
      <c r="H102" s="11">
        <f t="shared" si="25"/>
        <v>5375.1820708799996</v>
      </c>
      <c r="I102" s="11">
        <f>SUM(D102:H102)</f>
        <v>376850.35041221912</v>
      </c>
      <c r="J102" s="21"/>
    </row>
    <row r="103" spans="1:13">
      <c r="A103" s="291"/>
      <c r="B103" s="291"/>
      <c r="C103" s="292" t="s">
        <v>233</v>
      </c>
      <c r="D103" s="24">
        <f>SUM(D88,D102)</f>
        <v>565522.26419337327</v>
      </c>
      <c r="E103" s="24">
        <f t="shared" ref="E103:H103" si="26">SUM(E88,E102)</f>
        <v>360616.39658536529</v>
      </c>
      <c r="F103" s="24">
        <f t="shared" si="26"/>
        <v>398420.55735135556</v>
      </c>
      <c r="G103" s="24">
        <f t="shared" si="26"/>
        <v>256579.64615083562</v>
      </c>
      <c r="H103" s="24">
        <f t="shared" si="26"/>
        <v>16691.35485168</v>
      </c>
      <c r="I103" s="293">
        <f>SUM(D103:H103)</f>
        <v>1597830.2191326097</v>
      </c>
      <c r="J103" s="21"/>
    </row>
    <row r="104" spans="1:13">
      <c r="A104" s="2"/>
      <c r="I104" s="21"/>
      <c r="J104" s="21"/>
    </row>
    <row r="105" spans="1:13">
      <c r="A105" s="2" t="s">
        <v>225</v>
      </c>
      <c r="I105" s="21"/>
      <c r="J105" s="21"/>
    </row>
    <row r="106" spans="1:13">
      <c r="A106" s="278" t="s">
        <v>38</v>
      </c>
      <c r="B106" s="279"/>
      <c r="C106" s="279"/>
      <c r="D106" s="127">
        <f>SUM(D53:D71)</f>
        <v>168700</v>
      </c>
      <c r="E106" s="127">
        <f t="shared" ref="E106:H106" si="27">SUM(E53:E71)</f>
        <v>26590</v>
      </c>
      <c r="F106" s="127">
        <f t="shared" si="27"/>
        <v>17600</v>
      </c>
      <c r="G106" s="127">
        <f t="shared" si="27"/>
        <v>0</v>
      </c>
      <c r="H106" s="127">
        <f t="shared" si="27"/>
        <v>0</v>
      </c>
      <c r="I106" s="128">
        <f t="shared" ref="I106:I114" si="28">SUM(D106:H106)</f>
        <v>212890</v>
      </c>
      <c r="J106" s="21"/>
    </row>
    <row r="107" spans="1:13">
      <c r="A107" s="280" t="s">
        <v>10</v>
      </c>
      <c r="B107" s="280"/>
      <c r="C107" s="280"/>
      <c r="D107" s="102">
        <f>SUM(D72)</f>
        <v>0</v>
      </c>
      <c r="E107" s="102">
        <f t="shared" ref="E107:H107" si="29">SUM(E72)</f>
        <v>600</v>
      </c>
      <c r="F107" s="102">
        <f t="shared" si="29"/>
        <v>1200</v>
      </c>
      <c r="G107" s="102">
        <f t="shared" si="29"/>
        <v>1200</v>
      </c>
      <c r="H107" s="102">
        <f t="shared" si="29"/>
        <v>0</v>
      </c>
      <c r="I107" s="126">
        <f t="shared" si="28"/>
        <v>3000</v>
      </c>
      <c r="J107" s="21"/>
    </row>
    <row r="108" spans="1:13" ht="14">
      <c r="A108" s="8" t="s">
        <v>17</v>
      </c>
      <c r="D108" s="11">
        <f>SUM(D73)</f>
        <v>0</v>
      </c>
      <c r="E108" s="11">
        <f t="shared" ref="E108:H108" si="30">SUM(E73)</f>
        <v>0</v>
      </c>
      <c r="F108" s="11">
        <f t="shared" si="30"/>
        <v>0</v>
      </c>
      <c r="G108" s="11">
        <f t="shared" si="30"/>
        <v>0</v>
      </c>
      <c r="H108" s="11">
        <f t="shared" si="30"/>
        <v>0</v>
      </c>
      <c r="I108" s="51">
        <f t="shared" si="28"/>
        <v>0</v>
      </c>
      <c r="J108" s="21"/>
    </row>
    <row r="109" spans="1:13" ht="14">
      <c r="A109" s="281" t="s">
        <v>86</v>
      </c>
      <c r="B109" s="282"/>
      <c r="C109" s="282"/>
      <c r="D109" s="125">
        <f>SUM(D74)</f>
        <v>4750</v>
      </c>
      <c r="E109" s="125">
        <f t="shared" ref="E109:H109" si="31">SUM(E74)</f>
        <v>4750</v>
      </c>
      <c r="F109" s="125">
        <f t="shared" si="31"/>
        <v>4750</v>
      </c>
      <c r="G109" s="125">
        <f t="shared" si="31"/>
        <v>4750</v>
      </c>
      <c r="H109" s="125">
        <f t="shared" si="31"/>
        <v>0</v>
      </c>
      <c r="I109" s="124">
        <f t="shared" si="28"/>
        <v>19000</v>
      </c>
      <c r="J109" s="21"/>
    </row>
    <row r="110" spans="1:13">
      <c r="A110" s="283" t="s">
        <v>6</v>
      </c>
      <c r="B110" s="283"/>
      <c r="C110" s="283"/>
      <c r="D110" s="129">
        <f>SUM(D75:D76)</f>
        <v>27614.253309066669</v>
      </c>
      <c r="E110" s="129">
        <f t="shared" ref="E110:H110" si="32">SUM(E75:E76)</f>
        <v>78031.118508338666</v>
      </c>
      <c r="F110" s="129">
        <f t="shared" si="32"/>
        <v>158007.38213025549</v>
      </c>
      <c r="G110" s="129">
        <f t="shared" si="32"/>
        <v>168848.23101016314</v>
      </c>
      <c r="H110" s="129">
        <f t="shared" si="32"/>
        <v>0</v>
      </c>
      <c r="I110" s="130">
        <f t="shared" si="28"/>
        <v>432500.98495782394</v>
      </c>
      <c r="J110" s="21"/>
    </row>
    <row r="111" spans="1:13" ht="14">
      <c r="A111" s="284" t="s">
        <v>226</v>
      </c>
      <c r="B111" s="285"/>
      <c r="C111" s="285"/>
      <c r="D111" s="121">
        <f>SUM(D77:D80)</f>
        <v>3750</v>
      </c>
      <c r="E111" s="121">
        <f t="shared" ref="E111:H111" si="33">SUM(E77:E80)</f>
        <v>2030</v>
      </c>
      <c r="F111" s="121">
        <f t="shared" si="33"/>
        <v>10000</v>
      </c>
      <c r="G111" s="121">
        <f t="shared" si="33"/>
        <v>1591.8120000000001</v>
      </c>
      <c r="H111" s="121">
        <f t="shared" si="33"/>
        <v>0</v>
      </c>
      <c r="I111" s="120">
        <f t="shared" si="28"/>
        <v>17371.812000000002</v>
      </c>
      <c r="J111" s="21"/>
    </row>
    <row r="112" spans="1:13">
      <c r="A112" s="286" t="s">
        <v>227</v>
      </c>
      <c r="B112" s="286"/>
      <c r="C112" s="286"/>
      <c r="D112" s="123">
        <f>SUM(D81:D84)</f>
        <v>12270</v>
      </c>
      <c r="E112" s="123">
        <f t="shared" ref="E112:H112" si="34">SUM(E81:E84)</f>
        <v>19312.05</v>
      </c>
      <c r="F112" s="123">
        <f t="shared" si="34"/>
        <v>13527.674999999999</v>
      </c>
      <c r="G112" s="123">
        <f t="shared" si="34"/>
        <v>0</v>
      </c>
      <c r="H112" s="123">
        <f t="shared" si="34"/>
        <v>0</v>
      </c>
      <c r="I112" s="122">
        <f t="shared" si="28"/>
        <v>45109.724999999999</v>
      </c>
      <c r="J112" s="21"/>
    </row>
    <row r="113" spans="1:10" ht="14" thickBot="1">
      <c r="A113" s="21" t="s">
        <v>40</v>
      </c>
      <c r="D113" s="11">
        <f>SUM(D85)</f>
        <v>0</v>
      </c>
      <c r="E113" s="11">
        <f t="shared" ref="E113:H113" si="35">SUM(E85)</f>
        <v>4000</v>
      </c>
      <c r="F113" s="11">
        <f t="shared" si="35"/>
        <v>0</v>
      </c>
      <c r="G113" s="11">
        <f t="shared" si="35"/>
        <v>0</v>
      </c>
      <c r="H113" s="11">
        <f t="shared" si="35"/>
        <v>0</v>
      </c>
      <c r="I113" s="51">
        <f t="shared" si="28"/>
        <v>4000</v>
      </c>
      <c r="J113" s="21"/>
    </row>
    <row r="114" spans="1:10" ht="14" thickTop="1">
      <c r="A114" s="287"/>
      <c r="B114" s="287"/>
      <c r="C114" s="287"/>
      <c r="D114" s="288">
        <f>SUM(D106:D113)</f>
        <v>217084.25330906667</v>
      </c>
      <c r="E114" s="288">
        <f t="shared" ref="E114:H114" si="36">SUM(E106:E113)</f>
        <v>135313.16850833865</v>
      </c>
      <c r="F114" s="288">
        <f t="shared" si="36"/>
        <v>205085.05713025547</v>
      </c>
      <c r="G114" s="288">
        <f t="shared" si="36"/>
        <v>176390.04301016315</v>
      </c>
      <c r="H114" s="288">
        <f t="shared" si="36"/>
        <v>0</v>
      </c>
      <c r="I114" s="289">
        <f t="shared" si="28"/>
        <v>733872.52195782389</v>
      </c>
      <c r="J114" s="21"/>
    </row>
  </sheetData>
  <phoneticPr fontId="2"/>
  <pageMargins left="0.75" right="0.75" top="1" bottom="1" header="0.5" footer="0.5"/>
  <pageSetup scale="68" orientation="landscape" r:id="rId1"/>
  <headerFooter alignWithMargins="0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43"/>
  <sheetViews>
    <sheetView topLeftCell="A10" workbookViewId="0">
      <selection activeCell="G44" sqref="G44"/>
    </sheetView>
  </sheetViews>
  <sheetFormatPr baseColWidth="10" defaultColWidth="10.3984375" defaultRowHeight="13"/>
  <cols>
    <col min="1" max="1" width="78.3984375" style="21" customWidth="1"/>
    <col min="2" max="2" width="8.59765625" style="21" customWidth="1"/>
    <col min="3" max="7" width="12.796875" style="21" customWidth="1"/>
    <col min="8" max="8" width="12.3984375" style="6" bestFit="1" customWidth="1"/>
    <col min="9" max="9" width="16.3984375" style="6" customWidth="1"/>
    <col min="10" max="10" width="13" style="21" bestFit="1" customWidth="1"/>
    <col min="11" max="12" width="10.3984375" style="21"/>
    <col min="13" max="13" width="10.3984375" style="21" customWidth="1"/>
    <col min="14" max="16384" width="10.3984375" style="21"/>
  </cols>
  <sheetData>
    <row r="1" spans="1:10">
      <c r="C1" s="54" t="s">
        <v>115</v>
      </c>
      <c r="D1" s="54" t="s">
        <v>116</v>
      </c>
      <c r="E1" s="54" t="s">
        <v>117</v>
      </c>
      <c r="F1" s="54" t="s">
        <v>118</v>
      </c>
      <c r="G1" s="54" t="s">
        <v>119</v>
      </c>
      <c r="H1" s="3"/>
    </row>
    <row r="2" spans="1:10">
      <c r="A2" s="2" t="s">
        <v>110</v>
      </c>
      <c r="B2" s="2"/>
      <c r="C2" s="54" t="s">
        <v>18</v>
      </c>
      <c r="D2" s="54" t="s">
        <v>31</v>
      </c>
      <c r="E2" s="54" t="s">
        <v>31</v>
      </c>
      <c r="F2" s="54" t="s">
        <v>31</v>
      </c>
      <c r="G2" s="54" t="s">
        <v>31</v>
      </c>
      <c r="H2" s="3"/>
    </row>
    <row r="3" spans="1:10" ht="14">
      <c r="A3" s="16"/>
      <c r="B3" s="57"/>
      <c r="C3" s="53" t="s">
        <v>45</v>
      </c>
      <c r="D3" s="53" t="s">
        <v>46</v>
      </c>
      <c r="E3" s="53" t="s">
        <v>47</v>
      </c>
      <c r="F3" s="53" t="s">
        <v>48</v>
      </c>
      <c r="G3" s="53" t="s">
        <v>49</v>
      </c>
      <c r="H3" s="3" t="s">
        <v>0</v>
      </c>
      <c r="I3" s="1" t="s">
        <v>1</v>
      </c>
    </row>
    <row r="4" spans="1:10" ht="14">
      <c r="A4" s="7" t="s">
        <v>19</v>
      </c>
      <c r="B4" s="58"/>
      <c r="C4" s="52">
        <v>103000</v>
      </c>
      <c r="D4" s="52">
        <f>C4*1.03</f>
        <v>106090</v>
      </c>
      <c r="E4" s="52">
        <f>D4*1.03</f>
        <v>109272.7</v>
      </c>
      <c r="F4" s="52">
        <f>E4*1.03</f>
        <v>112550.88099999999</v>
      </c>
      <c r="G4" s="52">
        <f>F4*1.03</f>
        <v>115927.40742999999</v>
      </c>
      <c r="H4" s="12"/>
      <c r="I4" s="83"/>
    </row>
    <row r="5" spans="1:10">
      <c r="A5" s="5" t="s">
        <v>199</v>
      </c>
      <c r="B5" s="132">
        <v>0.03</v>
      </c>
      <c r="C5" s="17">
        <f>(C4/9)*0.5</f>
        <v>5722.2222222222226</v>
      </c>
      <c r="D5" s="17">
        <f>(D4/9)*0.5</f>
        <v>5893.8888888888887</v>
      </c>
      <c r="E5" s="17">
        <f>(E4/9)*1</f>
        <v>12141.411111111111</v>
      </c>
      <c r="F5" s="17">
        <f>(F4/9)*1-0.5</f>
        <v>12505.153444444444</v>
      </c>
      <c r="G5" s="17">
        <v>0</v>
      </c>
      <c r="H5" s="34">
        <f>SUM(C5:G5)</f>
        <v>36262.675666666662</v>
      </c>
    </row>
    <row r="6" spans="1:10">
      <c r="A6" s="10"/>
      <c r="B6" s="60"/>
      <c r="C6" s="18">
        <f t="shared" ref="C6:H6" si="0">SUM(C5:C5)</f>
        <v>5722.2222222222226</v>
      </c>
      <c r="D6" s="18">
        <f t="shared" si="0"/>
        <v>5893.8888888888887</v>
      </c>
      <c r="E6" s="18">
        <f t="shared" si="0"/>
        <v>12141.411111111111</v>
      </c>
      <c r="F6" s="18">
        <f t="shared" si="0"/>
        <v>12505.153444444444</v>
      </c>
      <c r="G6" s="18">
        <f t="shared" si="0"/>
        <v>0</v>
      </c>
      <c r="H6" s="48">
        <f t="shared" si="0"/>
        <v>36262.675666666662</v>
      </c>
    </row>
    <row r="7" spans="1:10">
      <c r="A7" s="37"/>
      <c r="B7" s="61"/>
      <c r="C7" s="20"/>
      <c r="D7" s="20"/>
      <c r="E7" s="20"/>
      <c r="F7" s="20"/>
      <c r="G7" s="20"/>
      <c r="H7" s="49"/>
    </row>
    <row r="8" spans="1:10" ht="14">
      <c r="A8" s="7" t="s">
        <v>2</v>
      </c>
      <c r="B8" s="58"/>
      <c r="C8" s="4"/>
      <c r="D8" s="4"/>
      <c r="E8" s="4"/>
      <c r="F8" s="4"/>
      <c r="G8" s="4">
        <v>0</v>
      </c>
      <c r="H8" s="14"/>
    </row>
    <row r="9" spans="1:10" ht="14">
      <c r="A9" s="44" t="s">
        <v>111</v>
      </c>
      <c r="B9" s="62"/>
      <c r="C9" s="39">
        <v>0</v>
      </c>
      <c r="D9" s="39">
        <v>0</v>
      </c>
      <c r="E9" s="39">
        <v>27500</v>
      </c>
      <c r="F9" s="39">
        <f>27500*2*(1+B5)</f>
        <v>56650</v>
      </c>
      <c r="G9" s="39">
        <v>0</v>
      </c>
      <c r="H9" s="13">
        <f>SUM(C9:G9)</f>
        <v>84150</v>
      </c>
      <c r="I9" s="55"/>
    </row>
    <row r="10" spans="1:10">
      <c r="A10" s="10"/>
      <c r="B10" s="60"/>
      <c r="C10" s="18">
        <f t="shared" ref="C10:H10" si="1">SUM(C9:C9)</f>
        <v>0</v>
      </c>
      <c r="D10" s="18">
        <f t="shared" si="1"/>
        <v>0</v>
      </c>
      <c r="E10" s="18">
        <f t="shared" si="1"/>
        <v>27500</v>
      </c>
      <c r="F10" s="18">
        <f t="shared" si="1"/>
        <v>56650</v>
      </c>
      <c r="G10" s="18">
        <f t="shared" si="1"/>
        <v>0</v>
      </c>
      <c r="H10" s="48">
        <f t="shared" si="1"/>
        <v>84150</v>
      </c>
      <c r="I10" s="31">
        <f>SUM(H6,H10)</f>
        <v>120412.67566666666</v>
      </c>
      <c r="J10" s="11"/>
    </row>
    <row r="11" spans="1:10" ht="14">
      <c r="A11" s="7" t="s">
        <v>20</v>
      </c>
      <c r="B11" s="58" t="s">
        <v>25</v>
      </c>
      <c r="C11" s="19"/>
      <c r="D11" s="19"/>
      <c r="E11" s="19"/>
      <c r="F11" s="19"/>
      <c r="G11" s="41"/>
      <c r="H11" s="14"/>
    </row>
    <row r="12" spans="1:10">
      <c r="A12" s="21" t="s">
        <v>24</v>
      </c>
      <c r="B12" s="133">
        <v>0.3</v>
      </c>
      <c r="C12" s="17">
        <f>SUM(C6)*B12</f>
        <v>1716.6666666666667</v>
      </c>
      <c r="D12" s="17">
        <f>SUM(D6)*B12</f>
        <v>1768.1666666666665</v>
      </c>
      <c r="E12" s="17">
        <f>SUM(E6)*B12</f>
        <v>3642.4233333333332</v>
      </c>
      <c r="F12" s="17">
        <f>SUM(F6)*B12</f>
        <v>3751.5460333333331</v>
      </c>
      <c r="G12" s="17">
        <f>SUM(G6)*B12</f>
        <v>0</v>
      </c>
      <c r="H12" s="34">
        <f>SUM(C12:G12)</f>
        <v>10878.8027</v>
      </c>
      <c r="I12" s="55"/>
    </row>
    <row r="13" spans="1:10">
      <c r="A13" s="21" t="s">
        <v>112</v>
      </c>
      <c r="B13" s="133">
        <v>0.3</v>
      </c>
      <c r="C13" s="17">
        <f>SUM(C10)*B13</f>
        <v>0</v>
      </c>
      <c r="D13" s="17">
        <f>SUM(D10)*B13</f>
        <v>0</v>
      </c>
      <c r="E13" s="17">
        <f>SUM(E10)*B13</f>
        <v>8250</v>
      </c>
      <c r="F13" s="17">
        <f>SUM(F10)*B13</f>
        <v>16995</v>
      </c>
      <c r="G13" s="17">
        <f>SUM(G10)*B13</f>
        <v>0</v>
      </c>
      <c r="H13" s="45">
        <f>SUM(C13:G13)</f>
        <v>25245</v>
      </c>
    </row>
    <row r="14" spans="1:10">
      <c r="A14" s="10"/>
      <c r="B14" s="60"/>
      <c r="C14" s="18">
        <f t="shared" ref="C14:H14" si="2">SUM(C12:C13)</f>
        <v>1716.6666666666667</v>
      </c>
      <c r="D14" s="18">
        <f t="shared" si="2"/>
        <v>1768.1666666666665</v>
      </c>
      <c r="E14" s="18">
        <f t="shared" si="2"/>
        <v>11892.423333333332</v>
      </c>
      <c r="F14" s="18">
        <f t="shared" si="2"/>
        <v>20746.546033333332</v>
      </c>
      <c r="G14" s="18">
        <f t="shared" si="2"/>
        <v>0</v>
      </c>
      <c r="H14" s="48">
        <f t="shared" si="2"/>
        <v>36123.8027</v>
      </c>
      <c r="I14" s="31">
        <f>SUM(H6,H10,H14)</f>
        <v>156536.47836666665</v>
      </c>
    </row>
    <row r="15" spans="1:10" ht="14">
      <c r="A15" s="7" t="s">
        <v>3</v>
      </c>
      <c r="B15" s="58"/>
      <c r="C15" s="22"/>
      <c r="D15" s="22"/>
      <c r="E15" s="22"/>
      <c r="F15" s="22"/>
      <c r="G15" s="20"/>
      <c r="H15" s="50"/>
      <c r="I15" s="30"/>
    </row>
    <row r="16" spans="1:10">
      <c r="A16" s="9"/>
      <c r="B16" s="63"/>
      <c r="C16" s="11">
        <v>0</v>
      </c>
      <c r="D16" s="11">
        <v>0</v>
      </c>
      <c r="E16" s="11">
        <v>0</v>
      </c>
      <c r="F16" s="11">
        <v>0</v>
      </c>
      <c r="G16" s="11">
        <v>0</v>
      </c>
      <c r="H16" s="13">
        <f>SUM(C16:G16)</f>
        <v>0</v>
      </c>
      <c r="I16" s="55"/>
    </row>
    <row r="17" spans="1:11">
      <c r="A17" s="10"/>
      <c r="B17" s="60"/>
      <c r="C17" s="18">
        <f>SUM(C16:C16)</f>
        <v>0</v>
      </c>
      <c r="D17" s="18">
        <f>SUM(D16:D16)</f>
        <v>0</v>
      </c>
      <c r="E17" s="18">
        <f>SUM(E16:E16)</f>
        <v>0</v>
      </c>
      <c r="F17" s="18">
        <f>SUM(F16:F16)</f>
        <v>0</v>
      </c>
      <c r="G17" s="18">
        <f>SUM(G16:G16)</f>
        <v>0</v>
      </c>
      <c r="H17" s="15">
        <f>SUM(C17:G17)</f>
        <v>0</v>
      </c>
      <c r="I17" s="21"/>
    </row>
    <row r="18" spans="1:11" ht="14">
      <c r="A18" s="7" t="s">
        <v>4</v>
      </c>
      <c r="B18" s="58"/>
      <c r="C18" s="11"/>
      <c r="D18" s="11"/>
      <c r="E18" s="11"/>
      <c r="F18" s="11"/>
      <c r="G18" s="42"/>
      <c r="H18" s="14"/>
      <c r="I18" s="21"/>
    </row>
    <row r="19" spans="1:11" ht="14">
      <c r="A19" s="8" t="s">
        <v>113</v>
      </c>
      <c r="B19" s="64"/>
      <c r="C19" s="17">
        <v>1609</v>
      </c>
      <c r="D19" s="17">
        <v>912</v>
      </c>
      <c r="E19" s="17">
        <v>2354</v>
      </c>
      <c r="F19" s="17">
        <v>4512</v>
      </c>
      <c r="G19" s="31">
        <v>0</v>
      </c>
      <c r="H19" s="13">
        <f>SUM(C19:G19)</f>
        <v>9387</v>
      </c>
      <c r="I19" s="21"/>
    </row>
    <row r="20" spans="1:11" ht="15">
      <c r="A20" s="8" t="s">
        <v>11</v>
      </c>
      <c r="B20" s="64"/>
      <c r="C20" s="11">
        <v>0</v>
      </c>
      <c r="D20" s="11">
        <v>0</v>
      </c>
      <c r="E20" s="11">
        <v>0</v>
      </c>
      <c r="F20" s="11">
        <v>0</v>
      </c>
      <c r="G20" s="11">
        <v>0</v>
      </c>
      <c r="H20" s="13">
        <f>SUM(C20:G20)</f>
        <v>0</v>
      </c>
      <c r="I20" s="21"/>
      <c r="J20"/>
      <c r="K20"/>
    </row>
    <row r="21" spans="1:11" ht="14">
      <c r="A21" s="10"/>
      <c r="B21" s="60"/>
      <c r="C21" s="18">
        <f>SUM(C19:C20)</f>
        <v>1609</v>
      </c>
      <c r="D21" s="18">
        <f>SUM(D19:D20)</f>
        <v>912</v>
      </c>
      <c r="E21" s="18">
        <f>SUM(E19:E20)</f>
        <v>2354</v>
      </c>
      <c r="F21" s="18">
        <f>SUM(F19:F20)</f>
        <v>4512</v>
      </c>
      <c r="G21" s="18">
        <f>SUM(G19:G20)</f>
        <v>0</v>
      </c>
      <c r="H21" s="48">
        <f t="shared" ref="H21" si="3">SUM(H19:H20)</f>
        <v>9387</v>
      </c>
      <c r="I21" s="21"/>
      <c r="J21"/>
      <c r="K21"/>
    </row>
    <row r="22" spans="1:11" ht="14">
      <c r="A22" s="37"/>
      <c r="B22" s="61"/>
      <c r="C22" s="20"/>
      <c r="D22" s="20"/>
      <c r="E22" s="20"/>
      <c r="F22" s="20"/>
      <c r="G22" s="20"/>
      <c r="H22" s="49"/>
      <c r="I22" s="21"/>
      <c r="J22"/>
      <c r="K22"/>
    </row>
    <row r="23" spans="1:11" ht="14">
      <c r="A23" s="37" t="s">
        <v>23</v>
      </c>
      <c r="B23" s="63"/>
      <c r="C23" s="42">
        <f>4000*C22</f>
        <v>0</v>
      </c>
      <c r="D23" s="42">
        <f t="shared" ref="D23:G23" si="4">4000*D22</f>
        <v>0</v>
      </c>
      <c r="E23" s="42">
        <f t="shared" si="4"/>
        <v>0</v>
      </c>
      <c r="F23" s="42">
        <f t="shared" si="4"/>
        <v>0</v>
      </c>
      <c r="G23" s="42">
        <f t="shared" si="4"/>
        <v>0</v>
      </c>
      <c r="H23" s="51">
        <f t="shared" ref="H23:H24" si="5">SUM(C23:G23)</f>
        <v>0</v>
      </c>
      <c r="I23" s="21"/>
      <c r="J23"/>
      <c r="K23"/>
    </row>
    <row r="24" spans="1:11" ht="14">
      <c r="A24" s="10"/>
      <c r="B24" s="60"/>
      <c r="C24" s="18">
        <f>SUM(C23:C23)</f>
        <v>0</v>
      </c>
      <c r="D24" s="18">
        <f>SUM(D23:D23)</f>
        <v>0</v>
      </c>
      <c r="E24" s="18">
        <f>SUM(E23:E23)</f>
        <v>0</v>
      </c>
      <c r="F24" s="18">
        <f>SUM(F23:F23)</f>
        <v>0</v>
      </c>
      <c r="G24" s="18">
        <f>SUM(G23:G23)</f>
        <v>0</v>
      </c>
      <c r="H24" s="48">
        <f t="shared" si="5"/>
        <v>0</v>
      </c>
      <c r="I24" s="21"/>
      <c r="J24"/>
      <c r="K24"/>
    </row>
    <row r="25" spans="1:11" ht="14">
      <c r="A25" s="37"/>
      <c r="B25" s="61"/>
      <c r="C25" s="20"/>
      <c r="D25" s="20"/>
      <c r="E25" s="20"/>
      <c r="F25" s="20"/>
      <c r="G25" s="20"/>
      <c r="H25" s="49"/>
      <c r="I25" s="21"/>
      <c r="J25"/>
      <c r="K25"/>
    </row>
    <row r="26" spans="1:11" ht="15">
      <c r="A26" s="7" t="s">
        <v>9</v>
      </c>
      <c r="B26" s="70"/>
      <c r="C26" s="11"/>
      <c r="D26" s="11"/>
      <c r="E26" s="11"/>
      <c r="F26" s="11"/>
      <c r="G26" s="42"/>
      <c r="H26" s="14"/>
      <c r="I26" s="21"/>
      <c r="J26"/>
      <c r="K26"/>
    </row>
    <row r="27" spans="1:11" ht="15">
      <c r="A27" s="8" t="s">
        <v>38</v>
      </c>
      <c r="B27" s="64"/>
      <c r="C27" s="11">
        <v>0</v>
      </c>
      <c r="D27" s="11">
        <v>0</v>
      </c>
      <c r="E27" s="11">
        <v>0</v>
      </c>
      <c r="F27" s="11">
        <v>0</v>
      </c>
      <c r="G27" s="11">
        <f>C27*0.05+C27</f>
        <v>0</v>
      </c>
      <c r="H27" s="13">
        <f t="shared" ref="H27:H33" si="6">SUM(C27:G27)</f>
        <v>0</v>
      </c>
      <c r="I27" s="21"/>
      <c r="J27"/>
      <c r="K27"/>
    </row>
    <row r="28" spans="1:11" ht="14">
      <c r="A28" s="8" t="s">
        <v>10</v>
      </c>
      <c r="B28" s="64"/>
      <c r="C28" s="11">
        <v>0</v>
      </c>
      <c r="D28" s="11">
        <v>0</v>
      </c>
      <c r="E28" s="11">
        <v>0</v>
      </c>
      <c r="F28" s="11">
        <v>4000</v>
      </c>
      <c r="G28" s="21">
        <v>0</v>
      </c>
      <c r="H28" s="13">
        <f>SUM(C28:G28)</f>
        <v>4000</v>
      </c>
      <c r="I28" s="21"/>
    </row>
    <row r="29" spans="1:11" ht="14">
      <c r="A29" s="8" t="s">
        <v>17</v>
      </c>
      <c r="B29" s="64"/>
      <c r="C29" s="11">
        <v>0</v>
      </c>
      <c r="D29" s="11">
        <v>0</v>
      </c>
      <c r="E29" s="11">
        <v>0</v>
      </c>
      <c r="F29" s="11">
        <v>0</v>
      </c>
      <c r="G29" s="11">
        <v>0</v>
      </c>
      <c r="H29" s="13">
        <f t="shared" si="6"/>
        <v>0</v>
      </c>
      <c r="I29" s="21"/>
    </row>
    <row r="30" spans="1:11" ht="14">
      <c r="A30" s="8" t="s">
        <v>5</v>
      </c>
      <c r="B30" s="64"/>
      <c r="C30" s="11">
        <v>0</v>
      </c>
      <c r="D30" s="11">
        <v>0</v>
      </c>
      <c r="E30" s="11">
        <v>0</v>
      </c>
      <c r="F30" s="11">
        <v>0</v>
      </c>
      <c r="G30" s="11">
        <v>0</v>
      </c>
      <c r="H30" s="13">
        <f t="shared" si="6"/>
        <v>0</v>
      </c>
    </row>
    <row r="31" spans="1:11" ht="14">
      <c r="A31" s="8" t="s">
        <v>6</v>
      </c>
      <c r="B31" s="64"/>
      <c r="C31" s="31">
        <v>0</v>
      </c>
      <c r="D31" s="31">
        <v>0</v>
      </c>
      <c r="E31" s="11">
        <v>0</v>
      </c>
      <c r="F31" s="11">
        <v>0</v>
      </c>
      <c r="G31" s="11">
        <v>0</v>
      </c>
      <c r="H31" s="13">
        <f t="shared" si="6"/>
        <v>0</v>
      </c>
      <c r="I31" s="56"/>
    </row>
    <row r="32" spans="1:11" ht="14">
      <c r="A32" s="8" t="s">
        <v>13</v>
      </c>
      <c r="B32" s="64"/>
      <c r="C32" s="11">
        <v>0</v>
      </c>
      <c r="D32" s="39">
        <v>0</v>
      </c>
      <c r="E32" s="11">
        <v>0</v>
      </c>
      <c r="F32" s="11">
        <v>0</v>
      </c>
      <c r="G32" s="11">
        <v>0</v>
      </c>
      <c r="H32" s="13">
        <f t="shared" si="6"/>
        <v>0</v>
      </c>
      <c r="I32" s="21"/>
    </row>
    <row r="33" spans="1:12" ht="14">
      <c r="A33" s="8" t="s">
        <v>26</v>
      </c>
      <c r="B33" s="64"/>
      <c r="C33" s="31">
        <v>0</v>
      </c>
      <c r="D33" s="39">
        <v>0</v>
      </c>
      <c r="E33" s="11">
        <v>0</v>
      </c>
      <c r="F33" s="11">
        <v>0</v>
      </c>
      <c r="G33" s="11">
        <v>0</v>
      </c>
      <c r="H33" s="13">
        <f t="shared" si="6"/>
        <v>0</v>
      </c>
      <c r="I33" s="21"/>
    </row>
    <row r="34" spans="1:12">
      <c r="A34" s="10"/>
      <c r="B34" s="60"/>
      <c r="C34" s="18">
        <f>SUM(C27:C33)</f>
        <v>0</v>
      </c>
      <c r="D34" s="18">
        <f>SUM(D27:D33)</f>
        <v>0</v>
      </c>
      <c r="E34" s="18">
        <f>SUM(E27:E33)</f>
        <v>0</v>
      </c>
      <c r="F34" s="18">
        <f>SUM(F27:F33)</f>
        <v>4000</v>
      </c>
      <c r="G34" s="18">
        <f>SUM(G27:G33)</f>
        <v>0</v>
      </c>
      <c r="H34" s="48">
        <f>SUM(,H27:H33)</f>
        <v>4000</v>
      </c>
      <c r="I34" s="21"/>
    </row>
    <row r="35" spans="1:12">
      <c r="A35" s="8"/>
      <c r="B35" s="64"/>
      <c r="C35" s="20"/>
      <c r="D35" s="20"/>
      <c r="E35" s="20"/>
      <c r="F35" s="20"/>
      <c r="G35" s="20"/>
      <c r="H35" s="14"/>
    </row>
    <row r="36" spans="1:12">
      <c r="A36" s="23" t="s">
        <v>7</v>
      </c>
      <c r="B36" s="65"/>
      <c r="C36" s="24">
        <f xml:space="preserve"> SUM(C6,C10,C14,C17,C21,C24,C34)</f>
        <v>9047.8888888888905</v>
      </c>
      <c r="D36" s="24">
        <f xml:space="preserve"> SUM(D6,D10,D14,D17,D21,D24,D34)</f>
        <v>8574.0555555555547</v>
      </c>
      <c r="E36" s="24">
        <f xml:space="preserve"> SUM(E6,E10,E14,E17,E21,E24,E34)</f>
        <v>53887.834444444445</v>
      </c>
      <c r="F36" s="24">
        <f xml:space="preserve"> SUM(F6,F10,F14,F17,F21,F24,F34)</f>
        <v>98413.699477777773</v>
      </c>
      <c r="G36" s="24">
        <f xml:space="preserve"> SUM(G6,G10,G14,G17,G21,G24,G34)</f>
        <v>0</v>
      </c>
      <c r="H36" s="32">
        <f>SUM(C36:G36)</f>
        <v>169923.47836666665</v>
      </c>
      <c r="I36" s="31">
        <f>SUM(H6,H10,H14,H17,H21,H24,H34)</f>
        <v>169923.47836666665</v>
      </c>
    </row>
    <row r="37" spans="1:12">
      <c r="A37" s="25"/>
      <c r="B37" s="40"/>
      <c r="C37" s="22"/>
      <c r="D37" s="22"/>
      <c r="E37" s="22"/>
      <c r="F37" s="22"/>
      <c r="G37" s="20"/>
      <c r="H37" s="14"/>
    </row>
    <row r="38" spans="1:12" ht="14">
      <c r="A38" s="38" t="s">
        <v>12</v>
      </c>
      <c r="B38" s="66"/>
      <c r="C38" s="11">
        <f>SUM(C6,C10,C14,C21,C27:C30,C32:C33)</f>
        <v>9047.8888888888905</v>
      </c>
      <c r="D38" s="11">
        <f>SUM(D6,D10,D14,D21,D27:D30,D32:D33)</f>
        <v>8574.0555555555547</v>
      </c>
      <c r="E38" s="11">
        <f>SUM(E6,E10,E14,E21,E27:E30,E32:E33)</f>
        <v>53887.834444444445</v>
      </c>
      <c r="F38" s="11">
        <f>SUM(F6,F10,F14,F21,F27:F30,F32:F33)</f>
        <v>98413.699477777773</v>
      </c>
      <c r="G38" s="11">
        <f>SUM(G6,G10,G14,G21,G27:G30,G32:G33)</f>
        <v>0</v>
      </c>
      <c r="H38" s="13">
        <f>SUM(C38:G38)</f>
        <v>169923.47836666665</v>
      </c>
    </row>
    <row r="39" spans="1:12" ht="28">
      <c r="A39" s="26" t="s">
        <v>114</v>
      </c>
      <c r="B39" s="134">
        <v>0.56000000000000005</v>
      </c>
      <c r="C39" s="24">
        <f>C38*B39</f>
        <v>5066.8177777777792</v>
      </c>
      <c r="D39" s="24">
        <f>D38*B39</f>
        <v>4801.471111111111</v>
      </c>
      <c r="E39" s="24">
        <f>E38*B39</f>
        <v>30177.18728888889</v>
      </c>
      <c r="F39" s="24">
        <f>F38*B39</f>
        <v>55111.671707555557</v>
      </c>
      <c r="G39" s="24">
        <f>G38*B39</f>
        <v>0</v>
      </c>
      <c r="H39" s="32">
        <f>SUM(C39:G39)</f>
        <v>95157.147885333339</v>
      </c>
    </row>
    <row r="40" spans="1:12" ht="14" thickBot="1">
      <c r="A40" s="25"/>
      <c r="B40" s="40"/>
      <c r="C40" s="22"/>
      <c r="D40" s="22"/>
      <c r="E40" s="22"/>
      <c r="F40" s="22"/>
      <c r="G40" s="20"/>
      <c r="H40" s="14"/>
      <c r="J40" s="11"/>
    </row>
    <row r="41" spans="1:12" ht="14" thickTop="1">
      <c r="A41" s="27" t="s">
        <v>8</v>
      </c>
      <c r="B41" s="68"/>
      <c r="C41" s="28">
        <f>SUM(C36,C39)</f>
        <v>14114.706666666669</v>
      </c>
      <c r="D41" s="28">
        <f t="shared" ref="D41:G41" si="7">SUM(D36,D39)</f>
        <v>13375.526666666665</v>
      </c>
      <c r="E41" s="28">
        <f t="shared" si="7"/>
        <v>84065.021733333328</v>
      </c>
      <c r="F41" s="28">
        <f t="shared" si="7"/>
        <v>153525.37118533332</v>
      </c>
      <c r="G41" s="28">
        <f t="shared" si="7"/>
        <v>0</v>
      </c>
      <c r="H41" s="29">
        <f>SUM(C41:G41)</f>
        <v>265080.62625199999</v>
      </c>
      <c r="I41" s="31">
        <f>SUM(H36,H39)</f>
        <v>265080.62625199999</v>
      </c>
    </row>
    <row r="42" spans="1:12">
      <c r="A42" s="40"/>
      <c r="B42" s="40"/>
      <c r="C42" s="20"/>
      <c r="D42" s="20"/>
      <c r="E42" s="20"/>
      <c r="F42" s="20"/>
      <c r="G42" s="20"/>
      <c r="H42" s="31"/>
      <c r="I42" s="35"/>
    </row>
    <row r="43" spans="1:12">
      <c r="A43" s="40"/>
      <c r="B43" s="40"/>
      <c r="C43" s="20"/>
      <c r="D43" s="20"/>
      <c r="E43" s="20"/>
      <c r="F43" s="20"/>
      <c r="G43" s="20"/>
      <c r="H43" s="31"/>
      <c r="I43" s="31"/>
      <c r="J43" s="11"/>
      <c r="K43" s="11"/>
      <c r="L43" s="1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000"/>
  <sheetViews>
    <sheetView topLeftCell="A21" workbookViewId="0">
      <selection activeCell="P39" sqref="P39"/>
    </sheetView>
  </sheetViews>
  <sheetFormatPr baseColWidth="10" defaultColWidth="15.3984375" defaultRowHeight="15" customHeight="1"/>
  <cols>
    <col min="1" max="26" width="15.19921875" customWidth="1"/>
  </cols>
  <sheetData>
    <row r="1" spans="1:13" ht="15.75" customHeight="1">
      <c r="A1" s="142"/>
      <c r="B1" s="143" t="s">
        <v>120</v>
      </c>
      <c r="C1" s="142"/>
      <c r="D1" s="142"/>
      <c r="E1" s="142"/>
      <c r="F1" s="142"/>
      <c r="G1" s="144"/>
      <c r="H1" s="142"/>
      <c r="I1" s="142"/>
      <c r="J1" s="142"/>
      <c r="K1" s="142"/>
      <c r="L1" s="142"/>
      <c r="M1" s="142"/>
    </row>
    <row r="2" spans="1:13" ht="15.75" customHeight="1">
      <c r="A2" s="145"/>
      <c r="B2" s="146" t="s">
        <v>121</v>
      </c>
      <c r="C2" s="145"/>
      <c r="D2" s="147"/>
      <c r="E2" s="145"/>
      <c r="F2" s="145"/>
      <c r="G2" s="148"/>
      <c r="H2" s="145"/>
      <c r="I2" s="145"/>
      <c r="J2" s="145"/>
      <c r="K2" s="145"/>
      <c r="L2" s="145"/>
      <c r="M2" s="145"/>
    </row>
    <row r="3" spans="1:13" ht="15.75" customHeight="1">
      <c r="A3" s="149"/>
      <c r="B3" s="150" t="s">
        <v>206</v>
      </c>
      <c r="C3" s="150" t="s">
        <v>122</v>
      </c>
      <c r="D3" s="151"/>
      <c r="E3" s="151"/>
      <c r="F3" s="152" t="s">
        <v>123</v>
      </c>
      <c r="G3" s="153"/>
      <c r="H3" s="154"/>
      <c r="I3" s="154"/>
      <c r="J3" s="154"/>
      <c r="K3" s="154"/>
      <c r="L3" s="154"/>
      <c r="M3" s="154"/>
    </row>
    <row r="4" spans="1:13" ht="15.75" customHeight="1">
      <c r="A4" s="149"/>
      <c r="B4" s="155" t="s">
        <v>123</v>
      </c>
      <c r="C4" s="149"/>
      <c r="D4" s="149"/>
      <c r="E4" s="149"/>
      <c r="F4" s="156" t="s">
        <v>124</v>
      </c>
      <c r="G4" s="298" t="s">
        <v>125</v>
      </c>
      <c r="H4" s="157"/>
      <c r="I4" s="157"/>
      <c r="J4" s="157" t="s">
        <v>126</v>
      </c>
      <c r="K4" s="157"/>
      <c r="L4" s="157"/>
      <c r="M4" s="158"/>
    </row>
    <row r="5" spans="1:13" ht="15.75" customHeight="1">
      <c r="A5" s="159" t="s">
        <v>127</v>
      </c>
      <c r="B5" s="149"/>
      <c r="C5" s="300" t="s">
        <v>128</v>
      </c>
      <c r="D5" s="300"/>
      <c r="E5" s="301"/>
      <c r="F5" s="160"/>
      <c r="G5" s="299"/>
      <c r="H5" s="161"/>
      <c r="I5" s="161"/>
      <c r="J5" s="161"/>
      <c r="K5" s="161"/>
      <c r="L5" s="161"/>
      <c r="M5" s="149"/>
    </row>
    <row r="6" spans="1:13" ht="15.75" customHeight="1">
      <c r="A6" s="162"/>
      <c r="B6" s="163" t="s">
        <v>129</v>
      </c>
      <c r="C6" s="164" t="s">
        <v>130</v>
      </c>
      <c r="D6" s="164" t="s">
        <v>131</v>
      </c>
      <c r="E6" s="164" t="s">
        <v>132</v>
      </c>
      <c r="F6" s="165" t="s">
        <v>25</v>
      </c>
      <c r="G6" s="166" t="s">
        <v>133</v>
      </c>
      <c r="H6" s="167" t="s">
        <v>134</v>
      </c>
      <c r="I6" s="167" t="s">
        <v>135</v>
      </c>
      <c r="J6" s="167" t="s">
        <v>136</v>
      </c>
      <c r="K6" s="167" t="s">
        <v>137</v>
      </c>
      <c r="L6" s="167" t="s">
        <v>138</v>
      </c>
      <c r="M6" s="167" t="s">
        <v>8</v>
      </c>
    </row>
    <row r="7" spans="1:13" ht="15.75" customHeight="1">
      <c r="A7" s="162"/>
      <c r="B7" s="168" t="s">
        <v>139</v>
      </c>
      <c r="C7" s="169"/>
      <c r="D7" s="170"/>
      <c r="E7" s="170"/>
      <c r="F7" s="171">
        <v>112452</v>
      </c>
      <c r="G7" s="172">
        <v>0</v>
      </c>
      <c r="H7" s="173">
        <f>G7*F7</f>
        <v>0</v>
      </c>
      <c r="I7" s="173">
        <f>H7*1.03</f>
        <v>0</v>
      </c>
      <c r="J7" s="173">
        <f>I7*1.03</f>
        <v>0</v>
      </c>
      <c r="K7" s="173">
        <f>J7*1.03</f>
        <v>0</v>
      </c>
      <c r="L7" s="173">
        <v>0</v>
      </c>
      <c r="M7" s="174">
        <f>SUM(H7:L7)</f>
        <v>0</v>
      </c>
    </row>
    <row r="8" spans="1:13" ht="15.75" customHeight="1">
      <c r="A8" s="175"/>
      <c r="B8" s="168" t="s">
        <v>140</v>
      </c>
      <c r="C8" s="176"/>
      <c r="D8" s="177"/>
      <c r="E8" s="177">
        <v>0.5</v>
      </c>
      <c r="F8" s="171">
        <f>F7/3</f>
        <v>37484</v>
      </c>
      <c r="G8" s="178">
        <v>0.16500000000000001</v>
      </c>
      <c r="H8" s="173">
        <f>G8*F8</f>
        <v>6184.8600000000006</v>
      </c>
      <c r="I8" s="173">
        <f t="shared" ref="I8:L14" si="0">H8*1.03</f>
        <v>6370.4058000000005</v>
      </c>
      <c r="J8" s="179">
        <f t="shared" si="0"/>
        <v>6561.5179740000003</v>
      </c>
      <c r="K8" s="179">
        <f t="shared" si="0"/>
        <v>6758.3635132200006</v>
      </c>
      <c r="L8" s="179">
        <v>0</v>
      </c>
      <c r="M8" s="174">
        <f t="shared" ref="M8:M20" si="1">SUM(H8:L8)</f>
        <v>25875.147287220003</v>
      </c>
    </row>
    <row r="9" spans="1:13" ht="15.75" customHeight="1">
      <c r="A9" s="175"/>
      <c r="B9" s="180" t="s">
        <v>141</v>
      </c>
      <c r="C9" s="176"/>
      <c r="D9" s="177"/>
      <c r="E9" s="177"/>
      <c r="F9" s="171">
        <v>0</v>
      </c>
      <c r="G9" s="181">
        <v>0</v>
      </c>
      <c r="H9" s="173">
        <f>G9*F9</f>
        <v>0</v>
      </c>
      <c r="I9" s="173">
        <f t="shared" si="0"/>
        <v>0</v>
      </c>
      <c r="J9" s="179">
        <f t="shared" si="0"/>
        <v>0</v>
      </c>
      <c r="K9" s="179">
        <f t="shared" si="0"/>
        <v>0</v>
      </c>
      <c r="L9" s="179">
        <f t="shared" si="0"/>
        <v>0</v>
      </c>
      <c r="M9" s="174">
        <f t="shared" si="1"/>
        <v>0</v>
      </c>
    </row>
    <row r="10" spans="1:13" ht="15.75" customHeight="1">
      <c r="A10" s="182" t="s">
        <v>142</v>
      </c>
      <c r="B10" s="183"/>
      <c r="C10" s="184"/>
      <c r="D10" s="184"/>
      <c r="E10" s="184"/>
      <c r="F10" s="184"/>
      <c r="G10" s="185"/>
      <c r="H10" s="186">
        <f>SUM(H7:H9)</f>
        <v>6184.8600000000006</v>
      </c>
      <c r="I10" s="186">
        <f t="shared" ref="I10:L10" si="2">SUM(I7:I9)</f>
        <v>6370.4058000000005</v>
      </c>
      <c r="J10" s="186">
        <f t="shared" si="2"/>
        <v>6561.5179740000003</v>
      </c>
      <c r="K10" s="186">
        <f t="shared" si="2"/>
        <v>6758.3635132200006</v>
      </c>
      <c r="L10" s="186">
        <f t="shared" si="2"/>
        <v>0</v>
      </c>
      <c r="M10" s="187">
        <f>SUM(H10:L10)</f>
        <v>25875.147287220003</v>
      </c>
    </row>
    <row r="11" spans="1:13" ht="15.75" customHeight="1">
      <c r="A11" s="188"/>
      <c r="B11" s="189" t="s">
        <v>143</v>
      </c>
      <c r="C11" s="188"/>
      <c r="D11" s="188"/>
      <c r="E11" s="188"/>
      <c r="F11" s="188"/>
      <c r="G11" s="188"/>
      <c r="H11" s="188"/>
      <c r="I11" s="188"/>
      <c r="J11" s="188"/>
      <c r="K11" s="188"/>
      <c r="L11" s="188"/>
      <c r="M11" s="190"/>
    </row>
    <row r="12" spans="1:13" ht="15.75" customHeight="1">
      <c r="A12" s="162"/>
      <c r="B12" s="191" t="s">
        <v>144</v>
      </c>
      <c r="C12" s="176"/>
      <c r="D12" s="177"/>
      <c r="E12" s="177"/>
      <c r="F12" s="171">
        <v>52000</v>
      </c>
      <c r="G12" s="192">
        <v>0.5</v>
      </c>
      <c r="H12" s="173"/>
      <c r="I12" s="173">
        <f>G12*F12</f>
        <v>26000</v>
      </c>
      <c r="J12" s="179">
        <f t="shared" ref="I12:L20" si="3">I12*1.03</f>
        <v>26780</v>
      </c>
      <c r="K12" s="179">
        <v>0</v>
      </c>
      <c r="L12" s="179">
        <v>0</v>
      </c>
      <c r="M12" s="174">
        <f t="shared" si="1"/>
        <v>52780</v>
      </c>
    </row>
    <row r="13" spans="1:13" ht="15.75" customHeight="1">
      <c r="A13" s="162"/>
      <c r="B13" s="191" t="s">
        <v>144</v>
      </c>
      <c r="C13" s="176"/>
      <c r="D13" s="177"/>
      <c r="E13" s="177"/>
      <c r="F13" s="171">
        <v>0</v>
      </c>
      <c r="G13" s="192">
        <v>0</v>
      </c>
      <c r="H13" s="173">
        <f t="shared" ref="H13:H20" si="4">G13*F13</f>
        <v>0</v>
      </c>
      <c r="I13" s="173">
        <f t="shared" si="0"/>
        <v>0</v>
      </c>
      <c r="J13" s="193">
        <f t="shared" si="3"/>
        <v>0</v>
      </c>
      <c r="K13" s="193">
        <f t="shared" si="3"/>
        <v>0</v>
      </c>
      <c r="L13" s="193">
        <f t="shared" si="3"/>
        <v>0</v>
      </c>
      <c r="M13" s="174">
        <f t="shared" si="1"/>
        <v>0</v>
      </c>
    </row>
    <row r="14" spans="1:13" ht="15.75" customHeight="1">
      <c r="A14" s="162"/>
      <c r="B14" s="191" t="s">
        <v>145</v>
      </c>
      <c r="C14" s="194"/>
      <c r="D14" s="177"/>
      <c r="E14" s="177"/>
      <c r="F14" s="171">
        <v>0</v>
      </c>
      <c r="G14" s="192">
        <v>0</v>
      </c>
      <c r="H14" s="173">
        <f t="shared" si="4"/>
        <v>0</v>
      </c>
      <c r="I14" s="173">
        <f t="shared" si="0"/>
        <v>0</v>
      </c>
      <c r="J14" s="193">
        <f t="shared" si="3"/>
        <v>0</v>
      </c>
      <c r="K14" s="193">
        <f t="shared" si="3"/>
        <v>0</v>
      </c>
      <c r="L14" s="193">
        <f t="shared" si="3"/>
        <v>0</v>
      </c>
      <c r="M14" s="174">
        <f t="shared" si="1"/>
        <v>0</v>
      </c>
    </row>
    <row r="15" spans="1:13" ht="15.75" customHeight="1">
      <c r="A15" s="162"/>
      <c r="B15" s="195" t="s">
        <v>146</v>
      </c>
      <c r="C15" s="194" t="s">
        <v>123</v>
      </c>
      <c r="D15" s="177"/>
      <c r="E15" s="177"/>
      <c r="F15" s="171">
        <v>0</v>
      </c>
      <c r="G15" s="192">
        <v>0</v>
      </c>
      <c r="H15" s="173">
        <f>G15*F15</f>
        <v>0</v>
      </c>
      <c r="I15" s="173">
        <v>0</v>
      </c>
      <c r="J15" s="193">
        <v>0</v>
      </c>
      <c r="K15" s="193">
        <f t="shared" si="3"/>
        <v>0</v>
      </c>
      <c r="L15" s="193">
        <f t="shared" si="3"/>
        <v>0</v>
      </c>
      <c r="M15" s="174">
        <f>SUM(H15:L15)</f>
        <v>0</v>
      </c>
    </row>
    <row r="16" spans="1:13" ht="15.75" customHeight="1">
      <c r="A16" s="162"/>
      <c r="B16" s="195" t="s">
        <v>146</v>
      </c>
      <c r="C16" s="194"/>
      <c r="D16" s="177"/>
      <c r="E16" s="177"/>
      <c r="F16" s="171">
        <v>0</v>
      </c>
      <c r="G16" s="192">
        <v>0</v>
      </c>
      <c r="H16" s="173">
        <f>G16*F16</f>
        <v>0</v>
      </c>
      <c r="I16" s="173">
        <f t="shared" si="3"/>
        <v>0</v>
      </c>
      <c r="J16" s="193">
        <f t="shared" si="3"/>
        <v>0</v>
      </c>
      <c r="K16" s="193">
        <f t="shared" si="3"/>
        <v>0</v>
      </c>
      <c r="L16" s="193">
        <f t="shared" si="3"/>
        <v>0</v>
      </c>
      <c r="M16" s="174">
        <f>SUM(H16:L16)</f>
        <v>0</v>
      </c>
    </row>
    <row r="17" spans="1:13" ht="15.75" customHeight="1">
      <c r="A17" s="162"/>
      <c r="B17" s="196" t="s">
        <v>147</v>
      </c>
      <c r="C17" s="197"/>
      <c r="D17" s="197"/>
      <c r="E17" s="197"/>
      <c r="F17" s="171">
        <v>0</v>
      </c>
      <c r="G17" s="198">
        <v>0</v>
      </c>
      <c r="H17" s="173">
        <f t="shared" si="4"/>
        <v>0</v>
      </c>
      <c r="I17" s="173">
        <f t="shared" si="3"/>
        <v>0</v>
      </c>
      <c r="J17" s="193">
        <f t="shared" si="3"/>
        <v>0</v>
      </c>
      <c r="K17" s="193">
        <f t="shared" si="3"/>
        <v>0</v>
      </c>
      <c r="L17" s="193">
        <f t="shared" si="3"/>
        <v>0</v>
      </c>
      <c r="M17" s="174">
        <f t="shared" si="1"/>
        <v>0</v>
      </c>
    </row>
    <row r="18" spans="1:13" ht="15.75" customHeight="1">
      <c r="A18" s="162"/>
      <c r="B18" s="196" t="s">
        <v>148</v>
      </c>
      <c r="C18" s="197"/>
      <c r="D18" s="197"/>
      <c r="E18" s="197"/>
      <c r="F18" s="171">
        <v>0</v>
      </c>
      <c r="G18" s="198">
        <v>0</v>
      </c>
      <c r="H18" s="173">
        <f t="shared" si="4"/>
        <v>0</v>
      </c>
      <c r="I18" s="173">
        <f t="shared" si="3"/>
        <v>0</v>
      </c>
      <c r="J18" s="193">
        <f t="shared" si="3"/>
        <v>0</v>
      </c>
      <c r="K18" s="193">
        <f t="shared" si="3"/>
        <v>0</v>
      </c>
      <c r="L18" s="193">
        <f t="shared" si="3"/>
        <v>0</v>
      </c>
      <c r="M18" s="174">
        <f t="shared" si="1"/>
        <v>0</v>
      </c>
    </row>
    <row r="19" spans="1:13" ht="15.75" customHeight="1">
      <c r="A19" s="162"/>
      <c r="B19" s="199" t="s">
        <v>149</v>
      </c>
      <c r="C19" s="200"/>
      <c r="D19" s="197"/>
      <c r="E19" s="197"/>
      <c r="F19" s="171">
        <v>0</v>
      </c>
      <c r="G19" s="201">
        <v>0</v>
      </c>
      <c r="H19" s="173">
        <f t="shared" si="4"/>
        <v>0</v>
      </c>
      <c r="I19" s="173">
        <f t="shared" si="3"/>
        <v>0</v>
      </c>
      <c r="J19" s="193">
        <f t="shared" si="3"/>
        <v>0</v>
      </c>
      <c r="K19" s="193">
        <f t="shared" si="3"/>
        <v>0</v>
      </c>
      <c r="L19" s="193">
        <f t="shared" si="3"/>
        <v>0</v>
      </c>
      <c r="M19" s="174">
        <f t="shared" si="1"/>
        <v>0</v>
      </c>
    </row>
    <row r="20" spans="1:13" ht="15.75" customHeight="1">
      <c r="A20" s="162"/>
      <c r="B20" s="202" t="s">
        <v>150</v>
      </c>
      <c r="C20" s="197"/>
      <c r="D20" s="197"/>
      <c r="E20" s="197"/>
      <c r="F20" s="171">
        <v>0</v>
      </c>
      <c r="G20" s="201">
        <v>0</v>
      </c>
      <c r="H20" s="173">
        <f t="shared" si="4"/>
        <v>0</v>
      </c>
      <c r="I20" s="173">
        <f t="shared" si="3"/>
        <v>0</v>
      </c>
      <c r="J20" s="193">
        <f t="shared" si="3"/>
        <v>0</v>
      </c>
      <c r="K20" s="193">
        <f t="shared" si="3"/>
        <v>0</v>
      </c>
      <c r="L20" s="193">
        <f t="shared" si="3"/>
        <v>0</v>
      </c>
      <c r="M20" s="174">
        <f t="shared" si="1"/>
        <v>0</v>
      </c>
    </row>
    <row r="21" spans="1:13" ht="15.75" customHeight="1">
      <c r="A21" s="182" t="s">
        <v>151</v>
      </c>
      <c r="B21" s="203"/>
      <c r="C21" s="184"/>
      <c r="D21" s="184"/>
      <c r="E21" s="184"/>
      <c r="F21" s="184"/>
      <c r="G21" s="185"/>
      <c r="H21" s="186">
        <f>SUM(H12:H20)</f>
        <v>0</v>
      </c>
      <c r="I21" s="186">
        <f>SUM(I12:I20)</f>
        <v>26000</v>
      </c>
      <c r="J21" s="186">
        <f>SUM(J12:J20)</f>
        <v>26780</v>
      </c>
      <c r="K21" s="186">
        <f>SUM(K12:K20)</f>
        <v>0</v>
      </c>
      <c r="L21" s="186">
        <f>SUM(L12:L20)</f>
        <v>0</v>
      </c>
      <c r="M21" s="187">
        <f>SUM(H21:L21)</f>
        <v>52780</v>
      </c>
    </row>
    <row r="22" spans="1:13" ht="15.75" customHeight="1">
      <c r="A22" s="142"/>
      <c r="B22" s="163" t="s">
        <v>152</v>
      </c>
      <c r="C22" s="149"/>
      <c r="D22" s="149"/>
      <c r="E22" s="149"/>
      <c r="F22" s="149"/>
      <c r="G22" s="204"/>
      <c r="H22" s="205"/>
      <c r="I22" s="205"/>
      <c r="J22" s="205"/>
      <c r="K22" s="205"/>
      <c r="L22" s="205"/>
      <c r="M22" s="206"/>
    </row>
    <row r="23" spans="1:13" ht="15.75" customHeight="1">
      <c r="A23" s="162"/>
      <c r="B23" s="149" t="s">
        <v>153</v>
      </c>
      <c r="C23" s="302" t="s">
        <v>154</v>
      </c>
      <c r="D23" s="302"/>
      <c r="E23" s="302"/>
      <c r="F23" s="303" t="s">
        <v>155</v>
      </c>
      <c r="G23" s="304"/>
      <c r="H23" s="305" t="s">
        <v>156</v>
      </c>
      <c r="I23" s="305"/>
      <c r="J23" s="305"/>
      <c r="K23" s="305"/>
      <c r="L23" s="305"/>
      <c r="M23" s="207"/>
    </row>
    <row r="24" spans="1:13" ht="15.75" customHeight="1">
      <c r="A24" s="162"/>
      <c r="B24" s="168" t="s">
        <v>157</v>
      </c>
      <c r="C24" s="306" t="s">
        <v>158</v>
      </c>
      <c r="D24" s="307"/>
      <c r="E24" s="307"/>
      <c r="F24" s="296">
        <v>0.23400000000000001</v>
      </c>
      <c r="G24" s="297"/>
      <c r="H24" s="208">
        <f>H7*F24</f>
        <v>0</v>
      </c>
      <c r="I24" s="209">
        <f>I7*F24</f>
        <v>0</v>
      </c>
      <c r="J24" s="209">
        <f>J7*F24</f>
        <v>0</v>
      </c>
      <c r="K24" s="209">
        <f>K7*F24</f>
        <v>0</v>
      </c>
      <c r="L24" s="209">
        <f>L7*F24</f>
        <v>0</v>
      </c>
      <c r="M24" s="210">
        <f>SUM(H24:L24)</f>
        <v>0</v>
      </c>
    </row>
    <row r="25" spans="1:13" ht="15.75" customHeight="1">
      <c r="A25" s="162"/>
      <c r="B25" s="168" t="s">
        <v>159</v>
      </c>
      <c r="C25" s="295"/>
      <c r="D25" s="295"/>
      <c r="E25" s="295"/>
      <c r="F25" s="296">
        <v>0.13900000000000001</v>
      </c>
      <c r="G25" s="297"/>
      <c r="H25" s="208">
        <f>H8*F25</f>
        <v>859.69554000000016</v>
      </c>
      <c r="I25" s="209">
        <f>I8*F25</f>
        <v>885.48640620000015</v>
      </c>
      <c r="J25" s="209">
        <f>J8*F25</f>
        <v>912.05099838600017</v>
      </c>
      <c r="K25" s="209">
        <f>K8*F25</f>
        <v>939.41252833758017</v>
      </c>
      <c r="L25" s="209">
        <f>L8*F25</f>
        <v>0</v>
      </c>
      <c r="M25" s="210">
        <f t="shared" ref="M25:M34" si="5">SUM(H25:L25)</f>
        <v>3596.6454729235807</v>
      </c>
    </row>
    <row r="26" spans="1:13" ht="15.75" customHeight="1">
      <c r="A26" s="162"/>
      <c r="B26" s="211" t="s">
        <v>141</v>
      </c>
      <c r="C26" s="295"/>
      <c r="D26" s="295"/>
      <c r="E26" s="295"/>
      <c r="F26" s="296">
        <v>0.23400000000000001</v>
      </c>
      <c r="G26" s="297"/>
      <c r="H26" s="208">
        <f>H9*F26</f>
        <v>0</v>
      </c>
      <c r="I26" s="209">
        <f>I9*F26</f>
        <v>0</v>
      </c>
      <c r="J26" s="209">
        <f>J9*F26</f>
        <v>0</v>
      </c>
      <c r="K26" s="209">
        <f>K9*F26</f>
        <v>0</v>
      </c>
      <c r="L26" s="209">
        <f>L9*F26</f>
        <v>0</v>
      </c>
      <c r="M26" s="210">
        <f t="shared" si="5"/>
        <v>0</v>
      </c>
    </row>
    <row r="27" spans="1:13" ht="15.75" customHeight="1">
      <c r="A27" s="212"/>
      <c r="B27" s="191" t="s">
        <v>144</v>
      </c>
      <c r="C27" s="308"/>
      <c r="D27" s="308"/>
      <c r="E27" s="308"/>
      <c r="F27" s="296">
        <v>0.315</v>
      </c>
      <c r="G27" s="296"/>
      <c r="H27" s="208">
        <f t="shared" ref="H27:H35" si="6">H12*F27</f>
        <v>0</v>
      </c>
      <c r="I27" s="213">
        <f t="shared" ref="I27:I35" si="7">I12*F27</f>
        <v>8190</v>
      </c>
      <c r="J27" s="213">
        <f t="shared" ref="J27:J35" si="8">J12*F27</f>
        <v>8435.7000000000007</v>
      </c>
      <c r="K27" s="213">
        <f t="shared" ref="K27:K35" si="9">K12*F27</f>
        <v>0</v>
      </c>
      <c r="L27" s="213">
        <f t="shared" ref="L27:L35" si="10">L12*F27</f>
        <v>0</v>
      </c>
      <c r="M27" s="210">
        <f t="shared" si="5"/>
        <v>16625.7</v>
      </c>
    </row>
    <row r="28" spans="1:13" ht="15.75" customHeight="1">
      <c r="A28" s="212"/>
      <c r="B28" s="191" t="s">
        <v>144</v>
      </c>
      <c r="C28" s="308"/>
      <c r="D28" s="308"/>
      <c r="E28" s="308"/>
      <c r="F28" s="296">
        <v>0.315</v>
      </c>
      <c r="G28" s="296"/>
      <c r="H28" s="208">
        <f t="shared" si="6"/>
        <v>0</v>
      </c>
      <c r="I28" s="213">
        <f t="shared" si="7"/>
        <v>0</v>
      </c>
      <c r="J28" s="213">
        <f t="shared" si="8"/>
        <v>0</v>
      </c>
      <c r="K28" s="213">
        <f t="shared" si="9"/>
        <v>0</v>
      </c>
      <c r="L28" s="213">
        <f t="shared" si="10"/>
        <v>0</v>
      </c>
      <c r="M28" s="210">
        <f t="shared" si="5"/>
        <v>0</v>
      </c>
    </row>
    <row r="29" spans="1:13" ht="15.75" customHeight="1">
      <c r="A29" s="212"/>
      <c r="B29" s="191" t="s">
        <v>145</v>
      </c>
      <c r="C29" s="309"/>
      <c r="D29" s="310"/>
      <c r="E29" s="311"/>
      <c r="F29" s="296">
        <v>0.315</v>
      </c>
      <c r="G29" s="296"/>
      <c r="H29" s="208">
        <f t="shared" si="6"/>
        <v>0</v>
      </c>
      <c r="I29" s="213">
        <f t="shared" si="7"/>
        <v>0</v>
      </c>
      <c r="J29" s="213">
        <f t="shared" si="8"/>
        <v>0</v>
      </c>
      <c r="K29" s="213">
        <f t="shared" si="9"/>
        <v>0</v>
      </c>
      <c r="L29" s="213">
        <f t="shared" si="10"/>
        <v>0</v>
      </c>
      <c r="M29" s="210">
        <f t="shared" si="5"/>
        <v>0</v>
      </c>
    </row>
    <row r="30" spans="1:13" ht="15.75" customHeight="1">
      <c r="A30" s="212"/>
      <c r="B30" s="195" t="s">
        <v>146</v>
      </c>
      <c r="C30" s="312"/>
      <c r="D30" s="312"/>
      <c r="E30" s="312"/>
      <c r="F30" s="296">
        <v>0.115</v>
      </c>
      <c r="G30" s="296"/>
      <c r="H30" s="208">
        <f t="shared" si="6"/>
        <v>0</v>
      </c>
      <c r="I30" s="213">
        <f t="shared" si="7"/>
        <v>0</v>
      </c>
      <c r="J30" s="213">
        <f t="shared" si="8"/>
        <v>0</v>
      </c>
      <c r="K30" s="213">
        <f t="shared" si="9"/>
        <v>0</v>
      </c>
      <c r="L30" s="213">
        <f t="shared" si="10"/>
        <v>0</v>
      </c>
      <c r="M30" s="210">
        <f t="shared" si="5"/>
        <v>0</v>
      </c>
    </row>
    <row r="31" spans="1:13" ht="15.75" customHeight="1">
      <c r="A31" s="212"/>
      <c r="B31" s="195" t="s">
        <v>146</v>
      </c>
      <c r="C31" s="312"/>
      <c r="D31" s="312"/>
      <c r="E31" s="312"/>
      <c r="F31" s="296">
        <v>0.115</v>
      </c>
      <c r="G31" s="296"/>
      <c r="H31" s="208">
        <f t="shared" si="6"/>
        <v>0</v>
      </c>
      <c r="I31" s="213">
        <f t="shared" si="7"/>
        <v>0</v>
      </c>
      <c r="J31" s="213">
        <f t="shared" si="8"/>
        <v>0</v>
      </c>
      <c r="K31" s="213">
        <f t="shared" si="9"/>
        <v>0</v>
      </c>
      <c r="L31" s="213">
        <f t="shared" si="10"/>
        <v>0</v>
      </c>
      <c r="M31" s="210">
        <f t="shared" si="5"/>
        <v>0</v>
      </c>
    </row>
    <row r="32" spans="1:13" ht="15.75" customHeight="1">
      <c r="A32" s="212"/>
      <c r="B32" s="214" t="s">
        <v>147</v>
      </c>
      <c r="C32" s="313"/>
      <c r="D32" s="313"/>
      <c r="E32" s="313"/>
      <c r="F32" s="296">
        <v>0.115</v>
      </c>
      <c r="G32" s="296"/>
      <c r="H32" s="215">
        <f t="shared" si="6"/>
        <v>0</v>
      </c>
      <c r="I32" s="216">
        <f t="shared" si="7"/>
        <v>0</v>
      </c>
      <c r="J32" s="216">
        <f t="shared" si="8"/>
        <v>0</v>
      </c>
      <c r="K32" s="216">
        <f t="shared" si="9"/>
        <v>0</v>
      </c>
      <c r="L32" s="216">
        <f t="shared" si="10"/>
        <v>0</v>
      </c>
      <c r="M32" s="210">
        <f t="shared" si="5"/>
        <v>0</v>
      </c>
    </row>
    <row r="33" spans="1:13" ht="15.75" customHeight="1">
      <c r="A33" s="212"/>
      <c r="B33" s="214" t="s">
        <v>148</v>
      </c>
      <c r="C33" s="313"/>
      <c r="D33" s="313"/>
      <c r="E33" s="313"/>
      <c r="F33" s="296">
        <v>0.115</v>
      </c>
      <c r="G33" s="296"/>
      <c r="H33" s="215">
        <f t="shared" si="6"/>
        <v>0</v>
      </c>
      <c r="I33" s="216">
        <f t="shared" si="7"/>
        <v>0</v>
      </c>
      <c r="J33" s="216">
        <f t="shared" si="8"/>
        <v>0</v>
      </c>
      <c r="K33" s="216">
        <f t="shared" si="9"/>
        <v>0</v>
      </c>
      <c r="L33" s="216">
        <f t="shared" si="10"/>
        <v>0</v>
      </c>
      <c r="M33" s="210">
        <f t="shared" si="5"/>
        <v>0</v>
      </c>
    </row>
    <row r="34" spans="1:13" ht="15.75" customHeight="1">
      <c r="A34" s="162"/>
      <c r="B34" s="199" t="s">
        <v>149</v>
      </c>
      <c r="C34" s="314"/>
      <c r="D34" s="314"/>
      <c r="E34" s="314"/>
      <c r="F34" s="296">
        <v>0.315</v>
      </c>
      <c r="G34" s="296"/>
      <c r="H34" s="208">
        <f t="shared" si="6"/>
        <v>0</v>
      </c>
      <c r="I34" s="213">
        <f t="shared" si="7"/>
        <v>0</v>
      </c>
      <c r="J34" s="213">
        <f t="shared" si="8"/>
        <v>0</v>
      </c>
      <c r="K34" s="213">
        <f t="shared" si="9"/>
        <v>0</v>
      </c>
      <c r="L34" s="213">
        <f t="shared" si="10"/>
        <v>0</v>
      </c>
      <c r="M34" s="210">
        <f t="shared" si="5"/>
        <v>0</v>
      </c>
    </row>
    <row r="35" spans="1:13" ht="15.75" customHeight="1">
      <c r="A35" s="162"/>
      <c r="B35" s="199" t="s">
        <v>150</v>
      </c>
      <c r="C35" s="314"/>
      <c r="D35" s="314"/>
      <c r="E35" s="314"/>
      <c r="F35" s="296">
        <v>0.315</v>
      </c>
      <c r="G35" s="296"/>
      <c r="H35" s="208">
        <f t="shared" si="6"/>
        <v>0</v>
      </c>
      <c r="I35" s="213">
        <f t="shared" si="7"/>
        <v>0</v>
      </c>
      <c r="J35" s="213">
        <f t="shared" si="8"/>
        <v>0</v>
      </c>
      <c r="K35" s="213">
        <f t="shared" si="9"/>
        <v>0</v>
      </c>
      <c r="L35" s="213">
        <f t="shared" si="10"/>
        <v>0</v>
      </c>
      <c r="M35" s="210">
        <f>SUM(H35:L35)</f>
        <v>0</v>
      </c>
    </row>
    <row r="36" spans="1:13" ht="15.75" customHeight="1">
      <c r="A36" s="217" t="s">
        <v>160</v>
      </c>
      <c r="B36" s="183"/>
      <c r="C36" s="184"/>
      <c r="D36" s="184"/>
      <c r="E36" s="184"/>
      <c r="F36" s="184"/>
      <c r="G36" s="185"/>
      <c r="H36" s="218">
        <f>SUM(H24:H35)</f>
        <v>859.69554000000016</v>
      </c>
      <c r="I36" s="218">
        <f>SUM(I24:I35)</f>
        <v>9075.4864061999997</v>
      </c>
      <c r="J36" s="218">
        <f>SUM(J24:J35)</f>
        <v>9347.750998386</v>
      </c>
      <c r="K36" s="218">
        <f>SUM(K24:K35)</f>
        <v>939.41252833758017</v>
      </c>
      <c r="L36" s="218">
        <f>SUM(L24:L35)</f>
        <v>0</v>
      </c>
      <c r="M36" s="219">
        <f>SUM(H36:L36)</f>
        <v>20222.345472923578</v>
      </c>
    </row>
    <row r="37" spans="1:13" ht="15.75" customHeight="1">
      <c r="A37" s="162"/>
      <c r="B37" s="220"/>
      <c r="C37" s="317" t="s">
        <v>161</v>
      </c>
      <c r="D37" s="318"/>
      <c r="E37" s="318"/>
      <c r="F37" s="318"/>
      <c r="G37" s="318"/>
      <c r="H37" s="221">
        <f>H10+H21+H36</f>
        <v>7044.5555400000012</v>
      </c>
      <c r="I37" s="221">
        <f>I10+I21+I36</f>
        <v>41445.892206199998</v>
      </c>
      <c r="J37" s="221">
        <f>J10+J21+J36</f>
        <v>42689.268972386002</v>
      </c>
      <c r="K37" s="221">
        <f>K10+K21+K36</f>
        <v>7697.7760415575813</v>
      </c>
      <c r="L37" s="221">
        <f>L10+L21+L36</f>
        <v>0</v>
      </c>
      <c r="M37" s="222">
        <f>SUM(H37:L37)</f>
        <v>98877.492760143577</v>
      </c>
    </row>
    <row r="38" spans="1:13" ht="15.75" customHeight="1">
      <c r="A38" s="223" t="s">
        <v>162</v>
      </c>
      <c r="B38" s="220"/>
      <c r="C38" s="224"/>
      <c r="D38" s="224"/>
      <c r="E38" s="224"/>
      <c r="F38" s="224"/>
      <c r="G38" s="225"/>
      <c r="H38" s="226"/>
      <c r="I38" s="226"/>
      <c r="J38" s="227"/>
      <c r="K38" s="227"/>
      <c r="L38" s="227"/>
      <c r="M38" s="227"/>
    </row>
    <row r="39" spans="1:13" ht="15.75" customHeight="1">
      <c r="A39" s="162"/>
      <c r="B39" s="228" t="s">
        <v>163</v>
      </c>
      <c r="C39" s="319"/>
      <c r="D39" s="319"/>
      <c r="E39" s="319"/>
      <c r="F39" s="319"/>
      <c r="G39" s="319"/>
      <c r="H39" s="229">
        <v>0</v>
      </c>
      <c r="I39" s="229">
        <v>0</v>
      </c>
      <c r="J39" s="229">
        <v>0</v>
      </c>
      <c r="K39" s="229">
        <v>0</v>
      </c>
      <c r="L39" s="229">
        <v>0</v>
      </c>
      <c r="M39" s="230">
        <f>SUM(H39:L39)</f>
        <v>0</v>
      </c>
    </row>
    <row r="40" spans="1:13" ht="15.75" customHeight="1">
      <c r="A40" s="162"/>
      <c r="B40" s="228" t="s">
        <v>15</v>
      </c>
      <c r="C40" s="320" t="s">
        <v>164</v>
      </c>
      <c r="D40" s="321"/>
      <c r="E40" s="321"/>
      <c r="F40" s="321"/>
      <c r="G40" s="321"/>
      <c r="H40" s="231">
        <f>[1]Travel!F40</f>
        <v>1609</v>
      </c>
      <c r="I40" s="231">
        <f>[1]Travel!G40</f>
        <v>0</v>
      </c>
      <c r="J40" s="231">
        <f>[1]Travel!H40</f>
        <v>3209.6800000000003</v>
      </c>
      <c r="K40" s="231">
        <f>[1]Travel!I40</f>
        <v>624.57000000000016</v>
      </c>
      <c r="L40" s="231">
        <f>[1]Travel!J40</f>
        <v>0</v>
      </c>
      <c r="M40" s="230">
        <f>SUM(H40:L40)</f>
        <v>5443.25</v>
      </c>
    </row>
    <row r="41" spans="1:13" ht="15.75" customHeight="1">
      <c r="A41" s="162"/>
      <c r="B41" s="160" t="s">
        <v>165</v>
      </c>
      <c r="C41" s="320" t="s">
        <v>166</v>
      </c>
      <c r="D41" s="322"/>
      <c r="E41" s="322"/>
      <c r="F41" s="322"/>
      <c r="G41" s="323"/>
      <c r="H41" s="232">
        <f>'[1]Participant Support Costs'!B9</f>
        <v>0</v>
      </c>
      <c r="I41" s="232">
        <f>'[1]Participant Support Costs'!C9</f>
        <v>0</v>
      </c>
      <c r="J41" s="232">
        <v>0</v>
      </c>
      <c r="K41" s="232">
        <v>0</v>
      </c>
      <c r="L41" s="232">
        <f>'[1]Participant Support Costs'!F9</f>
        <v>0</v>
      </c>
      <c r="M41" s="230">
        <f>SUM(H41:L41)</f>
        <v>0</v>
      </c>
    </row>
    <row r="42" spans="1:13" ht="15.75" customHeight="1">
      <c r="A42" s="162"/>
      <c r="B42" s="160" t="s">
        <v>167</v>
      </c>
      <c r="C42" s="324" t="s">
        <v>168</v>
      </c>
      <c r="D42" s="324"/>
      <c r="E42" s="324"/>
      <c r="F42" s="324"/>
      <c r="G42" s="324"/>
      <c r="H42" s="232">
        <f>[1]Materials_Supplies!C43</f>
        <v>0</v>
      </c>
      <c r="I42" s="232">
        <f>[1]Materials_Supplies!D43</f>
        <v>0</v>
      </c>
      <c r="J42" s="232">
        <f>[1]Materials_Supplies!E43</f>
        <v>0</v>
      </c>
      <c r="K42" s="232">
        <f>[1]Materials_Supplies!F43</f>
        <v>0</v>
      </c>
      <c r="L42" s="232">
        <f>[1]Materials_Supplies!G43</f>
        <v>0</v>
      </c>
      <c r="M42" s="230">
        <f t="shared" ref="M42:M64" si="11">SUM(H42:L42)</f>
        <v>0</v>
      </c>
    </row>
    <row r="43" spans="1:13" ht="15.75" customHeight="1">
      <c r="A43" s="162"/>
      <c r="B43" s="160" t="s">
        <v>169</v>
      </c>
      <c r="C43" s="233"/>
      <c r="D43" s="234"/>
      <c r="E43" s="234"/>
      <c r="F43" s="234"/>
      <c r="G43" s="235"/>
      <c r="H43" s="232">
        <v>0</v>
      </c>
      <c r="I43" s="232">
        <v>0</v>
      </c>
      <c r="J43" s="232">
        <v>1500</v>
      </c>
      <c r="K43" s="232">
        <v>1500</v>
      </c>
      <c r="L43" s="232">
        <v>0</v>
      </c>
      <c r="M43" s="230">
        <f t="shared" si="11"/>
        <v>3000</v>
      </c>
    </row>
    <row r="44" spans="1:13" ht="15.75" customHeight="1">
      <c r="A44" s="162"/>
      <c r="B44" s="236" t="s">
        <v>170</v>
      </c>
      <c r="C44" s="237"/>
      <c r="D44" s="237"/>
      <c r="E44" s="237"/>
      <c r="F44" s="237"/>
      <c r="G44" s="238"/>
      <c r="H44" s="239">
        <v>0</v>
      </c>
      <c r="I44" s="239">
        <v>0</v>
      </c>
      <c r="J44" s="239">
        <v>0</v>
      </c>
      <c r="K44" s="239">
        <v>0</v>
      </c>
      <c r="L44" s="239">
        <v>0</v>
      </c>
      <c r="M44" s="230">
        <f t="shared" si="11"/>
        <v>0</v>
      </c>
    </row>
    <row r="45" spans="1:13" ht="15.75" customHeight="1">
      <c r="A45" s="162"/>
      <c r="B45" s="160" t="s">
        <v>171</v>
      </c>
      <c r="C45" s="240"/>
      <c r="D45" s="240"/>
      <c r="E45" s="241"/>
      <c r="F45" s="241"/>
      <c r="G45" s="241"/>
      <c r="H45" s="242">
        <v>0</v>
      </c>
      <c r="I45" s="242">
        <v>0</v>
      </c>
      <c r="J45" s="242">
        <v>0</v>
      </c>
      <c r="K45" s="242">
        <v>0</v>
      </c>
      <c r="L45" s="242">
        <v>0</v>
      </c>
      <c r="M45" s="230">
        <f t="shared" si="11"/>
        <v>0</v>
      </c>
    </row>
    <row r="46" spans="1:13" ht="15.75" customHeight="1">
      <c r="A46" s="162"/>
      <c r="B46" s="243" t="s">
        <v>172</v>
      </c>
      <c r="C46" s="244"/>
      <c r="D46" s="244"/>
      <c r="E46" s="244"/>
      <c r="F46" s="244"/>
      <c r="G46" s="245"/>
      <c r="H46" s="246">
        <v>0</v>
      </c>
      <c r="I46" s="246">
        <v>0</v>
      </c>
      <c r="J46" s="246">
        <v>0</v>
      </c>
      <c r="K46" s="246">
        <v>0</v>
      </c>
      <c r="L46" s="246">
        <v>0</v>
      </c>
      <c r="M46" s="247">
        <f t="shared" si="11"/>
        <v>0</v>
      </c>
    </row>
    <row r="47" spans="1:13" ht="15.75" customHeight="1">
      <c r="A47" s="162"/>
      <c r="B47" s="243" t="s">
        <v>173</v>
      </c>
      <c r="C47" s="244"/>
      <c r="D47" s="244"/>
      <c r="E47" s="244"/>
      <c r="F47" s="244"/>
      <c r="G47" s="245"/>
      <c r="H47" s="246">
        <v>0</v>
      </c>
      <c r="I47" s="246">
        <v>0</v>
      </c>
      <c r="J47" s="246">
        <v>0</v>
      </c>
      <c r="K47" s="246">
        <v>0</v>
      </c>
      <c r="L47" s="246">
        <v>0</v>
      </c>
      <c r="M47" s="247">
        <f t="shared" si="11"/>
        <v>0</v>
      </c>
    </row>
    <row r="48" spans="1:13" ht="15.75" customHeight="1">
      <c r="A48" s="162"/>
      <c r="B48" s="243" t="s">
        <v>174</v>
      </c>
      <c r="C48" s="244"/>
      <c r="D48" s="244"/>
      <c r="E48" s="244"/>
      <c r="F48" s="244"/>
      <c r="G48" s="245"/>
      <c r="H48" s="246">
        <v>0</v>
      </c>
      <c r="I48" s="246">
        <v>0</v>
      </c>
      <c r="J48" s="246">
        <v>0</v>
      </c>
      <c r="K48" s="246">
        <v>0</v>
      </c>
      <c r="L48" s="246">
        <v>0</v>
      </c>
      <c r="M48" s="247">
        <f t="shared" si="11"/>
        <v>0</v>
      </c>
    </row>
    <row r="49" spans="1:13" ht="15.75" customHeight="1">
      <c r="A49" s="162"/>
      <c r="B49" s="243" t="s">
        <v>175</v>
      </c>
      <c r="C49" s="244"/>
      <c r="D49" s="244"/>
      <c r="E49" s="244"/>
      <c r="F49" s="244"/>
      <c r="G49" s="245"/>
      <c r="H49" s="246">
        <v>0</v>
      </c>
      <c r="I49" s="246">
        <v>0</v>
      </c>
      <c r="J49" s="246">
        <v>0</v>
      </c>
      <c r="K49" s="246">
        <v>0</v>
      </c>
      <c r="L49" s="246">
        <v>0</v>
      </c>
      <c r="M49" s="247">
        <f t="shared" si="11"/>
        <v>0</v>
      </c>
    </row>
    <row r="50" spans="1:13" ht="15.75" customHeight="1">
      <c r="A50" s="162"/>
      <c r="B50" s="243" t="s">
        <v>176</v>
      </c>
      <c r="C50" s="244"/>
      <c r="D50" s="244"/>
      <c r="E50" s="244"/>
      <c r="F50" s="244"/>
      <c r="G50" s="245"/>
      <c r="H50" s="246">
        <v>0</v>
      </c>
      <c r="I50" s="246">
        <v>0</v>
      </c>
      <c r="J50" s="246">
        <v>0</v>
      </c>
      <c r="K50" s="246">
        <v>0</v>
      </c>
      <c r="L50" s="246">
        <v>0</v>
      </c>
      <c r="M50" s="247">
        <f t="shared" si="11"/>
        <v>0</v>
      </c>
    </row>
    <row r="51" spans="1:13" ht="15.75" customHeight="1">
      <c r="A51" s="162"/>
      <c r="B51" s="243" t="s">
        <v>177</v>
      </c>
      <c r="C51" s="244"/>
      <c r="D51" s="244"/>
      <c r="E51" s="244"/>
      <c r="F51" s="244"/>
      <c r="G51" s="245"/>
      <c r="H51" s="246">
        <v>0</v>
      </c>
      <c r="I51" s="246">
        <v>0</v>
      </c>
      <c r="J51" s="246">
        <v>0</v>
      </c>
      <c r="K51" s="246">
        <v>0</v>
      </c>
      <c r="L51" s="246">
        <v>0</v>
      </c>
      <c r="M51" s="247">
        <f t="shared" si="11"/>
        <v>0</v>
      </c>
    </row>
    <row r="52" spans="1:13" ht="15.75" customHeight="1">
      <c r="A52" s="162"/>
      <c r="B52" s="243" t="s">
        <v>178</v>
      </c>
      <c r="C52" s="244"/>
      <c r="D52" s="244"/>
      <c r="E52" s="244"/>
      <c r="F52" s="244"/>
      <c r="G52" s="245"/>
      <c r="H52" s="246">
        <v>0</v>
      </c>
      <c r="I52" s="246">
        <v>0</v>
      </c>
      <c r="J52" s="246">
        <v>0</v>
      </c>
      <c r="K52" s="246">
        <v>0</v>
      </c>
      <c r="L52" s="246">
        <v>0</v>
      </c>
      <c r="M52" s="247">
        <f t="shared" si="11"/>
        <v>0</v>
      </c>
    </row>
    <row r="53" spans="1:13" ht="15.75" customHeight="1">
      <c r="A53" s="162"/>
      <c r="B53" s="243" t="s">
        <v>179</v>
      </c>
      <c r="C53" s="244"/>
      <c r="D53" s="244"/>
      <c r="E53" s="244"/>
      <c r="F53" s="244"/>
      <c r="G53" s="245"/>
      <c r="H53" s="246">
        <v>0</v>
      </c>
      <c r="I53" s="246">
        <v>0</v>
      </c>
      <c r="J53" s="246">
        <v>0</v>
      </c>
      <c r="K53" s="246">
        <v>0</v>
      </c>
      <c r="L53" s="246">
        <v>0</v>
      </c>
      <c r="M53" s="247">
        <f t="shared" si="11"/>
        <v>0</v>
      </c>
    </row>
    <row r="54" spans="1:13" ht="15.75" customHeight="1">
      <c r="A54" s="162"/>
      <c r="B54" s="243" t="s">
        <v>180</v>
      </c>
      <c r="C54" s="244"/>
      <c r="D54" s="244"/>
      <c r="E54" s="244"/>
      <c r="F54" s="244"/>
      <c r="G54" s="245"/>
      <c r="H54" s="246">
        <v>0</v>
      </c>
      <c r="I54" s="246">
        <v>0</v>
      </c>
      <c r="J54" s="246">
        <v>0</v>
      </c>
      <c r="K54" s="246">
        <v>0</v>
      </c>
      <c r="L54" s="246">
        <v>0</v>
      </c>
      <c r="M54" s="247">
        <f t="shared" si="11"/>
        <v>0</v>
      </c>
    </row>
    <row r="55" spans="1:13" ht="15.75" customHeight="1">
      <c r="A55" s="162"/>
      <c r="B55" s="243" t="s">
        <v>181</v>
      </c>
      <c r="C55" s="244"/>
      <c r="D55" s="244"/>
      <c r="E55" s="244"/>
      <c r="F55" s="244"/>
      <c r="G55" s="245"/>
      <c r="H55" s="246">
        <v>0</v>
      </c>
      <c r="I55" s="246">
        <v>0</v>
      </c>
      <c r="J55" s="246">
        <v>0</v>
      </c>
      <c r="K55" s="246">
        <v>0</v>
      </c>
      <c r="L55" s="246">
        <v>0</v>
      </c>
      <c r="M55" s="247">
        <f t="shared" si="11"/>
        <v>0</v>
      </c>
    </row>
    <row r="56" spans="1:13" ht="15.75" customHeight="1">
      <c r="A56" s="162"/>
      <c r="B56" s="248"/>
      <c r="C56" s="249"/>
      <c r="D56" s="249" t="s">
        <v>182</v>
      </c>
      <c r="E56" s="249"/>
      <c r="F56" s="249"/>
      <c r="G56" s="250"/>
      <c r="H56" s="251">
        <f>SUM(H46:H55)</f>
        <v>0</v>
      </c>
      <c r="I56" s="251">
        <f t="shared" ref="I56:L56" si="12">SUM(I46:I55)</f>
        <v>0</v>
      </c>
      <c r="J56" s="251">
        <f t="shared" si="12"/>
        <v>0</v>
      </c>
      <c r="K56" s="251">
        <f t="shared" si="12"/>
        <v>0</v>
      </c>
      <c r="L56" s="251">
        <f t="shared" si="12"/>
        <v>0</v>
      </c>
      <c r="M56" s="251">
        <f>SUM(H56:L56)</f>
        <v>0</v>
      </c>
    </row>
    <row r="57" spans="1:13" ht="15.75" customHeight="1">
      <c r="A57" s="162"/>
      <c r="B57" s="160" t="s">
        <v>183</v>
      </c>
      <c r="C57" s="240"/>
      <c r="D57" s="240"/>
      <c r="E57" s="240"/>
      <c r="F57" s="240"/>
      <c r="G57" s="252"/>
      <c r="H57" s="232">
        <v>0</v>
      </c>
      <c r="I57" s="232">
        <v>0</v>
      </c>
      <c r="J57" s="232">
        <v>0</v>
      </c>
      <c r="K57" s="232">
        <v>0</v>
      </c>
      <c r="L57" s="232">
        <v>0</v>
      </c>
      <c r="M57" s="230">
        <f t="shared" si="11"/>
        <v>0</v>
      </c>
    </row>
    <row r="58" spans="1:13" ht="15.75" customHeight="1">
      <c r="A58" s="162"/>
      <c r="B58" s="253" t="s">
        <v>184</v>
      </c>
      <c r="C58" s="253"/>
      <c r="D58" s="240"/>
      <c r="E58" s="240"/>
      <c r="F58" s="240"/>
      <c r="G58" s="252"/>
      <c r="H58" s="254">
        <v>0</v>
      </c>
      <c r="I58" s="254">
        <v>0</v>
      </c>
      <c r="J58" s="254">
        <v>0</v>
      </c>
      <c r="K58" s="254">
        <v>0</v>
      </c>
      <c r="L58" s="254">
        <v>0</v>
      </c>
      <c r="M58" s="255">
        <f t="shared" si="11"/>
        <v>0</v>
      </c>
    </row>
    <row r="59" spans="1:13" ht="15.75" customHeight="1">
      <c r="A59" s="162"/>
      <c r="B59" s="160" t="s">
        <v>185</v>
      </c>
      <c r="C59" s="325" t="s">
        <v>186</v>
      </c>
      <c r="D59" s="326"/>
      <c r="E59" s="326"/>
      <c r="F59" s="326"/>
      <c r="G59" s="327"/>
      <c r="H59" s="242">
        <v>0</v>
      </c>
      <c r="I59" s="242">
        <v>0</v>
      </c>
      <c r="J59" s="242">
        <v>0</v>
      </c>
      <c r="K59" s="242">
        <v>0</v>
      </c>
      <c r="L59" s="242">
        <v>0</v>
      </c>
      <c r="M59" s="230">
        <f>SUM(H59:L59)</f>
        <v>0</v>
      </c>
    </row>
    <row r="60" spans="1:13" ht="15.75" customHeight="1">
      <c r="A60" s="162"/>
      <c r="B60" s="160" t="s">
        <v>187</v>
      </c>
      <c r="C60" s="240"/>
      <c r="D60" s="240"/>
      <c r="E60" s="241"/>
      <c r="F60" s="241"/>
      <c r="G60" s="241"/>
      <c r="H60" s="242">
        <v>0</v>
      </c>
      <c r="I60" s="242">
        <v>0</v>
      </c>
      <c r="J60" s="242">
        <v>0</v>
      </c>
      <c r="K60" s="242">
        <v>0</v>
      </c>
      <c r="L60" s="242">
        <v>0</v>
      </c>
      <c r="M60" s="230">
        <f t="shared" si="11"/>
        <v>0</v>
      </c>
    </row>
    <row r="61" spans="1:13" ht="15.75" customHeight="1">
      <c r="A61" s="162"/>
      <c r="B61" s="160" t="s">
        <v>187</v>
      </c>
      <c r="C61" s="240"/>
      <c r="D61" s="240"/>
      <c r="E61" s="241"/>
      <c r="F61" s="241"/>
      <c r="G61" s="241"/>
      <c r="H61" s="242">
        <v>0</v>
      </c>
      <c r="I61" s="242">
        <v>0</v>
      </c>
      <c r="J61" s="242">
        <v>0</v>
      </c>
      <c r="K61" s="242">
        <v>0</v>
      </c>
      <c r="L61" s="242">
        <v>0</v>
      </c>
      <c r="M61" s="230">
        <f t="shared" si="11"/>
        <v>0</v>
      </c>
    </row>
    <row r="62" spans="1:13" ht="15.75" customHeight="1">
      <c r="A62" s="162"/>
      <c r="B62" s="160" t="s">
        <v>187</v>
      </c>
      <c r="C62" s="240"/>
      <c r="D62" s="240"/>
      <c r="E62" s="241"/>
      <c r="F62" s="241"/>
      <c r="G62" s="241"/>
      <c r="H62" s="242">
        <v>0</v>
      </c>
      <c r="I62" s="242">
        <v>0</v>
      </c>
      <c r="J62" s="242">
        <v>0</v>
      </c>
      <c r="K62" s="242">
        <v>0</v>
      </c>
      <c r="L62" s="242">
        <v>0</v>
      </c>
      <c r="M62" s="230">
        <f t="shared" si="11"/>
        <v>0</v>
      </c>
    </row>
    <row r="63" spans="1:13" ht="15.75" customHeight="1">
      <c r="A63" s="162"/>
      <c r="B63" s="160" t="s">
        <v>187</v>
      </c>
      <c r="C63" s="240"/>
      <c r="D63" s="240"/>
      <c r="E63" s="241"/>
      <c r="F63" s="241"/>
      <c r="G63" s="241"/>
      <c r="H63" s="242">
        <v>0</v>
      </c>
      <c r="I63" s="242">
        <v>0</v>
      </c>
      <c r="J63" s="242">
        <v>0</v>
      </c>
      <c r="K63" s="242">
        <v>0</v>
      </c>
      <c r="L63" s="242">
        <v>0</v>
      </c>
      <c r="M63" s="230">
        <f t="shared" si="11"/>
        <v>0</v>
      </c>
    </row>
    <row r="64" spans="1:13" ht="15.75" customHeight="1">
      <c r="A64" s="162"/>
      <c r="B64" s="160" t="s">
        <v>187</v>
      </c>
      <c r="C64" s="240"/>
      <c r="D64" s="240"/>
      <c r="E64" s="241"/>
      <c r="F64" s="241"/>
      <c r="G64" s="241"/>
      <c r="H64" s="242">
        <v>0</v>
      </c>
      <c r="I64" s="242">
        <v>0</v>
      </c>
      <c r="J64" s="242">
        <v>0</v>
      </c>
      <c r="K64" s="242">
        <v>0</v>
      </c>
      <c r="L64" s="242">
        <v>0</v>
      </c>
      <c r="M64" s="230">
        <f t="shared" si="11"/>
        <v>0</v>
      </c>
    </row>
    <row r="65" spans="1:13" ht="15.75" customHeight="1">
      <c r="A65" s="217" t="s">
        <v>188</v>
      </c>
      <c r="B65" s="183"/>
      <c r="C65" s="184"/>
      <c r="D65" s="184"/>
      <c r="E65" s="184"/>
      <c r="F65" s="184"/>
      <c r="G65" s="256"/>
      <c r="H65" s="186">
        <f>SUM(H37:H64)-H56</f>
        <v>8653.5555400000012</v>
      </c>
      <c r="I65" s="186">
        <f>SUM(I37:I64)-I56</f>
        <v>41445.892206199998</v>
      </c>
      <c r="J65" s="186">
        <f>SUM(J37:J64)-J56</f>
        <v>47398.948972386002</v>
      </c>
      <c r="K65" s="186">
        <f>SUM(K37:K64)-K56</f>
        <v>9822.346041557581</v>
      </c>
      <c r="L65" s="186">
        <f>SUM(L37:L64)-L56</f>
        <v>0</v>
      </c>
      <c r="M65" s="186">
        <f>SUM(H65:L65)</f>
        <v>107320.74276014359</v>
      </c>
    </row>
    <row r="66" spans="1:13" ht="15.75" customHeight="1" thickBot="1">
      <c r="A66" s="257"/>
      <c r="B66" s="258"/>
      <c r="C66" s="259"/>
      <c r="D66" s="259"/>
      <c r="E66" s="259"/>
      <c r="F66" s="260"/>
      <c r="G66" s="261"/>
      <c r="H66" s="262"/>
      <c r="I66" s="262"/>
      <c r="J66" s="262"/>
      <c r="K66" s="262"/>
      <c r="L66" s="262"/>
      <c r="M66" s="262"/>
    </row>
    <row r="67" spans="1:13" ht="15.75" customHeight="1">
      <c r="A67" s="263"/>
      <c r="B67" s="149"/>
      <c r="C67" s="260"/>
      <c r="D67" s="260"/>
      <c r="E67" s="260"/>
      <c r="F67" s="328" t="s">
        <v>189</v>
      </c>
      <c r="G67" s="329"/>
      <c r="H67" s="264">
        <f>H65</f>
        <v>8653.5555400000012</v>
      </c>
      <c r="I67" s="264">
        <f>I65</f>
        <v>41445.892206199998</v>
      </c>
      <c r="J67" s="264">
        <f t="shared" ref="J67:L67" si="13">J65</f>
        <v>47398.948972386002</v>
      </c>
      <c r="K67" s="264">
        <f t="shared" si="13"/>
        <v>9822.346041557581</v>
      </c>
      <c r="L67" s="264">
        <f t="shared" si="13"/>
        <v>0</v>
      </c>
      <c r="M67" s="264">
        <f>SUM(H67:L67)</f>
        <v>107320.74276014359</v>
      </c>
    </row>
    <row r="68" spans="1:13" ht="15.75" customHeight="1">
      <c r="A68" s="220"/>
      <c r="B68" s="220" t="s">
        <v>190</v>
      </c>
      <c r="C68" s="220"/>
      <c r="D68" s="220"/>
      <c r="E68" s="220"/>
      <c r="F68" s="330" t="s">
        <v>191</v>
      </c>
      <c r="G68" s="331"/>
      <c r="H68" s="265">
        <f>H65-H39-H59-H56</f>
        <v>8653.5555400000012</v>
      </c>
      <c r="I68" s="265">
        <f>I65-I39-I59-I56</f>
        <v>41445.892206199998</v>
      </c>
      <c r="J68" s="265">
        <f>J65-J39-J59-J56</f>
        <v>47398.948972386002</v>
      </c>
      <c r="K68" s="265">
        <f>K65-K39-K59-K56</f>
        <v>9822.346041557581</v>
      </c>
      <c r="L68" s="265">
        <f>L65-L39-L59-L56</f>
        <v>0</v>
      </c>
      <c r="M68" s="265">
        <f>SUM(H68:L68)</f>
        <v>107320.74276014359</v>
      </c>
    </row>
    <row r="69" spans="1:13" ht="15.75" customHeight="1">
      <c r="A69" s="149"/>
      <c r="B69" s="266" t="s">
        <v>192</v>
      </c>
      <c r="C69" s="267"/>
      <c r="D69" s="267"/>
      <c r="E69" s="149"/>
      <c r="F69" s="268" t="s">
        <v>193</v>
      </c>
      <c r="G69" s="269">
        <v>0.56000000000000005</v>
      </c>
      <c r="H69" s="270">
        <f>SUM(H68*G69)</f>
        <v>4845.9911024000012</v>
      </c>
      <c r="I69" s="270">
        <f>SUM(I68*G69)</f>
        <v>23209.699635471999</v>
      </c>
      <c r="J69" s="270">
        <f>SUM(J68*G69)</f>
        <v>26543.411424536163</v>
      </c>
      <c r="K69" s="270">
        <f>SUM(K68*G69)</f>
        <v>5500.5137832722457</v>
      </c>
      <c r="L69" s="270">
        <f>SUM(L68*G69)</f>
        <v>0</v>
      </c>
      <c r="M69" s="270">
        <f>SUM(H69:L69)</f>
        <v>60099.615945680409</v>
      </c>
    </row>
    <row r="70" spans="1:13" ht="15.75" customHeight="1" thickBot="1">
      <c r="A70" s="149"/>
      <c r="B70" s="267"/>
      <c r="C70" s="267"/>
      <c r="D70" s="267"/>
      <c r="E70" s="271"/>
      <c r="F70" s="315" t="s">
        <v>194</v>
      </c>
      <c r="G70" s="316"/>
      <c r="H70" s="272">
        <f>SUM(H69+H67)</f>
        <v>13499.546642400002</v>
      </c>
      <c r="I70" s="272">
        <f t="shared" ref="I70:L70" si="14">SUM(I69+I67)</f>
        <v>64655.591841671994</v>
      </c>
      <c r="J70" s="272">
        <f t="shared" si="14"/>
        <v>73942.360396922159</v>
      </c>
      <c r="K70" s="272">
        <f t="shared" si="14"/>
        <v>15322.859824829826</v>
      </c>
      <c r="L70" s="272">
        <f t="shared" si="14"/>
        <v>0</v>
      </c>
      <c r="M70" s="272">
        <f>SUM(M67,M69)</f>
        <v>167420.35870582401</v>
      </c>
    </row>
    <row r="71" spans="1:13" ht="15.75" customHeight="1"/>
    <row r="72" spans="1:13" ht="15.75" customHeight="1"/>
    <row r="73" spans="1:13" ht="15.75" customHeight="1"/>
    <row r="74" spans="1:13" ht="15.75" customHeight="1"/>
    <row r="75" spans="1:13" ht="15.75" customHeight="1"/>
    <row r="76" spans="1:13" ht="15.75" customHeight="1"/>
    <row r="77" spans="1:13" ht="15.75" customHeight="1"/>
    <row r="78" spans="1:13" ht="15.75" customHeight="1"/>
    <row r="79" spans="1:13" ht="15.75" customHeight="1"/>
    <row r="80" spans="1:13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8">
    <mergeCell ref="F70:G70"/>
    <mergeCell ref="C37:G37"/>
    <mergeCell ref="C39:G39"/>
    <mergeCell ref="C40:G40"/>
    <mergeCell ref="C41:G41"/>
    <mergeCell ref="C42:G42"/>
    <mergeCell ref="C59:G59"/>
    <mergeCell ref="F67:G67"/>
    <mergeCell ref="F68:G68"/>
    <mergeCell ref="C33:E33"/>
    <mergeCell ref="F33:G33"/>
    <mergeCell ref="C34:E34"/>
    <mergeCell ref="F34:G34"/>
    <mergeCell ref="C35:E35"/>
    <mergeCell ref="F35:G35"/>
    <mergeCell ref="C30:E30"/>
    <mergeCell ref="F30:G30"/>
    <mergeCell ref="C31:E31"/>
    <mergeCell ref="F31:G31"/>
    <mergeCell ref="C32:E32"/>
    <mergeCell ref="F32:G32"/>
    <mergeCell ref="C27:E27"/>
    <mergeCell ref="F27:G27"/>
    <mergeCell ref="C28:E28"/>
    <mergeCell ref="F28:G28"/>
    <mergeCell ref="C29:E29"/>
    <mergeCell ref="F29:G29"/>
    <mergeCell ref="H23:L23"/>
    <mergeCell ref="C24:E24"/>
    <mergeCell ref="F24:G24"/>
    <mergeCell ref="C25:E25"/>
    <mergeCell ref="F25:G25"/>
    <mergeCell ref="C26:E26"/>
    <mergeCell ref="F26:G26"/>
    <mergeCell ref="G4:G5"/>
    <mergeCell ref="C5:E5"/>
    <mergeCell ref="C23:E23"/>
    <mergeCell ref="F23:G2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37"/>
  <sheetViews>
    <sheetView zoomScale="160" zoomScaleNormal="160" workbookViewId="0">
      <selection activeCell="C6" sqref="C6"/>
    </sheetView>
  </sheetViews>
  <sheetFormatPr baseColWidth="10" defaultColWidth="9" defaultRowHeight="14"/>
  <cols>
    <col min="2" max="2" width="30.19921875" customWidth="1"/>
    <col min="3" max="3" width="9.3984375" customWidth="1"/>
  </cols>
  <sheetData>
    <row r="1" spans="1:8">
      <c r="A1" s="74" t="s">
        <v>90</v>
      </c>
      <c r="B1" s="75"/>
      <c r="C1" s="92" t="s">
        <v>25</v>
      </c>
    </row>
    <row r="2" spans="1:8">
      <c r="A2" s="83" t="s">
        <v>63</v>
      </c>
      <c r="C2" s="78">
        <v>6</v>
      </c>
    </row>
    <row r="3" spans="1:8">
      <c r="A3" s="83" t="s">
        <v>64</v>
      </c>
      <c r="C3" s="78">
        <v>150</v>
      </c>
    </row>
    <row r="4" spans="1:8">
      <c r="A4" s="83" t="s">
        <v>217</v>
      </c>
      <c r="C4" s="78">
        <f>7*4</f>
        <v>28</v>
      </c>
    </row>
    <row r="5" spans="1:8">
      <c r="A5" s="83" t="s">
        <v>218</v>
      </c>
      <c r="C5" s="78">
        <f>C3*C4</f>
        <v>4200</v>
      </c>
    </row>
    <row r="6" spans="1:8">
      <c r="A6" s="83" t="s">
        <v>65</v>
      </c>
      <c r="C6" s="78">
        <v>15</v>
      </c>
    </row>
    <row r="7" spans="1:8">
      <c r="A7" s="83" t="s">
        <v>66</v>
      </c>
      <c r="C7" s="101">
        <v>3.5</v>
      </c>
    </row>
    <row r="8" spans="1:8" s="21" customFormat="1">
      <c r="A8" s="83" t="s">
        <v>219</v>
      </c>
      <c r="B8"/>
      <c r="C8" s="101">
        <f>(C5/C6)*C7</f>
        <v>980</v>
      </c>
    </row>
    <row r="9" spans="1:8" s="21" customFormat="1">
      <c r="A9" s="83"/>
      <c r="B9"/>
      <c r="C9" s="78"/>
    </row>
    <row r="10" spans="1:8" s="21" customFormat="1">
      <c r="A10" s="74" t="s">
        <v>207</v>
      </c>
      <c r="B10" s="74"/>
      <c r="C10" s="111" t="s">
        <v>25</v>
      </c>
      <c r="D10" s="111" t="s">
        <v>36</v>
      </c>
      <c r="E10" s="76" t="s">
        <v>33</v>
      </c>
      <c r="F10" s="76" t="s">
        <v>34</v>
      </c>
      <c r="G10" s="76" t="s">
        <v>35</v>
      </c>
      <c r="H10" s="77"/>
    </row>
    <row r="11" spans="1:8" s="21" customFormat="1">
      <c r="A11" s="33" t="s">
        <v>32</v>
      </c>
      <c r="B11" s="33"/>
      <c r="C11" s="33"/>
      <c r="D11" s="33"/>
      <c r="E11" s="79">
        <v>750</v>
      </c>
      <c r="F11" s="79">
        <v>2</v>
      </c>
      <c r="G11" s="79">
        <f t="shared" ref="G11:G14" si="0">E11*F11</f>
        <v>1500</v>
      </c>
      <c r="H11" s="80"/>
    </row>
    <row r="12" spans="1:8" s="21" customFormat="1">
      <c r="A12" s="33" t="s">
        <v>92</v>
      </c>
      <c r="B12" s="33"/>
      <c r="C12" s="33">
        <v>258</v>
      </c>
      <c r="D12" s="33">
        <v>3</v>
      </c>
      <c r="E12" s="79">
        <f>C12*D12</f>
        <v>774</v>
      </c>
      <c r="F12" s="79">
        <v>2</v>
      </c>
      <c r="G12" s="79">
        <f t="shared" si="0"/>
        <v>1548</v>
      </c>
      <c r="H12" s="80"/>
    </row>
    <row r="13" spans="1:8" s="21" customFormat="1">
      <c r="A13" s="33" t="s">
        <v>29</v>
      </c>
      <c r="B13" s="33"/>
      <c r="C13" s="33"/>
      <c r="D13" s="33"/>
      <c r="E13" s="79">
        <v>150</v>
      </c>
      <c r="F13" s="79">
        <v>2</v>
      </c>
      <c r="G13" s="79">
        <f t="shared" si="0"/>
        <v>300</v>
      </c>
      <c r="H13" s="80"/>
    </row>
    <row r="14" spans="1:8" s="21" customFormat="1">
      <c r="A14" s="33" t="s">
        <v>93</v>
      </c>
      <c r="B14" s="33"/>
      <c r="C14" s="115" t="s">
        <v>97</v>
      </c>
      <c r="D14" s="33">
        <v>3</v>
      </c>
      <c r="E14" s="79">
        <f>(76*2)+(57*2)</f>
        <v>266</v>
      </c>
      <c r="F14" s="79">
        <v>2</v>
      </c>
      <c r="G14" s="79">
        <f t="shared" si="0"/>
        <v>532</v>
      </c>
      <c r="H14" s="80"/>
    </row>
    <row r="15" spans="1:8" s="21" customFormat="1" ht="15" thickBot="1">
      <c r="A15" s="81" t="s">
        <v>8</v>
      </c>
      <c r="B15" s="81"/>
      <c r="C15" s="81"/>
      <c r="D15" s="81"/>
      <c r="E15" s="82">
        <f>SUM(E11:E14)</f>
        <v>1940</v>
      </c>
      <c r="F15" s="82"/>
      <c r="G15" s="86">
        <f>SUM(G11:G14)</f>
        <v>3880</v>
      </c>
      <c r="H15" s="80"/>
    </row>
    <row r="16" spans="1:8" s="21" customFormat="1" thickTop="1">
      <c r="A16" s="84"/>
      <c r="B16" s="85"/>
      <c r="C16" s="85"/>
    </row>
    <row r="17" spans="1:12" s="21" customFormat="1">
      <c r="A17" s="74" t="s">
        <v>196</v>
      </c>
      <c r="B17" s="74"/>
      <c r="C17" s="111" t="s">
        <v>25</v>
      </c>
      <c r="D17" s="111" t="s">
        <v>36</v>
      </c>
      <c r="E17" s="76" t="s">
        <v>33</v>
      </c>
      <c r="F17" s="76" t="s">
        <v>34</v>
      </c>
      <c r="G17" s="76" t="s">
        <v>35</v>
      </c>
      <c r="H17" s="77"/>
    </row>
    <row r="18" spans="1:12" s="21" customFormat="1">
      <c r="A18" s="33" t="s">
        <v>28</v>
      </c>
      <c r="B18" s="33"/>
      <c r="C18" s="33"/>
      <c r="D18" s="33"/>
      <c r="E18" s="79">
        <v>500</v>
      </c>
      <c r="F18" s="79">
        <v>3</v>
      </c>
      <c r="G18" s="79">
        <f>E18*F18</f>
        <v>1500</v>
      </c>
      <c r="H18" s="80"/>
      <c r="I18" s="6"/>
      <c r="J18" s="6"/>
      <c r="K18" s="6"/>
      <c r="L18" s="6"/>
    </row>
    <row r="19" spans="1:12" s="21" customFormat="1">
      <c r="A19" s="33" t="s">
        <v>37</v>
      </c>
      <c r="B19" s="33"/>
      <c r="C19" s="33"/>
      <c r="D19" s="33"/>
      <c r="E19" s="79">
        <v>750</v>
      </c>
      <c r="F19" s="79">
        <v>3</v>
      </c>
      <c r="G19" s="79">
        <f t="shared" ref="G19:G22" si="1">E19*F19</f>
        <v>2250</v>
      </c>
      <c r="H19" s="80"/>
    </row>
    <row r="20" spans="1:12" s="21" customFormat="1">
      <c r="A20" s="33" t="s">
        <v>94</v>
      </c>
      <c r="B20" s="33"/>
      <c r="C20" s="33">
        <v>120</v>
      </c>
      <c r="D20" s="33">
        <v>5</v>
      </c>
      <c r="E20" s="79">
        <f>C20*D20</f>
        <v>600</v>
      </c>
      <c r="F20" s="79">
        <v>3</v>
      </c>
      <c r="G20" s="79">
        <f>E20*F20</f>
        <v>1800</v>
      </c>
      <c r="H20" s="80"/>
    </row>
    <row r="21" spans="1:12" s="21" customFormat="1">
      <c r="A21" s="33" t="s">
        <v>29</v>
      </c>
      <c r="B21" s="33"/>
      <c r="C21" s="33"/>
      <c r="D21" s="33"/>
      <c r="E21" s="79">
        <v>100</v>
      </c>
      <c r="F21" s="79">
        <v>3</v>
      </c>
      <c r="G21" s="79">
        <f t="shared" si="1"/>
        <v>300</v>
      </c>
      <c r="H21" s="80"/>
    </row>
    <row r="22" spans="1:12" s="21" customFormat="1">
      <c r="A22" s="33" t="s">
        <v>95</v>
      </c>
      <c r="B22" s="33"/>
      <c r="C22" s="33">
        <v>55</v>
      </c>
      <c r="D22" s="33">
        <v>6</v>
      </c>
      <c r="E22" s="79">
        <f>C22*D22</f>
        <v>330</v>
      </c>
      <c r="F22" s="79">
        <v>3</v>
      </c>
      <c r="G22" s="79">
        <f t="shared" si="1"/>
        <v>990</v>
      </c>
      <c r="H22" s="80"/>
    </row>
    <row r="23" spans="1:12" s="21" customFormat="1" ht="15" thickBot="1">
      <c r="A23" s="81" t="s">
        <v>8</v>
      </c>
      <c r="B23" s="81"/>
      <c r="C23" s="81"/>
      <c r="D23" s="81"/>
      <c r="E23" s="82">
        <f>SUM(E18:E22)</f>
        <v>2280</v>
      </c>
      <c r="F23" s="82"/>
      <c r="G23" s="86">
        <f>SUM(G18:G22)</f>
        <v>6840</v>
      </c>
      <c r="H23" s="80"/>
    </row>
    <row r="24" spans="1:12" s="21" customFormat="1" thickTop="1">
      <c r="A24" s="84"/>
      <c r="B24" s="85"/>
      <c r="C24" s="85"/>
    </row>
    <row r="25" spans="1:12" s="21" customFormat="1">
      <c r="A25" s="74" t="s">
        <v>100</v>
      </c>
      <c r="B25" s="74"/>
      <c r="C25" s="111" t="s">
        <v>25</v>
      </c>
      <c r="D25" s="111"/>
      <c r="E25" s="76" t="s">
        <v>33</v>
      </c>
      <c r="F25" s="76" t="s">
        <v>34</v>
      </c>
      <c r="G25" s="76" t="s">
        <v>35</v>
      </c>
      <c r="H25" s="77"/>
    </row>
    <row r="26" spans="1:12" s="21" customFormat="1">
      <c r="A26" s="33" t="s">
        <v>96</v>
      </c>
      <c r="B26" s="33"/>
      <c r="C26" s="112">
        <v>0.57499999999999996</v>
      </c>
      <c r="D26" s="33">
        <v>367</v>
      </c>
      <c r="E26" s="113">
        <f>C26*D26</f>
        <v>211.02499999999998</v>
      </c>
      <c r="F26" s="79">
        <v>1</v>
      </c>
      <c r="G26" s="114">
        <f>E26*F26</f>
        <v>211.02499999999998</v>
      </c>
      <c r="H26" s="80"/>
    </row>
    <row r="27" spans="1:12" s="21" customFormat="1">
      <c r="A27" s="33" t="s">
        <v>102</v>
      </c>
      <c r="B27" s="33"/>
      <c r="C27" s="33">
        <v>100</v>
      </c>
      <c r="D27" s="33">
        <v>3</v>
      </c>
      <c r="E27" s="79">
        <f>C27*D27</f>
        <v>300</v>
      </c>
      <c r="F27" s="79">
        <v>3</v>
      </c>
      <c r="G27" s="79">
        <f>E27*F27</f>
        <v>900</v>
      </c>
      <c r="H27" s="80"/>
    </row>
    <row r="28" spans="1:12" s="21" customFormat="1">
      <c r="A28" s="33" t="s">
        <v>99</v>
      </c>
      <c r="B28" s="33"/>
      <c r="C28" s="116" t="s">
        <v>98</v>
      </c>
      <c r="D28" s="33">
        <v>3</v>
      </c>
      <c r="E28" s="79">
        <f>(55*2)+(42*2)</f>
        <v>194</v>
      </c>
      <c r="F28" s="79">
        <v>3</v>
      </c>
      <c r="G28" s="79">
        <f>E28*F28</f>
        <v>582</v>
      </c>
      <c r="H28" s="80"/>
    </row>
    <row r="29" spans="1:12" s="21" customFormat="1" ht="15" thickBot="1">
      <c r="A29" s="81" t="s">
        <v>8</v>
      </c>
      <c r="B29" s="81"/>
      <c r="C29" s="81"/>
      <c r="D29" s="81"/>
      <c r="E29" s="118">
        <f>SUM(E26:E28)</f>
        <v>705.02499999999998</v>
      </c>
      <c r="F29" s="82"/>
      <c r="G29" s="117">
        <f>SUM(G26:G28)</f>
        <v>1693.0250000000001</v>
      </c>
      <c r="H29" s="80"/>
    </row>
    <row r="30" spans="1:12" ht="15" thickTop="1"/>
    <row r="31" spans="1:12" s="21" customFormat="1">
      <c r="A31" s="74" t="s">
        <v>103</v>
      </c>
      <c r="B31" s="74"/>
      <c r="C31" s="111" t="s">
        <v>25</v>
      </c>
      <c r="D31" s="111"/>
      <c r="E31" s="76" t="s">
        <v>33</v>
      </c>
      <c r="F31" s="76" t="s">
        <v>34</v>
      </c>
      <c r="G31" s="76" t="s">
        <v>35</v>
      </c>
      <c r="H31" s="77"/>
    </row>
    <row r="32" spans="1:12" s="21" customFormat="1">
      <c r="A32" s="33" t="s">
        <v>104</v>
      </c>
      <c r="B32" s="33"/>
      <c r="C32" s="112"/>
      <c r="D32" s="33"/>
      <c r="E32" s="113">
        <v>750</v>
      </c>
      <c r="F32" s="79">
        <v>3</v>
      </c>
      <c r="G32" s="114">
        <f>E32*F32</f>
        <v>2250</v>
      </c>
      <c r="H32" s="80"/>
    </row>
    <row r="33" spans="1:8" s="21" customFormat="1">
      <c r="A33" s="33" t="s">
        <v>105</v>
      </c>
      <c r="B33" s="33"/>
      <c r="C33" s="33">
        <v>150</v>
      </c>
      <c r="D33" s="33">
        <v>3</v>
      </c>
      <c r="E33" s="79">
        <f>C33*D33</f>
        <v>450</v>
      </c>
      <c r="F33" s="79">
        <v>3</v>
      </c>
      <c r="G33" s="79">
        <f>E33*F33</f>
        <v>1350</v>
      </c>
      <c r="H33" s="80"/>
    </row>
    <row r="34" spans="1:8" s="21" customFormat="1">
      <c r="A34" s="33" t="s">
        <v>29</v>
      </c>
      <c r="B34" s="33"/>
      <c r="C34" s="33"/>
      <c r="D34" s="33"/>
      <c r="E34" s="79">
        <v>100</v>
      </c>
      <c r="F34" s="79">
        <v>3</v>
      </c>
      <c r="G34" s="79">
        <f t="shared" ref="G34" si="2">E34*F34</f>
        <v>300</v>
      </c>
      <c r="H34" s="80"/>
    </row>
    <row r="35" spans="1:8" s="21" customFormat="1">
      <c r="A35" s="33" t="s">
        <v>106</v>
      </c>
      <c r="B35" s="33"/>
      <c r="C35" s="116" t="s">
        <v>107</v>
      </c>
      <c r="D35" s="33">
        <v>3</v>
      </c>
      <c r="E35" s="79">
        <f>(61*2)+(46*2)</f>
        <v>214</v>
      </c>
      <c r="F35" s="79">
        <v>3</v>
      </c>
      <c r="G35" s="79">
        <f>E35*F35</f>
        <v>642</v>
      </c>
      <c r="H35" s="80"/>
    </row>
    <row r="36" spans="1:8" s="21" customFormat="1" ht="15" thickBot="1">
      <c r="A36" s="81" t="s">
        <v>8</v>
      </c>
      <c r="B36" s="81"/>
      <c r="C36" s="81"/>
      <c r="D36" s="81"/>
      <c r="E36" s="118">
        <f>SUM(E32:E35)</f>
        <v>1514</v>
      </c>
      <c r="F36" s="82"/>
      <c r="G36" s="117">
        <f>SUM(G32:G35)</f>
        <v>4542</v>
      </c>
      <c r="H36" s="80"/>
    </row>
    <row r="37" spans="1:8" ht="15" thickTop="1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BCD6342769D4C44805FFE73FBBF18F5" ma:contentTypeVersion="12" ma:contentTypeDescription="Create a new document." ma:contentTypeScope="" ma:versionID="05ac6333b89f42f82bb4636035a8e3ed">
  <xsd:schema xmlns:xsd="http://www.w3.org/2001/XMLSchema" xmlns:xs="http://www.w3.org/2001/XMLSchema" xmlns:p="http://schemas.microsoft.com/office/2006/metadata/properties" xmlns:ns2="a71e4db1-4b47-4186-ba43-0c6cf66a15a4" xmlns:ns3="d7eecfee-5fa7-448c-92a9-eddfd5d88918" targetNamespace="http://schemas.microsoft.com/office/2006/metadata/properties" ma:root="true" ma:fieldsID="72a482ce219ba41a33c86067e3e2afe5" ns2:_="" ns3:_="">
    <xsd:import namespace="a71e4db1-4b47-4186-ba43-0c6cf66a15a4"/>
    <xsd:import namespace="d7eecfee-5fa7-448c-92a9-eddfd5d88918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OCR" minOccurs="0"/>
                <xsd:element ref="ns3:MediaServiceDateTaken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1e4db1-4b47-4186-ba43-0c6cf66a15a4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eecfee-5fa7-448c-92a9-eddfd5d8891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4F593D4-093B-42ED-8C7B-0C411106BC04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203B80AB-C792-4ED6-8B4A-E1500D2D4AC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86870AF-56FE-473A-A143-A967CFF92E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71e4db1-4b47-4186-ba43-0c6cf66a15a4"/>
    <ds:schemaRef ds:uri="d7eecfee-5fa7-448c-92a9-eddfd5d8891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LEAD - UI</vt:lpstr>
      <vt:lpstr>Michigan</vt:lpstr>
      <vt:lpstr>OSU</vt:lpstr>
      <vt:lpstr>Travel</vt:lpstr>
      <vt:lpstr>'LEAD - UI'!Print_Area</vt:lpstr>
    </vt:vector>
  </TitlesOfParts>
  <Company>University of California ~ Davis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Galt</dc:creator>
  <cp:lastModifiedBy>SLGilbert</cp:lastModifiedBy>
  <cp:lastPrinted>2016-07-29T21:35:27Z</cp:lastPrinted>
  <dcterms:created xsi:type="dcterms:W3CDTF">2008-05-29T13:27:40Z</dcterms:created>
  <dcterms:modified xsi:type="dcterms:W3CDTF">2020-11-13T00:58:42Z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0x0101003BCD6342769D4C44805FFE73FBBF18F5</vt:lpwstr>
  </property>
</Properties>
</file>