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0"/>
  <workbookPr filterPrivacy="1" codeName="ThisWorkbook"/>
  <xr:revisionPtr revIDLastSave="227" documentId="13_ncr:1_{C8A5B857-27EF-45CE-83D7-7C4503A82E31}" xr6:coauthVersionLast="46" xr6:coauthVersionMax="46" xr10:uidLastSave="{523E1153-7362-4B73-B638-A18D9BE1C9CA}"/>
  <bookViews>
    <workbookView xWindow="2850" yWindow="1965" windowWidth="18195" windowHeight="11715" xr2:uid="{00000000-000D-0000-FFFF-FFFF00000000}"/>
  </bookViews>
  <sheets>
    <sheet name="UIMTDC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UIMTDC!$B$3:$I$101</definedName>
    <definedName name="Show.Acct.Update.Warning" hidden="1">#REF!</definedName>
    <definedName name="Show.MDB.Update.Warning" hidden="1">#REF!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I84" i="1"/>
  <c r="E84" i="1" l="1"/>
  <c r="E15" i="1" l="1"/>
  <c r="H71" i="1" l="1"/>
  <c r="I70" i="1"/>
  <c r="I69" i="1"/>
  <c r="C14" i="1"/>
  <c r="C13" i="1"/>
  <c r="C12" i="1"/>
  <c r="P51" i="1" l="1"/>
  <c r="E71" i="1"/>
  <c r="F71" i="1"/>
  <c r="G71" i="1"/>
  <c r="E91" i="1"/>
  <c r="I63" i="1"/>
  <c r="I64" i="1"/>
  <c r="I65" i="1"/>
  <c r="I66" i="1"/>
  <c r="I67" i="1"/>
  <c r="I68" i="1"/>
  <c r="I62" i="1"/>
  <c r="I60" i="1"/>
  <c r="I61" i="1"/>
  <c r="I54" i="1"/>
  <c r="E22" i="1"/>
  <c r="E23" i="1"/>
  <c r="E24" i="1"/>
  <c r="E25" i="1"/>
  <c r="E26" i="1"/>
  <c r="E21" i="1"/>
  <c r="E20" i="1"/>
  <c r="E19" i="1"/>
  <c r="F19" i="1"/>
  <c r="G19" i="1"/>
  <c r="H19" i="1"/>
  <c r="E37" i="1"/>
  <c r="E14" i="1"/>
  <c r="E36" i="1" s="1"/>
  <c r="E13" i="1"/>
  <c r="E35" i="1" s="1"/>
  <c r="E12" i="1"/>
  <c r="E11" i="1"/>
  <c r="E10" i="1"/>
  <c r="E9" i="1"/>
  <c r="E8" i="1"/>
  <c r="E30" i="1" s="1"/>
  <c r="F8" i="1"/>
  <c r="F30" i="1" s="1"/>
  <c r="G8" i="1"/>
  <c r="G30" i="1" s="1"/>
  <c r="H8" i="1"/>
  <c r="H30" i="1" s="1"/>
  <c r="H50" i="1"/>
  <c r="P49" i="1"/>
  <c r="P48" i="1"/>
  <c r="P47" i="1"/>
  <c r="O50" i="1"/>
  <c r="O49" i="1"/>
  <c r="O48" i="1"/>
  <c r="O47" i="1"/>
  <c r="O51" i="1"/>
  <c r="E95" i="1"/>
  <c r="L111" i="1"/>
  <c r="E81" i="1"/>
  <c r="F81" i="1"/>
  <c r="I94" i="1"/>
  <c r="I93" i="1"/>
  <c r="I92" i="1"/>
  <c r="H88" i="1"/>
  <c r="E88" i="1"/>
  <c r="F88" i="1"/>
  <c r="G88" i="1"/>
  <c r="I87" i="1"/>
  <c r="I86" i="1"/>
  <c r="I85" i="1"/>
  <c r="H81" i="1"/>
  <c r="G81" i="1"/>
  <c r="I80" i="1"/>
  <c r="H57" i="1"/>
  <c r="G57" i="1"/>
  <c r="F57" i="1"/>
  <c r="E57" i="1"/>
  <c r="I56" i="1"/>
  <c r="I53" i="1"/>
  <c r="I52" i="1"/>
  <c r="I51" i="1"/>
  <c r="I50" i="1"/>
  <c r="G38" i="1"/>
  <c r="I19" i="1"/>
  <c r="I8" i="1"/>
  <c r="I81" i="1"/>
  <c r="I57" i="1" l="1"/>
  <c r="I71" i="1"/>
  <c r="I30" i="1"/>
  <c r="E31" i="1"/>
  <c r="F9" i="1"/>
  <c r="E32" i="1"/>
  <c r="F10" i="1"/>
  <c r="E33" i="1"/>
  <c r="F11" i="1"/>
  <c r="F12" i="1"/>
  <c r="E34" i="1"/>
  <c r="H38" i="1"/>
  <c r="F38" i="1"/>
  <c r="E38" i="1"/>
  <c r="I38" i="1" s="1"/>
  <c r="E27" i="1"/>
  <c r="E39" i="1"/>
  <c r="F20" i="1"/>
  <c r="E40" i="1"/>
  <c r="F21" i="1"/>
  <c r="E45" i="1"/>
  <c r="F26" i="1"/>
  <c r="F25" i="1"/>
  <c r="E44" i="1"/>
  <c r="E43" i="1"/>
  <c r="F24" i="1"/>
  <c r="E42" i="1"/>
  <c r="F23" i="1"/>
  <c r="E41" i="1"/>
  <c r="F22" i="1"/>
  <c r="F91" i="1"/>
  <c r="E16" i="1"/>
  <c r="F13" i="1"/>
  <c r="F15" i="1"/>
  <c r="F14" i="1"/>
  <c r="G12" i="1"/>
  <c r="F34" i="1"/>
  <c r="E46" i="1"/>
  <c r="F16" i="1"/>
  <c r="G13" i="1"/>
  <c r="F35" i="1"/>
  <c r="I88" i="1"/>
  <c r="G91" i="1" l="1"/>
  <c r="F95" i="1"/>
  <c r="F41" i="1"/>
  <c r="G22" i="1"/>
  <c r="F42" i="1"/>
  <c r="G23" i="1"/>
  <c r="F43" i="1"/>
  <c r="G24" i="1"/>
  <c r="F44" i="1"/>
  <c r="G25" i="1"/>
  <c r="F45" i="1"/>
  <c r="G26" i="1"/>
  <c r="F40" i="1"/>
  <c r="G21" i="1"/>
  <c r="F39" i="1"/>
  <c r="G20" i="1"/>
  <c r="F27" i="1"/>
  <c r="F33" i="1"/>
  <c r="G11" i="1"/>
  <c r="F32" i="1"/>
  <c r="G10" i="1"/>
  <c r="F31" i="1"/>
  <c r="G9" i="1"/>
  <c r="E47" i="1"/>
  <c r="E74" i="1" s="1"/>
  <c r="E97" i="1" s="1"/>
  <c r="F37" i="1"/>
  <c r="G15" i="1"/>
  <c r="G14" i="1"/>
  <c r="F36" i="1"/>
  <c r="H12" i="1"/>
  <c r="G34" i="1"/>
  <c r="F46" i="1"/>
  <c r="G35" i="1"/>
  <c r="H13" i="1"/>
  <c r="I13" i="1"/>
  <c r="G31" i="1" l="1"/>
  <c r="H9" i="1"/>
  <c r="G32" i="1"/>
  <c r="H10" i="1"/>
  <c r="G33" i="1"/>
  <c r="H11" i="1"/>
  <c r="G39" i="1"/>
  <c r="H20" i="1"/>
  <c r="G27" i="1"/>
  <c r="G40" i="1"/>
  <c r="H21" i="1"/>
  <c r="G45" i="1"/>
  <c r="H26" i="1"/>
  <c r="H45" i="1" s="1"/>
  <c r="I26" i="1"/>
  <c r="G44" i="1"/>
  <c r="H25" i="1"/>
  <c r="H44" i="1" s="1"/>
  <c r="I25" i="1"/>
  <c r="I44" i="1"/>
  <c r="G43" i="1"/>
  <c r="H24" i="1"/>
  <c r="H43" i="1" s="1"/>
  <c r="I24" i="1"/>
  <c r="G42" i="1"/>
  <c r="H23" i="1"/>
  <c r="G41" i="1"/>
  <c r="H22" i="1"/>
  <c r="H91" i="1"/>
  <c r="G95" i="1"/>
  <c r="E99" i="1"/>
  <c r="E101" i="1" s="1"/>
  <c r="H15" i="1"/>
  <c r="G37" i="1"/>
  <c r="H14" i="1"/>
  <c r="G36" i="1"/>
  <c r="G46" i="1" s="1"/>
  <c r="G47" i="1" s="1"/>
  <c r="G74" i="1" s="1"/>
  <c r="H34" i="1"/>
  <c r="I34" i="1" s="1"/>
  <c r="I12" i="1"/>
  <c r="F47" i="1"/>
  <c r="F74" i="1" s="1"/>
  <c r="H35" i="1"/>
  <c r="H16" i="1"/>
  <c r="I16" i="1" s="1"/>
  <c r="H95" i="1" l="1"/>
  <c r="I91" i="1"/>
  <c r="I95" i="1" s="1"/>
  <c r="H41" i="1"/>
  <c r="I22" i="1"/>
  <c r="I41" i="1"/>
  <c r="H42" i="1"/>
  <c r="I23" i="1"/>
  <c r="I42" i="1"/>
  <c r="I43" i="1"/>
  <c r="I45" i="1"/>
  <c r="H40" i="1"/>
  <c r="I21" i="1"/>
  <c r="I40" i="1"/>
  <c r="H39" i="1"/>
  <c r="H27" i="1"/>
  <c r="I27" i="1" s="1"/>
  <c r="I20" i="1"/>
  <c r="I39" i="1"/>
  <c r="H33" i="1"/>
  <c r="I11" i="1"/>
  <c r="I33" i="1"/>
  <c r="H32" i="1"/>
  <c r="I10" i="1"/>
  <c r="I32" i="1"/>
  <c r="H31" i="1"/>
  <c r="I9" i="1"/>
  <c r="I31" i="1"/>
  <c r="H37" i="1"/>
  <c r="I37" i="1" s="1"/>
  <c r="I15" i="1"/>
  <c r="H36" i="1"/>
  <c r="I36" i="1" s="1"/>
  <c r="I14" i="1"/>
  <c r="F99" i="1"/>
  <c r="F97" i="1"/>
  <c r="I35" i="1"/>
  <c r="G99" i="1"/>
  <c r="G97" i="1"/>
  <c r="H46" i="1" l="1"/>
  <c r="G101" i="1"/>
  <c r="F101" i="1"/>
  <c r="I46" i="1" l="1"/>
  <c r="I47" i="1" s="1"/>
  <c r="H47" i="1"/>
  <c r="H74" i="1" s="1"/>
  <c r="I74" i="1" l="1"/>
  <c r="H99" i="1"/>
  <c r="I99" i="1" s="1"/>
  <c r="H97" i="1"/>
  <c r="H101" i="1" l="1"/>
  <c r="I101" i="1" s="1"/>
  <c r="I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tc={FDC11880-9F7A-4D72-B5F7-9B4650FE02A6}</author>
    <author>tc={79BAAC19-AEE5-4AD8-910F-BCE8D1DCFF60}</author>
    <author>tc={34B4A0E3-18B9-4D35-9C5A-F3EF2386CCAB}</author>
    <author>tc={203E827F-1B43-4473-AD57-8C5CCACD80C5}</author>
    <author>tc={D6B245E5-2681-4824-8AF0-CD6FFC877383}</author>
  </authors>
  <commentList>
    <comment ref="E54" authorId="0" shapeId="0" xr:uid="{FDC11880-9F7A-4D72-B5F7-9B4650FE02A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from 10,000 to 12000 each year</t>
      </text>
    </comment>
    <comment ref="E63" authorId="1" shapeId="0" xr:uid="{79BAAC19-AEE5-4AD8-910F-BCE8D1DCFF6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2000 each year</t>
      </text>
    </comment>
    <comment ref="H64" authorId="2" shapeId="0" xr:uid="{34B4A0E3-18B9-4D35-9C5A-F3EF2386CCA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10,000, spread into two 5000 years</t>
      </text>
    </comment>
    <comment ref="B66" authorId="3" shapeId="0" xr:uid="{203E827F-1B43-4473-AD57-8C5CCACD80C5}">
      <text>
        <t>[Threaded comment]
Your version of Excel allows you to read this threaded comment; however, any edits to it will get removed if the file is opened in a newer version of Excel. Learn more: https://go.microsoft.com/fwlink/?linkid=870924
Comment:
    [Mention was removed] Could you please confirm if this is subject to F&amp;A or not? This would be like buying supplies for a demonstration in a chemistry classroom, or renting a van for LCSC students to tour our facility thanks!!!</t>
      </text>
    </comment>
    <comment ref="E84" authorId="4" shapeId="0" xr:uid="{D6B245E5-2681-4824-8AF0-CD6FFC87738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numbers from auburn, please double check</t>
      </text>
    </comment>
  </commentList>
</comments>
</file>

<file path=xl/sharedStrings.xml><?xml version="1.0" encoding="utf-8"?>
<sst xmlns="http://schemas.openxmlformats.org/spreadsheetml/2006/main" count="105" uniqueCount="88">
  <si>
    <t>Budget</t>
  </si>
  <si>
    <t>PI: Mike Maughan</t>
  </si>
  <si>
    <t>NSF Research Infrastructure Improvement Track 2: Science and Education Framework for Developing a Circular Bio-based Building Economy</t>
  </si>
  <si>
    <t>Year Round Fringe Rates beginning 7/1/2020</t>
  </si>
  <si>
    <t xml:space="preserve">3% Escalation Assumed </t>
  </si>
  <si>
    <t>Senior Salaries</t>
  </si>
  <si>
    <t>Hourly Rate</t>
  </si>
  <si>
    <t>Hours</t>
  </si>
  <si>
    <t>Year 1</t>
  </si>
  <si>
    <t>Year 2</t>
  </si>
  <si>
    <t>Year 3</t>
  </si>
  <si>
    <t>Year 4</t>
  </si>
  <si>
    <t>Total</t>
  </si>
  <si>
    <t>FY 21</t>
  </si>
  <si>
    <t>PI - Maughan</t>
  </si>
  <si>
    <t>Co-PI - Cai</t>
  </si>
  <si>
    <t>Co-PI - Manrique</t>
  </si>
  <si>
    <t>Faculty</t>
  </si>
  <si>
    <t>Co-PI - Ibrahim</t>
  </si>
  <si>
    <t>SP - Robertson</t>
  </si>
  <si>
    <t>Staff</t>
  </si>
  <si>
    <t>SP - Fu</t>
  </si>
  <si>
    <t>SP - McDonald</t>
  </si>
  <si>
    <t>SP - Baker (12-month)</t>
  </si>
  <si>
    <t>(Excludes non-PERSI Eligible IH)</t>
  </si>
  <si>
    <t>Total Salaries</t>
  </si>
  <si>
    <t xml:space="preserve">IH </t>
  </si>
  <si>
    <t>Staff/Student/IH Salaries</t>
  </si>
  <si>
    <t>(non-PERSI Eligible)</t>
  </si>
  <si>
    <t>Program Coordinator</t>
  </si>
  <si>
    <t>GRA - AY &amp; Summer - Fire/Statistics Cai/Fu</t>
  </si>
  <si>
    <t>Students</t>
  </si>
  <si>
    <t>GRA - AY &amp; Summer - Testing Cai/Ibrahim</t>
  </si>
  <si>
    <t>GRA - AY &amp; Summer - Maughan/McDonald</t>
  </si>
  <si>
    <t>GRA - AY &amp; Summer - Manrique/Baker</t>
  </si>
  <si>
    <t>Post Doc - FEA Modeling Robertson/Ibrahim</t>
  </si>
  <si>
    <t>Undergraduate Students</t>
  </si>
  <si>
    <t>Total Student/IH Salaries</t>
  </si>
  <si>
    <t>Fringe</t>
  </si>
  <si>
    <t>Rate</t>
  </si>
  <si>
    <t>Total  Fringe</t>
  </si>
  <si>
    <t>Grad student tuition &amp; insurance</t>
  </si>
  <si>
    <t>#</t>
  </si>
  <si>
    <t>per Year</t>
  </si>
  <si>
    <t>Total Salaries and Fringe</t>
  </si>
  <si>
    <t>Tuition per semester</t>
  </si>
  <si>
    <t>Insurance per sem.</t>
  </si>
  <si>
    <t>Travel</t>
  </si>
  <si>
    <t>Summer credit hour</t>
  </si>
  <si>
    <t>NSF PI Meeting - Yr 1 (all PI/Co-PI)</t>
  </si>
  <si>
    <t>New student insurance</t>
  </si>
  <si>
    <t>NSF PI Meeting - Yr 2 (PI Only)</t>
  </si>
  <si>
    <t>Total T&amp;F for 1 GS per year @ AY 20-21 rates</t>
  </si>
  <si>
    <t>NSF PI Meeting - Yr 3 (PI Only)</t>
  </si>
  <si>
    <t xml:space="preserve">Assuming a 5% </t>
  </si>
  <si>
    <t>NSF PI Meeting - Yr 4 (PI Only)</t>
  </si>
  <si>
    <t>escalation percentage</t>
  </si>
  <si>
    <t>Conferences (4)</t>
  </si>
  <si>
    <t>All-team meeting/workshop (At UIdaho)</t>
  </si>
  <si>
    <t>All-team meeting/workshop (At Auburn)</t>
  </si>
  <si>
    <t>Total Travel</t>
  </si>
  <si>
    <t>Other Direct Costs (include 1st $25,000 of Subawards here)</t>
  </si>
  <si>
    <t>Materials and supplies - Maughan</t>
  </si>
  <si>
    <t>Materials and supplies - Cai</t>
  </si>
  <si>
    <t>Materials and supplies - Ibrahim</t>
  </si>
  <si>
    <t>Materials and supplies - Shared</t>
  </si>
  <si>
    <t>Publication costs</t>
  </si>
  <si>
    <t>Computer services (website)</t>
  </si>
  <si>
    <t>Supplies for outreach activities</t>
  </si>
  <si>
    <t>Consulting Services (TIG - External eval.)</t>
  </si>
  <si>
    <t>Supplies for Workshop</t>
  </si>
  <si>
    <t>Data Portal Access</t>
  </si>
  <si>
    <t>Auburn Subaward, first $25k</t>
  </si>
  <si>
    <t>Total Other Direct Costs</t>
  </si>
  <si>
    <t>Modified Total Direct Costs</t>
  </si>
  <si>
    <t>Enter Only Costs Excluded From F&amp;A Below This Point</t>
  </si>
  <si>
    <t>Equipment &gt;$5,000</t>
  </si>
  <si>
    <t>Total Equipment &gt;$5,000</t>
  </si>
  <si>
    <t>Subaward &gt;$25,000</t>
  </si>
  <si>
    <t>Auburn Subaward</t>
  </si>
  <si>
    <t>Total Subaward &gt;$25,000</t>
  </si>
  <si>
    <t>Tuition</t>
  </si>
  <si>
    <t>Grad Student Tuition, Fees &amp; Health Insurance</t>
  </si>
  <si>
    <t>Total Tuition</t>
  </si>
  <si>
    <t>Total Direct Costs</t>
  </si>
  <si>
    <t>Indirect Costs</t>
  </si>
  <si>
    <t xml:space="preserve">Rate </t>
  </si>
  <si>
    <t>Total Budget (Direct + Indirect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</si>
</sst>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#,##0;[Red]#,##0"/>
    <numFmt numFmtId="175" formatCode="&quot;$&quot;#,##0;[Red]&quot;$&quot;#,##0"/>
    <numFmt numFmtId="176" formatCode="_(* #,##0_);_(* \(#,##0\);_(* &quot;-&quot;??_);_(@_)"/>
  </numFmts>
  <fonts count="5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77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43" fontId="52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 applyProtection="1"/>
    <xf numFmtId="0" fontId="4" fillId="0" borderId="0" xfId="0" applyFont="1" applyFill="1" applyProtection="1"/>
    <xf numFmtId="0" fontId="3" fillId="28" borderId="0" xfId="0" applyFont="1" applyFill="1" applyAlignment="1" applyProtection="1">
      <alignment horizontal="centerContinuous" vertical="center"/>
    </xf>
    <xf numFmtId="38" fontId="35" fillId="0" borderId="0" xfId="0" applyNumberFormat="1" applyFont="1" applyFill="1" applyProtection="1"/>
    <xf numFmtId="0" fontId="1" fillId="0" borderId="0" xfId="0" applyFont="1" applyProtection="1"/>
    <xf numFmtId="0" fontId="38" fillId="28" borderId="0" xfId="0" applyFont="1" applyFill="1" applyAlignment="1" applyProtection="1">
      <alignment horizontal="centerContinuous" vertical="center"/>
    </xf>
    <xf numFmtId="0" fontId="37" fillId="28" borderId="0" xfId="0" applyFont="1" applyFill="1" applyProtection="1"/>
    <xf numFmtId="0" fontId="37" fillId="28" borderId="0" xfId="0" applyFont="1" applyFill="1" applyAlignment="1" applyProtection="1">
      <alignment horizontal="center"/>
    </xf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Continuous"/>
    </xf>
    <xf numFmtId="172" fontId="37" fillId="0" borderId="0" xfId="0" applyNumberFormat="1" applyFont="1" applyFill="1" applyBorder="1" applyAlignment="1" applyProtection="1">
      <alignment horizontal="right"/>
    </xf>
    <xf numFmtId="0" fontId="4" fillId="27" borderId="19" xfId="0" applyFont="1" applyFill="1" applyBorder="1" applyProtection="1"/>
    <xf numFmtId="0" fontId="42" fillId="27" borderId="19" xfId="0" applyFont="1" applyFill="1" applyBorder="1" applyAlignment="1" applyProtection="1">
      <alignment horizontal="center"/>
    </xf>
    <xf numFmtId="0" fontId="42" fillId="27" borderId="19" xfId="0" applyFont="1" applyFill="1" applyBorder="1" applyAlignment="1" applyProtection="1">
      <alignment horizontal="centerContinuous"/>
    </xf>
    <xf numFmtId="0" fontId="42" fillId="28" borderId="18" xfId="0" applyFont="1" applyFill="1" applyBorder="1" applyProtection="1"/>
    <xf numFmtId="0" fontId="42" fillId="28" borderId="18" xfId="0" applyFont="1" applyFill="1" applyBorder="1" applyAlignment="1" applyProtection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3" fontId="37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Protection="1">
      <protection locked="0"/>
    </xf>
    <xf numFmtId="3" fontId="4" fillId="0" borderId="0" xfId="0" applyNumberFormat="1" applyFont="1" applyFill="1" applyProtection="1"/>
    <xf numFmtId="3" fontId="1" fillId="0" borderId="0" xfId="0" applyNumberFormat="1" applyFont="1" applyProtection="1"/>
    <xf numFmtId="0" fontId="4" fillId="28" borderId="0" xfId="0" applyFont="1" applyFill="1" applyProtection="1"/>
    <xf numFmtId="0" fontId="4" fillId="28" borderId="0" xfId="0" applyNumberFormat="1" applyFont="1" applyFill="1" applyProtection="1">
      <protection locked="0"/>
    </xf>
    <xf numFmtId="3" fontId="4" fillId="28" borderId="0" xfId="0" applyNumberFormat="1" applyFont="1" applyFill="1" applyProtection="1"/>
    <xf numFmtId="38" fontId="4" fillId="0" borderId="0" xfId="0" applyNumberFormat="1" applyFont="1" applyFill="1" applyProtection="1"/>
    <xf numFmtId="0" fontId="43" fillId="28" borderId="0" xfId="0" applyFont="1" applyFill="1" applyProtection="1"/>
    <xf numFmtId="0" fontId="43" fillId="28" borderId="0" xfId="0" applyNumberFormat="1" applyFont="1" applyFill="1" applyProtection="1">
      <protection locked="0"/>
    </xf>
    <xf numFmtId="38" fontId="42" fillId="28" borderId="0" xfId="0" applyNumberFormat="1" applyFont="1" applyFill="1" applyAlignment="1" applyProtection="1">
      <alignment horizontal="center"/>
    </xf>
    <xf numFmtId="0" fontId="42" fillId="28" borderId="0" xfId="0" applyFont="1" applyFill="1" applyProtection="1"/>
    <xf numFmtId="0" fontId="42" fillId="28" borderId="0" xfId="0" applyNumberFormat="1" applyFont="1" applyFill="1" applyAlignment="1" applyProtection="1">
      <alignment horizontal="center"/>
      <protection locked="0"/>
    </xf>
    <xf numFmtId="38" fontId="4" fillId="28" borderId="0" xfId="0" applyNumberFormat="1" applyFont="1" applyFill="1" applyProtection="1"/>
    <xf numFmtId="173" fontId="4" fillId="0" borderId="0" xfId="0" applyNumberFormat="1" applyFont="1" applyFill="1" applyProtection="1">
      <protection locked="0"/>
    </xf>
    <xf numFmtId="0" fontId="4" fillId="28" borderId="0" xfId="0" applyNumberFormat="1" applyFont="1" applyFill="1" applyProtection="1"/>
    <xf numFmtId="0" fontId="4" fillId="0" borderId="0" xfId="0" applyNumberFormat="1" applyFont="1" applyFill="1" applyProtection="1"/>
    <xf numFmtId="0" fontId="42" fillId="0" borderId="0" xfId="0" applyFont="1" applyFill="1" applyProtection="1"/>
    <xf numFmtId="0" fontId="42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 applyProtection="1"/>
    <xf numFmtId="0" fontId="37" fillId="30" borderId="0" xfId="0" applyFont="1" applyFill="1" applyBorder="1" applyProtection="1"/>
    <xf numFmtId="0" fontId="1" fillId="30" borderId="0" xfId="0" applyFont="1" applyFill="1" applyBorder="1" applyProtection="1"/>
    <xf numFmtId="173" fontId="37" fillId="30" borderId="0" xfId="0" applyNumberFormat="1" applyFont="1" applyFill="1" applyBorder="1" applyProtection="1"/>
    <xf numFmtId="0" fontId="1" fillId="30" borderId="24" xfId="0" applyFont="1" applyFill="1" applyBorder="1" applyProtection="1"/>
    <xf numFmtId="0" fontId="1" fillId="30" borderId="25" xfId="0" applyFont="1" applyFill="1" applyBorder="1" applyProtection="1"/>
    <xf numFmtId="0" fontId="37" fillId="30" borderId="24" xfId="0" applyFont="1" applyFill="1" applyBorder="1" applyProtection="1"/>
    <xf numFmtId="0" fontId="1" fillId="30" borderId="26" xfId="0" applyFont="1" applyFill="1" applyBorder="1" applyProtection="1"/>
    <xf numFmtId="0" fontId="1" fillId="30" borderId="27" xfId="0" applyFont="1" applyFill="1" applyBorder="1" applyProtection="1"/>
    <xf numFmtId="0" fontId="1" fillId="30" borderId="28" xfId="0" applyFont="1" applyFill="1" applyBorder="1" applyProtection="1"/>
    <xf numFmtId="0" fontId="1" fillId="30" borderId="0" xfId="0" applyFont="1" applyFill="1" applyProtection="1"/>
    <xf numFmtId="0" fontId="0" fillId="32" borderId="0" xfId="0" applyFill="1" applyBorder="1"/>
    <xf numFmtId="0" fontId="0" fillId="0" borderId="0" xfId="0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46" fillId="0" borderId="0" xfId="0" applyNumberFormat="1" applyFont="1" applyFill="1" applyBorder="1" applyAlignment="1" applyProtection="1"/>
    <xf numFmtId="175" fontId="46" fillId="0" borderId="0" xfId="0" applyNumberFormat="1" applyFont="1" applyFill="1" applyBorder="1" applyAlignment="1"/>
    <xf numFmtId="0" fontId="48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Protection="1"/>
    <xf numFmtId="0" fontId="1" fillId="0" borderId="0" xfId="0" applyFont="1" applyFill="1" applyBorder="1" applyProtection="1"/>
    <xf numFmtId="0" fontId="44" fillId="0" borderId="0" xfId="53" applyFont="1" applyFill="1" applyAlignment="1" applyProtection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 applyProtection="1"/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 applyFill="1" applyProtection="1"/>
    <xf numFmtId="3" fontId="42" fillId="28" borderId="0" xfId="0" applyNumberFormat="1" applyFont="1" applyFill="1" applyBorder="1" applyProtection="1"/>
    <xf numFmtId="0" fontId="37" fillId="0" borderId="0" xfId="0" applyFont="1" applyFill="1" applyBorder="1" applyProtection="1"/>
    <xf numFmtId="0" fontId="0" fillId="0" borderId="0" xfId="0" applyBorder="1"/>
    <xf numFmtId="0" fontId="47" fillId="32" borderId="0" xfId="0" applyFont="1" applyFill="1" applyBorder="1" applyAlignment="1">
      <alignment horizontal="center" vertical="center"/>
    </xf>
    <xf numFmtId="0" fontId="0" fillId="32" borderId="0" xfId="0" applyFill="1" applyBorder="1" applyAlignment="1"/>
    <xf numFmtId="0" fontId="49" fillId="0" borderId="0" xfId="53" applyFont="1" applyFill="1" applyAlignment="1" applyProtection="1">
      <alignment horizontal="center" vertical="center"/>
    </xf>
    <xf numFmtId="10" fontId="4" fillId="33" borderId="29" xfId="0" applyNumberFormat="1" applyFont="1" applyFill="1" applyBorder="1" applyProtection="1"/>
    <xf numFmtId="173" fontId="1" fillId="30" borderId="0" xfId="0" applyNumberFormat="1" applyFont="1" applyFill="1" applyProtection="1"/>
    <xf numFmtId="3" fontId="37" fillId="0" borderId="0" xfId="0" applyNumberFormat="1" applyFont="1" applyFill="1" applyBorder="1" applyProtection="1"/>
    <xf numFmtId="1" fontId="46" fillId="0" borderId="0" xfId="0" applyNumberFormat="1" applyFont="1" applyFill="1" applyBorder="1" applyAlignment="1">
      <alignment horizontal="right"/>
    </xf>
    <xf numFmtId="174" fontId="46" fillId="0" borderId="0" xfId="0" applyNumberFormat="1" applyFont="1" applyFill="1" applyBorder="1" applyAlignment="1"/>
    <xf numFmtId="1" fontId="46" fillId="0" borderId="0" xfId="0" applyNumberFormat="1" applyFont="1" applyFill="1" applyBorder="1" applyAlignment="1"/>
    <xf numFmtId="10" fontId="46" fillId="0" borderId="0" xfId="0" applyNumberFormat="1" applyFont="1" applyFill="1" applyBorder="1" applyAlignment="1"/>
    <xf numFmtId="0" fontId="46" fillId="0" borderId="0" xfId="0" applyFont="1" applyBorder="1" applyAlignment="1">
      <alignment horizontal="center" vertical="center" wrapText="1"/>
    </xf>
    <xf numFmtId="0" fontId="1" fillId="0" borderId="0" xfId="0" applyFont="1" applyBorder="1" applyProtection="1"/>
    <xf numFmtId="10" fontId="37" fillId="30" borderId="0" xfId="0" applyNumberFormat="1" applyFont="1" applyFill="1" applyBorder="1" applyProtection="1"/>
    <xf numFmtId="0" fontId="37" fillId="30" borderId="0" xfId="0" applyFont="1" applyFill="1" applyBorder="1" applyAlignment="1" applyProtection="1">
      <alignment horizontal="right"/>
    </xf>
    <xf numFmtId="0" fontId="37" fillId="30" borderId="0" xfId="0" applyFont="1" applyFill="1" applyBorder="1" applyAlignment="1" applyProtection="1">
      <alignment horizontal="right" vertical="top"/>
    </xf>
    <xf numFmtId="173" fontId="37" fillId="30" borderId="0" xfId="0" applyNumberFormat="1" applyFont="1" applyFill="1" applyBorder="1" applyAlignment="1" applyProtection="1">
      <alignment horizontal="right"/>
    </xf>
    <xf numFmtId="173" fontId="1" fillId="30" borderId="0" xfId="0" applyNumberFormat="1" applyFont="1" applyFill="1" applyBorder="1" applyAlignment="1" applyProtection="1">
      <alignment horizontal="right"/>
    </xf>
    <xf numFmtId="0" fontId="51" fillId="0" borderId="0" xfId="0" applyFont="1" applyFill="1" applyBorder="1"/>
    <xf numFmtId="0" fontId="51" fillId="0" borderId="0" xfId="0" applyFont="1" applyFill="1" applyBorder="1" applyAlignment="1">
      <alignment vertical="center"/>
    </xf>
    <xf numFmtId="3" fontId="4" fillId="28" borderId="0" xfId="0" applyNumberFormat="1" applyFont="1" applyFill="1" applyBorder="1" applyProtection="1"/>
    <xf numFmtId="3" fontId="4" fillId="0" borderId="0" xfId="0" applyNumberFormat="1" applyFont="1" applyFill="1" applyProtection="1">
      <protection locked="0"/>
    </xf>
    <xf numFmtId="3" fontId="42" fillId="28" borderId="20" xfId="0" applyNumberFormat="1" applyFont="1" applyFill="1" applyBorder="1" applyProtection="1"/>
    <xf numFmtId="3" fontId="42" fillId="28" borderId="20" xfId="0" applyNumberFormat="1" applyFont="1" applyFill="1" applyBorder="1" applyProtection="1">
      <protection locked="0"/>
    </xf>
    <xf numFmtId="3" fontId="4" fillId="0" borderId="0" xfId="0" applyNumberFormat="1" applyFont="1" applyFill="1" applyBorder="1" applyProtection="1"/>
    <xf numFmtId="3" fontId="4" fillId="0" borderId="0" xfId="0" applyNumberFormat="1" applyFont="1" applyFill="1" applyBorder="1" applyProtection="1">
      <protection locked="0"/>
    </xf>
    <xf numFmtId="0" fontId="51" fillId="29" borderId="2" xfId="0" applyFont="1" applyFill="1" applyBorder="1"/>
    <xf numFmtId="176" fontId="51" fillId="29" borderId="0" xfId="76" applyNumberFormat="1" applyFont="1" applyFill="1" applyBorder="1"/>
    <xf numFmtId="0" fontId="51" fillId="29" borderId="0" xfId="0" applyFont="1" applyFill="1" applyBorder="1"/>
    <xf numFmtId="176" fontId="51" fillId="29" borderId="32" xfId="76" applyNumberFormat="1" applyFont="1" applyFill="1" applyBorder="1"/>
    <xf numFmtId="176" fontId="51" fillId="29" borderId="0" xfId="0" applyNumberFormat="1" applyFont="1" applyFill="1" applyBorder="1"/>
    <xf numFmtId="0" fontId="51" fillId="29" borderId="2" xfId="0" applyFont="1" applyFill="1" applyBorder="1" applyAlignment="1">
      <alignment vertical="center"/>
    </xf>
    <xf numFmtId="176" fontId="51" fillId="29" borderId="0" xfId="76" applyNumberFormat="1" applyFont="1" applyFill="1" applyBorder="1" applyAlignment="1">
      <alignment vertical="center"/>
    </xf>
    <xf numFmtId="0" fontId="51" fillId="29" borderId="0" xfId="0" applyFont="1" applyFill="1" applyBorder="1" applyAlignment="1">
      <alignment vertical="center"/>
    </xf>
    <xf numFmtId="176" fontId="51" fillId="29" borderId="0" xfId="0" applyNumberFormat="1" applyFont="1" applyFill="1" applyBorder="1" applyAlignment="1">
      <alignment vertical="center"/>
    </xf>
    <xf numFmtId="0" fontId="51" fillId="29" borderId="32" xfId="0" applyFont="1" applyFill="1" applyBorder="1" applyAlignment="1">
      <alignment vertical="center"/>
    </xf>
    <xf numFmtId="0" fontId="51" fillId="29" borderId="33" xfId="0" applyFont="1" applyFill="1" applyBorder="1" applyAlignment="1">
      <alignment vertical="center"/>
    </xf>
    <xf numFmtId="0" fontId="51" fillId="29" borderId="18" xfId="0" applyFont="1" applyFill="1" applyBorder="1" applyAlignment="1">
      <alignment vertical="center"/>
    </xf>
    <xf numFmtId="176" fontId="51" fillId="29" borderId="34" xfId="76" applyNumberFormat="1" applyFont="1" applyFill="1" applyBorder="1" applyAlignment="1">
      <alignment vertical="center"/>
    </xf>
    <xf numFmtId="176" fontId="50" fillId="29" borderId="0" xfId="0" applyNumberFormat="1" applyFont="1" applyFill="1" applyBorder="1" applyAlignment="1">
      <alignment vertical="center"/>
    </xf>
    <xf numFmtId="176" fontId="51" fillId="29" borderId="18" xfId="76" applyNumberFormat="1" applyFont="1" applyFill="1" applyBorder="1" applyAlignment="1">
      <alignment vertical="center"/>
    </xf>
    <xf numFmtId="14" fontId="4" fillId="0" borderId="0" xfId="0" applyNumberFormat="1" applyFont="1" applyFill="1" applyAlignment="1" applyProtection="1">
      <alignment horizontal="centerContinuous"/>
    </xf>
    <xf numFmtId="0" fontId="50" fillId="29" borderId="32" xfId="0" applyFont="1" applyFill="1" applyBorder="1" applyAlignment="1">
      <alignment vertical="center"/>
    </xf>
    <xf numFmtId="170" fontId="42" fillId="0" borderId="0" xfId="36" applyNumberFormat="1" applyFont="1" applyFill="1" applyAlignment="1" applyProtection="1">
      <alignment horizontal="left"/>
      <protection locked="0"/>
    </xf>
    <xf numFmtId="0" fontId="42" fillId="28" borderId="0" xfId="0" applyNumberFormat="1" applyFont="1" applyFill="1" applyProtection="1"/>
    <xf numFmtId="176" fontId="51" fillId="0" borderId="0" xfId="0" applyNumberFormat="1" applyFont="1" applyFill="1" applyBorder="1"/>
    <xf numFmtId="43" fontId="51" fillId="0" borderId="0" xfId="0" applyNumberFormat="1" applyFont="1" applyFill="1" applyBorder="1"/>
    <xf numFmtId="176" fontId="1" fillId="0" borderId="0" xfId="0" applyNumberFormat="1" applyFont="1" applyFill="1" applyBorder="1" applyProtection="1"/>
    <xf numFmtId="176" fontId="50" fillId="0" borderId="0" xfId="0" applyNumberFormat="1" applyFont="1" applyFill="1" applyBorder="1" applyAlignment="1">
      <alignment vertical="center"/>
    </xf>
    <xf numFmtId="0" fontId="51" fillId="29" borderId="35" xfId="0" applyFont="1" applyFill="1" applyBorder="1" applyAlignment="1">
      <alignment vertical="center"/>
    </xf>
    <xf numFmtId="0" fontId="51" fillId="29" borderId="36" xfId="0" applyFont="1" applyFill="1" applyBorder="1" applyAlignment="1">
      <alignment vertical="center"/>
    </xf>
    <xf numFmtId="0" fontId="51" fillId="29" borderId="36" xfId="0" applyFont="1" applyFill="1" applyBorder="1" applyAlignment="1">
      <alignment horizontal="right" vertical="center"/>
    </xf>
    <xf numFmtId="0" fontId="51" fillId="29" borderId="37" xfId="0" applyFont="1" applyFill="1" applyBorder="1" applyAlignment="1">
      <alignment vertical="center"/>
    </xf>
    <xf numFmtId="0" fontId="51" fillId="29" borderId="32" xfId="0" applyFont="1" applyFill="1" applyBorder="1"/>
    <xf numFmtId="0" fontId="50" fillId="29" borderId="2" xfId="0" applyFont="1" applyFill="1" applyBorder="1" applyAlignment="1">
      <alignment vertical="center"/>
    </xf>
    <xf numFmtId="0" fontId="50" fillId="29" borderId="33" xfId="0" applyFont="1" applyFill="1" applyBorder="1" applyAlignment="1">
      <alignment vertical="center"/>
    </xf>
    <xf numFmtId="0" fontId="50" fillId="29" borderId="34" xfId="0" applyFont="1" applyFill="1" applyBorder="1" applyAlignment="1">
      <alignment vertical="center"/>
    </xf>
    <xf numFmtId="0" fontId="51" fillId="29" borderId="34" xfId="0" applyFont="1" applyFill="1" applyBorder="1" applyAlignment="1">
      <alignment vertical="center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8" fontId="51" fillId="0" borderId="0" xfId="0" applyNumberFormat="1" applyFont="1" applyAlignment="1">
      <alignment vertical="center"/>
    </xf>
    <xf numFmtId="8" fontId="51" fillId="0" borderId="0" xfId="0" applyNumberFormat="1" applyFont="1" applyFill="1" applyAlignment="1">
      <alignment vertical="center"/>
    </xf>
    <xf numFmtId="0" fontId="4" fillId="0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51" fillId="0" borderId="0" xfId="0" applyFont="1" applyAlignment="1">
      <alignment horizontal="left" vertical="center" indent="2"/>
    </xf>
    <xf numFmtId="0" fontId="53" fillId="0" borderId="0" xfId="0" applyFont="1" applyAlignment="1">
      <alignment horizontal="left" vertical="center" indent="2"/>
    </xf>
    <xf numFmtId="4" fontId="51" fillId="0" borderId="0" xfId="0" applyNumberFormat="1" applyFont="1" applyAlignment="1">
      <alignment vertical="center"/>
    </xf>
    <xf numFmtId="0" fontId="51" fillId="0" borderId="0" xfId="0" applyFont="1" applyAlignment="1" applyProtection="1">
      <alignment horizontal="left" vertical="center" indent="2"/>
    </xf>
    <xf numFmtId="4" fontId="51" fillId="0" borderId="0" xfId="0" applyNumberFormat="1" applyFont="1" applyAlignment="1" applyProtection="1">
      <alignment vertical="center"/>
    </xf>
    <xf numFmtId="0" fontId="50" fillId="0" borderId="0" xfId="0" applyFont="1" applyFill="1" applyBorder="1" applyAlignment="1">
      <alignment vertical="center"/>
    </xf>
    <xf numFmtId="176" fontId="51" fillId="0" borderId="0" xfId="76" applyNumberFormat="1" applyFont="1" applyFill="1" applyBorder="1" applyAlignment="1">
      <alignment vertical="center"/>
    </xf>
    <xf numFmtId="3" fontId="1" fillId="0" borderId="0" xfId="0" applyNumberFormat="1" applyFont="1" applyFill="1" applyBorder="1" applyProtection="1"/>
    <xf numFmtId="4" fontId="51" fillId="34" borderId="0" xfId="0" applyNumberFormat="1" applyFont="1" applyFill="1" applyAlignment="1">
      <alignment vertical="center"/>
    </xf>
    <xf numFmtId="3" fontId="4" fillId="34" borderId="0" xfId="0" applyNumberFormat="1" applyFont="1" applyFill="1" applyProtection="1"/>
    <xf numFmtId="0" fontId="51" fillId="0" borderId="0" xfId="0" applyFont="1" applyFill="1" applyAlignment="1">
      <alignment horizontal="left" vertical="center" indent="2"/>
    </xf>
    <xf numFmtId="3" fontId="39" fillId="0" borderId="0" xfId="53" applyNumberFormat="1" applyFont="1" applyFill="1" applyAlignment="1" applyProtection="1">
      <alignment horizontal="right" vertical="center"/>
    </xf>
    <xf numFmtId="0" fontId="51" fillId="34" borderId="0" xfId="0" applyFont="1" applyFill="1" applyAlignment="1">
      <alignment horizontal="left" vertical="center" indent="2"/>
    </xf>
    <xf numFmtId="6" fontId="51" fillId="34" borderId="0" xfId="0" applyNumberFormat="1" applyFont="1" applyFill="1" applyAlignment="1">
      <alignment vertical="center"/>
    </xf>
    <xf numFmtId="0" fontId="42" fillId="29" borderId="31" xfId="0" applyFont="1" applyFill="1" applyBorder="1" applyAlignment="1" applyProtection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29" borderId="30" xfId="0" applyFill="1" applyBorder="1" applyAlignment="1">
      <alignment horizontal="left" vertical="center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7" fillId="30" borderId="24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50" fillId="31" borderId="21" xfId="0" applyFont="1" applyFill="1" applyBorder="1" applyAlignment="1" applyProtection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38" xfId="0" applyFont="1" applyBorder="1" applyAlignment="1">
      <alignment horizontal="left" vertical="center" wrapText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" xfId="76" builtinId="3"/>
    <cellStyle name="Comma0" xfId="31" xr:uid="{00000000-0005-0000-0000-00001F000000}"/>
    <cellStyle name="Currency0" xfId="32" xr:uid="{00000000-0005-0000-0000-000020000000}"/>
    <cellStyle name="DarkBlueOutline" xfId="33" xr:uid="{00000000-0005-0000-0000-000021000000}"/>
    <cellStyle name="DarkBlueOutlineYellow" xfId="34" xr:uid="{00000000-0005-0000-0000-000022000000}"/>
    <cellStyle name="Date" xfId="35" xr:uid="{00000000-0005-0000-0000-000023000000}"/>
    <cellStyle name="Date_simple" xfId="36" xr:uid="{00000000-0005-0000-0000-000024000000}"/>
    <cellStyle name="Dezimal [0]_Compiling Utility Macros" xfId="37" xr:uid="{00000000-0005-0000-0000-000025000000}"/>
    <cellStyle name="Dezimal_Compiling Utility Macros" xfId="38" xr:uid="{00000000-0005-0000-0000-000026000000}"/>
    <cellStyle name="Explanatory Text" xfId="39" builtinId="53" customBuiltin="1"/>
    <cellStyle name="Fixed" xfId="40" xr:uid="{00000000-0005-0000-0000-000028000000}"/>
    <cellStyle name="Good" xfId="41" builtinId="26" customBuiltin="1"/>
    <cellStyle name="GRAY" xfId="42" xr:uid="{00000000-0005-0000-0000-00002A000000}"/>
    <cellStyle name="Gross Margin" xfId="43" xr:uid="{00000000-0005-0000-0000-00002B000000}"/>
    <cellStyle name="header" xfId="44" xr:uid="{00000000-0005-0000-0000-00002C000000}"/>
    <cellStyle name="Header Total" xfId="45" xr:uid="{00000000-0005-0000-0000-00002D000000}"/>
    <cellStyle name="Header1" xfId="46" xr:uid="{00000000-0005-0000-0000-00002E000000}"/>
    <cellStyle name="Header2" xfId="47" xr:uid="{00000000-0005-0000-0000-00002F000000}"/>
    <cellStyle name="Header3" xfId="48" xr:uid="{00000000-0005-0000-0000-000030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7000000}"/>
    <cellStyle name="Linked Cell" xfId="56" builtinId="24" customBuiltin="1"/>
    <cellStyle name="Major Total" xfId="57" xr:uid="{00000000-0005-0000-0000-000039000000}"/>
    <cellStyle name="Neutral" xfId="58" builtinId="28" customBuiltin="1"/>
    <cellStyle name="NonPrint_TemTitle" xfId="59" xr:uid="{00000000-0005-0000-0000-00003B000000}"/>
    <cellStyle name="Normal" xfId="0" builtinId="0"/>
    <cellStyle name="Normal 2" xfId="60" xr:uid="{00000000-0005-0000-0000-00003D000000}"/>
    <cellStyle name="NormalRed" xfId="61" xr:uid="{00000000-0005-0000-0000-00003E000000}"/>
    <cellStyle name="Note" xfId="62" builtinId="10" customBuiltin="1"/>
    <cellStyle name="Output" xfId="63" builtinId="21" customBuiltin="1"/>
    <cellStyle name="Percent.0" xfId="64" xr:uid="{00000000-0005-0000-0000-000041000000}"/>
    <cellStyle name="Percent.00" xfId="65" xr:uid="{00000000-0005-0000-0000-000042000000}"/>
    <cellStyle name="RED POSTED" xfId="66" xr:uid="{00000000-0005-0000-0000-000043000000}"/>
    <cellStyle name="Standard_Anpassen der Amortisation" xfId="67" xr:uid="{00000000-0005-0000-0000-000044000000}"/>
    <cellStyle name="Text_simple" xfId="68" xr:uid="{00000000-0005-0000-0000-000045000000}"/>
    <cellStyle name="Title" xfId="69" builtinId="15" customBuiltin="1"/>
    <cellStyle name="TmsRmn10BlueItalic" xfId="70" xr:uid="{00000000-0005-0000-0000-000047000000}"/>
    <cellStyle name="TmsRmn10Bold" xfId="71" xr:uid="{00000000-0005-0000-0000-000048000000}"/>
    <cellStyle name="Total" xfId="72" builtinId="25" customBuiltin="1"/>
    <cellStyle name="Währung [0]_Compiling Utility Macros" xfId="73" xr:uid="{00000000-0005-0000-0000-00004A000000}"/>
    <cellStyle name="Währung_Compiling Utility Macros" xfId="74" xr:uid="{00000000-0005-0000-0000-00004B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4" dT="2021-01-19T22:08:26.17" personId="{00000000-0000-0000-0000-000000000000}" id="{FDC11880-9F7A-4D72-B5F7-9B4650FE02A6}">
    <text>increased from 10,000 to 12000 each year</text>
  </threadedComment>
  <threadedComment ref="E63" dT="2021-01-19T22:04:41.22" personId="{00000000-0000-0000-0000-000000000000}" id="{79BAAC19-AEE5-4AD8-910F-BCE8D1DCFF60}">
    <text>added 2000 each year</text>
  </threadedComment>
  <threadedComment ref="H64" dT="2021-01-19T22:04:30.05" personId="{00000000-0000-0000-0000-000000000000}" id="{34B4A0E3-18B9-4D35-9C5A-F3EF2386CCAB}">
    <text>was 10,000, spread into two 5000 years</text>
  </threadedComment>
  <threadedComment ref="B66" dT="2021-01-19T22:09:28.51" personId="{00000000-0000-0000-0000-000000000000}" id="{203E827F-1B43-4473-AD57-8C5CCACD80C5}">
    <text>[Mention was removed] Could you please confirm if this is subject to F&amp;A or not? This would be like buying supplies for a demonstration in a chemistry classroom, or renting a van for LCSC students to tour our facility thanks!!!</text>
  </threadedComment>
  <threadedComment ref="E84" dT="2021-01-19T22:05:02.67" personId="{00000000-0000-0000-0000-000000000000}" id="{D6B245E5-2681-4824-8AF0-CD6FFC877383}">
    <text>Updated numbers from auburn, please double check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>
    <pageSetUpPr autoPageBreaks="0" fitToPage="1"/>
  </sheetPr>
  <dimension ref="A1:W130"/>
  <sheetViews>
    <sheetView tabSelected="1" topLeftCell="A4" workbookViewId="0">
      <selection activeCell="U9" sqref="U9:Y29"/>
    </sheetView>
  </sheetViews>
  <sheetFormatPr defaultColWidth="8.85546875" defaultRowHeight="12.75"/>
  <cols>
    <col min="1" max="1" width="1.7109375" style="1" customWidth="1"/>
    <col min="2" max="2" width="37.7109375" style="1" customWidth="1"/>
    <col min="3" max="3" width="11.7109375" style="1" customWidth="1"/>
    <col min="4" max="8" width="15.7109375" style="1" customWidth="1"/>
    <col min="9" max="9" width="14.140625" style="1" customWidth="1"/>
    <col min="10" max="10" width="4.7109375" style="1" customWidth="1"/>
    <col min="11" max="11" width="9.140625" style="1" customWidth="1"/>
    <col min="12" max="12" width="23.85546875" style="1" customWidth="1"/>
    <col min="13" max="13" width="12.42578125" style="1" customWidth="1"/>
    <col min="14" max="14" width="6.85546875" style="1" customWidth="1"/>
    <col min="15" max="15" width="7" style="1" hidden="1" customWidth="1"/>
    <col min="16" max="16" width="10.140625" style="1" customWidth="1"/>
    <col min="17" max="17" width="2.42578125" style="1" customWidth="1"/>
    <col min="18" max="18" width="8.85546875" style="1"/>
    <col min="19" max="19" width="10.85546875" style="1" customWidth="1"/>
    <col min="20" max="16384" width="8.85546875" style="1"/>
  </cols>
  <sheetData>
    <row r="1" spans="2:22" ht="8.25" customHeight="1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8.2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2:22" ht="15" customHeight="1">
      <c r="B3" s="6" t="s">
        <v>0</v>
      </c>
      <c r="C3" s="3"/>
      <c r="D3" s="3"/>
      <c r="E3" s="3"/>
      <c r="F3" s="3"/>
      <c r="G3" s="3"/>
      <c r="H3" s="3"/>
      <c r="I3" s="3"/>
      <c r="J3" s="5"/>
      <c r="K3" s="156"/>
      <c r="L3" s="157"/>
      <c r="M3" s="157"/>
      <c r="N3" s="157"/>
      <c r="O3" s="158"/>
      <c r="P3" s="158"/>
      <c r="Q3" s="5"/>
      <c r="R3" s="5"/>
      <c r="S3" s="5"/>
      <c r="T3" s="5"/>
      <c r="U3" s="5"/>
      <c r="V3" s="5"/>
    </row>
    <row r="4" spans="2:22" s="5" customFormat="1" ht="12.95" customHeight="1" thickBot="1">
      <c r="B4" s="117" t="s">
        <v>1</v>
      </c>
      <c r="C4" s="12"/>
      <c r="D4" s="12"/>
      <c r="E4" s="12"/>
      <c r="F4" s="12"/>
      <c r="G4" s="12"/>
      <c r="H4" s="12"/>
      <c r="I4" s="115">
        <v>44208</v>
      </c>
      <c r="K4" s="159"/>
      <c r="L4" s="160"/>
      <c r="M4" s="160"/>
      <c r="N4" s="13"/>
      <c r="O4" s="161"/>
      <c r="P4" s="162"/>
    </row>
    <row r="5" spans="2:22" s="5" customFormat="1" ht="28.5" customHeight="1" thickTop="1">
      <c r="B5" s="169" t="s">
        <v>2</v>
      </c>
      <c r="C5" s="169"/>
      <c r="D5" s="169"/>
      <c r="E5" s="169"/>
      <c r="F5" s="169"/>
      <c r="G5" s="169"/>
      <c r="H5" s="169"/>
      <c r="I5" s="2"/>
      <c r="K5" s="166" t="s">
        <v>3</v>
      </c>
      <c r="L5" s="167"/>
      <c r="M5" s="167"/>
      <c r="N5" s="167"/>
      <c r="O5" s="167"/>
      <c r="P5" s="167"/>
      <c r="Q5" s="168"/>
    </row>
    <row r="6" spans="2:22" s="5" customFormat="1" ht="12.95" customHeight="1">
      <c r="B6" s="14" t="s">
        <v>4</v>
      </c>
      <c r="C6" s="14"/>
      <c r="D6" s="15"/>
      <c r="E6" s="16"/>
      <c r="F6" s="16"/>
      <c r="G6" s="16"/>
      <c r="H6" s="16"/>
      <c r="I6" s="16"/>
      <c r="K6" s="163"/>
      <c r="L6" s="164"/>
      <c r="M6" s="164"/>
      <c r="N6" s="164"/>
      <c r="O6" s="164"/>
      <c r="P6" s="164"/>
      <c r="Q6" s="165"/>
    </row>
    <row r="7" spans="2:22" s="5" customFormat="1" ht="12.95" customHeight="1">
      <c r="B7" s="17" t="s">
        <v>5</v>
      </c>
      <c r="C7" s="18" t="s">
        <v>6</v>
      </c>
      <c r="D7" s="18" t="s">
        <v>7</v>
      </c>
      <c r="E7" s="19" t="s">
        <v>8</v>
      </c>
      <c r="F7" s="20" t="s">
        <v>9</v>
      </c>
      <c r="G7" s="20" t="s">
        <v>10</v>
      </c>
      <c r="H7" s="20" t="s">
        <v>11</v>
      </c>
      <c r="I7" s="19" t="s">
        <v>12</v>
      </c>
      <c r="K7" s="47"/>
      <c r="L7" s="53"/>
      <c r="M7" s="89" t="s">
        <v>13</v>
      </c>
      <c r="N7" s="44"/>
      <c r="O7" s="44"/>
      <c r="P7" s="88"/>
      <c r="Q7" s="48"/>
    </row>
    <row r="8" spans="2:22" s="5" customFormat="1" ht="12.95" customHeight="1">
      <c r="B8" s="132" t="s">
        <v>14</v>
      </c>
      <c r="C8" s="134">
        <v>63.3</v>
      </c>
      <c r="D8" s="133">
        <v>160</v>
      </c>
      <c r="E8" s="22">
        <f t="shared" ref="E8:E14" si="0">D8*C8</f>
        <v>10128</v>
      </c>
      <c r="F8" s="22">
        <f t="shared" ref="F8:F15" si="1">SUM(E8)*1.03</f>
        <v>10431.84</v>
      </c>
      <c r="G8" s="22">
        <f t="shared" ref="G8:H15" si="2">SUM(F8*1.03)</f>
        <v>10744.7952</v>
      </c>
      <c r="H8" s="22">
        <f t="shared" si="2"/>
        <v>11067.139056</v>
      </c>
      <c r="I8" s="22">
        <f t="shared" ref="I8:I15" si="3">SUM(E8:H8)</f>
        <v>42371.774256000004</v>
      </c>
      <c r="J8" s="23"/>
      <c r="K8" s="47"/>
      <c r="L8" s="44"/>
      <c r="M8" s="89"/>
      <c r="N8" s="44"/>
      <c r="O8" s="44"/>
      <c r="P8" s="45"/>
      <c r="Q8" s="48"/>
    </row>
    <row r="9" spans="2:22" s="5" customFormat="1" ht="12.95" customHeight="1">
      <c r="B9" s="132" t="s">
        <v>15</v>
      </c>
      <c r="C9" s="134">
        <v>46.3</v>
      </c>
      <c r="D9" s="133">
        <v>80</v>
      </c>
      <c r="E9" s="22">
        <f t="shared" si="0"/>
        <v>3704</v>
      </c>
      <c r="F9" s="22">
        <f t="shared" si="1"/>
        <v>3815.12</v>
      </c>
      <c r="G9" s="22">
        <f t="shared" si="2"/>
        <v>3929.5736000000002</v>
      </c>
      <c r="H9" s="22">
        <f t="shared" si="2"/>
        <v>4047.4608080000003</v>
      </c>
      <c r="I9" s="22">
        <f t="shared" si="3"/>
        <v>15496.154408</v>
      </c>
      <c r="J9" s="23"/>
      <c r="K9" s="47"/>
      <c r="L9" s="44"/>
      <c r="M9" s="89"/>
      <c r="N9" s="44"/>
      <c r="O9" s="44"/>
      <c r="P9" s="45"/>
      <c r="Q9" s="48"/>
    </row>
    <row r="10" spans="2:22" s="5" customFormat="1" ht="12.95" customHeight="1">
      <c r="B10" s="132" t="s">
        <v>16</v>
      </c>
      <c r="C10" s="134">
        <v>43.74</v>
      </c>
      <c r="D10" s="133">
        <v>80</v>
      </c>
      <c r="E10" s="22">
        <f t="shared" si="0"/>
        <v>3499.2000000000003</v>
      </c>
      <c r="F10" s="22">
        <f t="shared" si="1"/>
        <v>3604.1760000000004</v>
      </c>
      <c r="G10" s="22">
        <f t="shared" si="2"/>
        <v>3712.3012800000006</v>
      </c>
      <c r="H10" s="22">
        <f t="shared" si="2"/>
        <v>3823.6703184000007</v>
      </c>
      <c r="I10" s="22">
        <f t="shared" si="3"/>
        <v>14639.3475984</v>
      </c>
      <c r="J10" s="23"/>
      <c r="K10" s="49"/>
      <c r="L10" s="44" t="s">
        <v>17</v>
      </c>
      <c r="M10" s="46">
        <v>0.307</v>
      </c>
      <c r="N10" s="87"/>
      <c r="O10" s="44"/>
      <c r="P10" s="90"/>
      <c r="Q10" s="48"/>
    </row>
    <row r="11" spans="2:22" s="5" customFormat="1" ht="12.95" customHeight="1">
      <c r="B11" s="132" t="s">
        <v>18</v>
      </c>
      <c r="C11" s="134">
        <v>68.900000000000006</v>
      </c>
      <c r="D11" s="133">
        <v>80</v>
      </c>
      <c r="E11" s="22">
        <f t="shared" si="0"/>
        <v>5512</v>
      </c>
      <c r="F11" s="22">
        <f t="shared" si="1"/>
        <v>5677.3600000000006</v>
      </c>
      <c r="G11" s="22">
        <f t="shared" si="2"/>
        <v>5847.680800000001</v>
      </c>
      <c r="H11" s="22">
        <f t="shared" si="2"/>
        <v>6023.1112240000011</v>
      </c>
      <c r="I11" s="22">
        <f t="shared" si="3"/>
        <v>23060.152024000003</v>
      </c>
      <c r="J11" s="23"/>
      <c r="K11" s="49"/>
      <c r="L11" s="44"/>
      <c r="M11" s="46"/>
      <c r="N11" s="44"/>
      <c r="O11" s="44"/>
      <c r="P11" s="90"/>
      <c r="Q11" s="48"/>
    </row>
    <row r="12" spans="2:22" s="5" customFormat="1" ht="12.95" customHeight="1">
      <c r="B12" s="132" t="s">
        <v>19</v>
      </c>
      <c r="C12" s="134">
        <f>62.77*1.03</f>
        <v>64.653100000000009</v>
      </c>
      <c r="D12" s="133">
        <v>40</v>
      </c>
      <c r="E12" s="22">
        <f t="shared" si="0"/>
        <v>2586.1240000000003</v>
      </c>
      <c r="F12" s="22">
        <f t="shared" si="1"/>
        <v>2663.7077200000003</v>
      </c>
      <c r="G12" s="22">
        <f t="shared" si="2"/>
        <v>2743.6189516000004</v>
      </c>
      <c r="H12" s="22">
        <f t="shared" si="2"/>
        <v>2825.9275201480004</v>
      </c>
      <c r="I12" s="22">
        <f t="shared" si="3"/>
        <v>10819.378191748001</v>
      </c>
      <c r="J12" s="23"/>
      <c r="K12" s="49"/>
      <c r="L12" s="44" t="s">
        <v>20</v>
      </c>
      <c r="M12" s="46">
        <v>0.41799999999999998</v>
      </c>
      <c r="N12" s="87"/>
      <c r="O12" s="44"/>
      <c r="P12" s="91"/>
      <c r="Q12" s="48"/>
    </row>
    <row r="13" spans="2:22" s="5" customFormat="1" ht="12.95" customHeight="1">
      <c r="B13" s="132" t="s">
        <v>21</v>
      </c>
      <c r="C13" s="134">
        <f>49.6*1.03</f>
        <v>51.088000000000001</v>
      </c>
      <c r="D13" s="133">
        <v>40</v>
      </c>
      <c r="E13" s="22">
        <f t="shared" si="0"/>
        <v>2043.52</v>
      </c>
      <c r="F13" s="22">
        <f t="shared" si="1"/>
        <v>2104.8256000000001</v>
      </c>
      <c r="G13" s="22">
        <f t="shared" si="2"/>
        <v>2167.9703680000002</v>
      </c>
      <c r="H13" s="22">
        <f t="shared" si="2"/>
        <v>2233.0094790400003</v>
      </c>
      <c r="I13" s="22">
        <f t="shared" si="3"/>
        <v>8549.3254470400007</v>
      </c>
      <c r="J13" s="23"/>
      <c r="K13" s="49"/>
      <c r="L13" s="44"/>
      <c r="M13" s="46"/>
      <c r="N13" s="87"/>
      <c r="O13" s="44"/>
      <c r="P13" s="91"/>
      <c r="Q13" s="48"/>
    </row>
    <row r="14" spans="2:22" s="5" customFormat="1" ht="12.95" customHeight="1">
      <c r="B14" s="132" t="s">
        <v>22</v>
      </c>
      <c r="C14" s="134">
        <f>70.16*1.03</f>
        <v>72.264799999999994</v>
      </c>
      <c r="D14" s="133">
        <v>40</v>
      </c>
      <c r="E14" s="22">
        <f t="shared" si="0"/>
        <v>2890.5919999999996</v>
      </c>
      <c r="F14" s="22">
        <f t="shared" si="1"/>
        <v>2977.3097599999996</v>
      </c>
      <c r="G14" s="22">
        <f t="shared" si="2"/>
        <v>3066.6290527999995</v>
      </c>
      <c r="H14" s="22">
        <f t="shared" si="2"/>
        <v>3158.6279243839995</v>
      </c>
      <c r="I14" s="22">
        <f t="shared" si="3"/>
        <v>12093.158737183998</v>
      </c>
      <c r="J14" s="23"/>
      <c r="K14" s="49"/>
      <c r="L14" s="44"/>
      <c r="M14" s="46"/>
      <c r="N14" s="87"/>
      <c r="O14" s="44"/>
      <c r="P14" s="91"/>
      <c r="Q14" s="48"/>
    </row>
    <row r="15" spans="2:22" s="5" customFormat="1" ht="12.95" customHeight="1">
      <c r="B15" s="132" t="s">
        <v>23</v>
      </c>
      <c r="C15" s="135">
        <v>52.71</v>
      </c>
      <c r="D15" s="133">
        <v>40</v>
      </c>
      <c r="E15" s="22">
        <f>D15*C15</f>
        <v>2108.4</v>
      </c>
      <c r="F15" s="22">
        <f t="shared" si="1"/>
        <v>2171.652</v>
      </c>
      <c r="G15" s="22">
        <f t="shared" si="2"/>
        <v>2236.8015599999999</v>
      </c>
      <c r="H15" s="22">
        <f t="shared" si="2"/>
        <v>2303.9056068</v>
      </c>
      <c r="I15" s="22">
        <f t="shared" si="3"/>
        <v>8820.7591667999986</v>
      </c>
      <c r="K15" s="47"/>
      <c r="L15" s="44" t="s">
        <v>24</v>
      </c>
      <c r="M15" s="46"/>
      <c r="N15" s="44"/>
      <c r="O15" s="44"/>
      <c r="P15" s="91"/>
      <c r="Q15" s="48"/>
    </row>
    <row r="16" spans="2:22" s="5" customFormat="1" ht="12.95" customHeight="1">
      <c r="B16" s="24" t="s">
        <v>25</v>
      </c>
      <c r="C16" s="24"/>
      <c r="D16" s="25"/>
      <c r="E16" s="26">
        <f>SUM(E8:E15)</f>
        <v>32471.836000000003</v>
      </c>
      <c r="F16" s="26">
        <f>SUM(F8:F15)</f>
        <v>33445.99108</v>
      </c>
      <c r="G16" s="26">
        <f>SUM(G8:G15)</f>
        <v>34449.370812399997</v>
      </c>
      <c r="H16" s="26">
        <f>SUM(H8:H15)</f>
        <v>35482.851936772</v>
      </c>
      <c r="I16" s="26">
        <f>SUM(E16:H16)</f>
        <v>135850.049829172</v>
      </c>
      <c r="K16" s="47"/>
      <c r="L16" s="53"/>
      <c r="M16" s="79"/>
      <c r="N16" s="45"/>
      <c r="O16" s="44"/>
      <c r="P16" s="91"/>
      <c r="Q16" s="48"/>
    </row>
    <row r="17" spans="2:17" s="5" customFormat="1" ht="12.95" customHeight="1">
      <c r="B17" s="2"/>
      <c r="C17" s="2"/>
      <c r="D17" s="21"/>
      <c r="E17" s="27"/>
      <c r="F17" s="27"/>
      <c r="G17" s="27"/>
      <c r="H17" s="27"/>
      <c r="I17" s="27"/>
      <c r="K17" s="47"/>
      <c r="L17" s="44" t="s">
        <v>26</v>
      </c>
      <c r="M17" s="46">
        <v>7.9000000000000001E-2</v>
      </c>
      <c r="N17" s="87"/>
      <c r="O17" s="45"/>
      <c r="P17" s="91"/>
      <c r="Q17" s="48"/>
    </row>
    <row r="18" spans="2:17" s="5" customFormat="1" ht="12.95" customHeight="1">
      <c r="B18" s="28" t="s">
        <v>27</v>
      </c>
      <c r="C18" s="28"/>
      <c r="D18" s="29"/>
      <c r="E18" s="30"/>
      <c r="F18" s="30"/>
      <c r="G18" s="30"/>
      <c r="H18" s="30"/>
      <c r="I18" s="30"/>
      <c r="K18" s="47"/>
      <c r="L18" s="44" t="s">
        <v>28</v>
      </c>
      <c r="M18" s="46"/>
      <c r="N18" s="44"/>
      <c r="O18" s="45"/>
      <c r="P18" s="91"/>
      <c r="Q18" s="48"/>
    </row>
    <row r="19" spans="2:17" s="5" customFormat="1" ht="12.95" customHeight="1">
      <c r="B19" s="2" t="s">
        <v>29</v>
      </c>
      <c r="C19" s="135">
        <v>37.82</v>
      </c>
      <c r="D19" s="136">
        <v>208</v>
      </c>
      <c r="E19" s="22">
        <f>C19*D19</f>
        <v>7866.56</v>
      </c>
      <c r="F19" s="22">
        <f t="shared" ref="F19:H21" si="4">SUM(E19*1.03)</f>
        <v>8102.5568000000003</v>
      </c>
      <c r="G19" s="22">
        <f t="shared" si="4"/>
        <v>8345.6335040000013</v>
      </c>
      <c r="H19" s="22">
        <f t="shared" si="4"/>
        <v>8596.0025091200023</v>
      </c>
      <c r="I19" s="22">
        <f>SUM(E19:H19)</f>
        <v>32910.752813120002</v>
      </c>
      <c r="K19" s="47"/>
      <c r="L19" s="44"/>
      <c r="M19" s="46"/>
      <c r="N19" s="44"/>
      <c r="O19" s="45"/>
      <c r="P19" s="91"/>
      <c r="Q19" s="48"/>
    </row>
    <row r="20" spans="2:17" s="5" customFormat="1" ht="12.95" customHeight="1">
      <c r="B20" s="2" t="s">
        <v>30</v>
      </c>
      <c r="C20" s="135">
        <v>21</v>
      </c>
      <c r="D20" s="137">
        <v>1040</v>
      </c>
      <c r="E20" s="22">
        <f>C20*D20</f>
        <v>21840</v>
      </c>
      <c r="F20" s="22">
        <f t="shared" si="4"/>
        <v>22495.200000000001</v>
      </c>
      <c r="G20" s="22">
        <f t="shared" si="4"/>
        <v>23170.056</v>
      </c>
      <c r="H20" s="22">
        <f t="shared" si="4"/>
        <v>23865.15768</v>
      </c>
      <c r="I20" s="22">
        <f>SUM(E20:H20)</f>
        <v>91370.413679999998</v>
      </c>
      <c r="K20" s="47"/>
      <c r="L20" s="44" t="s">
        <v>31</v>
      </c>
      <c r="M20" s="46">
        <v>2.1000000000000001E-2</v>
      </c>
      <c r="N20" s="87"/>
      <c r="O20" s="45"/>
      <c r="P20" s="91"/>
      <c r="Q20" s="48"/>
    </row>
    <row r="21" spans="2:17" s="5" customFormat="1" ht="12.95" customHeight="1" thickBot="1">
      <c r="B21" s="2" t="s">
        <v>32</v>
      </c>
      <c r="C21" s="135">
        <v>21</v>
      </c>
      <c r="D21" s="138">
        <v>1040</v>
      </c>
      <c r="E21" s="22">
        <f>C21*D21</f>
        <v>21840</v>
      </c>
      <c r="F21" s="22">
        <f t="shared" si="4"/>
        <v>22495.200000000001</v>
      </c>
      <c r="G21" s="22">
        <f t="shared" si="4"/>
        <v>23170.056</v>
      </c>
      <c r="H21" s="22">
        <f t="shared" si="4"/>
        <v>23865.15768</v>
      </c>
      <c r="I21" s="22">
        <f>SUM(E21:H21)</f>
        <v>91370.413679999998</v>
      </c>
      <c r="K21" s="50"/>
      <c r="L21" s="51"/>
      <c r="M21" s="51"/>
      <c r="N21" s="51"/>
      <c r="O21" s="51"/>
      <c r="P21" s="51"/>
      <c r="Q21" s="52"/>
    </row>
    <row r="22" spans="2:17" s="5" customFormat="1" ht="12.95" customHeight="1" thickTop="1">
      <c r="B22" s="132" t="s">
        <v>33</v>
      </c>
      <c r="C22" s="135">
        <v>21</v>
      </c>
      <c r="D22" s="137">
        <v>1040</v>
      </c>
      <c r="E22" s="22">
        <f t="shared" ref="E22:E26" si="5">C22*D22</f>
        <v>21840</v>
      </c>
      <c r="F22" s="22">
        <f t="shared" ref="F22:H26" si="6">SUM(E22*1.03)</f>
        <v>22495.200000000001</v>
      </c>
      <c r="G22" s="22">
        <f t="shared" si="6"/>
        <v>23170.056</v>
      </c>
      <c r="H22" s="22">
        <f t="shared" si="6"/>
        <v>23865.15768</v>
      </c>
      <c r="I22" s="22">
        <f>SUM(E22:H22)</f>
        <v>91370.413679999998</v>
      </c>
    </row>
    <row r="23" spans="2:17" s="5" customFormat="1" ht="12.95" customHeight="1">
      <c r="B23" s="132" t="s">
        <v>33</v>
      </c>
      <c r="C23" s="135">
        <v>21</v>
      </c>
      <c r="D23" s="138">
        <v>1040</v>
      </c>
      <c r="E23" s="22">
        <f t="shared" si="5"/>
        <v>21840</v>
      </c>
      <c r="F23" s="22">
        <f t="shared" si="6"/>
        <v>22495.200000000001</v>
      </c>
      <c r="G23" s="22">
        <f t="shared" si="6"/>
        <v>23170.056</v>
      </c>
      <c r="H23" s="22">
        <f t="shared" si="6"/>
        <v>23865.15768</v>
      </c>
      <c r="I23" s="22">
        <f>SUM(E23:H23)</f>
        <v>91370.413679999998</v>
      </c>
    </row>
    <row r="24" spans="2:17" s="5" customFormat="1" ht="12.95" customHeight="1">
      <c r="B24" s="132" t="s">
        <v>34</v>
      </c>
      <c r="C24" s="135">
        <v>21</v>
      </c>
      <c r="D24" s="137">
        <v>1040</v>
      </c>
      <c r="E24" s="22">
        <f t="shared" si="5"/>
        <v>21840</v>
      </c>
      <c r="F24" s="22">
        <f t="shared" si="6"/>
        <v>22495.200000000001</v>
      </c>
      <c r="G24" s="22">
        <f t="shared" si="6"/>
        <v>23170.056</v>
      </c>
      <c r="H24" s="22">
        <f t="shared" si="6"/>
        <v>23865.15768</v>
      </c>
      <c r="I24" s="22">
        <f t="shared" ref="I24:I26" si="7">SUM(E24:H24)</f>
        <v>91370.413679999998</v>
      </c>
    </row>
    <row r="25" spans="2:17" s="5" customFormat="1" ht="12.95" customHeight="1">
      <c r="B25" s="132" t="s">
        <v>35</v>
      </c>
      <c r="C25" s="135">
        <v>45</v>
      </c>
      <c r="D25" s="138">
        <v>1040</v>
      </c>
      <c r="E25" s="22">
        <f t="shared" si="5"/>
        <v>46800</v>
      </c>
      <c r="F25" s="22">
        <f t="shared" si="6"/>
        <v>48204</v>
      </c>
      <c r="G25" s="22">
        <f t="shared" si="6"/>
        <v>49650.12</v>
      </c>
      <c r="H25" s="22">
        <f t="shared" si="6"/>
        <v>51139.623600000006</v>
      </c>
      <c r="I25" s="22">
        <f t="shared" si="7"/>
        <v>195793.74359999999</v>
      </c>
    </row>
    <row r="26" spans="2:17" s="5" customFormat="1" ht="12.95" customHeight="1">
      <c r="B26" s="132" t="s">
        <v>36</v>
      </c>
      <c r="C26" s="135">
        <v>14</v>
      </c>
      <c r="D26" s="138">
        <v>360</v>
      </c>
      <c r="E26" s="22">
        <f t="shared" si="5"/>
        <v>5040</v>
      </c>
      <c r="F26" s="22">
        <f t="shared" si="6"/>
        <v>5191.2</v>
      </c>
      <c r="G26" s="22">
        <f t="shared" si="6"/>
        <v>5346.9359999999997</v>
      </c>
      <c r="H26" s="22">
        <f t="shared" si="6"/>
        <v>5507.3440799999998</v>
      </c>
      <c r="I26" s="22">
        <f t="shared" si="7"/>
        <v>21085.480080000001</v>
      </c>
    </row>
    <row r="27" spans="2:17" s="5" customFormat="1" ht="12.95" customHeight="1">
      <c r="B27" s="24" t="s">
        <v>37</v>
      </c>
      <c r="C27" s="24"/>
      <c r="D27" s="25"/>
      <c r="E27" s="26">
        <f>SUM(E19:E26)</f>
        <v>168906.56</v>
      </c>
      <c r="F27" s="26">
        <f>SUM(F19:F26)</f>
        <v>173973.7568</v>
      </c>
      <c r="G27" s="26">
        <f>SUM(G19:G26)</f>
        <v>179192.96950399998</v>
      </c>
      <c r="H27" s="26">
        <f>SUM(H19:H26)</f>
        <v>184568.75858912003</v>
      </c>
      <c r="I27" s="26">
        <f>SUM(E27:H27)</f>
        <v>706642.04489312007</v>
      </c>
    </row>
    <row r="28" spans="2:17" s="5" customFormat="1" ht="12.95" customHeight="1">
      <c r="B28" s="2"/>
      <c r="C28" s="2"/>
      <c r="D28" s="21"/>
      <c r="E28" s="27"/>
      <c r="F28" s="27"/>
      <c r="G28" s="27"/>
      <c r="H28" s="27"/>
      <c r="I28" s="27"/>
    </row>
    <row r="29" spans="2:17" s="5" customFormat="1" ht="12.95" customHeight="1">
      <c r="B29" s="31" t="s">
        <v>38</v>
      </c>
      <c r="C29" s="24"/>
      <c r="D29" s="32" t="s">
        <v>39</v>
      </c>
      <c r="E29" s="33"/>
      <c r="F29" s="33"/>
      <c r="G29" s="33"/>
      <c r="H29" s="33"/>
      <c r="I29" s="33"/>
    </row>
    <row r="30" spans="2:17" s="5" customFormat="1" ht="12.95" customHeight="1">
      <c r="B30" s="132" t="s">
        <v>14</v>
      </c>
      <c r="C30" s="2"/>
      <c r="D30" s="34">
        <v>0.307</v>
      </c>
      <c r="E30" s="27">
        <f t="shared" ref="E30:E37" si="8">SUM(D30*E8)</f>
        <v>3109.2959999999998</v>
      </c>
      <c r="F30" s="27">
        <f>SUM(D30*F8)</f>
        <v>3202.5748800000001</v>
      </c>
      <c r="G30" s="27">
        <f t="shared" ref="G30:G36" si="9">SUM(D30*G8)</f>
        <v>3298.6521264000003</v>
      </c>
      <c r="H30" s="27">
        <f t="shared" ref="H30:H35" si="10">SUM(D30*H8)</f>
        <v>3397.611690192</v>
      </c>
      <c r="I30" s="27">
        <f t="shared" ref="I30:I36" si="11">SUM(E30:H30)</f>
        <v>13008.134696592</v>
      </c>
    </row>
    <row r="31" spans="2:17" s="5" customFormat="1" ht="12.95" customHeight="1">
      <c r="B31" s="132" t="s">
        <v>15</v>
      </c>
      <c r="C31" s="2"/>
      <c r="D31" s="34">
        <v>0.307</v>
      </c>
      <c r="E31" s="27">
        <f t="shared" si="8"/>
        <v>1137.1279999999999</v>
      </c>
      <c r="F31" s="27">
        <f>SUM(D31*F9)</f>
        <v>1171.2418399999999</v>
      </c>
      <c r="G31" s="27">
        <f t="shared" si="9"/>
        <v>1206.3790951999999</v>
      </c>
      <c r="H31" s="27">
        <f t="shared" si="10"/>
        <v>1242.570468056</v>
      </c>
      <c r="I31" s="27">
        <f t="shared" si="11"/>
        <v>4757.3194032559995</v>
      </c>
    </row>
    <row r="32" spans="2:17" s="5" customFormat="1" ht="12.95" customHeight="1">
      <c r="B32" s="132" t="s">
        <v>16</v>
      </c>
      <c r="C32" s="2"/>
      <c r="D32" s="34">
        <v>0.307</v>
      </c>
      <c r="E32" s="27">
        <f t="shared" si="8"/>
        <v>1074.2544</v>
      </c>
      <c r="F32" s="27">
        <f>SUM(D32*F10)</f>
        <v>1106.4820320000001</v>
      </c>
      <c r="G32" s="27">
        <f t="shared" si="9"/>
        <v>1139.6764929600001</v>
      </c>
      <c r="H32" s="27">
        <f t="shared" si="10"/>
        <v>1173.8667877488001</v>
      </c>
      <c r="I32" s="27">
        <f t="shared" si="11"/>
        <v>4494.2797127087997</v>
      </c>
    </row>
    <row r="33" spans="2:23" s="5" customFormat="1" ht="12.95" customHeight="1">
      <c r="B33" s="132" t="s">
        <v>18</v>
      </c>
      <c r="C33" s="2"/>
      <c r="D33" s="34">
        <v>0.307</v>
      </c>
      <c r="E33" s="27">
        <f t="shared" si="8"/>
        <v>1692.184</v>
      </c>
      <c r="F33" s="27">
        <f>SUM(D33*F11)</f>
        <v>1742.9495200000001</v>
      </c>
      <c r="G33" s="27">
        <f t="shared" si="9"/>
        <v>1795.2380056000002</v>
      </c>
      <c r="H33" s="27">
        <f t="shared" si="10"/>
        <v>1849.0951457680003</v>
      </c>
      <c r="I33" s="27">
        <f t="shared" si="11"/>
        <v>7079.4666713680008</v>
      </c>
      <c r="K33" s="65"/>
      <c r="L33" s="65"/>
      <c r="M33" s="65"/>
      <c r="N33" s="65"/>
      <c r="O33" s="65"/>
      <c r="P33" s="65"/>
      <c r="Q33" s="65"/>
      <c r="R33" s="65"/>
    </row>
    <row r="34" spans="2:23" s="5" customFormat="1" ht="12.95" customHeight="1">
      <c r="B34" s="132" t="s">
        <v>19</v>
      </c>
      <c r="C34" s="2"/>
      <c r="D34" s="34">
        <v>0.307</v>
      </c>
      <c r="E34" s="27">
        <f t="shared" si="8"/>
        <v>793.94006800000011</v>
      </c>
      <c r="F34" s="27">
        <f>SUM(D34*F12)</f>
        <v>817.75827004000007</v>
      </c>
      <c r="G34" s="27">
        <f t="shared" si="9"/>
        <v>842.29101814120008</v>
      </c>
      <c r="H34" s="27">
        <f t="shared" si="10"/>
        <v>867.55974868543615</v>
      </c>
      <c r="I34" s="27">
        <f t="shared" si="11"/>
        <v>3321.5491048666368</v>
      </c>
      <c r="K34" s="65"/>
      <c r="L34" s="73"/>
      <c r="M34" s="65"/>
      <c r="N34" s="65"/>
      <c r="O34" s="65"/>
      <c r="P34" s="65"/>
      <c r="Q34" s="65"/>
      <c r="R34" s="65"/>
    </row>
    <row r="35" spans="2:23" s="5" customFormat="1" ht="12.95" customHeight="1">
      <c r="B35" s="132" t="s">
        <v>21</v>
      </c>
      <c r="C35" s="2"/>
      <c r="D35" s="34">
        <v>0.307</v>
      </c>
      <c r="E35" s="27">
        <f t="shared" si="8"/>
        <v>627.36063999999999</v>
      </c>
      <c r="F35" s="27">
        <f t="shared" ref="F35:F37" si="12">SUM(D35*F13)</f>
        <v>646.18145920000006</v>
      </c>
      <c r="G35" s="27">
        <f t="shared" si="9"/>
        <v>665.56690297600005</v>
      </c>
      <c r="H35" s="27">
        <f t="shared" si="10"/>
        <v>685.53391006528011</v>
      </c>
      <c r="I35" s="27">
        <f t="shared" si="11"/>
        <v>2624.6429122412801</v>
      </c>
      <c r="K35" s="65"/>
      <c r="L35" s="73"/>
      <c r="M35" s="65"/>
      <c r="N35" s="65"/>
      <c r="O35" s="65"/>
      <c r="P35" s="65"/>
      <c r="Q35" s="65"/>
      <c r="R35" s="65"/>
    </row>
    <row r="36" spans="2:23" s="5" customFormat="1" ht="12.95" customHeight="1">
      <c r="B36" s="132" t="s">
        <v>22</v>
      </c>
      <c r="C36" s="2"/>
      <c r="D36" s="34">
        <v>0.307</v>
      </c>
      <c r="E36" s="27">
        <f t="shared" si="8"/>
        <v>887.41174399999989</v>
      </c>
      <c r="F36" s="27">
        <f t="shared" si="12"/>
        <v>914.03409631999989</v>
      </c>
      <c r="G36" s="27">
        <f t="shared" si="9"/>
        <v>941.45511920959984</v>
      </c>
      <c r="H36" s="27">
        <f t="shared" ref="H36:H37" si="13">SUM(D36*H14)</f>
        <v>969.69877278588785</v>
      </c>
      <c r="I36" s="27">
        <f t="shared" si="11"/>
        <v>3712.599732315487</v>
      </c>
      <c r="K36" s="65"/>
      <c r="L36" s="73"/>
      <c r="M36" s="65"/>
      <c r="N36" s="65"/>
      <c r="O36" s="65"/>
      <c r="P36" s="65"/>
      <c r="Q36" s="65"/>
      <c r="R36" s="65"/>
    </row>
    <row r="37" spans="2:23" s="5" customFormat="1" ht="12.95" customHeight="1">
      <c r="B37" s="132" t="s">
        <v>23</v>
      </c>
      <c r="C37" s="2"/>
      <c r="D37" s="34">
        <v>0.307</v>
      </c>
      <c r="E37" s="27">
        <f t="shared" si="8"/>
        <v>647.27880000000005</v>
      </c>
      <c r="F37" s="27">
        <f t="shared" si="12"/>
        <v>666.69716400000004</v>
      </c>
      <c r="G37" s="27">
        <f t="shared" ref="G37" si="14">SUM(D37*G15)</f>
        <v>686.69807891999994</v>
      </c>
      <c r="H37" s="27">
        <f t="shared" si="13"/>
        <v>707.2990212876</v>
      </c>
      <c r="I37" s="27">
        <f t="shared" ref="I37:I45" si="15">SUM(E37:H37)</f>
        <v>2707.9730642076001</v>
      </c>
      <c r="K37" s="65"/>
      <c r="L37" s="73"/>
      <c r="M37" s="65"/>
      <c r="N37" s="65"/>
      <c r="O37" s="65"/>
      <c r="P37" s="65"/>
      <c r="Q37" s="65"/>
      <c r="R37" s="65"/>
    </row>
    <row r="38" spans="2:23" s="5" customFormat="1" ht="12.95" customHeight="1">
      <c r="B38" s="2" t="s">
        <v>29</v>
      </c>
      <c r="C38" s="2"/>
      <c r="D38" s="34">
        <v>0.41799999999999998</v>
      </c>
      <c r="E38" s="27">
        <f>SUM(D38*E19)</f>
        <v>3288.22208</v>
      </c>
      <c r="F38" s="27">
        <f>SUM(D38*F19)</f>
        <v>3386.8687424</v>
      </c>
      <c r="G38" s="27">
        <f>SUM(D38*G19)</f>
        <v>3488.4748046720006</v>
      </c>
      <c r="H38" s="27">
        <f>SUM(D38*H19)</f>
        <v>3593.1290488121608</v>
      </c>
      <c r="I38" s="27">
        <f t="shared" si="15"/>
        <v>13756.69467588416</v>
      </c>
      <c r="K38" s="65"/>
      <c r="L38" s="65"/>
      <c r="M38" s="65"/>
      <c r="N38" s="65"/>
      <c r="O38" s="65"/>
      <c r="P38" s="65"/>
      <c r="Q38" s="65"/>
      <c r="R38" s="65"/>
    </row>
    <row r="39" spans="2:23" s="5" customFormat="1" ht="12.95" customHeight="1">
      <c r="B39" s="2" t="s">
        <v>30</v>
      </c>
      <c r="C39" s="2"/>
      <c r="D39" s="34">
        <v>2.1000000000000001E-2</v>
      </c>
      <c r="E39" s="27">
        <f>SUM(D39*E20)</f>
        <v>458.64000000000004</v>
      </c>
      <c r="F39" s="27">
        <f t="shared" ref="F39:F45" si="16">SUM(D39*F20)</f>
        <v>472.39920000000006</v>
      </c>
      <c r="G39" s="27">
        <f t="shared" ref="G39:G45" si="17">SUM(D39*G20)</f>
        <v>486.57117600000004</v>
      </c>
      <c r="H39" s="27">
        <f t="shared" ref="H39:H45" si="18">SUM(D39*H20)</f>
        <v>501.16831128000001</v>
      </c>
      <c r="I39" s="27">
        <f t="shared" si="15"/>
        <v>1918.7786872800002</v>
      </c>
      <c r="K39" s="65"/>
      <c r="L39" s="65"/>
      <c r="M39" s="65"/>
      <c r="N39" s="65"/>
      <c r="O39" s="65"/>
      <c r="P39" s="65"/>
      <c r="Q39" s="65"/>
      <c r="R39" s="65"/>
    </row>
    <row r="40" spans="2:23" s="5" customFormat="1" ht="12.95" customHeight="1">
      <c r="B40" s="2" t="s">
        <v>32</v>
      </c>
      <c r="C40" s="2"/>
      <c r="D40" s="34">
        <v>2.1000000000000001E-2</v>
      </c>
      <c r="E40" s="27">
        <f t="shared" ref="E40:E45" si="19">SUM(D40*E21)</f>
        <v>458.64000000000004</v>
      </c>
      <c r="F40" s="27">
        <f t="shared" si="16"/>
        <v>472.39920000000006</v>
      </c>
      <c r="G40" s="27">
        <f t="shared" si="17"/>
        <v>486.57117600000004</v>
      </c>
      <c r="H40" s="27">
        <f t="shared" si="18"/>
        <v>501.16831128000001</v>
      </c>
      <c r="I40" s="27">
        <f t="shared" si="15"/>
        <v>1918.7786872800002</v>
      </c>
      <c r="K40" s="65"/>
      <c r="L40" s="65"/>
      <c r="M40" s="65"/>
      <c r="N40" s="65"/>
      <c r="O40" s="65"/>
      <c r="P40" s="65"/>
      <c r="Q40" s="65"/>
      <c r="R40" s="65"/>
    </row>
    <row r="41" spans="2:23" s="5" customFormat="1" ht="12.95" customHeight="1">
      <c r="B41" s="132" t="s">
        <v>33</v>
      </c>
      <c r="C41" s="2"/>
      <c r="D41" s="34">
        <v>2.1000000000000001E-2</v>
      </c>
      <c r="E41" s="27">
        <f t="shared" si="19"/>
        <v>458.64000000000004</v>
      </c>
      <c r="F41" s="27">
        <f t="shared" si="16"/>
        <v>472.39920000000006</v>
      </c>
      <c r="G41" s="27">
        <f t="shared" si="17"/>
        <v>486.57117600000004</v>
      </c>
      <c r="H41" s="27">
        <f t="shared" si="18"/>
        <v>501.16831128000001</v>
      </c>
      <c r="I41" s="27">
        <f t="shared" si="15"/>
        <v>1918.7786872800002</v>
      </c>
      <c r="K41" s="65"/>
      <c r="L41" s="65"/>
      <c r="M41" s="65"/>
      <c r="N41" s="65"/>
      <c r="O41" s="65"/>
      <c r="P41" s="65"/>
      <c r="Q41" s="65"/>
      <c r="R41" s="65"/>
    </row>
    <row r="42" spans="2:23" s="5" customFormat="1" ht="12.95" customHeight="1">
      <c r="B42" s="132" t="s">
        <v>33</v>
      </c>
      <c r="C42" s="2"/>
      <c r="D42" s="34">
        <v>2.1000000000000001E-2</v>
      </c>
      <c r="E42" s="27">
        <f t="shared" si="19"/>
        <v>458.64000000000004</v>
      </c>
      <c r="F42" s="27">
        <f t="shared" si="16"/>
        <v>472.39920000000006</v>
      </c>
      <c r="G42" s="27">
        <f t="shared" si="17"/>
        <v>486.57117600000004</v>
      </c>
      <c r="H42" s="27">
        <f t="shared" si="18"/>
        <v>501.16831128000001</v>
      </c>
      <c r="I42" s="27">
        <f t="shared" si="15"/>
        <v>1918.7786872800002</v>
      </c>
      <c r="K42" s="65"/>
      <c r="L42" s="65"/>
      <c r="M42" s="65"/>
      <c r="N42" s="65"/>
      <c r="O42" s="65"/>
      <c r="P42" s="65"/>
      <c r="Q42" s="65"/>
      <c r="R42" s="65"/>
    </row>
    <row r="43" spans="2:23" s="5" customFormat="1" ht="12.95" customHeight="1">
      <c r="B43" s="132" t="s">
        <v>34</v>
      </c>
      <c r="C43" s="2"/>
      <c r="D43" s="34">
        <v>2.1000000000000001E-2</v>
      </c>
      <c r="E43" s="27">
        <f t="shared" si="19"/>
        <v>458.64000000000004</v>
      </c>
      <c r="F43" s="27">
        <f t="shared" si="16"/>
        <v>472.39920000000006</v>
      </c>
      <c r="G43" s="27">
        <f t="shared" si="17"/>
        <v>486.57117600000004</v>
      </c>
      <c r="H43" s="27">
        <f t="shared" si="18"/>
        <v>501.16831128000001</v>
      </c>
      <c r="I43" s="27">
        <f t="shared" si="15"/>
        <v>1918.7786872800002</v>
      </c>
      <c r="K43" s="65"/>
      <c r="L43" s="65"/>
      <c r="M43" s="65"/>
      <c r="N43" s="65"/>
      <c r="O43" s="65"/>
      <c r="P43" s="65"/>
      <c r="Q43" s="65"/>
      <c r="R43" s="65"/>
    </row>
    <row r="44" spans="2:23" s="5" customFormat="1" ht="12.95" customHeight="1">
      <c r="B44" s="132" t="s">
        <v>35</v>
      </c>
      <c r="C44" s="2"/>
      <c r="D44" s="34">
        <v>0.41799999999999998</v>
      </c>
      <c r="E44" s="27">
        <f>SUM(D44*E25)</f>
        <v>19562.399999999998</v>
      </c>
      <c r="F44" s="27">
        <f t="shared" si="16"/>
        <v>20149.272000000001</v>
      </c>
      <c r="G44" s="27">
        <f t="shared" si="17"/>
        <v>20753.75016</v>
      </c>
      <c r="H44" s="27">
        <f t="shared" si="18"/>
        <v>21376.362664800003</v>
      </c>
      <c r="I44" s="27">
        <f t="shared" si="15"/>
        <v>81841.784824800008</v>
      </c>
    </row>
    <row r="45" spans="2:23" s="5" customFormat="1" ht="12.95" customHeight="1">
      <c r="B45" s="132" t="s">
        <v>36</v>
      </c>
      <c r="C45" s="2"/>
      <c r="D45" s="34">
        <v>2.1000000000000001E-2</v>
      </c>
      <c r="E45" s="27">
        <f t="shared" si="19"/>
        <v>105.84</v>
      </c>
      <c r="F45" s="27">
        <f t="shared" si="16"/>
        <v>109.01520000000001</v>
      </c>
      <c r="G45" s="27">
        <f t="shared" si="17"/>
        <v>112.285656</v>
      </c>
      <c r="H45" s="27">
        <f t="shared" si="18"/>
        <v>115.65422568000001</v>
      </c>
      <c r="I45" s="27">
        <f t="shared" si="15"/>
        <v>442.79508168000007</v>
      </c>
      <c r="R45" s="65"/>
      <c r="S45" s="65"/>
      <c r="T45" s="65"/>
      <c r="U45" s="86"/>
      <c r="V45" s="86"/>
      <c r="W45" s="86"/>
    </row>
    <row r="46" spans="2:23" s="5" customFormat="1" ht="12.95" customHeight="1">
      <c r="B46" s="24" t="s">
        <v>40</v>
      </c>
      <c r="C46" s="26"/>
      <c r="D46" s="94"/>
      <c r="E46" s="94">
        <f>SUM(E30:E45)</f>
        <v>35218.515731999993</v>
      </c>
      <c r="F46" s="94">
        <f>SUM(F30:F45)</f>
        <v>36275.071203959997</v>
      </c>
      <c r="G46" s="94">
        <f>SUM(G30:G45)</f>
        <v>37363.323340078801</v>
      </c>
      <c r="H46" s="94">
        <f>SUM(H30:H45)</f>
        <v>38484.223040281169</v>
      </c>
      <c r="I46" s="94">
        <f>SUM(E46:H46)</f>
        <v>147341.13331631996</v>
      </c>
      <c r="L46" s="123" t="s">
        <v>41</v>
      </c>
      <c r="M46" s="124"/>
      <c r="N46" s="125" t="s">
        <v>42</v>
      </c>
      <c r="O46" s="126" t="s">
        <v>43</v>
      </c>
      <c r="P46" s="124"/>
      <c r="Q46" s="126"/>
      <c r="R46" s="93"/>
      <c r="S46" s="93"/>
      <c r="T46" s="65"/>
      <c r="U46" s="93"/>
      <c r="V46" s="93"/>
      <c r="W46" s="93"/>
    </row>
    <row r="47" spans="2:23" s="5" customFormat="1" ht="12.95" customHeight="1">
      <c r="B47" s="31" t="s">
        <v>44</v>
      </c>
      <c r="C47" s="69"/>
      <c r="D47" s="69"/>
      <c r="E47" s="69">
        <f>SUM(E16+E27+E46)</f>
        <v>236596.91173200001</v>
      </c>
      <c r="F47" s="69">
        <f>SUM(F16+F27+F46)</f>
        <v>243694.81908396</v>
      </c>
      <c r="G47" s="69">
        <f>SUM(G16+G27+G46)</f>
        <v>251005.66365647881</v>
      </c>
      <c r="H47" s="69">
        <f>SUM(H16+H27+H46)</f>
        <v>258535.83356617321</v>
      </c>
      <c r="I47" s="69">
        <f>SUM(I16+I27+I46)</f>
        <v>989833.22803861205</v>
      </c>
      <c r="L47" s="100" t="s">
        <v>45</v>
      </c>
      <c r="M47" s="101">
        <v>4938</v>
      </c>
      <c r="N47" s="102">
        <v>2</v>
      </c>
      <c r="O47" s="103">
        <f>M47*N47</f>
        <v>9876</v>
      </c>
      <c r="P47" s="104">
        <f>SUM(M47*N47)</f>
        <v>9876</v>
      </c>
      <c r="Q47" s="127"/>
      <c r="R47" s="119"/>
      <c r="S47" s="120"/>
      <c r="T47" s="121"/>
      <c r="U47" s="92"/>
      <c r="V47" s="92"/>
      <c r="W47" s="92"/>
    </row>
    <row r="48" spans="2:23" s="5" customFormat="1" ht="12.95" customHeight="1">
      <c r="B48" s="2"/>
      <c r="C48" s="22"/>
      <c r="D48" s="22"/>
      <c r="E48" s="22"/>
      <c r="F48" s="22"/>
      <c r="G48" s="22"/>
      <c r="H48" s="22"/>
      <c r="I48" s="22"/>
      <c r="L48" s="105" t="s">
        <v>46</v>
      </c>
      <c r="M48" s="106">
        <v>951</v>
      </c>
      <c r="N48" s="107">
        <v>2</v>
      </c>
      <c r="O48" s="103">
        <f>M48*N48</f>
        <v>1902</v>
      </c>
      <c r="P48" s="108">
        <f>SUM(M48*N48)</f>
        <v>1902</v>
      </c>
      <c r="Q48" s="109"/>
      <c r="R48" s="93"/>
      <c r="S48" s="93"/>
      <c r="T48" s="93"/>
      <c r="U48" s="93"/>
      <c r="V48" s="93"/>
      <c r="W48" s="93"/>
    </row>
    <row r="49" spans="2:23" s="5" customFormat="1" ht="12.95" customHeight="1">
      <c r="B49" s="31" t="s">
        <v>47</v>
      </c>
      <c r="C49" s="26"/>
      <c r="D49" s="26"/>
      <c r="E49" s="26"/>
      <c r="F49" s="26"/>
      <c r="G49" s="26"/>
      <c r="H49" s="26"/>
      <c r="I49" s="26"/>
      <c r="L49" s="105" t="s">
        <v>48</v>
      </c>
      <c r="M49" s="106">
        <v>549</v>
      </c>
      <c r="N49" s="107">
        <v>1</v>
      </c>
      <c r="O49" s="103">
        <f>M49*N49</f>
        <v>549</v>
      </c>
      <c r="P49" s="108">
        <f>SUM(M49*N49)</f>
        <v>549</v>
      </c>
      <c r="Q49" s="109"/>
      <c r="R49" s="93"/>
      <c r="S49" s="93"/>
      <c r="T49" s="93"/>
      <c r="U49" s="93"/>
      <c r="V49" s="93"/>
      <c r="W49" s="93"/>
    </row>
    <row r="50" spans="2:23" s="5" customFormat="1" ht="12.95" customHeight="1">
      <c r="B50" s="139" t="s">
        <v>49</v>
      </c>
      <c r="C50" s="22"/>
      <c r="D50" s="22"/>
      <c r="E50" s="22">
        <v>6000</v>
      </c>
      <c r="F50" s="22">
        <v>0</v>
      </c>
      <c r="G50" s="22">
        <v>0</v>
      </c>
      <c r="H50" s="22">
        <f>SUM(G50*1.02)</f>
        <v>0</v>
      </c>
      <c r="I50" s="22">
        <f>SUM(E50:H50)</f>
        <v>6000</v>
      </c>
      <c r="L50" s="105" t="s">
        <v>50</v>
      </c>
      <c r="M50" s="106">
        <v>450</v>
      </c>
      <c r="N50" s="107">
        <v>0</v>
      </c>
      <c r="O50" s="103">
        <f>M50*N50</f>
        <v>0</v>
      </c>
      <c r="P50" s="107"/>
      <c r="Q50" s="109"/>
      <c r="R50" s="65"/>
      <c r="S50" s="65"/>
      <c r="T50" s="65"/>
      <c r="U50" s="86"/>
      <c r="V50" s="93"/>
      <c r="W50" s="93"/>
    </row>
    <row r="51" spans="2:23" s="5" customFormat="1" ht="12.95" customHeight="1">
      <c r="B51" s="139" t="s">
        <v>51</v>
      </c>
      <c r="C51" s="22"/>
      <c r="D51" s="22"/>
      <c r="E51" s="22">
        <v>0</v>
      </c>
      <c r="F51" s="22">
        <v>2000</v>
      </c>
      <c r="G51" s="22">
        <v>0</v>
      </c>
      <c r="H51" s="22">
        <v>0</v>
      </c>
      <c r="I51" s="22">
        <f>SUM(E51:H51)</f>
        <v>2000</v>
      </c>
      <c r="L51" s="110" t="s">
        <v>52</v>
      </c>
      <c r="M51" s="111"/>
      <c r="N51" s="111"/>
      <c r="O51" s="112">
        <f>SUM(O47:O50)</f>
        <v>12327</v>
      </c>
      <c r="P51" s="113">
        <f>M47*2+M48*2+M49</f>
        <v>12327</v>
      </c>
      <c r="Q51" s="109"/>
      <c r="R51" s="65"/>
      <c r="S51" s="65"/>
      <c r="T51" s="65"/>
      <c r="U51" s="86"/>
      <c r="V51" s="86"/>
      <c r="W51" s="86"/>
    </row>
    <row r="52" spans="2:23" s="5" customFormat="1" ht="12.95" customHeight="1">
      <c r="B52" s="139" t="s">
        <v>53</v>
      </c>
      <c r="C52" s="22"/>
      <c r="D52" s="22"/>
      <c r="E52" s="22">
        <v>0</v>
      </c>
      <c r="F52" s="22">
        <v>0</v>
      </c>
      <c r="G52" s="22">
        <v>2000</v>
      </c>
      <c r="H52" s="22">
        <v>0</v>
      </c>
      <c r="I52" s="22">
        <f>SUM(E52:H52)</f>
        <v>2000</v>
      </c>
      <c r="L52" s="128" t="s">
        <v>54</v>
      </c>
      <c r="M52" s="116"/>
      <c r="N52" s="116"/>
      <c r="O52" s="106"/>
      <c r="P52" s="107"/>
      <c r="Q52" s="109"/>
      <c r="R52" s="65"/>
      <c r="S52" s="65"/>
      <c r="T52" s="65"/>
      <c r="U52" s="86"/>
      <c r="V52" s="86"/>
      <c r="W52" s="86"/>
    </row>
    <row r="53" spans="2:23" s="5" customFormat="1" ht="12.95" customHeight="1">
      <c r="B53" s="139" t="s">
        <v>55</v>
      </c>
      <c r="C53" s="22"/>
      <c r="D53" s="22"/>
      <c r="E53" s="22">
        <v>0</v>
      </c>
      <c r="F53" s="22">
        <v>0</v>
      </c>
      <c r="G53" s="22">
        <v>0</v>
      </c>
      <c r="H53" s="22">
        <v>2000</v>
      </c>
      <c r="I53" s="22">
        <f>SUM(E53:H53)</f>
        <v>2000</v>
      </c>
      <c r="L53" s="129" t="s">
        <v>56</v>
      </c>
      <c r="M53" s="130"/>
      <c r="N53" s="130"/>
      <c r="O53" s="114"/>
      <c r="P53" s="111"/>
      <c r="Q53" s="131"/>
      <c r="R53" s="93"/>
      <c r="S53" s="93"/>
      <c r="T53" s="122"/>
      <c r="U53" s="93"/>
      <c r="V53" s="93"/>
      <c r="W53" s="93"/>
    </row>
    <row r="54" spans="2:23" s="5" customFormat="1" ht="12.95" customHeight="1">
      <c r="B54" s="139" t="s">
        <v>57</v>
      </c>
      <c r="C54" s="22"/>
      <c r="D54" s="22"/>
      <c r="E54" s="148">
        <v>12000</v>
      </c>
      <c r="F54" s="148">
        <v>12000</v>
      </c>
      <c r="G54" s="148">
        <v>12000</v>
      </c>
      <c r="H54" s="148">
        <v>12000</v>
      </c>
      <c r="I54" s="22">
        <f>SUM(E54:H54)</f>
        <v>48000</v>
      </c>
      <c r="L54" s="144"/>
      <c r="M54" s="144"/>
      <c r="N54" s="144"/>
      <c r="O54" s="145"/>
      <c r="P54" s="93"/>
      <c r="Q54" s="93"/>
      <c r="R54" s="93"/>
      <c r="S54" s="93"/>
      <c r="T54" s="122"/>
      <c r="U54" s="93"/>
      <c r="V54" s="93"/>
      <c r="W54" s="93"/>
    </row>
    <row r="55" spans="2:23" s="5" customFormat="1" ht="12.95" customHeight="1">
      <c r="B55" s="139" t="s">
        <v>58</v>
      </c>
      <c r="C55" s="22"/>
      <c r="D55" s="22"/>
      <c r="E55" s="22"/>
      <c r="F55" s="22"/>
      <c r="G55" s="22"/>
      <c r="H55" s="22"/>
      <c r="I55" s="22"/>
      <c r="L55" s="144"/>
      <c r="M55" s="144"/>
      <c r="N55" s="144"/>
      <c r="O55" s="145"/>
      <c r="P55" s="93"/>
      <c r="Q55" s="93"/>
      <c r="R55" s="93"/>
      <c r="S55" s="93"/>
      <c r="T55" s="122"/>
      <c r="U55" s="93"/>
      <c r="V55" s="93"/>
      <c r="W55" s="93"/>
    </row>
    <row r="56" spans="2:23" s="5" customFormat="1" ht="12.95" customHeight="1">
      <c r="B56" s="139" t="s">
        <v>59</v>
      </c>
      <c r="C56" s="22"/>
      <c r="D56" s="22"/>
      <c r="E56" s="22">
        <v>0</v>
      </c>
      <c r="F56" s="22">
        <v>0</v>
      </c>
      <c r="G56" s="22">
        <v>20000</v>
      </c>
      <c r="H56" s="22">
        <v>0</v>
      </c>
      <c r="I56" s="22">
        <f>SUM(E56:H56)</f>
        <v>20000</v>
      </c>
      <c r="L56" s="64"/>
      <c r="M56" s="64"/>
      <c r="N56" s="64"/>
      <c r="O56" s="64"/>
      <c r="P56" s="64"/>
      <c r="Q56" s="64"/>
      <c r="R56" s="65"/>
      <c r="S56" s="65"/>
      <c r="T56" s="65"/>
      <c r="U56" s="86"/>
      <c r="V56" s="86"/>
      <c r="W56" s="86"/>
    </row>
    <row r="57" spans="2:23" s="5" customFormat="1" ht="12.95" customHeight="1">
      <c r="B57" s="31" t="s">
        <v>60</v>
      </c>
      <c r="C57" s="69"/>
      <c r="D57" s="69"/>
      <c r="E57" s="69">
        <f>SUM(E50:E56)</f>
        <v>18000</v>
      </c>
      <c r="F57" s="69">
        <f t="shared" ref="F57:H57" si="20">SUM(F50:F56)</f>
        <v>14000</v>
      </c>
      <c r="G57" s="69">
        <f t="shared" si="20"/>
        <v>34000</v>
      </c>
      <c r="H57" s="69">
        <f t="shared" si="20"/>
        <v>14000</v>
      </c>
      <c r="I57" s="69">
        <f>SUM(E57:H57)</f>
        <v>80000</v>
      </c>
      <c r="R57" s="65"/>
      <c r="S57" s="65"/>
      <c r="T57" s="65"/>
      <c r="U57" s="86"/>
      <c r="V57" s="86"/>
      <c r="W57" s="86"/>
    </row>
    <row r="58" spans="2:23" s="5" customFormat="1" ht="12.95" customHeight="1">
      <c r="B58" s="2"/>
      <c r="C58" s="22"/>
      <c r="D58" s="22"/>
      <c r="E58" s="22"/>
      <c r="F58" s="22"/>
      <c r="G58" s="22"/>
      <c r="H58" s="22"/>
      <c r="I58" s="22"/>
      <c r="R58" s="65"/>
      <c r="S58" s="65"/>
      <c r="T58" s="65"/>
      <c r="U58" s="86"/>
      <c r="V58" s="86"/>
      <c r="W58" s="86"/>
    </row>
    <row r="59" spans="2:23" s="5" customFormat="1" ht="12.95" customHeight="1">
      <c r="B59" s="31" t="s">
        <v>61</v>
      </c>
      <c r="C59" s="26"/>
      <c r="D59" s="26"/>
      <c r="E59" s="26"/>
      <c r="F59" s="26"/>
      <c r="G59" s="26"/>
      <c r="H59" s="26"/>
      <c r="I59" s="26"/>
      <c r="U59" s="86"/>
      <c r="V59" s="86"/>
      <c r="W59" s="86"/>
    </row>
    <row r="60" spans="2:23" s="5" customFormat="1" ht="12.95" customHeight="1">
      <c r="B60" s="140" t="s">
        <v>62</v>
      </c>
      <c r="C60" s="22"/>
      <c r="D60" s="22"/>
      <c r="E60" s="141">
        <v>8000</v>
      </c>
      <c r="F60" s="141">
        <v>8000</v>
      </c>
      <c r="G60" s="141">
        <v>6000</v>
      </c>
      <c r="H60" s="141">
        <v>2000</v>
      </c>
      <c r="I60" s="22">
        <f>SUM(E60:H60)</f>
        <v>24000</v>
      </c>
      <c r="U60" s="86"/>
      <c r="V60" s="86"/>
      <c r="W60" s="86"/>
    </row>
    <row r="61" spans="2:23" s="5" customFormat="1" ht="12.95" customHeight="1">
      <c r="B61" s="140" t="s">
        <v>63</v>
      </c>
      <c r="C61" s="22"/>
      <c r="D61" s="22"/>
      <c r="E61" s="141">
        <v>8000</v>
      </c>
      <c r="F61" s="141">
        <v>8000</v>
      </c>
      <c r="G61" s="141">
        <v>6000</v>
      </c>
      <c r="H61" s="141">
        <v>2000</v>
      </c>
      <c r="I61" s="22">
        <f>SUM(E61:H61)</f>
        <v>24000</v>
      </c>
      <c r="U61" s="86"/>
      <c r="V61" s="86"/>
      <c r="W61" s="86"/>
    </row>
    <row r="62" spans="2:23" s="5" customFormat="1" ht="12.95" customHeight="1">
      <c r="B62" s="140" t="s">
        <v>64</v>
      </c>
      <c r="C62" s="22"/>
      <c r="D62" s="22"/>
      <c r="E62" s="141">
        <v>8000</v>
      </c>
      <c r="F62" s="141">
        <v>8000</v>
      </c>
      <c r="G62" s="141">
        <v>6000</v>
      </c>
      <c r="H62" s="141">
        <v>2000</v>
      </c>
      <c r="I62" s="22">
        <f>SUM(E62:H62)</f>
        <v>24000</v>
      </c>
    </row>
    <row r="63" spans="2:23" s="5" customFormat="1" ht="12.95" customHeight="1">
      <c r="B63" s="140" t="s">
        <v>65</v>
      </c>
      <c r="C63" s="22"/>
      <c r="D63" s="22"/>
      <c r="E63" s="147">
        <v>10000</v>
      </c>
      <c r="F63" s="147">
        <v>10000</v>
      </c>
      <c r="G63" s="147">
        <v>10000</v>
      </c>
      <c r="H63" s="147">
        <v>4000</v>
      </c>
      <c r="I63" s="22">
        <f t="shared" ref="I63:I68" si="21">SUM(E63:H63)</f>
        <v>34000</v>
      </c>
    </row>
    <row r="64" spans="2:23" s="5" customFormat="1" ht="12.95" customHeight="1">
      <c r="B64" s="139" t="s">
        <v>66</v>
      </c>
      <c r="C64" s="22"/>
      <c r="D64" s="22"/>
      <c r="E64" s="22">
        <v>0</v>
      </c>
      <c r="F64" s="22">
        <v>0</v>
      </c>
      <c r="G64" s="148">
        <v>5000</v>
      </c>
      <c r="H64" s="148">
        <v>5000</v>
      </c>
      <c r="I64" s="22">
        <f t="shared" si="21"/>
        <v>10000</v>
      </c>
    </row>
    <row r="65" spans="1:16" s="5" customFormat="1" ht="12.95" customHeight="1">
      <c r="B65" s="139" t="s">
        <v>67</v>
      </c>
      <c r="C65" s="22"/>
      <c r="D65" s="22"/>
      <c r="E65" s="141">
        <v>3000</v>
      </c>
      <c r="F65" s="132">
        <v>1000</v>
      </c>
      <c r="G65" s="132">
        <v>1000</v>
      </c>
      <c r="H65" s="132">
        <v>1000</v>
      </c>
      <c r="I65" s="22">
        <f t="shared" si="21"/>
        <v>6000</v>
      </c>
    </row>
    <row r="66" spans="1:16" s="5" customFormat="1" ht="12.95" customHeight="1">
      <c r="B66" s="151" t="s">
        <v>68</v>
      </c>
      <c r="C66" s="22"/>
      <c r="D66" s="22"/>
      <c r="E66" s="148">
        <v>2500</v>
      </c>
      <c r="F66" s="148">
        <v>2500</v>
      </c>
      <c r="G66" s="148">
        <v>2500</v>
      </c>
      <c r="H66" s="148">
        <v>2500</v>
      </c>
      <c r="I66" s="22">
        <f t="shared" si="21"/>
        <v>10000</v>
      </c>
    </row>
    <row r="67" spans="1:16" s="5" customFormat="1" ht="12.95" customHeight="1">
      <c r="B67" s="139" t="s">
        <v>69</v>
      </c>
      <c r="C67" s="22"/>
      <c r="D67" s="22"/>
      <c r="E67" s="141">
        <v>37132</v>
      </c>
      <c r="F67" s="141">
        <v>51994</v>
      </c>
      <c r="G67" s="141">
        <v>12720</v>
      </c>
      <c r="H67" s="141">
        <v>57154</v>
      </c>
      <c r="I67" s="22">
        <f t="shared" si="21"/>
        <v>159000</v>
      </c>
    </row>
    <row r="68" spans="1:16" s="5" customFormat="1" ht="12.95" customHeight="1">
      <c r="B68" s="139" t="s">
        <v>70</v>
      </c>
      <c r="C68" s="22"/>
      <c r="D68" s="22"/>
      <c r="E68" s="141">
        <v>3000</v>
      </c>
      <c r="F68" s="132">
        <v>0</v>
      </c>
      <c r="G68" s="132">
        <v>0</v>
      </c>
      <c r="H68" s="132">
        <v>0</v>
      </c>
      <c r="I68" s="22">
        <f t="shared" si="21"/>
        <v>3000</v>
      </c>
    </row>
    <row r="69" spans="1:16" s="5" customFormat="1" ht="12.95" customHeight="1">
      <c r="B69" s="139" t="s">
        <v>71</v>
      </c>
      <c r="C69" s="22"/>
      <c r="D69" s="22"/>
      <c r="E69" s="141">
        <v>12500</v>
      </c>
      <c r="F69" s="141">
        <v>12500</v>
      </c>
      <c r="G69" s="141">
        <v>12500</v>
      </c>
      <c r="H69" s="141">
        <v>12500</v>
      </c>
      <c r="I69" s="22">
        <f>SUM(E69:H69)</f>
        <v>50000</v>
      </c>
    </row>
    <row r="70" spans="1:16" s="5" customFormat="1" ht="12.95" customHeight="1">
      <c r="B70" s="142" t="s">
        <v>72</v>
      </c>
      <c r="E70" s="143">
        <v>25000</v>
      </c>
      <c r="I70" s="22">
        <f>SUM(E70:H70)</f>
        <v>25000</v>
      </c>
      <c r="K70" s="65"/>
      <c r="L70" s="65"/>
      <c r="M70" s="65"/>
      <c r="N70" s="65"/>
      <c r="O70" s="65"/>
    </row>
    <row r="71" spans="1:16" s="5" customFormat="1" ht="12.95" customHeight="1">
      <c r="B71" s="31" t="s">
        <v>73</v>
      </c>
      <c r="C71" s="69"/>
      <c r="D71" s="69"/>
      <c r="E71" s="69">
        <f>SUM(E60:E70)</f>
        <v>117132</v>
      </c>
      <c r="F71" s="69">
        <f>SUM(F60:F70)</f>
        <v>101994</v>
      </c>
      <c r="G71" s="69">
        <f>SUM(G60:G70)</f>
        <v>61720</v>
      </c>
      <c r="H71" s="69">
        <f>SUM(H60:H70)</f>
        <v>88154</v>
      </c>
      <c r="I71" s="69">
        <f>SUM(E71:H71)</f>
        <v>369000</v>
      </c>
      <c r="K71" s="57"/>
      <c r="L71" s="57"/>
      <c r="M71" s="57"/>
      <c r="N71" s="57"/>
      <c r="O71" s="57"/>
    </row>
    <row r="72" spans="1:16" s="5" customFormat="1" ht="12.95" customHeight="1">
      <c r="B72" s="37"/>
      <c r="C72" s="22"/>
      <c r="D72" s="22"/>
      <c r="E72" s="22"/>
      <c r="F72" s="22"/>
      <c r="G72" s="22"/>
      <c r="H72" s="22"/>
      <c r="I72" s="22"/>
      <c r="K72" s="57"/>
      <c r="L72" s="57"/>
      <c r="M72" s="57"/>
      <c r="N72" s="57"/>
      <c r="O72" s="57"/>
    </row>
    <row r="73" spans="1:16" s="5" customFormat="1" ht="12.95" customHeight="1">
      <c r="B73" s="64"/>
      <c r="C73" s="22"/>
      <c r="D73" s="22"/>
      <c r="E73" s="95"/>
      <c r="F73" s="95"/>
      <c r="G73" s="95"/>
      <c r="H73" s="95"/>
      <c r="I73" s="95"/>
      <c r="K73" s="62"/>
      <c r="L73" s="62"/>
      <c r="M73" s="62"/>
      <c r="N73" s="62"/>
      <c r="O73" s="62"/>
    </row>
    <row r="74" spans="1:16" s="5" customFormat="1" ht="12.95" customHeight="1">
      <c r="B74" s="31" t="s">
        <v>74</v>
      </c>
      <c r="C74" s="69"/>
      <c r="D74" s="69"/>
      <c r="E74" s="96">
        <f>SUM(E47+E57+E71)</f>
        <v>371728.91173200001</v>
      </c>
      <c r="F74" s="96">
        <f>SUM(F47+F57+F71)</f>
        <v>359688.81908396003</v>
      </c>
      <c r="G74" s="96">
        <f>SUM(G47+G57+G71)</f>
        <v>346725.66365647881</v>
      </c>
      <c r="H74" s="96">
        <f>SUM(H47+H57+H71)</f>
        <v>360689.83356617321</v>
      </c>
      <c r="I74" s="97">
        <f>SUM(E74:H74)</f>
        <v>1438833.2280386121</v>
      </c>
      <c r="K74" s="67"/>
      <c r="L74" s="67"/>
      <c r="M74" s="67"/>
      <c r="N74" s="67"/>
      <c r="O74" s="67"/>
    </row>
    <row r="75" spans="1:16" s="5" customFormat="1" ht="12.95" customHeight="1" thickBot="1">
      <c r="A75" s="64"/>
      <c r="B75" s="37"/>
      <c r="C75" s="22"/>
      <c r="D75" s="22"/>
      <c r="E75" s="98"/>
      <c r="F75" s="98"/>
      <c r="G75" s="98"/>
      <c r="H75" s="98"/>
      <c r="I75" s="99"/>
      <c r="J75" s="64"/>
      <c r="K75" s="67"/>
      <c r="L75" s="67"/>
      <c r="M75" s="67"/>
      <c r="N75" s="67"/>
      <c r="O75" s="67"/>
    </row>
    <row r="76" spans="1:16" s="5" customFormat="1" ht="12.95" customHeight="1" thickTop="1">
      <c r="A76" s="64"/>
      <c r="B76" s="153" t="s">
        <v>75</v>
      </c>
      <c r="C76" s="154"/>
      <c r="D76" s="154"/>
      <c r="E76" s="154"/>
      <c r="F76" s="154"/>
      <c r="G76" s="154"/>
      <c r="H76" s="154"/>
      <c r="I76" s="154"/>
      <c r="J76" s="64"/>
      <c r="K76" s="57"/>
      <c r="L76" s="55"/>
      <c r="M76" s="55"/>
      <c r="N76" s="55"/>
      <c r="O76" s="55"/>
    </row>
    <row r="77" spans="1:16" s="5" customFormat="1" ht="12.95" customHeight="1" thickBot="1">
      <c r="B77" s="155"/>
      <c r="C77" s="155"/>
      <c r="D77" s="155"/>
      <c r="E77" s="155"/>
      <c r="F77" s="155"/>
      <c r="G77" s="155"/>
      <c r="H77" s="155"/>
      <c r="I77" s="155"/>
      <c r="K77" s="55"/>
      <c r="L77" s="55"/>
      <c r="M77" s="55"/>
      <c r="N77" s="55"/>
      <c r="O77" s="55"/>
    </row>
    <row r="78" spans="1:16" s="5" customFormat="1" ht="12.95" customHeight="1" thickTop="1">
      <c r="K78" s="55"/>
      <c r="L78" s="55"/>
      <c r="M78" s="55"/>
      <c r="N78" s="55"/>
      <c r="O78" s="85"/>
      <c r="P78" s="86"/>
    </row>
    <row r="79" spans="1:16" s="5" customFormat="1" ht="12.95" customHeight="1">
      <c r="B79" s="31" t="s">
        <v>76</v>
      </c>
      <c r="C79" s="24"/>
      <c r="D79" s="35"/>
      <c r="E79" s="24"/>
      <c r="F79" s="24"/>
      <c r="G79" s="24"/>
      <c r="H79" s="24"/>
      <c r="I79" s="33"/>
      <c r="K79" s="55"/>
      <c r="L79" s="55"/>
      <c r="M79" s="55"/>
      <c r="N79" s="55"/>
      <c r="O79" s="85"/>
      <c r="P79" s="86"/>
    </row>
    <row r="80" spans="1:16" s="5" customFormat="1" ht="12.95" customHeight="1">
      <c r="E80" s="5">
        <v>0</v>
      </c>
      <c r="F80" s="5">
        <v>0</v>
      </c>
      <c r="G80" s="5">
        <v>0</v>
      </c>
      <c r="H80" s="5">
        <v>0</v>
      </c>
      <c r="I80" s="5">
        <f>SUM(E80:H80)</f>
        <v>0</v>
      </c>
      <c r="K80" s="55"/>
      <c r="L80" s="55"/>
      <c r="M80" s="55"/>
      <c r="N80" s="55"/>
      <c r="O80" s="74"/>
      <c r="P80" s="86"/>
    </row>
    <row r="81" spans="2:16" s="5" customFormat="1" ht="12.95" customHeight="1">
      <c r="B81" s="24" t="s">
        <v>77</v>
      </c>
      <c r="C81" s="24"/>
      <c r="D81" s="35"/>
      <c r="E81" s="26">
        <f>SUM(E80:E80)</f>
        <v>0</v>
      </c>
      <c r="F81" s="26">
        <f>SUM(F80:F80)</f>
        <v>0</v>
      </c>
      <c r="G81" s="26">
        <f>SUM(G80:G80)</f>
        <v>0</v>
      </c>
      <c r="H81" s="26">
        <f>SUM(H80:H80)</f>
        <v>0</v>
      </c>
      <c r="I81" s="26">
        <f>SUM(E81:H81)</f>
        <v>0</v>
      </c>
      <c r="K81" s="67"/>
      <c r="L81" s="58"/>
      <c r="M81" s="58"/>
      <c r="N81" s="58"/>
      <c r="O81" s="75"/>
      <c r="P81" s="86"/>
    </row>
    <row r="82" spans="2:16" s="5" customFormat="1" ht="12.95" customHeight="1">
      <c r="K82" s="58"/>
      <c r="L82" s="58"/>
      <c r="M82" s="58"/>
      <c r="N82" s="58"/>
      <c r="O82" s="75"/>
      <c r="P82" s="86"/>
    </row>
    <row r="83" spans="2:16" s="5" customFormat="1" ht="12.95" customHeight="1">
      <c r="B83" s="31" t="s">
        <v>78</v>
      </c>
      <c r="C83" s="24"/>
      <c r="D83" s="35"/>
      <c r="E83" s="24"/>
      <c r="F83" s="24"/>
      <c r="G83" s="24"/>
      <c r="H83" s="24"/>
      <c r="I83" s="33"/>
      <c r="K83" s="55"/>
      <c r="L83" s="55"/>
      <c r="M83" s="55"/>
      <c r="N83" s="55"/>
      <c r="O83" s="54"/>
      <c r="P83" s="86"/>
    </row>
    <row r="84" spans="2:16" s="5" customFormat="1" ht="12.95" customHeight="1">
      <c r="B84" s="5" t="s">
        <v>79</v>
      </c>
      <c r="E84" s="147">
        <f>407213-25000</f>
        <v>382213</v>
      </c>
      <c r="F84" s="147">
        <v>403349</v>
      </c>
      <c r="G84" s="147">
        <v>404307</v>
      </c>
      <c r="H84" s="147">
        <v>396506</v>
      </c>
      <c r="I84" s="27">
        <f>SUM(E84:H84)</f>
        <v>1586375</v>
      </c>
      <c r="K84" s="55"/>
      <c r="L84" s="55"/>
      <c r="M84" s="57"/>
      <c r="N84" s="55"/>
      <c r="O84" s="76"/>
      <c r="P84" s="86"/>
    </row>
    <row r="85" spans="2:16" s="5" customFormat="1" ht="12.95" customHeight="1">
      <c r="E85" s="141">
        <v>0</v>
      </c>
      <c r="F85" s="141">
        <v>0</v>
      </c>
      <c r="G85" s="141">
        <v>0</v>
      </c>
      <c r="H85" s="141">
        <v>0</v>
      </c>
      <c r="I85" s="27">
        <f>SUM(E85:H85)</f>
        <v>0</v>
      </c>
      <c r="K85" s="55"/>
      <c r="L85" s="55"/>
      <c r="M85" s="57"/>
      <c r="N85" s="55"/>
      <c r="O85" s="76"/>
      <c r="P85" s="86"/>
    </row>
    <row r="86" spans="2:16" s="5" customFormat="1" ht="12.95" customHeight="1">
      <c r="E86" s="5">
        <v>0</v>
      </c>
      <c r="F86" s="5">
        <v>0</v>
      </c>
      <c r="G86" s="5">
        <v>0</v>
      </c>
      <c r="H86" s="5">
        <v>0</v>
      </c>
      <c r="I86" s="27">
        <f>SUM(E86:H86)</f>
        <v>0</v>
      </c>
      <c r="K86" s="55"/>
      <c r="L86" s="57"/>
      <c r="M86" s="57"/>
      <c r="N86" s="55"/>
      <c r="O86" s="76"/>
      <c r="P86" s="86"/>
    </row>
    <row r="87" spans="2:16" s="5" customFormat="1" ht="12.95" customHeight="1">
      <c r="E87" s="5">
        <v>0</v>
      </c>
      <c r="F87" s="5">
        <v>0</v>
      </c>
      <c r="G87" s="5">
        <v>0</v>
      </c>
      <c r="H87" s="5">
        <v>0</v>
      </c>
      <c r="I87" s="27">
        <f>SUM(E87:H87)</f>
        <v>0</v>
      </c>
      <c r="K87" s="55"/>
      <c r="L87" s="58"/>
      <c r="M87" s="57"/>
      <c r="N87" s="55"/>
      <c r="O87" s="76"/>
      <c r="P87" s="86"/>
    </row>
    <row r="88" spans="2:16" s="5" customFormat="1" ht="12.95" customHeight="1">
      <c r="B88" s="24" t="s">
        <v>80</v>
      </c>
      <c r="C88" s="24"/>
      <c r="D88" s="35"/>
      <c r="E88" s="24">
        <f>SUM(E84:E87)</f>
        <v>382213</v>
      </c>
      <c r="F88" s="24">
        <f>SUM(F84:F87)</f>
        <v>403349</v>
      </c>
      <c r="G88" s="24">
        <f>SUM(G84:G87)</f>
        <v>404307</v>
      </c>
      <c r="H88" s="24">
        <f>SUM(H84:H87)</f>
        <v>396506</v>
      </c>
      <c r="I88" s="33">
        <f>SUM(E88:H88)</f>
        <v>1586375</v>
      </c>
      <c r="K88" s="55"/>
      <c r="L88" s="58"/>
      <c r="M88" s="81"/>
      <c r="N88" s="55"/>
      <c r="O88" s="76"/>
      <c r="P88" s="86"/>
    </row>
    <row r="89" spans="2:16" s="5" customFormat="1" ht="12.95" customHeight="1">
      <c r="K89" s="55"/>
      <c r="L89" s="58"/>
      <c r="M89" s="57"/>
      <c r="N89" s="55"/>
      <c r="O89" s="76"/>
      <c r="P89" s="86"/>
    </row>
    <row r="90" spans="2:16" s="5" customFormat="1" ht="12.95" customHeight="1">
      <c r="B90" s="7" t="s">
        <v>81</v>
      </c>
      <c r="C90" s="39"/>
      <c r="D90" s="39"/>
      <c r="E90" s="8"/>
      <c r="F90" s="8"/>
      <c r="G90" s="8"/>
      <c r="H90" s="8"/>
      <c r="I90" s="8"/>
      <c r="K90" s="55"/>
      <c r="L90" s="57"/>
      <c r="M90" s="55"/>
      <c r="N90" s="55"/>
      <c r="O90" s="54"/>
      <c r="P90" s="86"/>
    </row>
    <row r="91" spans="2:16" s="5" customFormat="1" ht="12.95" customHeight="1">
      <c r="B91" s="139" t="s">
        <v>82</v>
      </c>
      <c r="C91" s="40"/>
      <c r="D91" s="152">
        <v>12327</v>
      </c>
      <c r="E91" s="9">
        <f>D91*5</f>
        <v>61635</v>
      </c>
      <c r="F91" s="9">
        <f>SUM(E91*1.05)</f>
        <v>64716.75</v>
      </c>
      <c r="G91" s="9">
        <f>SUM(F91*1.05)</f>
        <v>67952.587500000009</v>
      </c>
      <c r="H91" s="9">
        <f>SUM(G91*1.05)</f>
        <v>71350.216875000013</v>
      </c>
      <c r="I91" s="22">
        <f>SUM(E91:H91)</f>
        <v>265654.55437500007</v>
      </c>
      <c r="K91" s="55"/>
      <c r="L91" s="58"/>
      <c r="M91" s="82"/>
      <c r="N91" s="55"/>
      <c r="O91" s="54"/>
      <c r="P91" s="86"/>
    </row>
    <row r="92" spans="2:16" s="5" customFormat="1" ht="12.95" customHeight="1">
      <c r="B92" s="149"/>
      <c r="C92" s="66"/>
      <c r="D92" s="66"/>
      <c r="E92" s="150">
        <v>0</v>
      </c>
      <c r="F92" s="150">
        <v>0</v>
      </c>
      <c r="G92" s="150">
        <v>0</v>
      </c>
      <c r="H92" s="150">
        <v>0</v>
      </c>
      <c r="I92" s="22">
        <f>SUM(E92:H92)</f>
        <v>0</v>
      </c>
      <c r="K92" s="55"/>
      <c r="L92" s="58"/>
      <c r="M92" s="55"/>
      <c r="N92" s="55"/>
      <c r="O92" s="54"/>
      <c r="P92" s="86"/>
    </row>
    <row r="93" spans="2:16" s="5" customFormat="1" ht="12.95" customHeight="1">
      <c r="B93" s="40"/>
      <c r="C93" s="40"/>
      <c r="D93" s="40"/>
      <c r="E93" s="9">
        <v>0</v>
      </c>
      <c r="F93" s="9">
        <v>0</v>
      </c>
      <c r="G93" s="9">
        <v>0</v>
      </c>
      <c r="H93" s="9">
        <v>0</v>
      </c>
      <c r="I93" s="22">
        <f>SUM(E93:H93)</f>
        <v>0</v>
      </c>
      <c r="K93" s="55"/>
      <c r="L93" s="57"/>
      <c r="M93" s="55"/>
      <c r="N93" s="55"/>
      <c r="O93" s="54"/>
      <c r="P93" s="86"/>
    </row>
    <row r="94" spans="2:16" s="5" customFormat="1" ht="12.95" customHeight="1">
      <c r="B94" s="40"/>
      <c r="C94" s="40"/>
      <c r="D94" s="40"/>
      <c r="E94" s="9">
        <v>0</v>
      </c>
      <c r="F94" s="9">
        <v>0</v>
      </c>
      <c r="G94" s="9">
        <v>0</v>
      </c>
      <c r="H94" s="9">
        <v>0</v>
      </c>
      <c r="I94" s="22">
        <f>SUM(E94:H94)</f>
        <v>0</v>
      </c>
      <c r="K94" s="55"/>
      <c r="L94" s="58"/>
      <c r="M94" s="83"/>
      <c r="N94" s="55"/>
      <c r="O94" s="54"/>
      <c r="P94" s="86"/>
    </row>
    <row r="95" spans="2:16" s="5" customFormat="1" ht="12.95" customHeight="1">
      <c r="B95" s="31" t="s">
        <v>83</v>
      </c>
      <c r="C95" s="31"/>
      <c r="D95" s="118"/>
      <c r="E95" s="69">
        <f>SUM(E91:E94)</f>
        <v>61635</v>
      </c>
      <c r="F95" s="69">
        <f t="shared" ref="F95:I95" si="22">SUM(F91:F94)</f>
        <v>64716.75</v>
      </c>
      <c r="G95" s="69">
        <f t="shared" si="22"/>
        <v>67952.587500000009</v>
      </c>
      <c r="H95" s="69">
        <f t="shared" si="22"/>
        <v>71350.216875000013</v>
      </c>
      <c r="I95" s="69">
        <f t="shared" si="22"/>
        <v>265654.55437500007</v>
      </c>
      <c r="K95" s="55"/>
      <c r="L95" s="58"/>
      <c r="M95" s="55"/>
      <c r="N95" s="55"/>
      <c r="O95" s="54"/>
      <c r="P95" s="86"/>
    </row>
    <row r="96" spans="2:16" s="64" customFormat="1" ht="12.95" customHeight="1">
      <c r="B96" s="2"/>
      <c r="C96" s="2"/>
      <c r="D96" s="36"/>
      <c r="E96" s="22"/>
      <c r="F96" s="22"/>
      <c r="G96" s="22"/>
      <c r="H96" s="22"/>
      <c r="I96" s="22"/>
      <c r="K96" s="55"/>
      <c r="L96" s="58"/>
      <c r="M96" s="55"/>
      <c r="N96" s="55"/>
      <c r="O96" s="54"/>
      <c r="P96" s="65"/>
    </row>
    <row r="97" spans="2:16" s="5" customFormat="1" ht="12.95" customHeight="1">
      <c r="B97" s="31" t="s">
        <v>84</v>
      </c>
      <c r="C97" s="42"/>
      <c r="D97" s="42"/>
      <c r="E97" s="68">
        <f>SUM(E74+E81+E88+E95)</f>
        <v>815576.91173200007</v>
      </c>
      <c r="F97" s="68">
        <f>SUM(F74+F81+F88+F95)</f>
        <v>827754.56908396003</v>
      </c>
      <c r="G97" s="68">
        <f>SUM(G74+G81+G88+G95)</f>
        <v>818985.25115647877</v>
      </c>
      <c r="H97" s="68">
        <f>SUM(H74+H81+H88+H95)</f>
        <v>828546.05044117325</v>
      </c>
      <c r="I97" s="69">
        <f>SUM(E97:H97)</f>
        <v>3290862.7824136121</v>
      </c>
      <c r="K97" s="55"/>
      <c r="L97" s="57"/>
      <c r="M97" s="55"/>
      <c r="N97" s="55"/>
      <c r="O97" s="54"/>
      <c r="P97" s="86"/>
    </row>
    <row r="98" spans="2:16" s="5" customFormat="1" ht="12.95" customHeight="1" thickBot="1">
      <c r="B98" s="37"/>
      <c r="C98" s="66"/>
      <c r="D98" s="77"/>
      <c r="E98" s="70"/>
      <c r="F98" s="70"/>
      <c r="G98" s="70"/>
      <c r="H98" s="70"/>
      <c r="I98" s="71"/>
      <c r="K98" s="55"/>
      <c r="L98" s="58"/>
      <c r="M98" s="84"/>
      <c r="N98" s="55"/>
      <c r="O98" s="54"/>
      <c r="P98" s="86"/>
    </row>
    <row r="99" spans="2:16" s="5" customFormat="1" ht="12.95" customHeight="1" thickBot="1">
      <c r="B99" s="31" t="s">
        <v>85</v>
      </c>
      <c r="C99" s="38" t="s">
        <v>86</v>
      </c>
      <c r="D99" s="78">
        <v>0.47499999999999998</v>
      </c>
      <c r="E99" s="72">
        <f>SUM(D99*E74)</f>
        <v>176571.23307270001</v>
      </c>
      <c r="F99" s="72">
        <f>SUM(D99*F74)</f>
        <v>170852.18906488101</v>
      </c>
      <c r="G99" s="72">
        <f>SUM(D99*G74)</f>
        <v>164694.69023682742</v>
      </c>
      <c r="H99" s="72">
        <f>SUM(D99*H74)</f>
        <v>171327.67094393226</v>
      </c>
      <c r="I99" s="72">
        <f>SUM(E99:H99)</f>
        <v>683445.78331834078</v>
      </c>
      <c r="K99" s="55"/>
      <c r="L99" s="58"/>
      <c r="M99" s="55"/>
      <c r="N99" s="55"/>
      <c r="O99" s="54"/>
      <c r="P99" s="86"/>
    </row>
    <row r="100" spans="2:16" s="5" customFormat="1" ht="12.95" customHeight="1">
      <c r="B100" s="40"/>
      <c r="C100" s="40"/>
      <c r="D100" s="40"/>
      <c r="E100" s="9"/>
      <c r="F100" s="9"/>
      <c r="G100" s="9"/>
      <c r="H100" s="9"/>
      <c r="I100" s="22"/>
      <c r="K100" s="55"/>
      <c r="L100" s="58"/>
      <c r="M100" s="55"/>
      <c r="N100" s="55"/>
      <c r="O100" s="54"/>
      <c r="P100" s="86"/>
    </row>
    <row r="101" spans="2:16" s="5" customFormat="1" ht="12.95" customHeight="1" thickBot="1">
      <c r="B101" s="41" t="s">
        <v>87</v>
      </c>
      <c r="C101" s="42"/>
      <c r="D101" s="42"/>
      <c r="E101" s="43">
        <f>SUM(E97+E99)</f>
        <v>992148.14480470004</v>
      </c>
      <c r="F101" s="43">
        <f>SUM(F97+F99)</f>
        <v>998606.75814884109</v>
      </c>
      <c r="G101" s="43">
        <f t="shared" ref="G101:H101" si="23">SUM(G97+G99)</f>
        <v>983679.94139330625</v>
      </c>
      <c r="H101" s="43">
        <f t="shared" si="23"/>
        <v>999873.72138510551</v>
      </c>
      <c r="I101" s="43">
        <f>SUM(E101:H101)</f>
        <v>3974308.5657319529</v>
      </c>
      <c r="K101" s="55"/>
      <c r="L101" s="57"/>
      <c r="M101" s="55"/>
      <c r="N101" s="55"/>
      <c r="O101" s="54"/>
      <c r="P101" s="86"/>
    </row>
    <row r="102" spans="2:16" ht="15" customHeight="1" thickTop="1">
      <c r="B102" s="11"/>
      <c r="C102" s="11"/>
      <c r="D102" s="11"/>
      <c r="E102" s="10"/>
      <c r="F102" s="10"/>
      <c r="G102" s="10"/>
      <c r="H102" s="10"/>
      <c r="I102" s="4"/>
      <c r="J102" s="5"/>
      <c r="K102" s="55"/>
      <c r="L102" s="56"/>
      <c r="M102" s="57"/>
      <c r="N102" s="55"/>
      <c r="O102" s="55"/>
      <c r="P102" s="86"/>
    </row>
    <row r="103" spans="2:16" ht="15" customHeight="1">
      <c r="B103" s="73"/>
      <c r="C103" s="65"/>
      <c r="D103" s="65"/>
      <c r="E103" s="146"/>
      <c r="F103" s="146"/>
      <c r="G103" s="146"/>
      <c r="H103" s="80"/>
      <c r="I103" s="80"/>
      <c r="J103" s="5"/>
      <c r="K103" s="55"/>
      <c r="L103" s="57"/>
      <c r="M103" s="55"/>
      <c r="N103" s="55"/>
      <c r="O103" s="55"/>
      <c r="P103" s="86"/>
    </row>
    <row r="104" spans="2:16" ht="15">
      <c r="B104" s="65"/>
      <c r="C104" s="65"/>
      <c r="D104" s="65"/>
      <c r="E104" s="146"/>
      <c r="F104" s="146"/>
      <c r="G104" s="146"/>
      <c r="H104" s="146"/>
      <c r="I104" s="146"/>
      <c r="J104" s="5"/>
      <c r="K104" s="55"/>
      <c r="L104" s="58"/>
      <c r="M104" s="59"/>
      <c r="N104" s="55"/>
      <c r="O104" s="55"/>
      <c r="P104" s="5"/>
    </row>
    <row r="105" spans="2:16" ht="15">
      <c r="B105" s="73"/>
      <c r="C105" s="73"/>
      <c r="D105" s="73"/>
      <c r="E105" s="80"/>
      <c r="F105" s="80"/>
      <c r="G105" s="80"/>
      <c r="H105" s="80"/>
      <c r="I105" s="80"/>
      <c r="J105" s="5"/>
      <c r="K105" s="55"/>
      <c r="L105" s="57"/>
      <c r="M105" s="57"/>
      <c r="N105" s="55"/>
      <c r="O105" s="55"/>
      <c r="P105" s="5"/>
    </row>
    <row r="106" spans="2:16" ht="15">
      <c r="B106" s="5"/>
      <c r="C106" s="5"/>
      <c r="D106" s="5"/>
      <c r="E106" s="5"/>
      <c r="F106" s="5"/>
      <c r="G106" s="5"/>
      <c r="H106" s="5"/>
      <c r="I106" s="5"/>
      <c r="J106" s="5"/>
      <c r="K106" s="55"/>
      <c r="L106" s="57"/>
      <c r="M106" s="57"/>
      <c r="N106" s="55"/>
      <c r="O106" s="55"/>
      <c r="P106" s="5"/>
    </row>
    <row r="107" spans="2:16" ht="13.5" hidden="1" customHeight="1">
      <c r="B107" s="5"/>
      <c r="C107" s="5"/>
      <c r="D107" s="5"/>
      <c r="E107" s="5"/>
      <c r="F107" s="5"/>
      <c r="G107" s="5"/>
      <c r="H107" s="5"/>
      <c r="I107" s="5"/>
      <c r="J107" s="5"/>
      <c r="K107" s="55"/>
      <c r="L107" s="58"/>
      <c r="M107" s="55"/>
      <c r="N107" s="55"/>
      <c r="O107" s="55"/>
      <c r="P107" s="5"/>
    </row>
    <row r="108" spans="2:16" ht="15" hidden="1">
      <c r="B108" s="5"/>
      <c r="C108" s="5"/>
      <c r="D108" s="5"/>
      <c r="E108" s="5"/>
      <c r="F108" s="5"/>
      <c r="G108" s="5"/>
      <c r="H108" s="5"/>
      <c r="I108" s="5"/>
      <c r="J108" s="5"/>
      <c r="K108" s="55"/>
      <c r="L108" s="58"/>
      <c r="M108" s="60"/>
      <c r="N108" s="55"/>
      <c r="O108" s="55"/>
      <c r="P108" s="5"/>
    </row>
    <row r="109" spans="2:16" ht="14.25" hidden="1" customHeight="1">
      <c r="B109" s="5"/>
      <c r="C109" s="5"/>
      <c r="D109" s="5"/>
      <c r="E109" s="5"/>
      <c r="F109" s="5"/>
      <c r="G109" s="5"/>
      <c r="H109" s="5"/>
      <c r="I109" s="5"/>
      <c r="J109" s="5"/>
      <c r="K109" s="55"/>
      <c r="L109" s="57"/>
      <c r="M109" s="55"/>
      <c r="N109" s="55"/>
      <c r="O109" s="55"/>
      <c r="P109" s="5"/>
    </row>
    <row r="110" spans="2:16" ht="13.5" hidden="1" customHeight="1">
      <c r="B110" s="5"/>
      <c r="C110" s="5"/>
      <c r="D110" s="5"/>
      <c r="E110" s="5"/>
      <c r="F110" s="5"/>
      <c r="G110" s="5"/>
      <c r="H110" s="5"/>
      <c r="I110" s="5"/>
      <c r="J110" s="5"/>
      <c r="K110" s="55"/>
      <c r="L110" s="58"/>
      <c r="M110" s="60"/>
      <c r="N110" s="55"/>
      <c r="O110" s="55"/>
      <c r="P110" s="5"/>
    </row>
    <row r="111" spans="2:16" hidden="1">
      <c r="B111" s="5"/>
      <c r="C111" s="5"/>
      <c r="D111" s="5"/>
      <c r="E111" s="5"/>
      <c r="F111" s="5"/>
      <c r="G111" s="5"/>
      <c r="H111" s="5"/>
      <c r="I111" s="5"/>
      <c r="J111" s="5"/>
      <c r="K111" s="55"/>
      <c r="L111" s="61" t="e">
        <f>AVERAGE(0.46*M91+0.475*M94)/SUM(M91+M94)</f>
        <v>#DIV/0!</v>
      </c>
      <c r="M111" s="55"/>
      <c r="N111" s="55"/>
      <c r="O111" s="55"/>
      <c r="P111" s="5"/>
    </row>
    <row r="112" spans="2:16" ht="13.5" hidden="1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1:15" ht="13.5" customHeight="1">
      <c r="K113" s="5"/>
      <c r="L113" s="5"/>
      <c r="M113" s="5"/>
      <c r="N113" s="5"/>
      <c r="O113" s="5"/>
    </row>
    <row r="114" spans="11:15" ht="13.5" customHeight="1">
      <c r="K114" s="55"/>
      <c r="L114" s="55"/>
      <c r="M114" s="55"/>
      <c r="N114" s="55"/>
      <c r="O114" s="55"/>
    </row>
    <row r="116" spans="11:15" ht="13.5" customHeight="1">
      <c r="K116" s="5"/>
      <c r="L116" s="5"/>
      <c r="M116" s="5"/>
      <c r="N116" s="5"/>
      <c r="O116" s="5"/>
    </row>
    <row r="117" spans="11:15" ht="13.5" customHeight="1">
      <c r="K117" s="5"/>
      <c r="L117" s="5"/>
      <c r="M117" s="5"/>
      <c r="N117" s="5"/>
      <c r="O117" s="5"/>
    </row>
    <row r="130" spans="11:15">
      <c r="K130" s="62"/>
      <c r="L130" s="63"/>
      <c r="M130" s="63"/>
      <c r="N130" s="63"/>
      <c r="O130" s="62"/>
    </row>
  </sheetData>
  <mergeCells count="7">
    <mergeCell ref="B76:I77"/>
    <mergeCell ref="K3:P3"/>
    <mergeCell ref="K4:M4"/>
    <mergeCell ref="O4:P4"/>
    <mergeCell ref="K6:Q6"/>
    <mergeCell ref="K5:Q5"/>
    <mergeCell ref="B5:H5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Jones, Mollyann (mollyannj@uidaho.edu)</cp:lastModifiedBy>
  <cp:revision/>
  <dcterms:created xsi:type="dcterms:W3CDTF">2011-06-03T14:56:01Z</dcterms:created>
  <dcterms:modified xsi:type="dcterms:W3CDTF">2021-01-21T17:58:59Z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