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autoCompressPictures="0"/>
  <mc:AlternateContent xmlns:mc="http://schemas.openxmlformats.org/markup-compatibility/2006">
    <mc:Choice Requires="x15">
      <x15ac:absPath xmlns:x15ac="http://schemas.microsoft.com/office/spreadsheetml/2010/11/ac" url="/Users/jstanley/Documents/Ideas-Proposals/Yellowstone/"/>
    </mc:Choice>
  </mc:AlternateContent>
  <xr:revisionPtr revIDLastSave="0" documentId="13_ncr:1_{D91DB438-0A69-AE45-B2CD-60419AD638F9}" xr6:coauthVersionLast="46" xr6:coauthVersionMax="46" xr10:uidLastSave="{00000000-0000-0000-0000-000000000000}"/>
  <bookViews>
    <workbookView xWindow="0" yWindow="460" windowWidth="19780" windowHeight="16640" tabRatio="966" activeTab="2" xr2:uid="{00000000-000D-0000-FFFF-FFFF00000000}"/>
  </bookViews>
  <sheets>
    <sheet name="Instructions" sheetId="3" r:id="rId1"/>
    <sheet name="Data Sheet" sheetId="2" r:id="rId2"/>
    <sheet name="UI MTDC" sheetId="4" r:id="rId3"/>
    <sheet name="Sheet1" sheetId="5" r:id="rId4"/>
  </sheets>
  <definedNames>
    <definedName name="Indirect_Rate">'UI MTDC'!$B$54:$B$62</definedName>
    <definedName name="Select" localSheetId="2">'UI MTDC'!$B$54:$B$62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1" i="4" l="1"/>
  <c r="E41" i="4"/>
  <c r="C41" i="4"/>
  <c r="G130" i="2"/>
  <c r="F4" i="2"/>
  <c r="L4" i="2"/>
  <c r="G23" i="4"/>
  <c r="M23" i="4" s="1"/>
  <c r="G18" i="5"/>
  <c r="C28" i="5"/>
  <c r="F28" i="5"/>
  <c r="G28" i="5" s="1"/>
  <c r="G24" i="4"/>
  <c r="I26" i="5"/>
  <c r="C26" i="5"/>
  <c r="I21" i="5"/>
  <c r="D18" i="5"/>
  <c r="C21" i="5"/>
  <c r="D26" i="5"/>
  <c r="D23" i="5"/>
  <c r="D21" i="5"/>
  <c r="J89" i="2"/>
  <c r="C3" i="2"/>
  <c r="B4" i="5"/>
  <c r="C8" i="5"/>
  <c r="B8" i="5"/>
  <c r="A8" i="5"/>
  <c r="M29" i="4"/>
  <c r="C18" i="5"/>
  <c r="B36" i="5" l="1"/>
  <c r="C30" i="4"/>
  <c r="M30" i="4" s="1"/>
  <c r="G34" i="4" l="1"/>
  <c r="G31" i="4"/>
  <c r="C28" i="4"/>
  <c r="E28" i="4"/>
  <c r="B38" i="5"/>
  <c r="B18" i="5"/>
  <c r="A28" i="5"/>
  <c r="B21" i="5"/>
  <c r="B26" i="5"/>
  <c r="B12" i="5"/>
  <c r="B6" i="5"/>
  <c r="A4" i="5"/>
  <c r="C6" i="5"/>
  <c r="A6" i="5"/>
  <c r="A12" i="5" s="1"/>
  <c r="C4" i="5" l="1"/>
  <c r="C12" i="5" s="1"/>
  <c r="F12" i="5" s="1"/>
  <c r="E27" i="4" l="1"/>
  <c r="E34" i="4" s="1"/>
  <c r="C27" i="4"/>
  <c r="C34" i="4" s="1"/>
  <c r="J82" i="2" l="1"/>
  <c r="G82" i="2"/>
  <c r="G83" i="2" s="1"/>
  <c r="E40" i="5" l="1"/>
  <c r="F34" i="5"/>
  <c r="B23" i="5"/>
  <c r="B28" i="5" s="1"/>
  <c r="F36" i="5" l="1"/>
  <c r="F38" i="5"/>
  <c r="B40" i="5"/>
  <c r="B42" i="5" s="1"/>
  <c r="E28" i="5"/>
  <c r="K23" i="4" s="1"/>
  <c r="A40" i="5"/>
  <c r="A42" i="5" s="1"/>
  <c r="C42" i="5"/>
  <c r="A29" i="5" l="1"/>
  <c r="F40" i="5"/>
  <c r="I23" i="4"/>
  <c r="M31" i="4" l="1"/>
  <c r="M32" i="4"/>
  <c r="M45" i="4"/>
  <c r="M39" i="4"/>
  <c r="AN88" i="2"/>
  <c r="Q14" i="4"/>
  <c r="K33" i="4"/>
  <c r="G121" i="2"/>
  <c r="G127" i="2"/>
  <c r="G128" i="2" s="1"/>
  <c r="G88" i="2"/>
  <c r="G89" i="2" s="1"/>
  <c r="G90" i="2"/>
  <c r="G91" i="2" s="1"/>
  <c r="G84" i="2"/>
  <c r="G85" i="2" s="1"/>
  <c r="AN82" i="2"/>
  <c r="AN86" i="2"/>
  <c r="C4" i="2"/>
  <c r="S84" i="2"/>
  <c r="S85" i="2" s="1"/>
  <c r="P82" i="2"/>
  <c r="P83" i="2" s="1"/>
  <c r="S82" i="2"/>
  <c r="S83" i="2" s="1"/>
  <c r="S88" i="2"/>
  <c r="S89" i="2" s="1"/>
  <c r="S90" i="2"/>
  <c r="S91" i="2" s="1"/>
  <c r="S3" i="2"/>
  <c r="S121" i="2"/>
  <c r="S123" i="2"/>
  <c r="S124" i="2" s="1"/>
  <c r="S127" i="2"/>
  <c r="S128" i="2" s="1"/>
  <c r="S129" i="2"/>
  <c r="S130" i="2" s="1"/>
  <c r="P84" i="2"/>
  <c r="P85" i="2" s="1"/>
  <c r="P88" i="2"/>
  <c r="P89" i="2" s="1"/>
  <c r="P90" i="2"/>
  <c r="P91" i="2" s="1"/>
  <c r="P3" i="2"/>
  <c r="P121" i="2"/>
  <c r="P123" i="2"/>
  <c r="P124" i="2" s="1"/>
  <c r="P127" i="2"/>
  <c r="P129" i="2"/>
  <c r="P130" i="2" s="1"/>
  <c r="M82" i="2"/>
  <c r="M88" i="2"/>
  <c r="M89" i="2" s="1"/>
  <c r="M84" i="2"/>
  <c r="M85" i="2" s="1"/>
  <c r="M90" i="2"/>
  <c r="M91" i="2" s="1"/>
  <c r="J83" i="2"/>
  <c r="J84" i="2"/>
  <c r="J85" i="2" s="1"/>
  <c r="J88" i="2"/>
  <c r="J90" i="2"/>
  <c r="J91" i="2" s="1"/>
  <c r="G3" i="2"/>
  <c r="G6" i="2" s="1"/>
  <c r="J3" i="2"/>
  <c r="M3" i="2"/>
  <c r="J123" i="2"/>
  <c r="J124" i="2" s="1"/>
  <c r="J121" i="2"/>
  <c r="J129" i="2"/>
  <c r="J130" i="2" s="1"/>
  <c r="J127" i="2"/>
  <c r="J128" i="2" s="1"/>
  <c r="M129" i="2"/>
  <c r="M130" i="2" s="1"/>
  <c r="M127" i="2"/>
  <c r="M128" i="2" s="1"/>
  <c r="M123" i="2"/>
  <c r="M124" i="2" s="1"/>
  <c r="M121" i="2"/>
  <c r="G129" i="2"/>
  <c r="G123" i="2"/>
  <c r="G124" i="2" s="1"/>
  <c r="K14" i="4"/>
  <c r="K15" i="4"/>
  <c r="K18" i="4"/>
  <c r="S160" i="2"/>
  <c r="S161" i="2" s="1"/>
  <c r="S162" i="2" s="1"/>
  <c r="S164" i="2"/>
  <c r="S165" i="2" s="1"/>
  <c r="S133" i="2"/>
  <c r="S134" i="2" s="1"/>
  <c r="S135" i="2"/>
  <c r="S136" i="2" s="1"/>
  <c r="S139" i="2"/>
  <c r="S140" i="2" s="1"/>
  <c r="S141" i="2"/>
  <c r="S142" i="2" s="1"/>
  <c r="S145" i="2"/>
  <c r="S146" i="2" s="1"/>
  <c r="S147" i="2"/>
  <c r="S148" i="2" s="1"/>
  <c r="S151" i="2"/>
  <c r="S152" i="2" s="1"/>
  <c r="S153" i="2"/>
  <c r="S154" i="2" s="1"/>
  <c r="S94" i="2"/>
  <c r="S95" i="2" s="1"/>
  <c r="S96" i="2"/>
  <c r="S97" i="2" s="1"/>
  <c r="S100" i="2"/>
  <c r="S101" i="2" s="1"/>
  <c r="S102" i="2"/>
  <c r="S103" i="2" s="1"/>
  <c r="S112" i="2"/>
  <c r="S114" i="2"/>
  <c r="S115" i="2" s="1"/>
  <c r="S106" i="2"/>
  <c r="S107" i="2" s="1"/>
  <c r="S108" i="2"/>
  <c r="S109" i="2" s="1"/>
  <c r="S61" i="2"/>
  <c r="S64" i="2"/>
  <c r="S67" i="2"/>
  <c r="S68" i="2" s="1"/>
  <c r="S70" i="2"/>
  <c r="S71" i="2" s="1"/>
  <c r="S73" i="2"/>
  <c r="S74" i="2" s="1"/>
  <c r="S76" i="2"/>
  <c r="S77" i="2" s="1"/>
  <c r="S52" i="2"/>
  <c r="F55" i="2"/>
  <c r="S53" i="2"/>
  <c r="F56" i="2"/>
  <c r="R54" i="2"/>
  <c r="S44" i="2"/>
  <c r="F47" i="2"/>
  <c r="C45" i="2"/>
  <c r="S45" i="2" s="1"/>
  <c r="F48" i="2"/>
  <c r="R46" i="2"/>
  <c r="S36" i="2"/>
  <c r="F39" i="2"/>
  <c r="C37" i="2"/>
  <c r="G37" i="2" s="1"/>
  <c r="F40" i="2"/>
  <c r="J36" i="2"/>
  <c r="R38" i="2" s="1"/>
  <c r="S28" i="2"/>
  <c r="C29" i="2"/>
  <c r="J29" i="2" s="1"/>
  <c r="J28" i="2"/>
  <c r="S20" i="2"/>
  <c r="S23" i="2" s="1"/>
  <c r="C21" i="2"/>
  <c r="S21" i="2" s="1"/>
  <c r="S24" i="2" s="1"/>
  <c r="R22" i="2"/>
  <c r="S12" i="2"/>
  <c r="S15" i="2" s="1"/>
  <c r="C13" i="2"/>
  <c r="G13" i="2" s="1"/>
  <c r="G12" i="2"/>
  <c r="G15" i="2" s="1"/>
  <c r="G20" i="2"/>
  <c r="U20" i="2" s="1"/>
  <c r="G28" i="2"/>
  <c r="G36" i="2"/>
  <c r="G39" i="2" s="1"/>
  <c r="G44" i="2"/>
  <c r="G52" i="2"/>
  <c r="C53" i="2"/>
  <c r="J53" i="2" s="1"/>
  <c r="G53" i="2"/>
  <c r="G56" i="2" s="1"/>
  <c r="F23" i="2"/>
  <c r="G23" i="2" s="1"/>
  <c r="F24" i="2"/>
  <c r="F31" i="2"/>
  <c r="G31" i="2" s="1"/>
  <c r="F32" i="2"/>
  <c r="J13" i="2"/>
  <c r="J16" i="2" s="1"/>
  <c r="J12" i="2"/>
  <c r="J15" i="2" s="1"/>
  <c r="J20" i="2"/>
  <c r="J21" i="2"/>
  <c r="J22" i="2" s="1"/>
  <c r="J39" i="2"/>
  <c r="J44" i="2"/>
  <c r="J46" i="2" s="1"/>
  <c r="J45" i="2"/>
  <c r="J52" i="2"/>
  <c r="J55" i="2" s="1"/>
  <c r="M12" i="2"/>
  <c r="M15" i="2" s="1"/>
  <c r="M20" i="2"/>
  <c r="M28" i="2"/>
  <c r="M36" i="2"/>
  <c r="M39" i="2" s="1"/>
  <c r="M44" i="2"/>
  <c r="M46" i="2" s="1"/>
  <c r="M45" i="2"/>
  <c r="M52" i="2"/>
  <c r="M53" i="2"/>
  <c r="M56" i="2" s="1"/>
  <c r="P12" i="2"/>
  <c r="P15" i="2" s="1"/>
  <c r="P20" i="2"/>
  <c r="P21" i="2"/>
  <c r="P28" i="2"/>
  <c r="P36" i="2"/>
  <c r="P39" i="2" s="1"/>
  <c r="P44" i="2"/>
  <c r="P47" i="2" s="1"/>
  <c r="P45" i="2"/>
  <c r="P48" i="2" s="1"/>
  <c r="P52" i="2"/>
  <c r="P55" i="2" s="1"/>
  <c r="P53" i="2"/>
  <c r="M27" i="4"/>
  <c r="P61" i="2"/>
  <c r="P62" i="2" s="1"/>
  <c r="P64" i="2"/>
  <c r="P67" i="2"/>
  <c r="P70" i="2"/>
  <c r="P73" i="2"/>
  <c r="P76" i="2"/>
  <c r="P94" i="2"/>
  <c r="P95" i="2" s="1"/>
  <c r="P96" i="2"/>
  <c r="P97" i="2" s="1"/>
  <c r="P100" i="2"/>
  <c r="P101" i="2" s="1"/>
  <c r="P102" i="2"/>
  <c r="P103" i="2" s="1"/>
  <c r="P106" i="2"/>
  <c r="P107" i="2" s="1"/>
  <c r="P108" i="2"/>
  <c r="P112" i="2"/>
  <c r="P114" i="2"/>
  <c r="P115" i="2" s="1"/>
  <c r="P139" i="2"/>
  <c r="P140" i="2" s="1"/>
  <c r="P141" i="2"/>
  <c r="P142" i="2" s="1"/>
  <c r="P133" i="2"/>
  <c r="P134" i="2" s="1"/>
  <c r="P135" i="2"/>
  <c r="P136" i="2" s="1"/>
  <c r="P145" i="2"/>
  <c r="P146" i="2" s="1"/>
  <c r="P147" i="2"/>
  <c r="P148" i="2" s="1"/>
  <c r="P151" i="2"/>
  <c r="P152" i="2" s="1"/>
  <c r="P153" i="2"/>
  <c r="P154" i="2" s="1"/>
  <c r="P160" i="2"/>
  <c r="P164" i="2"/>
  <c r="P165" i="2" s="1"/>
  <c r="P168" i="2"/>
  <c r="P169" i="2" s="1"/>
  <c r="P170" i="2" s="1"/>
  <c r="P172" i="2"/>
  <c r="P173" i="2" s="1"/>
  <c r="P176" i="2"/>
  <c r="P177" i="2" s="1"/>
  <c r="P178" i="2" s="1"/>
  <c r="P180" i="2"/>
  <c r="C62" i="2"/>
  <c r="G62" i="2" s="1"/>
  <c r="C65" i="2"/>
  <c r="C68" i="2"/>
  <c r="C71" i="2"/>
  <c r="P71" i="2" s="1"/>
  <c r="C74" i="2"/>
  <c r="C77" i="2"/>
  <c r="P109" i="2"/>
  <c r="P113" i="2"/>
  <c r="P161" i="2"/>
  <c r="P181" i="2"/>
  <c r="J61" i="2"/>
  <c r="J64" i="2"/>
  <c r="J67" i="2"/>
  <c r="J70" i="2"/>
  <c r="J73" i="2"/>
  <c r="J76" i="2"/>
  <c r="J94" i="2"/>
  <c r="J95" i="2" s="1"/>
  <c r="J96" i="2"/>
  <c r="J97" i="2" s="1"/>
  <c r="J100" i="2"/>
  <c r="J102" i="2"/>
  <c r="J103" i="2" s="1"/>
  <c r="J106" i="2"/>
  <c r="J108" i="2"/>
  <c r="J109" i="2" s="1"/>
  <c r="J112" i="2"/>
  <c r="J113" i="2" s="1"/>
  <c r="J114" i="2"/>
  <c r="J139" i="2"/>
  <c r="J140" i="2" s="1"/>
  <c r="J141" i="2"/>
  <c r="J133" i="2"/>
  <c r="J134" i="2" s="1"/>
  <c r="J135" i="2"/>
  <c r="J136" i="2" s="1"/>
  <c r="J145" i="2"/>
  <c r="J146" i="2" s="1"/>
  <c r="J147" i="2"/>
  <c r="J148" i="2" s="1"/>
  <c r="J151" i="2"/>
  <c r="J152" i="2" s="1"/>
  <c r="J153" i="2"/>
  <c r="J154" i="2" s="1"/>
  <c r="J155" i="2" s="1"/>
  <c r="J160" i="2"/>
  <c r="J164" i="2"/>
  <c r="J165" i="2" s="1"/>
  <c r="J168" i="2"/>
  <c r="J169" i="2" s="1"/>
  <c r="J170" i="2" s="1"/>
  <c r="J172" i="2"/>
  <c r="J173" i="2" s="1"/>
  <c r="J174" i="2" s="1"/>
  <c r="J176" i="2"/>
  <c r="J177" i="2" s="1"/>
  <c r="J178" i="2" s="1"/>
  <c r="J180" i="2"/>
  <c r="J181" i="2" s="1"/>
  <c r="J101" i="2"/>
  <c r="J115" i="2"/>
  <c r="M61" i="2"/>
  <c r="M64" i="2"/>
  <c r="M67" i="2"/>
  <c r="M70" i="2"/>
  <c r="M73" i="2"/>
  <c r="M76" i="2"/>
  <c r="M94" i="2"/>
  <c r="M96" i="2"/>
  <c r="M97" i="2" s="1"/>
  <c r="M100" i="2"/>
  <c r="M101" i="2" s="1"/>
  <c r="M104" i="2" s="1"/>
  <c r="M102" i="2"/>
  <c r="M106" i="2"/>
  <c r="M107" i="2" s="1"/>
  <c r="M108" i="2"/>
  <c r="M109" i="2" s="1"/>
  <c r="M112" i="2"/>
  <c r="M113" i="2" s="1"/>
  <c r="M114" i="2"/>
  <c r="M139" i="2"/>
  <c r="M141" i="2"/>
  <c r="M133" i="2"/>
  <c r="M134" i="2" s="1"/>
  <c r="M135" i="2"/>
  <c r="M136" i="2" s="1"/>
  <c r="M145" i="2"/>
  <c r="M147" i="2"/>
  <c r="M148" i="2" s="1"/>
  <c r="M151" i="2"/>
  <c r="M152" i="2" s="1"/>
  <c r="M155" i="2" s="1"/>
  <c r="M153" i="2"/>
  <c r="M160" i="2"/>
  <c r="M164" i="2"/>
  <c r="M168" i="2"/>
  <c r="M169" i="2" s="1"/>
  <c r="M172" i="2"/>
  <c r="M173" i="2" s="1"/>
  <c r="M176" i="2"/>
  <c r="M177" i="2" s="1"/>
  <c r="M178" i="2" s="1"/>
  <c r="M180" i="2"/>
  <c r="M181" i="2" s="1"/>
  <c r="M182" i="2" s="1"/>
  <c r="M65" i="2"/>
  <c r="M95" i="2"/>
  <c r="M103" i="2"/>
  <c r="M115" i="2"/>
  <c r="M140" i="2"/>
  <c r="M146" i="2"/>
  <c r="M154" i="2"/>
  <c r="M165" i="2"/>
  <c r="G61" i="2"/>
  <c r="G64" i="2"/>
  <c r="G67" i="2"/>
  <c r="G70" i="2"/>
  <c r="G73" i="2"/>
  <c r="G76" i="2"/>
  <c r="G94" i="2"/>
  <c r="G95" i="2" s="1"/>
  <c r="G96" i="2"/>
  <c r="G100" i="2"/>
  <c r="G102" i="2"/>
  <c r="G103" i="2" s="1"/>
  <c r="G106" i="2"/>
  <c r="G108" i="2"/>
  <c r="G109" i="2" s="1"/>
  <c r="G112" i="2"/>
  <c r="G113" i="2" s="1"/>
  <c r="G114" i="2"/>
  <c r="G115" i="2" s="1"/>
  <c r="G139" i="2"/>
  <c r="G140" i="2" s="1"/>
  <c r="G141" i="2"/>
  <c r="G142" i="2" s="1"/>
  <c r="G133" i="2"/>
  <c r="G135" i="2"/>
  <c r="G136" i="2" s="1"/>
  <c r="G145" i="2"/>
  <c r="G146" i="2" s="1"/>
  <c r="G147" i="2"/>
  <c r="G148" i="2" s="1"/>
  <c r="G151" i="2"/>
  <c r="G153" i="2"/>
  <c r="G154" i="2" s="1"/>
  <c r="G160" i="2"/>
  <c r="G161" i="2" s="1"/>
  <c r="G164" i="2"/>
  <c r="G168" i="2"/>
  <c r="S168" i="2" s="1"/>
  <c r="G172" i="2"/>
  <c r="G176" i="2"/>
  <c r="G180" i="2"/>
  <c r="S180" i="2" s="1"/>
  <c r="G97" i="2"/>
  <c r="G101" i="2"/>
  <c r="G152" i="2"/>
  <c r="M25" i="4"/>
  <c r="B90" i="2"/>
  <c r="B15" i="2"/>
  <c r="AF15" i="2"/>
  <c r="AH15" i="2"/>
  <c r="F22" i="2"/>
  <c r="I22" i="2"/>
  <c r="L22" i="2"/>
  <c r="O22" i="2"/>
  <c r="B23" i="2"/>
  <c r="U28" i="2"/>
  <c r="AF29" i="2"/>
  <c r="AH29" i="2"/>
  <c r="F30" i="2"/>
  <c r="I30" i="2"/>
  <c r="L30" i="2"/>
  <c r="B31" i="2"/>
  <c r="U36" i="2"/>
  <c r="F38" i="2"/>
  <c r="I38" i="2"/>
  <c r="L38" i="2"/>
  <c r="O38" i="2"/>
  <c r="B39" i="2"/>
  <c r="AF43" i="2"/>
  <c r="AH43" i="2"/>
  <c r="AJ43" i="2"/>
  <c r="F46" i="2"/>
  <c r="I46" i="2"/>
  <c r="L46" i="2"/>
  <c r="O46" i="2"/>
  <c r="B47" i="2"/>
  <c r="U52" i="2"/>
  <c r="F54" i="2"/>
  <c r="I54" i="2"/>
  <c r="L54" i="2"/>
  <c r="O54" i="2"/>
  <c r="B55" i="2"/>
  <c r="AF57" i="2"/>
  <c r="AH57" i="2"/>
  <c r="AJ57" i="2"/>
  <c r="AL57" i="2"/>
  <c r="M24" i="4"/>
  <c r="B6" i="2"/>
  <c r="B96" i="2"/>
  <c r="B84" i="2"/>
  <c r="B153" i="2"/>
  <c r="B147" i="2"/>
  <c r="B114" i="2"/>
  <c r="B108" i="2"/>
  <c r="B135" i="2"/>
  <c r="B129" i="2"/>
  <c r="B102" i="2"/>
  <c r="J166" i="2"/>
  <c r="J182" i="2"/>
  <c r="M174" i="2"/>
  <c r="P182" i="2"/>
  <c r="U112" i="2"/>
  <c r="U108" i="2"/>
  <c r="U133" i="2"/>
  <c r="U168" i="2"/>
  <c r="P143" i="2"/>
  <c r="B141" i="2"/>
  <c r="B123" i="2"/>
  <c r="P166" i="2"/>
  <c r="M26" i="4"/>
  <c r="M49" i="4"/>
  <c r="M48" i="4"/>
  <c r="M47" i="4"/>
  <c r="M46" i="4"/>
  <c r="M44" i="4"/>
  <c r="M43" i="4"/>
  <c r="M42" i="4"/>
  <c r="M40" i="4"/>
  <c r="A38" i="4"/>
  <c r="M28" i="4"/>
  <c r="A17" i="4"/>
  <c r="A16" i="4"/>
  <c r="A15" i="4"/>
  <c r="A13" i="4"/>
  <c r="U124" i="2" l="1"/>
  <c r="U94" i="2"/>
  <c r="U100" i="2"/>
  <c r="M137" i="2"/>
  <c r="U95" i="2"/>
  <c r="J68" i="2"/>
  <c r="J14" i="2"/>
  <c r="J74" i="2"/>
  <c r="P155" i="2"/>
  <c r="P29" i="2"/>
  <c r="P32" i="2" s="1"/>
  <c r="M23" i="2"/>
  <c r="G21" i="2"/>
  <c r="S47" i="2"/>
  <c r="M170" i="2"/>
  <c r="M116" i="2"/>
  <c r="U97" i="2"/>
  <c r="P49" i="2"/>
  <c r="S25" i="2"/>
  <c r="J32" i="2"/>
  <c r="S143" i="2"/>
  <c r="I14" i="2"/>
  <c r="G74" i="2"/>
  <c r="P149" i="2"/>
  <c r="P98" i="2"/>
  <c r="P68" i="2"/>
  <c r="P23" i="2"/>
  <c r="M48" i="2"/>
  <c r="M21" i="2"/>
  <c r="J48" i="2"/>
  <c r="J23" i="2"/>
  <c r="M92" i="2"/>
  <c r="E23" i="4"/>
  <c r="E33" i="4" s="1"/>
  <c r="G33" i="4"/>
  <c r="S46" i="2"/>
  <c r="S48" i="2"/>
  <c r="G162" i="2"/>
  <c r="G155" i="2"/>
  <c r="U61" i="2"/>
  <c r="M98" i="2"/>
  <c r="J37" i="2"/>
  <c r="J38" i="2" s="1"/>
  <c r="G45" i="2"/>
  <c r="J30" i="2"/>
  <c r="G149" i="2"/>
  <c r="P22" i="2"/>
  <c r="G46" i="2"/>
  <c r="E9" i="4"/>
  <c r="U140" i="2"/>
  <c r="U106" i="2"/>
  <c r="J98" i="2"/>
  <c r="U64" i="2"/>
  <c r="S49" i="2"/>
  <c r="S50" i="2" s="1"/>
  <c r="G181" i="2"/>
  <c r="G182" i="2" s="1"/>
  <c r="M166" i="2"/>
  <c r="J116" i="2"/>
  <c r="U103" i="2"/>
  <c r="P137" i="2"/>
  <c r="P13" i="2"/>
  <c r="P16" i="2" s="1"/>
  <c r="M29" i="2"/>
  <c r="G29" i="2"/>
  <c r="U146" i="2"/>
  <c r="J149" i="2"/>
  <c r="P116" i="2"/>
  <c r="U115" i="2"/>
  <c r="G116" i="2"/>
  <c r="U154" i="2"/>
  <c r="S137" i="2"/>
  <c r="U101" i="2"/>
  <c r="U109" i="2"/>
  <c r="M149" i="2"/>
  <c r="U152" i="2"/>
  <c r="U67" i="2"/>
  <c r="U164" i="2"/>
  <c r="U147" i="2"/>
  <c r="P174" i="2"/>
  <c r="U148" i="2"/>
  <c r="G134" i="2"/>
  <c r="U134" i="2" s="1"/>
  <c r="G71" i="2"/>
  <c r="U145" i="2"/>
  <c r="J107" i="2"/>
  <c r="J110" i="2" s="1"/>
  <c r="J71" i="2"/>
  <c r="U76" i="2"/>
  <c r="U53" i="2"/>
  <c r="S4" i="2"/>
  <c r="S7" i="2" s="1"/>
  <c r="J4" i="2"/>
  <c r="I5" i="2" s="1"/>
  <c r="G143" i="2"/>
  <c r="U102" i="2"/>
  <c r="U160" i="2"/>
  <c r="J104" i="2"/>
  <c r="G165" i="2"/>
  <c r="G166" i="2" s="1"/>
  <c r="M71" i="2"/>
  <c r="J62" i="2"/>
  <c r="P74" i="2"/>
  <c r="M37" i="2"/>
  <c r="M31" i="2"/>
  <c r="P24" i="2"/>
  <c r="P25" i="2" s="1"/>
  <c r="G22" i="2"/>
  <c r="S29" i="2"/>
  <c r="S30" i="2" s="1"/>
  <c r="S39" i="2"/>
  <c r="S55" i="2"/>
  <c r="P6" i="2"/>
  <c r="U136" i="2"/>
  <c r="U151" i="2"/>
  <c r="G169" i="2"/>
  <c r="G170" i="2" s="1"/>
  <c r="M110" i="2"/>
  <c r="I18" i="4"/>
  <c r="I6" i="4"/>
  <c r="U21" i="2"/>
  <c r="U22" i="2" s="1"/>
  <c r="M83" i="2"/>
  <c r="G16" i="4" s="1"/>
  <c r="G7" i="4"/>
  <c r="P162" i="2"/>
  <c r="J137" i="2"/>
  <c r="U96" i="2"/>
  <c r="U98" i="2" s="1"/>
  <c r="U135" i="2"/>
  <c r="U139" i="2"/>
  <c r="U44" i="2"/>
  <c r="C9" i="4"/>
  <c r="U73" i="2"/>
  <c r="M62" i="2"/>
  <c r="J161" i="2"/>
  <c r="J162" i="2" s="1"/>
  <c r="U165" i="2"/>
  <c r="J54" i="2"/>
  <c r="J65" i="2"/>
  <c r="M13" i="2"/>
  <c r="M14" i="2" s="1"/>
  <c r="J31" i="2"/>
  <c r="J33" i="2" s="1"/>
  <c r="J34" i="2" s="1"/>
  <c r="J17" i="2"/>
  <c r="J18" i="2" s="1"/>
  <c r="G54" i="2"/>
  <c r="S54" i="2"/>
  <c r="S166" i="2"/>
  <c r="M6" i="2"/>
  <c r="P37" i="2"/>
  <c r="P40" i="2" s="1"/>
  <c r="P41" i="2" s="1"/>
  <c r="P30" i="2"/>
  <c r="M47" i="2"/>
  <c r="M49" i="2" s="1"/>
  <c r="M50" i="2" s="1"/>
  <c r="J56" i="2"/>
  <c r="J57" i="2" s="1"/>
  <c r="J58" i="2" s="1"/>
  <c r="G32" i="2"/>
  <c r="G33" i="2" s="1"/>
  <c r="G30" i="2"/>
  <c r="S22" i="2"/>
  <c r="S26" i="2" s="1"/>
  <c r="S37" i="2"/>
  <c r="S40" i="2" s="1"/>
  <c r="S56" i="2"/>
  <c r="S62" i="2"/>
  <c r="S113" i="2"/>
  <c r="U113" i="2" s="1"/>
  <c r="J6" i="2"/>
  <c r="P128" i="2"/>
  <c r="P131" i="2" s="1"/>
  <c r="S122" i="2"/>
  <c r="S125" i="2" s="1"/>
  <c r="K8" i="4"/>
  <c r="P122" i="2"/>
  <c r="I8" i="4"/>
  <c r="M122" i="2"/>
  <c r="M125" i="2" s="1"/>
  <c r="G8" i="4"/>
  <c r="C8" i="4"/>
  <c r="G122" i="2"/>
  <c r="G125" i="2" s="1"/>
  <c r="J122" i="2"/>
  <c r="J125" i="2" s="1"/>
  <c r="E8" i="4"/>
  <c r="U121" i="2"/>
  <c r="U123" i="2"/>
  <c r="U130" i="2"/>
  <c r="J131" i="2"/>
  <c r="P86" i="2"/>
  <c r="U129" i="2"/>
  <c r="M131" i="2"/>
  <c r="S131" i="2"/>
  <c r="U127" i="2"/>
  <c r="U82" i="2"/>
  <c r="U85" i="2"/>
  <c r="G92" i="2"/>
  <c r="U3" i="2"/>
  <c r="J92" i="2"/>
  <c r="U91" i="2"/>
  <c r="P92" i="2"/>
  <c r="U90" i="2"/>
  <c r="U84" i="2"/>
  <c r="U88" i="2"/>
  <c r="G9" i="4"/>
  <c r="M161" i="2"/>
  <c r="C6" i="4"/>
  <c r="P14" i="2"/>
  <c r="O14" i="2"/>
  <c r="S92" i="2"/>
  <c r="U70" i="2"/>
  <c r="U153" i="2"/>
  <c r="U114" i="2"/>
  <c r="E6" i="4"/>
  <c r="G68" i="2"/>
  <c r="M68" i="2"/>
  <c r="P17" i="2"/>
  <c r="S149" i="2"/>
  <c r="U180" i="2"/>
  <c r="S181" i="2"/>
  <c r="U181" i="2" s="1"/>
  <c r="G65" i="2"/>
  <c r="S65" i="2"/>
  <c r="P65" i="2"/>
  <c r="I9" i="4"/>
  <c r="P31" i="2"/>
  <c r="P33" i="2" s="1"/>
  <c r="C7" i="4"/>
  <c r="I7" i="4"/>
  <c r="S176" i="2"/>
  <c r="G177" i="2"/>
  <c r="G107" i="2"/>
  <c r="U107" i="2" s="1"/>
  <c r="G16" i="2"/>
  <c r="G17" i="2" s="1"/>
  <c r="G38" i="2"/>
  <c r="G40" i="2"/>
  <c r="S172" i="2"/>
  <c r="G173" i="2"/>
  <c r="M77" i="2"/>
  <c r="J77" i="2"/>
  <c r="P77" i="2"/>
  <c r="M54" i="2"/>
  <c r="M55" i="2"/>
  <c r="M57" i="2" s="1"/>
  <c r="E7" i="4"/>
  <c r="I16" i="4"/>
  <c r="M162" i="2"/>
  <c r="M183" i="2" s="1"/>
  <c r="G98" i="2"/>
  <c r="S169" i="2"/>
  <c r="U169" i="2" s="1"/>
  <c r="G6" i="4"/>
  <c r="G41" i="2"/>
  <c r="U141" i="2"/>
  <c r="G174" i="2"/>
  <c r="G104" i="2"/>
  <c r="G77" i="2"/>
  <c r="M74" i="2"/>
  <c r="U74" i="2" s="1"/>
  <c r="M142" i="2"/>
  <c r="M143" i="2" s="1"/>
  <c r="J142" i="2"/>
  <c r="P110" i="2"/>
  <c r="P54" i="2"/>
  <c r="U54" i="2" s="1"/>
  <c r="P56" i="2"/>
  <c r="P57" i="2" s="1"/>
  <c r="O30" i="2"/>
  <c r="M22" i="2"/>
  <c r="J40" i="2"/>
  <c r="J41" i="2" s="1"/>
  <c r="J42" i="2" s="1"/>
  <c r="J24" i="2"/>
  <c r="J25" i="2" s="1"/>
  <c r="G24" i="2"/>
  <c r="G25" i="2" s="1"/>
  <c r="R30" i="2"/>
  <c r="S31" i="2"/>
  <c r="S110" i="2"/>
  <c r="S98" i="2"/>
  <c r="S155" i="2"/>
  <c r="K7" i="4"/>
  <c r="U89" i="2"/>
  <c r="P104" i="2"/>
  <c r="M24" i="2"/>
  <c r="M25" i="2" s="1"/>
  <c r="G55" i="2"/>
  <c r="G57" i="2" s="1"/>
  <c r="G58" i="2" s="1"/>
  <c r="G14" i="2"/>
  <c r="S13" i="2"/>
  <c r="U13" i="2" s="1"/>
  <c r="S104" i="2"/>
  <c r="G4" i="2"/>
  <c r="I33" i="4"/>
  <c r="S6" i="2"/>
  <c r="U12" i="2"/>
  <c r="P46" i="2"/>
  <c r="U46" i="2" s="1"/>
  <c r="J47" i="2"/>
  <c r="J49" i="2" s="1"/>
  <c r="J50" i="2" s="1"/>
  <c r="S38" i="2"/>
  <c r="S86" i="2"/>
  <c r="M4" i="2"/>
  <c r="L5" i="2" s="1"/>
  <c r="P4" i="2"/>
  <c r="O5" i="2" s="1"/>
  <c r="G47" i="2"/>
  <c r="S78" i="2" l="1"/>
  <c r="G34" i="2"/>
  <c r="U155" i="2"/>
  <c r="J183" i="2"/>
  <c r="U162" i="2"/>
  <c r="G48" i="2"/>
  <c r="G49" i="2" s="1"/>
  <c r="U45" i="2"/>
  <c r="S5" i="2"/>
  <c r="K4" i="4" s="1"/>
  <c r="E18" i="4"/>
  <c r="P38" i="2"/>
  <c r="P42" i="2" s="1"/>
  <c r="U71" i="2"/>
  <c r="U104" i="2"/>
  <c r="C17" i="4"/>
  <c r="U110" i="2"/>
  <c r="E5" i="4"/>
  <c r="P26" i="2"/>
  <c r="U166" i="2"/>
  <c r="U149" i="2"/>
  <c r="M32" i="2"/>
  <c r="M33" i="2" s="1"/>
  <c r="M34" i="2" s="1"/>
  <c r="M30" i="2"/>
  <c r="U30" i="2" s="1"/>
  <c r="M9" i="4"/>
  <c r="R5" i="2"/>
  <c r="M40" i="2"/>
  <c r="M41" i="2" s="1"/>
  <c r="M38" i="2"/>
  <c r="U38" i="2" s="1"/>
  <c r="U37" i="2"/>
  <c r="J78" i="2"/>
  <c r="G5" i="4"/>
  <c r="M58" i="2"/>
  <c r="P50" i="2"/>
  <c r="S182" i="2"/>
  <c r="U182" i="2" s="1"/>
  <c r="U68" i="2"/>
  <c r="U62" i="2"/>
  <c r="E17" i="4"/>
  <c r="M16" i="2"/>
  <c r="M17" i="2" s="1"/>
  <c r="M18" i="2" s="1"/>
  <c r="L14" i="2"/>
  <c r="P183" i="2"/>
  <c r="U137" i="2"/>
  <c r="S41" i="2"/>
  <c r="S42" i="2" s="1"/>
  <c r="S116" i="2"/>
  <c r="U116" i="2"/>
  <c r="S57" i="2"/>
  <c r="S58" i="2" s="1"/>
  <c r="P58" i="2"/>
  <c r="G110" i="2"/>
  <c r="C15" i="4"/>
  <c r="S32" i="2"/>
  <c r="S33" i="2" s="1"/>
  <c r="U29" i="2"/>
  <c r="G137" i="2"/>
  <c r="G41" i="5"/>
  <c r="M156" i="2"/>
  <c r="M86" i="2"/>
  <c r="M117" i="2" s="1"/>
  <c r="S156" i="2"/>
  <c r="K17" i="4"/>
  <c r="P117" i="2"/>
  <c r="U128" i="2"/>
  <c r="U131" i="2" s="1"/>
  <c r="G131" i="2"/>
  <c r="U92" i="2"/>
  <c r="M26" i="2"/>
  <c r="J26" i="2"/>
  <c r="E14" i="4"/>
  <c r="G26" i="2"/>
  <c r="U25" i="2"/>
  <c r="G7" i="2"/>
  <c r="G8" i="2" s="1"/>
  <c r="U4" i="2"/>
  <c r="U5" i="2" s="1"/>
  <c r="F5" i="2"/>
  <c r="S170" i="2"/>
  <c r="K16" i="4"/>
  <c r="M6" i="4"/>
  <c r="G15" i="4"/>
  <c r="P34" i="2"/>
  <c r="S177" i="2"/>
  <c r="S178" i="2" s="1"/>
  <c r="U176" i="2"/>
  <c r="S117" i="2"/>
  <c r="P78" i="2"/>
  <c r="I15" i="4"/>
  <c r="G18" i="4"/>
  <c r="U161" i="2"/>
  <c r="S173" i="2"/>
  <c r="S174" i="2" s="1"/>
  <c r="U174" i="2" s="1"/>
  <c r="U172" i="2"/>
  <c r="J143" i="2"/>
  <c r="J156" i="2" s="1"/>
  <c r="U142" i="2"/>
  <c r="U143" i="2" s="1"/>
  <c r="C16" i="4"/>
  <c r="U83" i="2"/>
  <c r="U86" i="2" s="1"/>
  <c r="G86" i="2"/>
  <c r="G117" i="2" s="1"/>
  <c r="U65" i="2"/>
  <c r="R14" i="2"/>
  <c r="S16" i="2"/>
  <c r="S17" i="2" s="1"/>
  <c r="S18" i="2" s="1"/>
  <c r="E16" i="4"/>
  <c r="J86" i="2"/>
  <c r="J117" i="2" s="1"/>
  <c r="S14" i="2"/>
  <c r="G17" i="4"/>
  <c r="M7" i="4"/>
  <c r="G78" i="2"/>
  <c r="G5" i="2"/>
  <c r="P7" i="2"/>
  <c r="P8" i="2" s="1"/>
  <c r="I13" i="4" s="1"/>
  <c r="P5" i="2"/>
  <c r="G42" i="2"/>
  <c r="E15" i="4"/>
  <c r="G183" i="2"/>
  <c r="G178" i="2"/>
  <c r="M78" i="2"/>
  <c r="I17" i="4"/>
  <c r="P125" i="2"/>
  <c r="P156" i="2" s="1"/>
  <c r="M8" i="4" s="1"/>
  <c r="U122" i="2"/>
  <c r="U125" i="2" s="1"/>
  <c r="C5" i="4"/>
  <c r="U14" i="2"/>
  <c r="G18" i="2"/>
  <c r="M5" i="2"/>
  <c r="M7" i="2"/>
  <c r="M8" i="2" s="1"/>
  <c r="G13" i="4" s="1"/>
  <c r="S8" i="2"/>
  <c r="K13" i="4" s="1"/>
  <c r="K5" i="4"/>
  <c r="U58" i="2"/>
  <c r="J5" i="2"/>
  <c r="J7" i="2"/>
  <c r="J8" i="2" s="1"/>
  <c r="E13" i="4" s="1"/>
  <c r="U77" i="2"/>
  <c r="I14" i="4"/>
  <c r="P18" i="2"/>
  <c r="C18" i="4"/>
  <c r="U177" i="2" l="1"/>
  <c r="I5" i="4"/>
  <c r="K10" i="4"/>
  <c r="G50" i="2"/>
  <c r="U50" i="2" s="1"/>
  <c r="C14" i="4"/>
  <c r="U173" i="2"/>
  <c r="U78" i="2"/>
  <c r="S34" i="2"/>
  <c r="U34" i="2" s="1"/>
  <c r="U33" i="2"/>
  <c r="M42" i="2"/>
  <c r="U42" i="2" s="1"/>
  <c r="M15" i="4"/>
  <c r="I19" i="4"/>
  <c r="G156" i="2"/>
  <c r="U156" i="2" s="1"/>
  <c r="M18" i="4"/>
  <c r="G14" i="4"/>
  <c r="G19" i="4" s="1"/>
  <c r="U17" i="2"/>
  <c r="U41" i="2"/>
  <c r="U26" i="2"/>
  <c r="C23" i="4"/>
  <c r="C33" i="4" s="1"/>
  <c r="N8" i="4"/>
  <c r="I34" i="4"/>
  <c r="K41" i="4"/>
  <c r="K34" i="4" s="1"/>
  <c r="M17" i="4"/>
  <c r="K19" i="4"/>
  <c r="G4" i="4"/>
  <c r="G10" i="4" s="1"/>
  <c r="M9" i="2"/>
  <c r="U18" i="2"/>
  <c r="S9" i="2"/>
  <c r="U170" i="2"/>
  <c r="S183" i="2"/>
  <c r="U183" i="2" s="1"/>
  <c r="E19" i="4"/>
  <c r="I4" i="4"/>
  <c r="P9" i="2"/>
  <c r="U117" i="2"/>
  <c r="E4" i="4"/>
  <c r="E10" i="4" s="1"/>
  <c r="J9" i="2"/>
  <c r="U178" i="2"/>
  <c r="M16" i="4"/>
  <c r="C4" i="4"/>
  <c r="G9" i="2"/>
  <c r="M5" i="4"/>
  <c r="C13" i="4"/>
  <c r="U8" i="2"/>
  <c r="I10" i="4" l="1"/>
  <c r="K21" i="4"/>
  <c r="K35" i="4" s="1"/>
  <c r="M14" i="4"/>
  <c r="G21" i="4"/>
  <c r="G35" i="4" s="1"/>
  <c r="M41" i="4"/>
  <c r="E21" i="4"/>
  <c r="I21" i="4"/>
  <c r="I35" i="4" s="1"/>
  <c r="I50" i="4" s="1"/>
  <c r="C19" i="4"/>
  <c r="N19" i="4" s="1"/>
  <c r="M13" i="4"/>
  <c r="U9" i="2"/>
  <c r="C10" i="4"/>
  <c r="M4" i="4"/>
  <c r="N5" i="4" s="1"/>
  <c r="O48" i="4" l="1"/>
  <c r="M34" i="4"/>
  <c r="O23" i="4"/>
  <c r="M33" i="4"/>
  <c r="E35" i="4"/>
  <c r="E37" i="4" s="1"/>
  <c r="G50" i="4"/>
  <c r="G37" i="4"/>
  <c r="M19" i="4"/>
  <c r="K37" i="4"/>
  <c r="K50" i="4"/>
  <c r="I37" i="4"/>
  <c r="I51" i="4" s="1"/>
  <c r="C21" i="4"/>
  <c r="C35" i="4" s="1"/>
  <c r="C37" i="4" s="1"/>
  <c r="M10" i="4"/>
  <c r="G51" i="4" l="1"/>
  <c r="E50" i="4"/>
  <c r="E51" i="4" s="1"/>
  <c r="M21" i="4"/>
  <c r="C50" i="4"/>
  <c r="M37" i="4"/>
  <c r="K51" i="4"/>
  <c r="M35" i="4"/>
  <c r="O51" i="4" s="1"/>
  <c r="C51" i="4" l="1"/>
  <c r="M51" i="4" s="1"/>
  <c r="M50" i="4"/>
  <c r="O6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kmorgan</author>
  </authors>
  <commentList>
    <comment ref="C3" authorId="0" shapeId="0" xr:uid="{00000000-0006-0000-0100-000001000000}">
      <text>
        <r>
          <rPr>
            <b/>
            <sz val="8"/>
            <color rgb="FF000000"/>
            <rFont val="Tahoma"/>
            <family val="2"/>
          </rPr>
          <t xml:space="preserve">OSP:
</t>
        </r>
        <r>
          <rPr>
            <sz val="8"/>
            <color rgb="FF000000"/>
            <rFont val="Tahoma"/>
            <family val="2"/>
          </rPr>
          <t xml:space="preserve">Enter your base yearly salary here.  This information can be found on the BANNER screen NBAJOBS.
</t>
        </r>
      </text>
    </comment>
    <comment ref="E3" authorId="0" shapeId="0" xr:uid="{00000000-0006-0000-0100-000002000000}">
      <text>
        <r>
          <rPr>
            <b/>
            <sz val="8"/>
            <color rgb="FF000000"/>
            <rFont val="Tahoma"/>
            <family val="2"/>
          </rPr>
          <t xml:space="preserve">OSP: 
</t>
        </r>
        <r>
          <rPr>
            <sz val="8"/>
            <color rgb="FF000000"/>
            <rFont val="Tahoma"/>
            <family val="2"/>
          </rPr>
          <t xml:space="preserve">Select either Fiscal Year Appointment or Academic Year Appointment.
</t>
        </r>
      </text>
    </comment>
    <comment ref="F3" authorId="0" shapeId="0" xr:uid="{00000000-0006-0000-0100-000003000000}">
      <text>
        <r>
          <rPr>
            <b/>
            <sz val="8"/>
            <color rgb="FF000000"/>
            <rFont val="Tahoma"/>
            <family val="2"/>
          </rPr>
          <t>OSP:</t>
        </r>
        <r>
          <rPr>
            <sz val="8"/>
            <color rgb="FF000000"/>
            <rFont val="Tahoma"/>
            <family val="2"/>
          </rPr>
          <t xml:space="preserve">
</t>
        </r>
        <r>
          <rPr>
            <sz val="8"/>
            <color rgb="FF000000"/>
            <rFont val="Tahoma"/>
            <family val="2"/>
          </rPr>
          <t xml:space="preserve">If you are AY faculty, enter the percent of effort you propose to devote to this project for the Academic year on this line and effort for the summer on the line below.  </t>
        </r>
      </text>
    </comment>
    <comment ref="C12" authorId="0" shapeId="0" xr:uid="{00000000-0006-0000-0100-000004000000}">
      <text>
        <r>
          <rPr>
            <b/>
            <sz val="8"/>
            <color indexed="81"/>
            <rFont val="Tahoma"/>
            <family val="2"/>
          </rPr>
          <t xml:space="preserve">OSP:
</t>
        </r>
        <r>
          <rPr>
            <sz val="8"/>
            <color indexed="81"/>
            <rFont val="Tahoma"/>
            <family val="2"/>
          </rPr>
          <t>Enter your base yearly salary here.  This information can be found on the BANNER screen NBAJOBS.</t>
        </r>
        <r>
          <rPr>
            <sz val="8"/>
            <color indexed="81"/>
            <rFont val="Tahoma"/>
            <family val="2"/>
          </rPr>
          <t xml:space="preserve">
</t>
        </r>
      </text>
    </comment>
    <comment ref="C61" authorId="0" shapeId="0" xr:uid="{00000000-0006-0000-0100-000005000000}">
      <text>
        <r>
          <rPr>
            <b/>
            <sz val="8"/>
            <color indexed="81"/>
            <rFont val="Tahoma"/>
            <family val="2"/>
          </rPr>
          <t>OSP:</t>
        </r>
        <r>
          <rPr>
            <sz val="8"/>
            <color indexed="81"/>
            <rFont val="Tahoma"/>
            <family val="2"/>
          </rPr>
          <t xml:space="preserve">
Enter the yearly salary you expect to pay each postdoc.  Although the spreadsheet defaults to a full-time postdoc, you can change their effort to reflect the work on the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kmorgan</author>
  </authors>
  <commentList>
    <comment ref="B37" authorId="0" shapeId="0" xr:uid="{00000000-0006-0000-0200-000001000000}">
      <text>
        <r>
          <rPr>
            <b/>
            <sz val="11"/>
            <color rgb="FF000000"/>
            <rFont val="Tahoma"/>
            <family val="2"/>
          </rPr>
          <t>OSP:</t>
        </r>
        <r>
          <rPr>
            <sz val="11"/>
            <color rgb="FF000000"/>
            <rFont val="Tahoma"/>
            <family val="2"/>
          </rPr>
          <t xml:space="preserve">
</t>
        </r>
        <r>
          <rPr>
            <sz val="11"/>
            <color rgb="FF000000"/>
            <rFont val="Tahoma"/>
            <family val="2"/>
          </rPr>
          <t xml:space="preserve">Select the appropriate overhead rate from the drop-down list. See the project type list to the right for the appropriate rate.
</t>
        </r>
        <r>
          <rPr>
            <sz val="11"/>
            <color rgb="FF000000"/>
            <rFont val="Tahoma"/>
            <family val="2"/>
          </rPr>
          <t>If "Other" is selected, enter the appropriate rate per the RFP in the line below.</t>
        </r>
      </text>
    </comment>
    <comment ref="B41" authorId="0" shapeId="0" xr:uid="{00000000-0006-0000-0200-000002000000}">
      <text>
        <r>
          <rPr>
            <b/>
            <sz val="11"/>
            <color rgb="FF000000"/>
            <rFont val="Tahoma"/>
            <family val="2"/>
          </rPr>
          <t xml:space="preserve">OSP: </t>
        </r>
        <r>
          <rPr>
            <sz val="11"/>
            <color rgb="FF000000"/>
            <rFont val="Tahoma"/>
            <family val="2"/>
          </rPr>
          <t xml:space="preserve">If you want to factor in fee increases over the life of your project, indicate the percnet increase here and the template will calculate it for you.  </t>
        </r>
      </text>
    </comment>
    <comment ref="A45" authorId="0" shapeId="0" xr:uid="{00000000-0006-0000-0200-000003000000}">
      <text>
        <r>
          <rPr>
            <b/>
            <sz val="10"/>
            <color rgb="FF000000"/>
            <rFont val="Arial"/>
            <family val="2"/>
          </rPr>
          <t>OSP:</t>
        </r>
        <r>
          <rPr>
            <sz val="10"/>
            <color rgb="FF000000"/>
            <rFont val="Arial"/>
            <family val="2"/>
          </rPr>
          <t xml:space="preserve">
</t>
        </r>
        <r>
          <rPr>
            <sz val="10"/>
            <color rgb="FF000000"/>
            <rFont val="Arial"/>
            <family val="2"/>
          </rPr>
          <t>Participant support costs listed in this field must have an agency stipulation within their guidelines that states F&amp;A is not applicable to these charges for this particular program/award type.</t>
        </r>
      </text>
    </comment>
  </commentList>
</comments>
</file>

<file path=xl/sharedStrings.xml><?xml version="1.0" encoding="utf-8"?>
<sst xmlns="http://schemas.openxmlformats.org/spreadsheetml/2006/main" count="369" uniqueCount="264">
  <si>
    <t>POST 4</t>
  </si>
  <si>
    <r>
      <t xml:space="preserve">Post-Doc </t>
    </r>
    <r>
      <rPr>
        <b/>
        <sz val="10"/>
        <rFont val="Arial"/>
        <family val="2"/>
      </rPr>
      <t>3</t>
    </r>
  </si>
  <si>
    <r>
      <t xml:space="preserve">Post-Doc </t>
    </r>
    <r>
      <rPr>
        <b/>
        <sz val="10"/>
        <rFont val="Arial"/>
        <family val="2"/>
      </rPr>
      <t>4</t>
    </r>
  </si>
  <si>
    <t>Grad student 3 AY</t>
  </si>
  <si>
    <t>Grad student 3 fringe</t>
  </si>
  <si>
    <t>Grad student 3 summer</t>
  </si>
  <si>
    <t>Total Grad student 4</t>
  </si>
  <si>
    <t>Grad student 4 AY</t>
  </si>
  <si>
    <t>Grad student 4 fringe</t>
  </si>
  <si>
    <t>Grad student 4 summer</t>
  </si>
  <si>
    <t>Total Grad student 3</t>
  </si>
  <si>
    <t>UG student 3 AY</t>
  </si>
  <si>
    <t>UG student 3 fringe</t>
  </si>
  <si>
    <t>UG student 3 summer</t>
  </si>
  <si>
    <t>Total UG student 3</t>
  </si>
  <si>
    <t>UG student 4 AY</t>
  </si>
  <si>
    <t>UG student 4 fringe</t>
  </si>
  <si>
    <t>UG student 4 summer</t>
  </si>
  <si>
    <t>Total UG student 4</t>
  </si>
  <si>
    <t>Total Co-PI 6 fringe</t>
  </si>
  <si>
    <t>IH employee 3</t>
  </si>
  <si>
    <t>IH employee 3 fringe</t>
  </si>
  <si>
    <t xml:space="preserve">Total IH employee 3 </t>
  </si>
  <si>
    <t>IH employee 4</t>
  </si>
  <si>
    <t>IH employee 4 fringe</t>
  </si>
  <si>
    <t>Total IH employee 4</t>
  </si>
  <si>
    <t>Yearly Salary</t>
  </si>
  <si>
    <t>Hourly rate</t>
  </si>
  <si>
    <t xml:space="preserve">Hours </t>
  </si>
  <si>
    <t>Hours</t>
  </si>
  <si>
    <t>AY max hrs = 780</t>
  </si>
  <si>
    <t>Sum max hrs = 260</t>
  </si>
  <si>
    <r>
      <t xml:space="preserve">Post-Doc </t>
    </r>
    <r>
      <rPr>
        <b/>
        <sz val="10"/>
        <rFont val="Arial"/>
        <family val="2"/>
      </rPr>
      <t>5</t>
    </r>
  </si>
  <si>
    <r>
      <t xml:space="preserve">Post-Doc </t>
    </r>
    <r>
      <rPr>
        <b/>
        <sz val="10"/>
        <rFont val="Arial"/>
        <family val="2"/>
      </rPr>
      <t>6</t>
    </r>
  </si>
  <si>
    <t>Grad student 5 AY</t>
  </si>
  <si>
    <t>Grad student 5 fringe</t>
  </si>
  <si>
    <t>Grad student 5 summer</t>
  </si>
  <si>
    <t>Total Grad student 5</t>
  </si>
  <si>
    <t>Grad student 6 AY</t>
  </si>
  <si>
    <t>Grad student 6 fringe</t>
  </si>
  <si>
    <t>Grad student 6 summer</t>
  </si>
  <si>
    <t>Total Grad student 6</t>
  </si>
  <si>
    <t>UG student 5 AY</t>
  </si>
  <si>
    <t>UG student 5 fringe</t>
  </si>
  <si>
    <t>UG student 5 summer</t>
  </si>
  <si>
    <t>Total UG student 6</t>
  </si>
  <si>
    <t>UG student 6 AY</t>
  </si>
  <si>
    <t>UG student 6 fringe</t>
  </si>
  <si>
    <t>UG student 6 summer</t>
  </si>
  <si>
    <t>Total PI salary</t>
  </si>
  <si>
    <t>Total PI fringe</t>
  </si>
  <si>
    <t>Total Co-PI 5 request</t>
  </si>
  <si>
    <t>Total Co-PI 5 salary</t>
  </si>
  <si>
    <t>Fringe Co-PI 5 AY</t>
  </si>
  <si>
    <t>Fringe Co-PI Summer</t>
  </si>
  <si>
    <t>Total Co-PI 5 fringe</t>
  </si>
  <si>
    <t>Co I 6</t>
  </si>
  <si>
    <t>Co-PI 6 salary</t>
  </si>
  <si>
    <t>Total Co-PI 6 salary</t>
  </si>
  <si>
    <t>Fringe Co-PI 6 AY</t>
  </si>
  <si>
    <t>Fringe Co-PI summer</t>
  </si>
  <si>
    <t xml:space="preserve">Total Co-PI 6 request </t>
  </si>
  <si>
    <t>% effort Yr 1</t>
  </si>
  <si>
    <t>Yr 1 request</t>
  </si>
  <si>
    <t>% effort Yr 2</t>
  </si>
  <si>
    <t>Yr 2 request</t>
  </si>
  <si>
    <t>% effort Yr 3</t>
  </si>
  <si>
    <t>Yr 3 request</t>
  </si>
  <si>
    <t>% effort Yr 4</t>
  </si>
  <si>
    <t>Yr 4 request</t>
  </si>
  <si>
    <t>Grad student 1 AY</t>
  </si>
  <si>
    <t>Grad student 1 summer</t>
  </si>
  <si>
    <t>Grad student 1 fringe</t>
  </si>
  <si>
    <t>Request Yr 1</t>
  </si>
  <si>
    <t>Total Grad student 1</t>
  </si>
  <si>
    <t>Request Yr 2</t>
  </si>
  <si>
    <t>Request Yr 3</t>
  </si>
  <si>
    <t>Request Yr 4</t>
  </si>
  <si>
    <t>Request Yr 5</t>
  </si>
  <si>
    <t>Grad student 2 AY</t>
  </si>
  <si>
    <t>Grad student 2 summer</t>
  </si>
  <si>
    <t>Grad student 2 fringe</t>
  </si>
  <si>
    <t>Total Grad student 2</t>
  </si>
  <si>
    <t xml:space="preserve">Total Grad student </t>
  </si>
  <si>
    <t>UG student 1 AY</t>
  </si>
  <si>
    <t>UG student 1 fringe</t>
  </si>
  <si>
    <t>UG student 1 summer</t>
  </si>
  <si>
    <t>Total UG student 1</t>
  </si>
  <si>
    <t>UG student 2 AY</t>
  </si>
  <si>
    <t>UG student 2 fringe</t>
  </si>
  <si>
    <t>UG student 2 summer</t>
  </si>
  <si>
    <t>Total UG student 2</t>
  </si>
  <si>
    <t xml:space="preserve">Total UG student </t>
  </si>
  <si>
    <t>IH employee 1</t>
  </si>
  <si>
    <t>Totals</t>
  </si>
  <si>
    <t>Personnel</t>
  </si>
  <si>
    <t>Fringe benefits</t>
  </si>
  <si>
    <t>MTDC</t>
  </si>
  <si>
    <t>Total sal&amp;fringe</t>
  </si>
  <si>
    <t>Travel - domestic</t>
  </si>
  <si>
    <t>Travel - foreign</t>
  </si>
  <si>
    <t>IH employee 5</t>
  </si>
  <si>
    <t>IH employee 5 fringe</t>
  </si>
  <si>
    <t>Total IH employee 5</t>
  </si>
  <si>
    <t>IH employee 6</t>
  </si>
  <si>
    <t>IH employee 6 fringe</t>
  </si>
  <si>
    <t>Total IH employee 6</t>
  </si>
  <si>
    <t>Part Fringe = 9%</t>
  </si>
  <si>
    <t>Total UG student 5</t>
  </si>
  <si>
    <t>Full Fringe = 31%</t>
  </si>
  <si>
    <t>Part/Full time</t>
  </si>
  <si>
    <t>IH employee 1 fringe</t>
  </si>
  <si>
    <t>Full Time</t>
  </si>
  <si>
    <t>IH employee 2</t>
  </si>
  <si>
    <t>IH employee 2 fringe</t>
  </si>
  <si>
    <t>Total IH employee 1</t>
  </si>
  <si>
    <t xml:space="preserve">Total IH employee 2 </t>
  </si>
  <si>
    <t>Total IH employees</t>
  </si>
  <si>
    <t>% inc/yr</t>
  </si>
  <si>
    <t>% inc/year</t>
  </si>
  <si>
    <t>Summer</t>
  </si>
  <si>
    <t xml:space="preserve"> Summer</t>
  </si>
  <si>
    <t>Academic/Fiscal Year appointment</t>
  </si>
  <si>
    <t>Blue Cells require manual data entry.  White Cells are auto-fill.</t>
  </si>
  <si>
    <t xml:space="preserve">Participant Support </t>
  </si>
  <si>
    <t>Select the right-facing arrow at the bottom of this column to move to the MTDC tab</t>
  </si>
  <si>
    <t>POST 3</t>
  </si>
  <si>
    <t>Total Fringe</t>
  </si>
  <si>
    <t>Total Salaries</t>
  </si>
  <si>
    <t>Indirect Rate</t>
  </si>
  <si>
    <t>Total Other Expenses</t>
  </si>
  <si>
    <t>Name</t>
  </si>
  <si>
    <t>Total</t>
  </si>
  <si>
    <t>Equipment &gt; 5K</t>
  </si>
  <si>
    <r>
      <t xml:space="preserve">Post-Doc </t>
    </r>
    <r>
      <rPr>
        <b/>
        <sz val="10"/>
        <rFont val="Arial"/>
        <family val="2"/>
      </rPr>
      <t>1</t>
    </r>
  </si>
  <si>
    <r>
      <t xml:space="preserve">Post-Doc </t>
    </r>
    <r>
      <rPr>
        <b/>
        <sz val="10"/>
        <rFont val="Arial"/>
        <family val="2"/>
      </rPr>
      <t>2</t>
    </r>
  </si>
  <si>
    <t>Materials &amp; Supplies</t>
  </si>
  <si>
    <t>Publications</t>
  </si>
  <si>
    <t>Post Docs</t>
  </si>
  <si>
    <t>Grads</t>
  </si>
  <si>
    <t>Capital Projects</t>
  </si>
  <si>
    <t>Student Fees &amp; Insurance</t>
  </si>
  <si>
    <t>Total Direct Cost</t>
  </si>
  <si>
    <t>Total Request</t>
  </si>
  <si>
    <t>Rental Costs - Off Site Facilities</t>
  </si>
  <si>
    <t>Scholarships</t>
  </si>
  <si>
    <t>Fellowships</t>
  </si>
  <si>
    <t>Patient Care</t>
  </si>
  <si>
    <t>Academic (9 month)</t>
  </si>
  <si>
    <t>Fiscal (12 month)</t>
  </si>
  <si>
    <t>Select</t>
  </si>
  <si>
    <t>Other</t>
  </si>
  <si>
    <t>.</t>
  </si>
  <si>
    <t xml:space="preserve">Total Post-Doc </t>
  </si>
  <si>
    <t>PI1</t>
  </si>
  <si>
    <t>CoI2</t>
  </si>
  <si>
    <t>CoI1</t>
  </si>
  <si>
    <t>CoI 3</t>
  </si>
  <si>
    <t>CO I 4</t>
  </si>
  <si>
    <t>Co I 5</t>
  </si>
  <si>
    <t>these will be hidden</t>
  </si>
  <si>
    <t>POST 1</t>
  </si>
  <si>
    <t>POST 2</t>
  </si>
  <si>
    <t>Fringe</t>
  </si>
  <si>
    <t>Undergrad</t>
  </si>
  <si>
    <t>IH</t>
  </si>
  <si>
    <t>Subcontract #1 residual</t>
  </si>
  <si>
    <t>Subcontract #2 residual</t>
  </si>
  <si>
    <t>Subcontract #3 residual</t>
  </si>
  <si>
    <t>Part Time</t>
  </si>
  <si>
    <t>Percent Effort Yr1</t>
  </si>
  <si>
    <t>Percent Effort Yr2</t>
  </si>
  <si>
    <t>NBAJOBS               Base Salary</t>
  </si>
  <si>
    <t>Percent Effort Yr3</t>
  </si>
  <si>
    <t>Percent Effort Yr5</t>
  </si>
  <si>
    <t>Percent Effort Yr4</t>
  </si>
  <si>
    <t>Fringe PI AY</t>
  </si>
  <si>
    <t>Fringe PI Summer</t>
  </si>
  <si>
    <t xml:space="preserve"> Request Yr1</t>
  </si>
  <si>
    <t xml:space="preserve"> Request Yr2</t>
  </si>
  <si>
    <t xml:space="preserve"> Request Yr 3</t>
  </si>
  <si>
    <t xml:space="preserve"> Request Yr4</t>
  </si>
  <si>
    <t>Total PI request</t>
  </si>
  <si>
    <t>Fringe Rate AY</t>
  </si>
  <si>
    <t>Total Co-PI 1 fringe</t>
  </si>
  <si>
    <t>Total Co-PI request</t>
  </si>
  <si>
    <t>Total Co-PI 1 salary</t>
  </si>
  <si>
    <t>Total Co PI 2 salary</t>
  </si>
  <si>
    <r>
      <t xml:space="preserve">Fringe Co-PI </t>
    </r>
    <r>
      <rPr>
        <b/>
        <sz val="10"/>
        <rFont val="Arial"/>
        <family val="2"/>
      </rPr>
      <t xml:space="preserve">1 </t>
    </r>
    <r>
      <rPr>
        <sz val="10"/>
        <rFont val="Arial"/>
        <family val="2"/>
      </rPr>
      <t>AY</t>
    </r>
  </si>
  <si>
    <r>
      <t xml:space="preserve">Fringe Co-PI </t>
    </r>
    <r>
      <rPr>
        <b/>
        <sz val="10"/>
        <rFont val="Arial"/>
        <family val="2"/>
      </rPr>
      <t xml:space="preserve">1 </t>
    </r>
    <r>
      <rPr>
        <sz val="10"/>
        <rFont val="Arial"/>
        <family val="2"/>
      </rPr>
      <t>Summer</t>
    </r>
  </si>
  <si>
    <r>
      <t xml:space="preserve">Fringe Co-PI </t>
    </r>
    <r>
      <rPr>
        <b/>
        <sz val="10"/>
        <rFont val="Arial"/>
        <family val="2"/>
      </rPr>
      <t>2</t>
    </r>
    <r>
      <rPr>
        <sz val="10"/>
        <rFont val="Arial"/>
        <family val="2"/>
      </rPr>
      <t xml:space="preserve"> AY</t>
    </r>
  </si>
  <si>
    <r>
      <t xml:space="preserve">Fringe Co-PI </t>
    </r>
    <r>
      <rPr>
        <b/>
        <sz val="10"/>
        <rFont val="Arial"/>
        <family val="2"/>
      </rPr>
      <t>2</t>
    </r>
    <r>
      <rPr>
        <sz val="10"/>
        <rFont val="Arial"/>
        <family val="2"/>
      </rPr>
      <t xml:space="preserve"> Summer</t>
    </r>
  </si>
  <si>
    <t>Total Co-PI 2 fringe</t>
  </si>
  <si>
    <t>Total Co-PI 2 request</t>
  </si>
  <si>
    <t>Total Co-PI 3 salary</t>
  </si>
  <si>
    <t>Total Co-PI 3 fringe</t>
  </si>
  <si>
    <r>
      <t xml:space="preserve">Fringe Co-PI </t>
    </r>
    <r>
      <rPr>
        <b/>
        <sz val="10"/>
        <rFont val="Arial"/>
        <family val="2"/>
      </rPr>
      <t>3</t>
    </r>
    <r>
      <rPr>
        <sz val="10"/>
        <rFont val="Arial"/>
        <family val="2"/>
      </rPr>
      <t xml:space="preserve"> AY</t>
    </r>
  </si>
  <si>
    <r>
      <t xml:space="preserve">Fringe Co-PI </t>
    </r>
    <r>
      <rPr>
        <b/>
        <sz val="10"/>
        <rFont val="Arial"/>
        <family val="2"/>
      </rPr>
      <t>3</t>
    </r>
    <r>
      <rPr>
        <sz val="10"/>
        <rFont val="Arial"/>
        <family val="2"/>
      </rPr>
      <t xml:space="preserve"> Summer</t>
    </r>
  </si>
  <si>
    <t>Total Co-PI 3 request</t>
  </si>
  <si>
    <t>Total Co-PI 4 salary</t>
  </si>
  <si>
    <t>Total Co-PI 4 fringe</t>
  </si>
  <si>
    <t>Total Co-PI 4 request</t>
  </si>
  <si>
    <r>
      <t xml:space="preserve">Fringe Co-PI </t>
    </r>
    <r>
      <rPr>
        <b/>
        <sz val="10"/>
        <rFont val="Arial"/>
        <family val="2"/>
      </rPr>
      <t>4</t>
    </r>
    <r>
      <rPr>
        <sz val="10"/>
        <rFont val="Arial"/>
        <family val="2"/>
      </rPr>
      <t xml:space="preserve"> AY</t>
    </r>
  </si>
  <si>
    <r>
      <t xml:space="preserve">Fringe Co-PI </t>
    </r>
    <r>
      <rPr>
        <b/>
        <sz val="10"/>
        <rFont val="Arial"/>
        <family val="2"/>
      </rPr>
      <t>4</t>
    </r>
    <r>
      <rPr>
        <sz val="10"/>
        <rFont val="Arial"/>
        <family val="2"/>
      </rPr>
      <t xml:space="preserve"> Summer</t>
    </r>
  </si>
  <si>
    <t>PI salary</t>
  </si>
  <si>
    <t>Summer salary</t>
  </si>
  <si>
    <r>
      <t xml:space="preserve">Co-PI </t>
    </r>
    <r>
      <rPr>
        <b/>
        <sz val="10"/>
        <rFont val="Arial"/>
        <family val="2"/>
      </rPr>
      <t>1 salary</t>
    </r>
  </si>
  <si>
    <r>
      <t xml:space="preserve">Co-PI </t>
    </r>
    <r>
      <rPr>
        <b/>
        <sz val="10"/>
        <rFont val="Arial"/>
        <family val="2"/>
      </rPr>
      <t>2 salary</t>
    </r>
  </si>
  <si>
    <r>
      <t xml:space="preserve">Co-PI </t>
    </r>
    <r>
      <rPr>
        <b/>
        <sz val="10"/>
        <rFont val="Arial"/>
        <family val="2"/>
      </rPr>
      <t>3</t>
    </r>
    <r>
      <rPr>
        <sz val="10"/>
        <rFont val="Arial"/>
        <family val="2"/>
      </rPr>
      <t xml:space="preserve"> salary</t>
    </r>
  </si>
  <si>
    <r>
      <t xml:space="preserve">Co-PI </t>
    </r>
    <r>
      <rPr>
        <b/>
        <sz val="10"/>
        <rFont val="Arial"/>
        <family val="2"/>
      </rPr>
      <t xml:space="preserve">4 </t>
    </r>
    <r>
      <rPr>
        <sz val="10"/>
        <rFont val="Arial"/>
        <family val="2"/>
      </rPr>
      <t>salary</t>
    </r>
  </si>
  <si>
    <t xml:space="preserve">Summer salary </t>
  </si>
  <si>
    <r>
      <t xml:space="preserve">Co-PI </t>
    </r>
    <r>
      <rPr>
        <b/>
        <sz val="10"/>
        <rFont val="Arial"/>
        <family val="2"/>
      </rPr>
      <t xml:space="preserve">5 </t>
    </r>
    <r>
      <rPr>
        <sz val="10"/>
        <rFont val="Arial"/>
        <family val="2"/>
      </rPr>
      <t>salary</t>
    </r>
  </si>
  <si>
    <t>Field Budget</t>
  </si>
  <si>
    <t>Trucks</t>
  </si>
  <si>
    <t>Year 1</t>
  </si>
  <si>
    <t>Year 2</t>
  </si>
  <si>
    <t>Year 3</t>
  </si>
  <si>
    <t>Food</t>
  </si>
  <si>
    <t>Hotel</t>
  </si>
  <si>
    <t>Conferences</t>
  </si>
  <si>
    <t>lodging</t>
  </si>
  <si>
    <t>airfare</t>
  </si>
  <si>
    <t>registration</t>
  </si>
  <si>
    <t>Co-PI</t>
  </si>
  <si>
    <t>Grad 2</t>
  </si>
  <si>
    <t>Grad 1</t>
  </si>
  <si>
    <t>$</t>
  </si>
  <si>
    <t xml:space="preserve"> Request Yr5</t>
  </si>
  <si>
    <t>Yr 5 request</t>
  </si>
  <si>
    <t>Sr Personnel</t>
  </si>
  <si>
    <t>Other Personnel</t>
  </si>
  <si>
    <t>Total Other Direct Costs:</t>
  </si>
  <si>
    <t>Total Direct Costs</t>
  </si>
  <si>
    <t>OTHER</t>
  </si>
  <si>
    <t>G6 Total</t>
  </si>
  <si>
    <t>Other: Shipping</t>
  </si>
  <si>
    <t>Y 4</t>
  </si>
  <si>
    <t>Y5</t>
  </si>
  <si>
    <t>AirBnB</t>
  </si>
  <si>
    <t>Per Diem</t>
  </si>
  <si>
    <t>Airfare</t>
  </si>
  <si>
    <t>Jessica Stanley</t>
  </si>
  <si>
    <t>PI: Jessica Stanley</t>
  </si>
  <si>
    <t>Travel to Purdue</t>
  </si>
  <si>
    <t>Apatite (U-Th)/He</t>
  </si>
  <si>
    <t>Zircon U-Pb analyses</t>
  </si>
  <si>
    <t>Mineral separation</t>
  </si>
  <si>
    <t>IBEST account</t>
  </si>
  <si>
    <t>Interns</t>
  </si>
  <si>
    <t>Aug 2020-21</t>
  </si>
  <si>
    <t>Aug 2021-22</t>
  </si>
  <si>
    <t>Aug 2022-23</t>
  </si>
  <si>
    <t>min-sep consumables; field gear and sampling materials;</t>
  </si>
  <si>
    <t>($65 per grain)</t>
  </si>
  <si>
    <t>AFT-UPb detrital</t>
  </si>
  <si>
    <t>($1900 per sample)</t>
  </si>
  <si>
    <t>($175 per sample for priority samples)</t>
  </si>
  <si>
    <t>($900 per sample)</t>
  </si>
  <si>
    <t>perdiem</t>
  </si>
  <si>
    <t>International</t>
  </si>
  <si>
    <t>Fringe AY = 2.1%</t>
  </si>
  <si>
    <t>Fringe Sum = 2.1%</t>
  </si>
  <si>
    <t>Tuition Fees = 4938; Insurance = 951 per semester</t>
  </si>
  <si>
    <t>Y3B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</si>
</sst>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4" formatCode="_(&quot;$&quot;* #,##0.00_);_(&quot;$&quot;* \(#,##0.00\);_(&quot;$&quot;* &quot;-&quot;??_);_(@_)"/>
    <numFmt numFmtId="43" formatCode="_(* #,##0.00_);_(* \(#,##0.00\);_(* &quot;-&quot;??_);_(@_)"/>
    <numFmt numFmtId="164" formatCode="[$$-409]#,##0;[Red]\-[$$-409]#,##0"/>
    <numFmt numFmtId="165" formatCode="&quot;$&quot;#,##0"/>
    <numFmt numFmtId="166" formatCode="_(&quot;$&quot;* #,##0_);_(&quot;$&quot;* \(#,##0\);_(&quot;$&quot;* &quot;-&quot;??_);_(@_)"/>
    <numFmt numFmtId="167" formatCode="_(* #,##0_);_(* \(#,##0\);_(* &quot;-&quot;??_);_(@_)"/>
    <numFmt numFmtId="168" formatCode="_(* #,##0.0_);_(* \(#,##0.0\);_(* &quot;-&quot;?_);_(@_)"/>
    <numFmt numFmtId="169" formatCode="0.0%"/>
    <numFmt numFmtId="170" formatCode="_(&quot;$&quot;* #,##0.0_);_(&quot;$&quot;* \(#,##0.0\);_(&quot;$&quot;* &quot;-&quot;??_);_(@_)"/>
  </numFmts>
  <fonts count="30" x14ac:knownFonts="1">
    <font>
      <sz val="10"/>
      <name val="Arial"/>
      <family val="2"/>
    </font>
    <font>
      <b/>
      <sz val="10"/>
      <name val="Arial"/>
      <family val="2"/>
    </font>
    <font>
      <sz val="10"/>
      <name val="Arial"/>
      <family val="2"/>
    </font>
    <font>
      <sz val="10"/>
      <name val="Arial"/>
      <family val="2"/>
    </font>
    <font>
      <u/>
      <sz val="10"/>
      <color indexed="12"/>
      <name val="Arial"/>
      <family val="2"/>
    </font>
    <font>
      <b/>
      <sz val="10"/>
      <color indexed="10"/>
      <name val="Arial"/>
      <family val="2"/>
    </font>
    <font>
      <b/>
      <sz val="10"/>
      <color indexed="8"/>
      <name val="Calibri"/>
      <family val="2"/>
    </font>
    <font>
      <sz val="10"/>
      <color indexed="8"/>
      <name val="Calibri"/>
      <family val="2"/>
    </font>
    <font>
      <b/>
      <sz val="14"/>
      <name val="Arial"/>
      <family val="2"/>
    </font>
    <font>
      <sz val="14"/>
      <name val="Arial"/>
      <family val="2"/>
    </font>
    <font>
      <i/>
      <sz val="14"/>
      <name val="Arial"/>
      <family val="2"/>
    </font>
    <font>
      <u/>
      <sz val="14"/>
      <color indexed="12"/>
      <name val="Arial"/>
      <family val="2"/>
    </font>
    <font>
      <b/>
      <sz val="14"/>
      <color indexed="10"/>
      <name val="Arial"/>
      <family val="2"/>
    </font>
    <font>
      <b/>
      <sz val="9"/>
      <color indexed="10"/>
      <name val="Arial"/>
      <family val="2"/>
    </font>
    <font>
      <sz val="11.5"/>
      <name val="Arial"/>
      <family val="2"/>
    </font>
    <font>
      <sz val="8"/>
      <color indexed="81"/>
      <name val="Tahoma"/>
      <family val="2"/>
    </font>
    <font>
      <b/>
      <sz val="8"/>
      <color indexed="81"/>
      <name val="Tahoma"/>
      <family val="2"/>
    </font>
    <font>
      <b/>
      <sz val="13"/>
      <name val="Arial"/>
      <family val="2"/>
    </font>
    <font>
      <b/>
      <sz val="16"/>
      <name val="Arial"/>
      <family val="2"/>
    </font>
    <font>
      <sz val="16"/>
      <name val="Arial"/>
      <family val="2"/>
    </font>
    <font>
      <u/>
      <sz val="10"/>
      <color indexed="20"/>
      <name val="Arial"/>
      <family val="2"/>
    </font>
    <font>
      <sz val="8"/>
      <name val="Verdana"/>
      <family val="2"/>
    </font>
    <font>
      <sz val="10"/>
      <color rgb="FF000000"/>
      <name val="Arial"/>
      <family val="2"/>
    </font>
    <font>
      <u/>
      <sz val="10"/>
      <color theme="11"/>
      <name val="Arial"/>
      <family val="2"/>
    </font>
    <font>
      <sz val="12"/>
      <name val="Garamond"/>
      <family val="1"/>
    </font>
    <font>
      <b/>
      <sz val="11"/>
      <color rgb="FF000000"/>
      <name val="Tahoma"/>
      <family val="2"/>
    </font>
    <font>
      <sz val="11"/>
      <color rgb="FF000000"/>
      <name val="Tahoma"/>
      <family val="2"/>
    </font>
    <font>
      <b/>
      <sz val="8"/>
      <color rgb="FF000000"/>
      <name val="Tahoma"/>
      <family val="2"/>
    </font>
    <font>
      <sz val="8"/>
      <color rgb="FF000000"/>
      <name val="Tahoma"/>
      <family val="2"/>
    </font>
    <font>
      <b/>
      <sz val="10"/>
      <color rgb="FF00000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4" tint="0.59999389629810485"/>
        <bgColor indexed="64"/>
      </patternFill>
    </fill>
  </fills>
  <borders count="7">
    <border>
      <left/>
      <right/>
      <top/>
      <bottom/>
      <diagonal/>
    </border>
    <border>
      <left/>
      <right/>
      <top style="thin">
        <color auto="1"/>
      </top>
      <bottom style="thin">
        <color auto="1"/>
      </bottom>
      <diagonal/>
    </border>
    <border>
      <left/>
      <right/>
      <top/>
      <bottom style="medium">
        <color auto="1"/>
      </bottom>
      <diagonal/>
    </border>
    <border>
      <left/>
      <right/>
      <top/>
      <bottom style="thin">
        <color auto="1"/>
      </bottom>
      <diagonal/>
    </border>
    <border>
      <left/>
      <right/>
      <top style="thin">
        <color auto="1"/>
      </top>
      <bottom style="double">
        <color auto="1"/>
      </bottom>
      <diagonal/>
    </border>
    <border>
      <left/>
      <right/>
      <top/>
      <bottom style="double">
        <color auto="1"/>
      </bottom>
      <diagonal/>
    </border>
    <border>
      <left/>
      <right/>
      <top style="thin">
        <color auto="1"/>
      </top>
      <bottom/>
      <diagonal/>
    </border>
  </borders>
  <cellStyleXfs count="50">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9" fontId="2" fillId="0" borderId="0" applyFont="0" applyFill="0" applyBorder="0" applyAlignment="0" applyProtection="0"/>
    <xf numFmtId="0" fontId="2" fillId="0" borderId="0"/>
    <xf numFmtId="0" fontId="2" fillId="0" borderId="0"/>
    <xf numFmtId="0" fontId="2" fillId="0" borderId="0"/>
    <xf numFmtId="0" fontId="20"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338">
    <xf numFmtId="0" fontId="0" fillId="0" borderId="0" xfId="0"/>
    <xf numFmtId="166" fontId="9" fillId="0" borderId="0" xfId="2" applyNumberFormat="1" applyFont="1" applyFill="1" applyProtection="1"/>
    <xf numFmtId="0" fontId="9" fillId="0" borderId="0" xfId="0" applyFont="1" applyFill="1"/>
    <xf numFmtId="166" fontId="8" fillId="0" borderId="0" xfId="2" applyNumberFormat="1" applyFont="1" applyFill="1" applyBorder="1" applyProtection="1"/>
    <xf numFmtId="49" fontId="8" fillId="0" borderId="0" xfId="0" applyNumberFormat="1" applyFont="1" applyFill="1" applyBorder="1"/>
    <xf numFmtId="166" fontId="8" fillId="0" borderId="0" xfId="2" applyNumberFormat="1" applyFont="1" applyFill="1" applyBorder="1"/>
    <xf numFmtId="165" fontId="8" fillId="0" borderId="0" xfId="0" applyNumberFormat="1" applyFont="1" applyFill="1" applyBorder="1"/>
    <xf numFmtId="0" fontId="8" fillId="0" borderId="0" xfId="0" applyFont="1" applyFill="1"/>
    <xf numFmtId="10" fontId="9" fillId="0" borderId="0" xfId="0" applyNumberFormat="1" applyFont="1" applyFill="1"/>
    <xf numFmtId="0" fontId="14" fillId="0" borderId="0" xfId="0" applyFont="1" applyFill="1"/>
    <xf numFmtId="0" fontId="9" fillId="0" borderId="0" xfId="0" applyFont="1" applyFill="1" applyBorder="1"/>
    <xf numFmtId="166" fontId="9" fillId="0" borderId="0" xfId="0" applyNumberFormat="1" applyFont="1" applyFill="1" applyBorder="1"/>
    <xf numFmtId="0" fontId="8" fillId="0" borderId="0" xfId="0" applyFont="1" applyFill="1" applyBorder="1"/>
    <xf numFmtId="166" fontId="8" fillId="0" borderId="1" xfId="2" applyNumberFormat="1" applyFont="1" applyFill="1" applyBorder="1" applyProtection="1"/>
    <xf numFmtId="167" fontId="1" fillId="0" borderId="0" xfId="1" applyNumberFormat="1" applyFont="1" applyProtection="1"/>
    <xf numFmtId="166" fontId="8" fillId="0" borderId="0" xfId="0" applyNumberFormat="1" applyFont="1" applyFill="1" applyBorder="1"/>
    <xf numFmtId="167" fontId="9" fillId="0" borderId="0" xfId="1" applyNumberFormat="1" applyFont="1" applyFill="1" applyBorder="1"/>
    <xf numFmtId="166" fontId="9" fillId="0" borderId="0" xfId="2" applyNumberFormat="1" applyFont="1" applyFill="1" applyBorder="1"/>
    <xf numFmtId="167" fontId="9" fillId="0" borderId="0" xfId="1" applyNumberFormat="1" applyFont="1" applyFill="1"/>
    <xf numFmtId="166" fontId="8" fillId="0" borderId="4" xfId="2" applyNumberFormat="1" applyFont="1" applyFill="1" applyBorder="1" applyProtection="1"/>
    <xf numFmtId="166" fontId="8" fillId="0" borderId="5" xfId="2" applyNumberFormat="1" applyFont="1" applyFill="1" applyBorder="1" applyProtection="1"/>
    <xf numFmtId="0" fontId="10" fillId="0" borderId="0" xfId="0" applyFont="1" applyFill="1"/>
    <xf numFmtId="165" fontId="9" fillId="0" borderId="0" xfId="0" applyNumberFormat="1" applyFont="1" applyFill="1"/>
    <xf numFmtId="43" fontId="9" fillId="0" borderId="0" xfId="1" applyFont="1" applyFill="1"/>
    <xf numFmtId="0" fontId="9" fillId="0" borderId="0" xfId="0" applyNumberFormat="1" applyFont="1" applyFill="1" applyBorder="1"/>
    <xf numFmtId="10" fontId="9" fillId="0" borderId="0" xfId="0" applyNumberFormat="1" applyFont="1" applyFill="1" applyBorder="1"/>
    <xf numFmtId="0" fontId="9" fillId="0" borderId="0" xfId="0" applyNumberFormat="1" applyFont="1" applyFill="1"/>
    <xf numFmtId="167" fontId="9" fillId="0" borderId="0" xfId="0" applyNumberFormat="1" applyFont="1" applyFill="1"/>
    <xf numFmtId="166" fontId="9" fillId="0" borderId="0" xfId="0" applyNumberFormat="1" applyFont="1" applyFill="1"/>
    <xf numFmtId="166" fontId="8" fillId="0" borderId="0" xfId="0" applyNumberFormat="1" applyFont="1" applyFill="1"/>
    <xf numFmtId="0" fontId="11" fillId="0" borderId="0" xfId="3" applyFont="1" applyFill="1" applyAlignment="1" applyProtection="1"/>
    <xf numFmtId="14" fontId="12" fillId="0" borderId="0" xfId="0" applyNumberFormat="1" applyFont="1" applyFill="1"/>
    <xf numFmtId="165" fontId="8" fillId="0" borderId="0" xfId="0" applyNumberFormat="1" applyFont="1" applyFill="1"/>
    <xf numFmtId="164" fontId="8" fillId="0" borderId="0" xfId="0" applyNumberFormat="1" applyFont="1" applyFill="1"/>
    <xf numFmtId="164" fontId="9" fillId="0" borderId="0" xfId="0" applyNumberFormat="1" applyFont="1" applyFill="1"/>
    <xf numFmtId="0" fontId="9" fillId="0" borderId="0" xfId="0" applyFont="1" applyFill="1" applyAlignment="1">
      <alignment horizontal="center" vertical="center"/>
    </xf>
    <xf numFmtId="10" fontId="9" fillId="0" borderId="0" xfId="0" applyNumberFormat="1" applyFont="1" applyFill="1" applyProtection="1">
      <protection locked="0"/>
    </xf>
    <xf numFmtId="44" fontId="9" fillId="0" borderId="0" xfId="2" applyFont="1" applyFill="1" applyProtection="1"/>
    <xf numFmtId="0" fontId="0" fillId="3" borderId="0" xfId="0" applyFill="1" applyBorder="1" applyAlignment="1" applyProtection="1">
      <alignment horizontal="left" vertical="center"/>
      <protection locked="0"/>
    </xf>
    <xf numFmtId="167" fontId="1" fillId="0" borderId="4" xfId="1" applyNumberFormat="1" applyFont="1" applyFill="1" applyBorder="1" applyProtection="1"/>
    <xf numFmtId="169" fontId="19" fillId="0" borderId="0" xfId="0" applyNumberFormat="1" applyFont="1" applyFill="1" applyAlignment="1">
      <alignment horizontal="center"/>
    </xf>
    <xf numFmtId="0" fontId="9" fillId="0" borderId="0" xfId="0" applyFont="1" applyFill="1" applyProtection="1">
      <protection locked="0"/>
    </xf>
    <xf numFmtId="0" fontId="8" fillId="0" borderId="0" xfId="0" applyFont="1" applyFill="1" applyAlignment="1" applyProtection="1">
      <alignment horizontal="center"/>
      <protection locked="0"/>
    </xf>
    <xf numFmtId="166" fontId="1" fillId="0" borderId="4" xfId="1" applyNumberFormat="1" applyFont="1" applyFill="1" applyBorder="1" applyProtection="1"/>
    <xf numFmtId="2" fontId="1" fillId="0" borderId="0" xfId="0" applyNumberFormat="1" applyFont="1" applyFill="1" applyBorder="1" applyProtection="1"/>
    <xf numFmtId="167" fontId="1" fillId="0" borderId="0" xfId="0" applyNumberFormat="1" applyFont="1" applyFill="1" applyBorder="1" applyProtection="1"/>
    <xf numFmtId="167" fontId="1" fillId="0" borderId="0" xfId="1" applyNumberFormat="1" applyFont="1" applyFill="1" applyBorder="1" applyProtection="1"/>
    <xf numFmtId="0" fontId="0" fillId="0" borderId="0" xfId="0" applyFill="1" applyBorder="1" applyAlignment="1" applyProtection="1">
      <alignment horizontal="right" vertical="center"/>
    </xf>
    <xf numFmtId="166" fontId="0" fillId="0" borderId="0" xfId="0" applyNumberFormat="1" applyFill="1" applyProtection="1"/>
    <xf numFmtId="166" fontId="1" fillId="0" borderId="6" xfId="1" applyNumberFormat="1" applyFont="1" applyFill="1" applyBorder="1" applyProtection="1"/>
    <xf numFmtId="0" fontId="0" fillId="0" borderId="0" xfId="0" applyFont="1" applyFill="1" applyAlignment="1" applyProtection="1">
      <alignment horizontal="center"/>
      <protection hidden="1"/>
    </xf>
    <xf numFmtId="168" fontId="0" fillId="0" borderId="0" xfId="0" applyNumberFormat="1" applyFont="1" applyFill="1" applyAlignment="1" applyProtection="1">
      <alignment horizontal="center"/>
      <protection hidden="1"/>
    </xf>
    <xf numFmtId="166" fontId="1" fillId="0" borderId="5" xfId="1" applyNumberFormat="1" applyFont="1" applyFill="1" applyBorder="1" applyProtection="1"/>
    <xf numFmtId="9" fontId="0" fillId="0" borderId="0" xfId="1" applyNumberFormat="1" applyFont="1" applyFill="1" applyAlignment="1" applyProtection="1"/>
    <xf numFmtId="9" fontId="0" fillId="0" borderId="0" xfId="1" applyNumberFormat="1" applyFont="1" applyFill="1" applyAlignment="1" applyProtection="1">
      <alignment horizontal="right" vertical="center"/>
    </xf>
    <xf numFmtId="167" fontId="1" fillId="0" borderId="0" xfId="1" applyNumberFormat="1" applyFont="1" applyAlignment="1" applyProtection="1">
      <alignment horizontal="center" vertical="center"/>
    </xf>
    <xf numFmtId="10" fontId="0" fillId="0" borderId="0" xfId="0" applyNumberFormat="1" applyAlignment="1" applyProtection="1">
      <alignment horizontal="center" vertical="center" wrapText="1"/>
    </xf>
    <xf numFmtId="166" fontId="1" fillId="0" borderId="1" xfId="1" applyNumberFormat="1" applyFont="1" applyFill="1" applyBorder="1" applyProtection="1"/>
    <xf numFmtId="166" fontId="0" fillId="0" borderId="1" xfId="1" applyNumberFormat="1" applyFont="1" applyFill="1" applyBorder="1" applyProtection="1"/>
    <xf numFmtId="166" fontId="9" fillId="3" borderId="0" xfId="2" applyNumberFormat="1" applyFont="1" applyFill="1" applyProtection="1">
      <protection locked="0"/>
    </xf>
    <xf numFmtId="169" fontId="9" fillId="3" borderId="0" xfId="0" applyNumberFormat="1" applyFont="1" applyFill="1" applyBorder="1" applyAlignment="1" applyProtection="1">
      <alignment horizontal="center" vertical="center"/>
      <protection locked="0"/>
    </xf>
    <xf numFmtId="166" fontId="9" fillId="3" borderId="0" xfId="2" applyNumberFormat="1" applyFont="1" applyFill="1" applyBorder="1" applyProtection="1">
      <protection locked="0"/>
    </xf>
    <xf numFmtId="165" fontId="9" fillId="0" borderId="0" xfId="0" applyNumberFormat="1" applyFont="1" applyFill="1" applyProtection="1"/>
    <xf numFmtId="165" fontId="9" fillId="0" borderId="0" xfId="0" applyNumberFormat="1" applyFont="1" applyFill="1" applyBorder="1" applyProtection="1"/>
    <xf numFmtId="0" fontId="9" fillId="0" borderId="0" xfId="0" applyFont="1" applyFill="1" applyProtection="1"/>
    <xf numFmtId="0" fontId="9" fillId="0" borderId="0" xfId="0" applyFont="1" applyFill="1" applyBorder="1" applyProtection="1"/>
    <xf numFmtId="166" fontId="9" fillId="0" borderId="0" xfId="2" applyNumberFormat="1" applyFont="1" applyFill="1" applyBorder="1" applyProtection="1"/>
    <xf numFmtId="167" fontId="9" fillId="0" borderId="0" xfId="1" applyNumberFormat="1" applyFont="1" applyFill="1" applyBorder="1" applyProtection="1"/>
    <xf numFmtId="0" fontId="8" fillId="0" borderId="0" xfId="0" applyFont="1" applyFill="1" applyBorder="1" applyProtection="1"/>
    <xf numFmtId="165" fontId="8" fillId="0" borderId="0" xfId="0" applyNumberFormat="1" applyFont="1" applyFill="1" applyBorder="1" applyProtection="1"/>
    <xf numFmtId="0" fontId="17" fillId="0" borderId="0" xfId="0" applyFont="1" applyFill="1" applyProtection="1"/>
    <xf numFmtId="42" fontId="9" fillId="0" borderId="3" xfId="2" applyNumberFormat="1" applyFont="1" applyFill="1" applyBorder="1" applyProtection="1"/>
    <xf numFmtId="166" fontId="8" fillId="0" borderId="1" xfId="0" applyNumberFormat="1" applyFont="1" applyFill="1" applyBorder="1" applyProtection="1"/>
    <xf numFmtId="166" fontId="8" fillId="0" borderId="5" xfId="0" applyNumberFormat="1" applyFont="1" applyFill="1" applyBorder="1" applyProtection="1"/>
    <xf numFmtId="0" fontId="1" fillId="0" borderId="0" xfId="0" applyFont="1" applyAlignment="1" applyProtection="1">
      <alignment horizontal="center" vertical="center" wrapText="1"/>
    </xf>
    <xf numFmtId="0" fontId="1" fillId="0" borderId="0" xfId="0" applyFont="1" applyBorder="1" applyProtection="1"/>
    <xf numFmtId="0" fontId="1" fillId="0" borderId="0" xfId="0" applyFont="1" applyAlignment="1" applyProtection="1">
      <alignment horizontal="left" indent="2"/>
    </xf>
    <xf numFmtId="0" fontId="5" fillId="0" borderId="0" xfId="0" applyFont="1" applyProtection="1"/>
    <xf numFmtId="166" fontId="2" fillId="0" borderId="0" xfId="1" applyNumberFormat="1" applyFont="1" applyFill="1" applyProtection="1"/>
    <xf numFmtId="10" fontId="9" fillId="3" borderId="0" xfId="0" applyNumberFormat="1" applyFont="1" applyFill="1" applyProtection="1">
      <protection locked="0"/>
    </xf>
    <xf numFmtId="169" fontId="0" fillId="3" borderId="0" xfId="1" applyNumberFormat="1" applyFont="1" applyFill="1" applyAlignment="1" applyProtection="1">
      <alignment horizontal="center" vertical="center"/>
      <protection locked="0"/>
    </xf>
    <xf numFmtId="169" fontId="1" fillId="0" borderId="4" xfId="1" applyNumberFormat="1" applyFont="1" applyBorder="1" applyAlignment="1" applyProtection="1">
      <alignment horizontal="center" vertical="center"/>
    </xf>
    <xf numFmtId="169" fontId="1" fillId="0" borderId="4" xfId="1" applyNumberFormat="1" applyFont="1" applyFill="1" applyBorder="1" applyAlignment="1" applyProtection="1">
      <alignment horizontal="center" vertical="center"/>
    </xf>
    <xf numFmtId="169" fontId="1" fillId="0" borderId="0" xfId="1" applyNumberFormat="1" applyFont="1" applyFill="1" applyAlignment="1" applyProtection="1">
      <alignment horizontal="center" vertical="center"/>
    </xf>
    <xf numFmtId="9" fontId="1" fillId="0" borderId="0" xfId="1" applyNumberFormat="1" applyFont="1" applyAlignment="1" applyProtection="1">
      <alignment horizontal="center" vertical="center"/>
    </xf>
    <xf numFmtId="0" fontId="0" fillId="5" borderId="2" xfId="0" applyFill="1" applyBorder="1" applyProtection="1"/>
    <xf numFmtId="10" fontId="1" fillId="5" borderId="2" xfId="0" applyNumberFormat="1" applyFont="1" applyFill="1" applyBorder="1" applyProtection="1"/>
    <xf numFmtId="0" fontId="0" fillId="5" borderId="0" xfId="0" applyFill="1" applyBorder="1" applyAlignment="1" applyProtection="1">
      <alignment horizontal="left" vertical="center"/>
    </xf>
    <xf numFmtId="166" fontId="1" fillId="5" borderId="0" xfId="1" applyNumberFormat="1" applyFont="1" applyFill="1" applyBorder="1" applyProtection="1"/>
    <xf numFmtId="166" fontId="1" fillId="5" borderId="4" xfId="1" applyNumberFormat="1" applyFont="1" applyFill="1" applyBorder="1" applyProtection="1"/>
    <xf numFmtId="166" fontId="0" fillId="5" borderId="0" xfId="0" applyNumberFormat="1" applyFill="1" applyProtection="1"/>
    <xf numFmtId="10" fontId="0" fillId="5" borderId="0" xfId="1" applyNumberFormat="1" applyFont="1" applyFill="1" applyProtection="1"/>
    <xf numFmtId="166" fontId="0" fillId="5" borderId="0" xfId="1" applyNumberFormat="1" applyFont="1" applyFill="1" applyBorder="1" applyProtection="1"/>
    <xf numFmtId="10" fontId="1" fillId="5" borderId="0" xfId="1" applyNumberFormat="1" applyFont="1" applyFill="1" applyAlignment="1" applyProtection="1">
      <alignment horizontal="center" vertical="center"/>
    </xf>
    <xf numFmtId="10" fontId="0" fillId="5" borderId="0" xfId="0" applyNumberFormat="1" applyFill="1" applyAlignment="1" applyProtection="1">
      <alignment horizontal="center" vertical="center" wrapText="1"/>
    </xf>
    <xf numFmtId="166" fontId="2" fillId="5" borderId="0" xfId="1" applyNumberFormat="1" applyFont="1" applyFill="1" applyProtection="1"/>
    <xf numFmtId="0" fontId="0" fillId="5" borderId="0" xfId="0" applyFill="1" applyProtection="1"/>
    <xf numFmtId="9" fontId="1" fillId="5" borderId="0" xfId="1" applyNumberFormat="1" applyFont="1" applyFill="1" applyAlignment="1" applyProtection="1">
      <alignment horizontal="center" vertical="center"/>
    </xf>
    <xf numFmtId="166" fontId="1" fillId="5" borderId="6" xfId="1" applyNumberFormat="1" applyFont="1" applyFill="1" applyBorder="1" applyProtection="1"/>
    <xf numFmtId="166" fontId="1" fillId="5" borderId="5" xfId="1" applyNumberFormat="1" applyFont="1" applyFill="1" applyBorder="1" applyProtection="1"/>
    <xf numFmtId="166" fontId="9" fillId="6" borderId="0" xfId="2" applyNumberFormat="1" applyFont="1" applyFill="1" applyProtection="1"/>
    <xf numFmtId="166" fontId="8" fillId="6" borderId="1" xfId="2" applyNumberFormat="1" applyFont="1" applyFill="1" applyBorder="1" applyProtection="1"/>
    <xf numFmtId="165" fontId="9" fillId="6" borderId="0" xfId="0" applyNumberFormat="1" applyFont="1" applyFill="1" applyProtection="1"/>
    <xf numFmtId="165" fontId="9" fillId="6" borderId="0" xfId="0" applyNumberFormat="1" applyFont="1" applyFill="1" applyBorder="1" applyProtection="1"/>
    <xf numFmtId="166" fontId="8" fillId="6" borderId="4" xfId="2" applyNumberFormat="1" applyFont="1" applyFill="1" applyBorder="1" applyProtection="1"/>
    <xf numFmtId="166" fontId="8" fillId="6" borderId="0" xfId="2" applyNumberFormat="1" applyFont="1" applyFill="1" applyBorder="1" applyProtection="1"/>
    <xf numFmtId="42" fontId="9" fillId="6" borderId="3" xfId="2" applyNumberFormat="1" applyFont="1" applyFill="1" applyBorder="1" applyProtection="1"/>
    <xf numFmtId="166" fontId="8" fillId="6" borderId="1" xfId="0" applyNumberFormat="1" applyFont="1" applyFill="1" applyBorder="1" applyProtection="1"/>
    <xf numFmtId="0" fontId="8" fillId="0" borderId="0" xfId="0" applyFont="1" applyFill="1" applyAlignment="1"/>
    <xf numFmtId="0" fontId="8" fillId="0" borderId="0" xfId="0" applyFont="1" applyFill="1" applyAlignment="1">
      <alignment horizontal="center" vertical="center"/>
    </xf>
    <xf numFmtId="2" fontId="1" fillId="5" borderId="0" xfId="0" applyNumberFormat="1" applyFont="1" applyFill="1" applyBorder="1" applyProtection="1"/>
    <xf numFmtId="44" fontId="1" fillId="5" borderId="0" xfId="1" applyNumberFormat="1" applyFont="1" applyFill="1" applyBorder="1" applyProtection="1"/>
    <xf numFmtId="44" fontId="1" fillId="5" borderId="0" xfId="1" applyNumberFormat="1" applyFont="1" applyFill="1" applyBorder="1" applyAlignment="1" applyProtection="1">
      <alignment horizontal="center"/>
    </xf>
    <xf numFmtId="44" fontId="0" fillId="5" borderId="0" xfId="1" applyNumberFormat="1" applyFont="1" applyFill="1" applyBorder="1" applyProtection="1"/>
    <xf numFmtId="166" fontId="1" fillId="5" borderId="4" xfId="0" applyNumberFormat="1" applyFont="1" applyFill="1" applyBorder="1" applyProtection="1"/>
    <xf numFmtId="10" fontId="1" fillId="5" borderId="0" xfId="1" applyNumberFormat="1" applyFont="1" applyFill="1" applyBorder="1" applyProtection="1"/>
    <xf numFmtId="166" fontId="1" fillId="5" borderId="4" xfId="5" applyNumberFormat="1" applyFont="1" applyFill="1" applyBorder="1" applyProtection="1"/>
    <xf numFmtId="44" fontId="1" fillId="0" borderId="1" xfId="0" applyNumberFormat="1" applyFont="1" applyFill="1" applyBorder="1" applyProtection="1"/>
    <xf numFmtId="0" fontId="2" fillId="3" borderId="0" xfId="1" applyNumberFormat="1" applyFont="1" applyFill="1" applyAlignment="1" applyProtection="1">
      <alignment horizontal="center" vertical="center"/>
      <protection locked="0"/>
    </xf>
    <xf numFmtId="44" fontId="0" fillId="3" borderId="0" xfId="0" applyNumberFormat="1" applyFont="1" applyFill="1" applyAlignment="1" applyProtection="1">
      <alignment horizontal="center"/>
      <protection locked="0"/>
    </xf>
    <xf numFmtId="166" fontId="1" fillId="0" borderId="0" xfId="0" applyNumberFormat="1" applyFont="1" applyFill="1" applyBorder="1" applyProtection="1"/>
    <xf numFmtId="44" fontId="1" fillId="0" borderId="0" xfId="5" applyNumberFormat="1" applyFont="1" applyBorder="1" applyProtection="1"/>
    <xf numFmtId="10" fontId="1" fillId="0" borderId="0" xfId="1" applyNumberFormat="1" applyFont="1" applyFill="1" applyProtection="1"/>
    <xf numFmtId="0" fontId="0" fillId="0" borderId="0" xfId="0" applyAlignment="1" applyProtection="1">
      <alignment horizontal="center" vertical="center"/>
    </xf>
    <xf numFmtId="44" fontId="1" fillId="0" borderId="0" xfId="5" applyNumberFormat="1" applyFont="1" applyFill="1" applyBorder="1" applyProtection="1"/>
    <xf numFmtId="166" fontId="1" fillId="0" borderId="0" xfId="5" applyNumberFormat="1" applyFont="1" applyBorder="1" applyProtection="1"/>
    <xf numFmtId="44" fontId="1" fillId="5" borderId="0" xfId="0" applyNumberFormat="1" applyFont="1" applyFill="1" applyBorder="1" applyProtection="1"/>
    <xf numFmtId="2" fontId="0" fillId="5" borderId="0" xfId="5" applyNumberFormat="1" applyFont="1" applyFill="1" applyBorder="1" applyProtection="1"/>
    <xf numFmtId="0" fontId="0" fillId="2" borderId="0" xfId="0" applyFill="1" applyProtection="1"/>
    <xf numFmtId="167" fontId="0" fillId="0" borderId="0" xfId="0" applyNumberFormat="1" applyFont="1" applyFill="1" applyBorder="1" applyProtection="1"/>
    <xf numFmtId="0" fontId="1" fillId="0" borderId="0" xfId="0" applyFont="1" applyFill="1" applyBorder="1" applyProtection="1"/>
    <xf numFmtId="10" fontId="0" fillId="0" borderId="0" xfId="0" applyNumberFormat="1" applyFill="1" applyBorder="1" applyProtection="1"/>
    <xf numFmtId="167" fontId="0" fillId="0" borderId="0" xfId="1" applyNumberFormat="1" applyFont="1" applyAlignment="1" applyProtection="1">
      <alignment horizontal="center" vertical="center"/>
    </xf>
    <xf numFmtId="0" fontId="0" fillId="0" borderId="0" xfId="0" applyFill="1" applyBorder="1" applyAlignment="1" applyProtection="1">
      <alignment horizontal="center" vertical="center"/>
    </xf>
    <xf numFmtId="10" fontId="1" fillId="0" borderId="0" xfId="1" applyNumberFormat="1" applyFont="1" applyProtection="1"/>
    <xf numFmtId="0" fontId="0" fillId="0" borderId="0" xfId="0" applyFill="1" applyAlignment="1" applyProtection="1">
      <alignment horizontal="center" vertical="center"/>
    </xf>
    <xf numFmtId="10" fontId="0" fillId="0" borderId="0" xfId="1" applyNumberFormat="1" applyFont="1" applyFill="1" applyAlignment="1" applyProtection="1">
      <alignment horizontal="center" vertical="center"/>
    </xf>
    <xf numFmtId="0" fontId="0" fillId="0" borderId="0" xfId="0" applyNumberFormat="1" applyFill="1" applyAlignment="1" applyProtection="1">
      <alignment horizontal="center" vertical="center"/>
    </xf>
    <xf numFmtId="0" fontId="2" fillId="0" borderId="0" xfId="1" applyNumberFormat="1" applyFont="1" applyFill="1" applyAlignment="1" applyProtection="1">
      <alignment horizontal="center" vertical="center"/>
    </xf>
    <xf numFmtId="10" fontId="0" fillId="5" borderId="0" xfId="1" applyNumberFormat="1" applyFont="1" applyFill="1" applyBorder="1" applyProtection="1"/>
    <xf numFmtId="9" fontId="0" fillId="0" borderId="0" xfId="0" applyNumberFormat="1" applyFill="1" applyProtection="1"/>
    <xf numFmtId="0" fontId="0" fillId="4" borderId="0" xfId="0" applyFill="1" applyProtection="1"/>
    <xf numFmtId="0" fontId="6" fillId="5" borderId="0" xfId="0" applyFont="1" applyFill="1" applyAlignment="1" applyProtection="1">
      <alignment horizontal="center"/>
    </xf>
    <xf numFmtId="2" fontId="0" fillId="5" borderId="0" xfId="0" applyNumberFormat="1" applyFill="1" applyBorder="1" applyProtection="1"/>
    <xf numFmtId="0" fontId="7" fillId="0" borderId="0" xfId="0" applyFont="1" applyProtection="1"/>
    <xf numFmtId="2" fontId="0" fillId="5" borderId="0" xfId="0" applyNumberFormat="1" applyFill="1" applyProtection="1"/>
    <xf numFmtId="0" fontId="7" fillId="0" borderId="0" xfId="0" applyFont="1" applyFill="1" applyProtection="1"/>
    <xf numFmtId="0" fontId="0" fillId="0" borderId="0" xfId="0" applyBorder="1" applyProtection="1"/>
    <xf numFmtId="9" fontId="0" fillId="0" borderId="0" xfId="0" applyNumberFormat="1" applyFont="1" applyFill="1" applyAlignment="1" applyProtection="1">
      <alignment horizontal="center"/>
    </xf>
    <xf numFmtId="0" fontId="0" fillId="5" borderId="0" xfId="0" applyFill="1" applyBorder="1" applyProtection="1"/>
    <xf numFmtId="0" fontId="8" fillId="0" borderId="0" xfId="0" applyFont="1" applyFill="1" applyAlignment="1" applyProtection="1"/>
    <xf numFmtId="0" fontId="8" fillId="6" borderId="0" xfId="0" applyFont="1" applyFill="1" applyAlignment="1" applyProtection="1">
      <alignment horizontal="center" vertical="center"/>
    </xf>
    <xf numFmtId="44" fontId="9" fillId="6" borderId="0" xfId="2" applyFont="1" applyFill="1" applyProtection="1"/>
    <xf numFmtId="0" fontId="9" fillId="6" borderId="0" xfId="0" applyFont="1" applyFill="1" applyProtection="1"/>
    <xf numFmtId="166" fontId="9" fillId="6" borderId="0" xfId="2" applyNumberFormat="1" applyFont="1" applyFill="1" applyBorder="1" applyProtection="1"/>
    <xf numFmtId="164" fontId="8" fillId="0" borderId="0" xfId="0" applyNumberFormat="1" applyFont="1" applyFill="1" applyProtection="1"/>
    <xf numFmtId="164" fontId="9" fillId="0" borderId="0" xfId="0" applyNumberFormat="1" applyFont="1" applyFill="1" applyProtection="1"/>
    <xf numFmtId="0" fontId="8" fillId="0" borderId="0" xfId="0" applyFont="1" applyFill="1" applyProtection="1"/>
    <xf numFmtId="165" fontId="8" fillId="0" borderId="0" xfId="0" applyNumberFormat="1" applyFont="1" applyFill="1" applyProtection="1"/>
    <xf numFmtId="0" fontId="8" fillId="6" borderId="0" xfId="0" applyFont="1" applyFill="1" applyProtection="1"/>
    <xf numFmtId="0" fontId="1" fillId="0" borderId="0" xfId="0" applyFont="1" applyFill="1" applyAlignment="1" applyProtection="1">
      <alignment horizontal="center"/>
    </xf>
    <xf numFmtId="10" fontId="0" fillId="0" borderId="0" xfId="0" applyNumberFormat="1" applyAlignment="1" applyProtection="1">
      <alignment horizontal="center" vertical="center"/>
    </xf>
    <xf numFmtId="0" fontId="1" fillId="0" borderId="0" xfId="0" applyFont="1" applyAlignment="1" applyProtection="1">
      <alignment horizontal="center"/>
    </xf>
    <xf numFmtId="10" fontId="1" fillId="0" borderId="0" xfId="1" applyNumberFormat="1" applyFont="1" applyFill="1" applyAlignment="1" applyProtection="1">
      <alignment horizontal="center" vertical="center"/>
    </xf>
    <xf numFmtId="0" fontId="0" fillId="5" borderId="0" xfId="0" applyFill="1" applyAlignment="1" applyProtection="1">
      <alignment horizontal="center" vertical="center"/>
    </xf>
    <xf numFmtId="167" fontId="0" fillId="5" borderId="0" xfId="1" applyNumberFormat="1" applyFont="1" applyFill="1" applyProtection="1"/>
    <xf numFmtId="167" fontId="0" fillId="5" borderId="0" xfId="1" applyNumberFormat="1" applyFont="1" applyFill="1" applyAlignment="1" applyProtection="1">
      <alignment horizontal="center" vertical="center"/>
    </xf>
    <xf numFmtId="169" fontId="0" fillId="5" borderId="0" xfId="1" applyNumberFormat="1" applyFont="1" applyFill="1" applyAlignment="1" applyProtection="1">
      <alignment horizontal="center" vertical="center"/>
    </xf>
    <xf numFmtId="167" fontId="1" fillId="0" borderId="0" xfId="1" applyNumberFormat="1" applyFont="1" applyFill="1" applyProtection="1"/>
    <xf numFmtId="167" fontId="1" fillId="0" borderId="0" xfId="1" applyNumberFormat="1" applyFont="1" applyFill="1" applyAlignment="1" applyProtection="1">
      <alignment horizontal="center" vertical="center"/>
    </xf>
    <xf numFmtId="0" fontId="1" fillId="0" borderId="0" xfId="0" applyFont="1" applyFill="1" applyBorder="1" applyAlignment="1" applyProtection="1">
      <alignment horizontal="left" vertical="center"/>
    </xf>
    <xf numFmtId="10" fontId="9" fillId="0" borderId="0" xfId="0" applyNumberFormat="1" applyFont="1" applyFill="1" applyAlignment="1" applyProtection="1">
      <alignment horizontal="left"/>
    </xf>
    <xf numFmtId="10" fontId="9" fillId="0" borderId="0" xfId="0" applyNumberFormat="1" applyFont="1" applyFill="1" applyProtection="1"/>
    <xf numFmtId="0" fontId="9" fillId="0" borderId="0" xfId="0" applyFont="1" applyFill="1" applyAlignment="1" applyProtection="1">
      <alignment horizontal="left"/>
    </xf>
    <xf numFmtId="9" fontId="1" fillId="0" borderId="4" xfId="1" applyNumberFormat="1" applyFont="1" applyBorder="1" applyAlignment="1" applyProtection="1">
      <alignment horizontal="center" vertical="center"/>
    </xf>
    <xf numFmtId="167" fontId="0" fillId="0" borderId="0" xfId="1" applyNumberFormat="1" applyFont="1" applyProtection="1"/>
    <xf numFmtId="0" fontId="0" fillId="3" borderId="0" xfId="0" applyFill="1" applyProtection="1">
      <protection locked="0"/>
    </xf>
    <xf numFmtId="167" fontId="0" fillId="0" borderId="0" xfId="1" applyNumberFormat="1" applyFont="1" applyFill="1" applyProtection="1"/>
    <xf numFmtId="0" fontId="0" fillId="0" borderId="0" xfId="0" applyFill="1" applyBorder="1" applyAlignment="1" applyProtection="1">
      <alignment horizontal="left" vertical="center"/>
    </xf>
    <xf numFmtId="0" fontId="0" fillId="0" borderId="0" xfId="0" applyFill="1" applyProtection="1">
      <protection hidden="1"/>
    </xf>
    <xf numFmtId="0" fontId="0" fillId="0" borderId="0" xfId="0" applyFont="1" applyFill="1" applyProtection="1">
      <protection hidden="1"/>
    </xf>
    <xf numFmtId="168" fontId="0" fillId="0" borderId="0" xfId="0" applyNumberFormat="1" applyFont="1" applyFill="1" applyProtection="1">
      <protection hidden="1"/>
    </xf>
    <xf numFmtId="166" fontId="0" fillId="0" borderId="0" xfId="1" applyNumberFormat="1" applyFont="1" applyFill="1" applyProtection="1"/>
    <xf numFmtId="166" fontId="1" fillId="0" borderId="4" xfId="1" applyNumberFormat="1" applyFont="1" applyBorder="1" applyProtection="1"/>
    <xf numFmtId="10" fontId="1" fillId="0" borderId="0" xfId="0" applyNumberFormat="1" applyFont="1" applyFill="1" applyBorder="1" applyProtection="1"/>
    <xf numFmtId="166" fontId="1" fillId="0" borderId="0" xfId="1" applyNumberFormat="1" applyFont="1" applyBorder="1" applyProtection="1"/>
    <xf numFmtId="166" fontId="0" fillId="0" borderId="0" xfId="1" applyNumberFormat="1" applyFont="1" applyProtection="1"/>
    <xf numFmtId="44" fontId="1" fillId="0" borderId="0" xfId="1" applyNumberFormat="1" applyFont="1" applyAlignment="1" applyProtection="1">
      <alignment horizontal="center" vertical="center"/>
    </xf>
    <xf numFmtId="9" fontId="0" fillId="3" borderId="0" xfId="1" applyNumberFormat="1" applyFont="1" applyFill="1" applyAlignment="1" applyProtection="1">
      <alignment horizontal="center" vertical="center"/>
      <protection locked="0"/>
    </xf>
    <xf numFmtId="167" fontId="0" fillId="0" borderId="0" xfId="1" applyNumberFormat="1" applyFont="1" applyFill="1" applyAlignment="1" applyProtection="1">
      <alignment horizontal="center" vertical="center"/>
    </xf>
    <xf numFmtId="9" fontId="0" fillId="0" borderId="0" xfId="1" applyNumberFormat="1" applyFont="1" applyFill="1" applyAlignment="1" applyProtection="1">
      <alignment horizontal="center" vertical="center"/>
    </xf>
    <xf numFmtId="10" fontId="0" fillId="0" borderId="0" xfId="1" applyNumberFormat="1" applyFont="1" applyProtection="1"/>
    <xf numFmtId="10" fontId="1" fillId="0" borderId="0" xfId="1" applyNumberFormat="1" applyFont="1" applyAlignment="1" applyProtection="1">
      <alignment horizontal="center" vertical="center"/>
    </xf>
    <xf numFmtId="166" fontId="0" fillId="3" borderId="0" xfId="1" applyNumberFormat="1" applyFont="1" applyFill="1" applyProtection="1">
      <protection locked="0"/>
    </xf>
    <xf numFmtId="167" fontId="0" fillId="3" borderId="0" xfId="0" applyNumberFormat="1" applyFill="1" applyProtection="1">
      <protection locked="0"/>
    </xf>
    <xf numFmtId="44" fontId="0" fillId="0" borderId="0" xfId="1" applyNumberFormat="1" applyFont="1" applyFill="1" applyProtection="1"/>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Alignment="1" applyProtection="1">
      <alignment horizontal="center"/>
    </xf>
    <xf numFmtId="0" fontId="0" fillId="0" borderId="0" xfId="0" applyAlignment="1" applyProtection="1">
      <alignment horizontal="left" indent="2"/>
    </xf>
    <xf numFmtId="0" fontId="1" fillId="0" borderId="0" xfId="0" applyFont="1" applyBorder="1" applyAlignment="1" applyProtection="1">
      <alignment horizontal="center" vertical="center"/>
    </xf>
    <xf numFmtId="0" fontId="0" fillId="0" borderId="0" xfId="0" applyFont="1" applyFill="1" applyBorder="1" applyProtection="1"/>
    <xf numFmtId="0" fontId="0" fillId="0" borderId="0" xfId="0" applyFont="1" applyAlignment="1" applyProtection="1">
      <alignment horizontal="left" indent="1"/>
    </xf>
    <xf numFmtId="0" fontId="1" fillId="0" borderId="0" xfId="0" applyFont="1" applyAlignment="1" applyProtection="1">
      <alignment horizontal="left"/>
    </xf>
    <xf numFmtId="10" fontId="0" fillId="0" borderId="0" xfId="1" applyNumberFormat="1" applyFont="1" applyFill="1" applyProtection="1"/>
    <xf numFmtId="44" fontId="0" fillId="3" borderId="0" xfId="0" applyNumberFormat="1" applyFill="1" applyProtection="1">
      <protection locked="0"/>
    </xf>
    <xf numFmtId="169" fontId="0" fillId="0" borderId="0" xfId="1" applyNumberFormat="1" applyFont="1" applyFill="1" applyAlignment="1" applyProtection="1">
      <alignment horizontal="center" vertical="center"/>
    </xf>
    <xf numFmtId="0" fontId="1" fillId="5" borderId="0" xfId="0" applyFont="1" applyFill="1" applyProtection="1"/>
    <xf numFmtId="44" fontId="0" fillId="5" borderId="0" xfId="1" applyNumberFormat="1" applyFont="1" applyFill="1" applyProtection="1"/>
    <xf numFmtId="44" fontId="1" fillId="5" borderId="0" xfId="1" applyNumberFormat="1" applyFont="1" applyFill="1" applyAlignment="1" applyProtection="1">
      <alignment horizontal="center" vertical="center"/>
    </xf>
    <xf numFmtId="0" fontId="1" fillId="5" borderId="0" xfId="0" applyFont="1" applyFill="1" applyBorder="1" applyProtection="1"/>
    <xf numFmtId="44" fontId="2" fillId="5" borderId="0" xfId="1" applyNumberFormat="1" applyFont="1" applyFill="1" applyProtection="1"/>
    <xf numFmtId="44" fontId="0" fillId="5" borderId="0" xfId="0" applyNumberFormat="1" applyFont="1" applyFill="1" applyAlignment="1" applyProtection="1">
      <alignment horizontal="center"/>
    </xf>
    <xf numFmtId="44" fontId="0" fillId="5" borderId="0" xfId="0" applyNumberFormat="1" applyFill="1" applyProtection="1"/>
    <xf numFmtId="166" fontId="0" fillId="5" borderId="0" xfId="5" applyNumberFormat="1" applyFont="1" applyFill="1" applyProtection="1"/>
    <xf numFmtId="166" fontId="1" fillId="5" borderId="1" xfId="5" applyNumberFormat="1" applyFont="1" applyFill="1" applyBorder="1" applyProtection="1"/>
    <xf numFmtId="166" fontId="1" fillId="5" borderId="0" xfId="5" applyNumberFormat="1" applyFont="1" applyFill="1" applyBorder="1" applyProtection="1"/>
    <xf numFmtId="9" fontId="0" fillId="3" borderId="0" xfId="0" applyNumberFormat="1" applyFill="1" applyAlignment="1" applyProtection="1">
      <alignment horizontal="center" vertical="center"/>
      <protection locked="0"/>
    </xf>
    <xf numFmtId="0" fontId="0" fillId="3" borderId="0" xfId="1" applyNumberFormat="1" applyFont="1" applyFill="1" applyAlignment="1" applyProtection="1">
      <alignment horizontal="center" vertical="center"/>
      <protection locked="0"/>
    </xf>
    <xf numFmtId="44" fontId="0" fillId="0" borderId="0" xfId="0" applyNumberFormat="1" applyFont="1" applyFill="1" applyProtection="1"/>
    <xf numFmtId="44" fontId="0" fillId="0" borderId="0" xfId="0" applyNumberFormat="1" applyFont="1" applyFill="1" applyAlignment="1" applyProtection="1">
      <alignment horizontal="center"/>
    </xf>
    <xf numFmtId="44" fontId="0" fillId="0" borderId="0" xfId="0" applyNumberFormat="1" applyFill="1" applyProtection="1"/>
    <xf numFmtId="0" fontId="0" fillId="3" borderId="0" xfId="0" applyNumberFormat="1" applyFont="1" applyFill="1" applyAlignment="1" applyProtection="1">
      <alignment horizontal="center" vertical="center"/>
      <protection locked="0"/>
    </xf>
    <xf numFmtId="44" fontId="0" fillId="3" borderId="0" xfId="0" applyNumberFormat="1" applyFont="1" applyFill="1" applyProtection="1">
      <protection locked="0"/>
    </xf>
    <xf numFmtId="9" fontId="0" fillId="3" borderId="0" xfId="0" applyNumberFormat="1" applyFont="1" applyFill="1" applyAlignment="1" applyProtection="1">
      <alignment horizontal="center" vertical="center"/>
      <protection locked="0"/>
    </xf>
    <xf numFmtId="44" fontId="0" fillId="0" borderId="0" xfId="5" applyNumberFormat="1" applyFont="1" applyProtection="1"/>
    <xf numFmtId="44" fontId="1" fillId="0" borderId="1" xfId="5" applyNumberFormat="1" applyFont="1" applyBorder="1" applyProtection="1"/>
    <xf numFmtId="166" fontId="1" fillId="0" borderId="1" xfId="5" applyNumberFormat="1" applyFont="1" applyBorder="1" applyProtection="1"/>
    <xf numFmtId="166" fontId="1" fillId="0" borderId="4" xfId="5" applyNumberFormat="1" applyFont="1" applyBorder="1" applyProtection="1"/>
    <xf numFmtId="44" fontId="0" fillId="0" borderId="0" xfId="5" applyNumberFormat="1" applyFont="1" applyFill="1" applyProtection="1"/>
    <xf numFmtId="44" fontId="1" fillId="0" borderId="1" xfId="5" applyNumberFormat="1" applyFont="1" applyFill="1" applyBorder="1" applyProtection="1"/>
    <xf numFmtId="166" fontId="1" fillId="0" borderId="1" xfId="5" applyNumberFormat="1" applyFont="1" applyFill="1" applyBorder="1" applyProtection="1"/>
    <xf numFmtId="166" fontId="0" fillId="0" borderId="0" xfId="5" applyNumberFormat="1" applyFont="1" applyProtection="1"/>
    <xf numFmtId="10" fontId="1" fillId="0" borderId="0" xfId="1" applyNumberFormat="1" applyFont="1" applyBorder="1" applyAlignment="1" applyProtection="1">
      <alignment horizontal="center" vertical="center"/>
    </xf>
    <xf numFmtId="166" fontId="1" fillId="0" borderId="6" xfId="1" applyNumberFormat="1" applyFont="1" applyBorder="1" applyProtection="1"/>
    <xf numFmtId="0" fontId="1" fillId="5" borderId="0" xfId="0" applyFont="1" applyFill="1" applyAlignment="1" applyProtection="1">
      <alignment horizontal="center" vertical="center"/>
    </xf>
    <xf numFmtId="44" fontId="0" fillId="5" borderId="0" xfId="0" applyNumberFormat="1" applyFont="1" applyFill="1" applyProtection="1"/>
    <xf numFmtId="0" fontId="1" fillId="5" borderId="0" xfId="0" applyFont="1" applyFill="1" applyBorder="1" applyAlignment="1" applyProtection="1">
      <alignment horizontal="center" vertical="center"/>
    </xf>
    <xf numFmtId="44" fontId="0" fillId="5" borderId="0" xfId="5" applyNumberFormat="1" applyFont="1" applyFill="1" applyProtection="1"/>
    <xf numFmtId="44" fontId="1" fillId="5" borderId="0" xfId="5" applyNumberFormat="1" applyFont="1" applyFill="1" applyBorder="1" applyProtection="1"/>
    <xf numFmtId="167" fontId="0" fillId="0" borderId="0" xfId="0" applyNumberFormat="1" applyFill="1" applyBorder="1" applyProtection="1"/>
    <xf numFmtId="2" fontId="0" fillId="0" borderId="0" xfId="5" applyNumberFormat="1" applyFont="1" applyFill="1" applyBorder="1" applyProtection="1"/>
    <xf numFmtId="0" fontId="0" fillId="0" borderId="0" xfId="0" applyFill="1" applyBorder="1" applyProtection="1"/>
    <xf numFmtId="9" fontId="0" fillId="0" borderId="0" xfId="1" applyNumberFormat="1" applyFont="1" applyFill="1" applyProtection="1"/>
    <xf numFmtId="0" fontId="0" fillId="0" borderId="0" xfId="0" applyFont="1" applyProtection="1"/>
    <xf numFmtId="0" fontId="0" fillId="0" borderId="0" xfId="1" applyNumberFormat="1" applyFont="1" applyFill="1" applyAlignment="1" applyProtection="1">
      <alignment horizontal="center" vertical="center"/>
    </xf>
    <xf numFmtId="9" fontId="0" fillId="0" borderId="0" xfId="0" applyNumberFormat="1" applyFill="1" applyAlignment="1" applyProtection="1">
      <alignment horizontal="center" vertical="center"/>
    </xf>
    <xf numFmtId="0" fontId="0" fillId="0" borderId="0" xfId="0" applyNumberFormat="1" applyFont="1" applyFill="1" applyAlignment="1" applyProtection="1">
      <alignment horizontal="center" vertical="center"/>
    </xf>
    <xf numFmtId="9" fontId="1" fillId="0" borderId="0" xfId="0" applyNumberFormat="1" applyFont="1" applyFill="1" applyProtection="1"/>
    <xf numFmtId="10" fontId="1" fillId="0" borderId="0" xfId="0" applyNumberFormat="1" applyFont="1" applyFill="1" applyProtection="1"/>
    <xf numFmtId="44" fontId="0" fillId="0" borderId="0" xfId="0" applyNumberFormat="1" applyProtection="1"/>
    <xf numFmtId="167" fontId="0" fillId="0" borderId="0" xfId="0" applyNumberFormat="1" applyProtection="1"/>
    <xf numFmtId="0" fontId="0" fillId="0" borderId="0" xfId="1" applyNumberFormat="1" applyFont="1" applyAlignment="1" applyProtection="1">
      <alignment horizontal="center" vertical="center"/>
    </xf>
    <xf numFmtId="0" fontId="1" fillId="0" borderId="0" xfId="0" applyFont="1" applyBorder="1" applyAlignment="1" applyProtection="1">
      <alignment horizontal="center"/>
    </xf>
    <xf numFmtId="167" fontId="1" fillId="0" borderId="0" xfId="0" applyNumberFormat="1" applyFont="1" applyFill="1" applyProtection="1"/>
    <xf numFmtId="166" fontId="1" fillId="0" borderId="0" xfId="0" applyNumberFormat="1" applyFont="1" applyBorder="1" applyProtection="1"/>
    <xf numFmtId="166" fontId="1" fillId="0" borderId="0" xfId="5" applyNumberFormat="1" applyFont="1" applyFill="1" applyBorder="1" applyProtection="1"/>
    <xf numFmtId="0" fontId="0" fillId="0" borderId="0" xfId="0" applyFill="1" applyProtection="1"/>
    <xf numFmtId="0" fontId="1" fillId="0" borderId="0" xfId="0" applyFont="1" applyProtection="1"/>
    <xf numFmtId="0" fontId="1" fillId="0" borderId="0" xfId="0" applyFont="1" applyFill="1" applyProtection="1"/>
    <xf numFmtId="0" fontId="0" fillId="0" borderId="0" xfId="0" applyProtection="1"/>
    <xf numFmtId="166" fontId="1" fillId="0" borderId="0" xfId="1" applyNumberFormat="1" applyFont="1" applyFill="1" applyBorder="1" applyProtection="1"/>
    <xf numFmtId="0" fontId="0" fillId="0" borderId="0" xfId="0" applyFont="1" applyFill="1" applyProtection="1"/>
    <xf numFmtId="166" fontId="0" fillId="5" borderId="0" xfId="1" applyNumberFormat="1" applyFont="1" applyFill="1" applyProtection="1"/>
    <xf numFmtId="166" fontId="1" fillId="5" borderId="1" xfId="0" applyNumberFormat="1" applyFont="1" applyFill="1" applyBorder="1" applyProtection="1"/>
    <xf numFmtId="166" fontId="1" fillId="5" borderId="0" xfId="0" applyNumberFormat="1" applyFont="1" applyFill="1" applyBorder="1" applyProtection="1"/>
    <xf numFmtId="166" fontId="1" fillId="0" borderId="1" xfId="0" applyNumberFormat="1" applyFont="1" applyFill="1" applyBorder="1" applyProtection="1"/>
    <xf numFmtId="166" fontId="1" fillId="0" borderId="4" xfId="0" applyNumberFormat="1" applyFont="1" applyBorder="1" applyProtection="1"/>
    <xf numFmtId="166" fontId="1" fillId="0" borderId="1" xfId="0" applyNumberFormat="1" applyFont="1" applyBorder="1" applyProtection="1"/>
    <xf numFmtId="166" fontId="1" fillId="0" borderId="1" xfId="1" applyNumberFormat="1" applyFont="1" applyBorder="1" applyProtection="1"/>
    <xf numFmtId="0" fontId="1" fillId="0" borderId="0" xfId="0" applyFont="1" applyFill="1" applyAlignment="1" applyProtection="1">
      <alignment horizontal="center" vertical="center"/>
    </xf>
    <xf numFmtId="10" fontId="0" fillId="0" borderId="0" xfId="0" applyNumberFormat="1" applyFill="1" applyProtection="1"/>
    <xf numFmtId="0" fontId="1" fillId="0" borderId="0" xfId="0" applyNumberFormat="1" applyFont="1" applyFill="1" applyAlignment="1" applyProtection="1">
      <alignment horizontal="center" vertical="center"/>
    </xf>
    <xf numFmtId="0" fontId="0" fillId="0" borderId="0" xfId="0" applyNumberFormat="1" applyFont="1" applyAlignment="1" applyProtection="1">
      <alignment horizontal="center" vertical="center"/>
    </xf>
    <xf numFmtId="10" fontId="1" fillId="0" borderId="0" xfId="0" applyNumberFormat="1" applyFont="1" applyProtection="1"/>
    <xf numFmtId="0" fontId="1" fillId="0" borderId="0" xfId="1" applyNumberFormat="1" applyFont="1" applyFill="1" applyAlignment="1" applyProtection="1">
      <alignment horizontal="center" vertical="center"/>
    </xf>
    <xf numFmtId="0" fontId="1" fillId="0" borderId="0" xfId="0" applyFont="1" applyAlignment="1" applyProtection="1">
      <alignment horizontal="center" vertical="center"/>
    </xf>
    <xf numFmtId="166" fontId="9" fillId="6" borderId="0" xfId="2" applyNumberFormat="1" applyFont="1" applyFill="1" applyProtection="1">
      <protection locked="0"/>
    </xf>
    <xf numFmtId="44" fontId="9" fillId="6" borderId="0" xfId="2" applyFont="1" applyFill="1" applyProtection="1">
      <protection locked="0"/>
    </xf>
    <xf numFmtId="166" fontId="9" fillId="6" borderId="0" xfId="2" applyNumberFormat="1" applyFont="1" applyFill="1" applyBorder="1" applyProtection="1">
      <protection locked="0"/>
    </xf>
    <xf numFmtId="10" fontId="1" fillId="0" borderId="0" xfId="0" applyNumberFormat="1" applyFont="1" applyAlignment="1" applyProtection="1">
      <alignment horizontal="center" vertical="center" wrapText="1"/>
    </xf>
    <xf numFmtId="0" fontId="1" fillId="5" borderId="0" xfId="0" applyFont="1" applyFill="1" applyBorder="1" applyAlignment="1" applyProtection="1">
      <alignment horizontal="center" wrapText="1"/>
    </xf>
    <xf numFmtId="0" fontId="1" fillId="0" borderId="0" xfId="0" applyFont="1" applyBorder="1" applyAlignment="1" applyProtection="1">
      <alignment horizontal="center" vertical="center" wrapText="1"/>
    </xf>
    <xf numFmtId="0" fontId="1" fillId="0" borderId="0" xfId="0" applyFont="1" applyAlignment="1" applyProtection="1">
      <alignment horizontal="center" wrapText="1"/>
    </xf>
    <xf numFmtId="0" fontId="0" fillId="0" borderId="0" xfId="0" applyAlignment="1" applyProtection="1">
      <alignment horizontal="center" wrapText="1"/>
    </xf>
    <xf numFmtId="0" fontId="0" fillId="5" borderId="2" xfId="0" applyFill="1" applyBorder="1" applyAlignment="1" applyProtection="1">
      <alignment horizontal="center" vertical="center"/>
    </xf>
    <xf numFmtId="0" fontId="13" fillId="5" borderId="2" xfId="0" applyFont="1" applyFill="1" applyBorder="1" applyAlignment="1" applyProtection="1">
      <alignment horizontal="center" wrapText="1"/>
    </xf>
    <xf numFmtId="2" fontId="0" fillId="0" borderId="0" xfId="0" applyNumberFormat="1" applyFill="1" applyBorder="1" applyProtection="1"/>
    <xf numFmtId="1" fontId="0" fillId="0" borderId="0" xfId="0" applyNumberFormat="1" applyFill="1" applyBorder="1" applyProtection="1"/>
    <xf numFmtId="10" fontId="0" fillId="0" borderId="0" xfId="0" applyNumberFormat="1" applyFont="1" applyFill="1" applyBorder="1" applyProtection="1"/>
    <xf numFmtId="2" fontId="1" fillId="5" borderId="0" xfId="5" applyNumberFormat="1" applyFont="1" applyFill="1" applyBorder="1" applyProtection="1"/>
    <xf numFmtId="2" fontId="1" fillId="0" borderId="0" xfId="5" applyNumberFormat="1" applyFont="1" applyFill="1" applyBorder="1" applyProtection="1"/>
    <xf numFmtId="0" fontId="1" fillId="2" borderId="0" xfId="0" applyFont="1" applyFill="1" applyProtection="1"/>
    <xf numFmtId="166" fontId="0" fillId="5" borderId="0" xfId="5" applyNumberFormat="1" applyFont="1" applyFill="1" applyBorder="1" applyProtection="1"/>
    <xf numFmtId="166" fontId="0" fillId="0" borderId="0" xfId="5" applyNumberFormat="1" applyFont="1" applyFill="1" applyBorder="1" applyProtection="1"/>
    <xf numFmtId="2" fontId="2" fillId="5" borderId="0" xfId="1" applyNumberFormat="1" applyFont="1" applyFill="1" applyProtection="1"/>
    <xf numFmtId="9" fontId="2" fillId="0" borderId="0" xfId="5" applyFont="1" applyFill="1" applyProtection="1"/>
    <xf numFmtId="2" fontId="0" fillId="5" borderId="0" xfId="1" applyNumberFormat="1" applyFont="1" applyFill="1" applyProtection="1"/>
    <xf numFmtId="9" fontId="0" fillId="0" borderId="0" xfId="5" applyFont="1" applyFill="1" applyProtection="1"/>
    <xf numFmtId="2" fontId="1" fillId="5" borderId="0" xfId="0" applyNumberFormat="1" applyFont="1" applyFill="1" applyAlignment="1" applyProtection="1">
      <alignment horizontal="center" vertical="center"/>
    </xf>
    <xf numFmtId="2" fontId="1" fillId="0" borderId="0" xfId="0" applyNumberFormat="1" applyFont="1" applyFill="1" applyAlignment="1" applyProtection="1">
      <alignment horizontal="center" vertical="center"/>
    </xf>
    <xf numFmtId="167" fontId="0" fillId="0" borderId="0" xfId="0" applyNumberFormat="1" applyFill="1" applyProtection="1"/>
    <xf numFmtId="167" fontId="1" fillId="0" borderId="0" xfId="0" applyNumberFormat="1" applyFont="1" applyFill="1" applyAlignment="1" applyProtection="1">
      <alignment horizontal="center"/>
    </xf>
    <xf numFmtId="44" fontId="2" fillId="5" borderId="0" xfId="1" applyNumberFormat="1" applyFont="1" applyFill="1" applyBorder="1" applyProtection="1"/>
    <xf numFmtId="0" fontId="1" fillId="4" borderId="0" xfId="0" applyFont="1" applyFill="1" applyProtection="1"/>
    <xf numFmtId="0" fontId="1" fillId="5" borderId="0" xfId="0" applyFont="1" applyFill="1" applyBorder="1" applyAlignment="1" applyProtection="1">
      <alignment horizontal="center"/>
    </xf>
    <xf numFmtId="167" fontId="1" fillId="0" borderId="0" xfId="0" applyNumberFormat="1" applyFont="1" applyFill="1" applyBorder="1" applyAlignment="1" applyProtection="1">
      <alignment horizontal="center"/>
    </xf>
    <xf numFmtId="0" fontId="1" fillId="0" borderId="0" xfId="0" applyFont="1" applyFill="1" applyBorder="1" applyAlignment="1" applyProtection="1">
      <alignment horizontal="center"/>
    </xf>
    <xf numFmtId="167" fontId="1" fillId="5" borderId="0" xfId="1" applyNumberFormat="1" applyFont="1" applyFill="1" applyBorder="1" applyProtection="1"/>
    <xf numFmtId="0" fontId="6" fillId="0" borderId="0" xfId="0" applyFont="1" applyAlignment="1" applyProtection="1">
      <alignment horizontal="center"/>
    </xf>
    <xf numFmtId="10" fontId="0" fillId="0" borderId="0" xfId="1" applyNumberFormat="1" applyFont="1" applyAlignment="1" applyProtection="1">
      <alignment horizontal="center" vertical="center"/>
    </xf>
    <xf numFmtId="9" fontId="0" fillId="0" borderId="0" xfId="0" applyNumberFormat="1" applyFont="1" applyFill="1" applyAlignment="1" applyProtection="1">
      <alignment horizontal="center" vertical="center"/>
    </xf>
    <xf numFmtId="0" fontId="1" fillId="0" borderId="0" xfId="0" applyFont="1" applyFill="1" applyAlignment="1" applyProtection="1">
      <alignment horizontal="center" wrapText="1"/>
    </xf>
    <xf numFmtId="166" fontId="9" fillId="0" borderId="0" xfId="0" applyNumberFormat="1" applyFont="1" applyFill="1" applyBorder="1" applyProtection="1"/>
    <xf numFmtId="166" fontId="9" fillId="0" borderId="0" xfId="0" applyNumberFormat="1" applyFont="1" applyFill="1" applyProtection="1"/>
    <xf numFmtId="170" fontId="8" fillId="0" borderId="1" xfId="2" applyNumberFormat="1" applyFont="1" applyFill="1" applyBorder="1" applyProtection="1"/>
    <xf numFmtId="170" fontId="8" fillId="6" borderId="1" xfId="2" applyNumberFormat="1" applyFont="1" applyFill="1" applyBorder="1" applyProtection="1"/>
    <xf numFmtId="170" fontId="8" fillId="6" borderId="4" xfId="2" applyNumberFormat="1" applyFont="1" applyFill="1" applyBorder="1" applyProtection="1"/>
    <xf numFmtId="166" fontId="9" fillId="6" borderId="0" xfId="0" applyNumberFormat="1" applyFont="1" applyFill="1" applyBorder="1" applyProtection="1"/>
    <xf numFmtId="166" fontId="9" fillId="6" borderId="0" xfId="0" applyNumberFormat="1" applyFont="1" applyFill="1" applyProtection="1"/>
    <xf numFmtId="166" fontId="9" fillId="6" borderId="3" xfId="2" applyNumberFormat="1" applyFont="1" applyFill="1" applyBorder="1" applyProtection="1"/>
    <xf numFmtId="166" fontId="9" fillId="0" borderId="3" xfId="2" applyNumberFormat="1" applyFont="1" applyFill="1" applyBorder="1" applyProtection="1"/>
    <xf numFmtId="170" fontId="9" fillId="0" borderId="0" xfId="0" applyNumberFormat="1" applyFont="1" applyFill="1"/>
    <xf numFmtId="3" fontId="0" fillId="0" borderId="0" xfId="0" applyNumberFormat="1"/>
    <xf numFmtId="166" fontId="0" fillId="0" borderId="0" xfId="0" applyNumberFormat="1"/>
    <xf numFmtId="0" fontId="24" fillId="0" borderId="0" xfId="0" applyFont="1" applyBorder="1" applyAlignment="1" applyProtection="1">
      <alignment horizontal="left"/>
      <protection locked="0"/>
    </xf>
    <xf numFmtId="0" fontId="24" fillId="0" borderId="0" xfId="0" applyFont="1" applyBorder="1" applyAlignment="1" applyProtection="1">
      <alignment horizontal="left" wrapText="1"/>
      <protection locked="0"/>
    </xf>
    <xf numFmtId="170" fontId="9" fillId="0" borderId="0" xfId="2" applyNumberFormat="1" applyFont="1" applyFill="1" applyProtection="1"/>
    <xf numFmtId="170" fontId="9" fillId="0" borderId="0" xfId="0" applyNumberFormat="1" applyFont="1" applyFill="1" applyProtection="1"/>
    <xf numFmtId="170" fontId="9" fillId="0" borderId="0" xfId="0" applyNumberFormat="1" applyFont="1" applyFill="1" applyBorder="1" applyProtection="1"/>
    <xf numFmtId="170" fontId="8" fillId="0" borderId="4" xfId="2" applyNumberFormat="1" applyFont="1" applyFill="1" applyBorder="1" applyProtection="1"/>
    <xf numFmtId="170" fontId="9" fillId="3" borderId="0" xfId="2" applyNumberFormat="1" applyFont="1" applyFill="1" applyProtection="1">
      <protection locked="0"/>
    </xf>
    <xf numFmtId="170" fontId="8" fillId="0" borderId="0" xfId="2" applyNumberFormat="1" applyFont="1" applyFill="1" applyBorder="1" applyProtection="1"/>
    <xf numFmtId="170" fontId="9" fillId="3" borderId="0" xfId="2" applyNumberFormat="1" applyFont="1" applyFill="1" applyBorder="1" applyProtection="1">
      <protection locked="0"/>
    </xf>
    <xf numFmtId="170" fontId="8" fillId="0" borderId="1" xfId="0" applyNumberFormat="1" applyFont="1" applyFill="1" applyBorder="1" applyProtection="1"/>
    <xf numFmtId="170" fontId="8" fillId="6" borderId="5" xfId="0" applyNumberFormat="1" applyFont="1" applyFill="1" applyBorder="1" applyProtection="1"/>
    <xf numFmtId="166" fontId="8" fillId="0" borderId="0" xfId="0" applyNumberFormat="1" applyFont="1" applyFill="1" applyBorder="1" applyProtection="1"/>
    <xf numFmtId="0" fontId="18" fillId="0" borderId="0" xfId="0" applyFont="1" applyFill="1" applyAlignment="1">
      <alignment horizontal="center"/>
    </xf>
  </cellXfs>
  <cellStyles count="50">
    <cellStyle name="Comma" xfId="1" builtinId="3"/>
    <cellStyle name="Currency" xfId="2" builtinId="4"/>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3" builtinId="8"/>
    <cellStyle name="Normal" xfId="0" builtinId="0"/>
    <cellStyle name="Normal 2" xfId="4" xr:uid="{00000000-0005-0000-0000-00002D000000}"/>
    <cellStyle name="Normal 2 2" xfId="6" xr:uid="{00000000-0005-0000-0000-00002E000000}"/>
    <cellStyle name="Normal 2 3" xfId="8" xr:uid="{00000000-0005-0000-0000-00002F000000}"/>
    <cellStyle name="Normal 2 4" xfId="7" xr:uid="{00000000-0005-0000-0000-000030000000}"/>
    <cellStyle name="Percent" xfId="5" builtinId="5"/>
  </cellStyles>
  <dxfs count="0"/>
  <tableStyles count="0" defaultTableStyle="TableStyleMedium9" defaultPivotStyle="PivotStyleMedium4"/>
  <colors>
    <mruColors>
      <color rgb="FFE2F2AE"/>
      <color rgb="FFFFCC00"/>
      <color rgb="FFFF0000"/>
      <color rgb="FFFFD5FA"/>
      <color rgb="FFFF8BF1"/>
      <color rgb="FFFF66CC"/>
      <color rgb="FFFF99CC"/>
      <color rgb="FFFF9999"/>
      <color rgb="FFFF33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66675</xdr:colOff>
      <xdr:row>0</xdr:row>
      <xdr:rowOff>19050</xdr:rowOff>
    </xdr:from>
    <xdr:to>
      <xdr:col>11</xdr:col>
      <xdr:colOff>0</xdr:colOff>
      <xdr:row>54</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675" y="19050"/>
          <a:ext cx="6638925" cy="884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chemeClr val="dk1"/>
              </a:solidFill>
              <a:latin typeface="+mn-lt"/>
              <a:ea typeface="+mn-ea"/>
              <a:cs typeface="+mn-cs"/>
            </a:rPr>
            <a:t>Instructions for completing the OSP Budget Template</a:t>
          </a:r>
          <a:r>
            <a:rPr lang="en-US" sz="1100">
              <a:solidFill>
                <a:schemeClr val="dk1"/>
              </a:solidFill>
              <a:latin typeface="+mn-lt"/>
              <a:ea typeface="+mn-ea"/>
              <a:cs typeface="+mn-cs"/>
            </a:rPr>
            <a:t>  </a:t>
          </a:r>
          <a:r>
            <a:rPr lang="en-US" sz="1100" b="1" baseline="0">
              <a:solidFill>
                <a:schemeClr val="dk1"/>
              </a:solidFill>
              <a:latin typeface="+mn-lt"/>
              <a:ea typeface="+mn-ea"/>
              <a:cs typeface="+mn-cs"/>
            </a:rPr>
            <a:t>MTDC</a:t>
          </a:r>
          <a:endParaRPr lang="en-US" sz="1100" b="1">
            <a:solidFill>
              <a:schemeClr val="dk1"/>
            </a:solidFill>
            <a:latin typeface="+mn-lt"/>
            <a:ea typeface="+mn-ea"/>
            <a:cs typeface="+mn-cs"/>
          </a:endParaRPr>
        </a:p>
        <a:p>
          <a:r>
            <a:rPr lang="en-US" sz="1100">
              <a:solidFill>
                <a:schemeClr val="dk1"/>
              </a:solidFill>
              <a:latin typeface="+mn-lt"/>
              <a:ea typeface="+mn-ea"/>
              <a:cs typeface="+mn-cs"/>
            </a:rPr>
            <a:t>This template is provided as a tool for your use to assist you in creating your budgets.  This is not a mandatory document.   </a:t>
          </a:r>
        </a:p>
        <a:p>
          <a:r>
            <a:rPr lang="en-US" sz="1100">
              <a:solidFill>
                <a:schemeClr val="dk1"/>
              </a:solidFill>
              <a:latin typeface="+mn-lt"/>
              <a:ea typeface="+mn-ea"/>
              <a:cs typeface="+mn-cs"/>
            </a:rPr>
            <a:t>Red triangles in the corner of a cell indicate comments or additional information relating to that cell or section.  Hover your cursor over the triangle to view the comments. </a:t>
          </a:r>
        </a:p>
        <a:p>
          <a:endParaRPr lang="en-US" sz="1100" b="1">
            <a:solidFill>
              <a:schemeClr val="dk1"/>
            </a:solidFill>
            <a:latin typeface="+mn-lt"/>
            <a:ea typeface="+mn-ea"/>
            <a:cs typeface="+mn-cs"/>
          </a:endParaRPr>
        </a:p>
        <a:p>
          <a:r>
            <a:rPr lang="en-US" sz="1100" b="1">
              <a:solidFill>
                <a:schemeClr val="dk1"/>
              </a:solidFill>
              <a:latin typeface="+mn-lt"/>
              <a:ea typeface="+mn-ea"/>
              <a:cs typeface="+mn-cs"/>
            </a:rPr>
            <a:t>Data Sheet</a:t>
          </a:r>
          <a:r>
            <a:rPr lang="en-US" sz="1100">
              <a:solidFill>
                <a:schemeClr val="dk1"/>
              </a:solidFill>
              <a:latin typeface="+mn-lt"/>
              <a:ea typeface="+mn-ea"/>
              <a:cs typeface="+mn-cs"/>
            </a:rPr>
            <a:t> </a:t>
          </a:r>
        </a:p>
        <a:p>
          <a:r>
            <a:rPr lang="en-US" sz="1100">
              <a:solidFill>
                <a:schemeClr val="dk1"/>
              </a:solidFill>
              <a:latin typeface="+mn-lt"/>
              <a:ea typeface="+mn-ea"/>
              <a:cs typeface="+mn-cs"/>
            </a:rPr>
            <a:t>The second tab in the workbook is the data sheet.  Here you may enter the names and yearly salaries of all PIs, Co-PIs, Post-Docs, Graduate students, and Undergraduate/IH help.  </a:t>
          </a:r>
        </a:p>
        <a:p>
          <a:r>
            <a:rPr lang="en-US" sz="1100">
              <a:solidFill>
                <a:schemeClr val="dk1"/>
              </a:solidFill>
              <a:latin typeface="+mn-lt"/>
              <a:ea typeface="+mn-ea"/>
              <a:cs typeface="+mn-cs"/>
            </a:rPr>
            <a:t>You will be asked to enter the percent of effort each person will devote to the project.  The template will calculate how that is reflected in terms of salary.  Fringe benefits are also calculated automatically – you will not be asked to enter your fringe rate.</a:t>
          </a:r>
        </a:p>
        <a:p>
          <a:r>
            <a:rPr lang="en-US" sz="1100">
              <a:solidFill>
                <a:schemeClr val="dk1"/>
              </a:solidFill>
              <a:latin typeface="+mn-lt"/>
              <a:ea typeface="+mn-ea"/>
              <a:cs typeface="+mn-cs"/>
            </a:rPr>
            <a:t>To add additional personnel,</a:t>
          </a:r>
          <a:r>
            <a:rPr lang="en-US" sz="1100" baseline="0">
              <a:solidFill>
                <a:schemeClr val="dk1"/>
              </a:solidFill>
              <a:latin typeface="+mn-lt"/>
              <a:ea typeface="+mn-ea"/>
              <a:cs typeface="+mn-cs"/>
            </a:rPr>
            <a:t> click the "Add ____" button to expand the fields.</a:t>
          </a:r>
        </a:p>
        <a:p>
          <a:r>
            <a:rPr lang="en-US" sz="1100" baseline="0">
              <a:solidFill>
                <a:schemeClr val="dk1"/>
              </a:solidFill>
              <a:latin typeface="+mn-lt"/>
              <a:ea typeface="+mn-ea"/>
              <a:cs typeface="+mn-cs"/>
            </a:rPr>
            <a:t>To add additional years, click the "Add Yr ___" button to expand years on the Data Sheet and MTDC tab.</a:t>
          </a:r>
          <a:endParaRPr lang="en-US" sz="1100">
            <a:solidFill>
              <a:schemeClr val="dk1"/>
            </a:solidFill>
            <a:latin typeface="+mn-lt"/>
            <a:ea typeface="+mn-ea"/>
            <a:cs typeface="+mn-cs"/>
          </a:endParaRPr>
        </a:p>
        <a:p>
          <a:r>
            <a:rPr lang="en-US" sz="1100">
              <a:solidFill>
                <a:schemeClr val="dk1"/>
              </a:solidFill>
              <a:latin typeface="+mn-lt"/>
              <a:ea typeface="+mn-ea"/>
              <a:cs typeface="+mn-cs"/>
            </a:rPr>
            <a:t>Once you have filled out the Data Sheet, names and totals will automatically transfer to the appropriate spots on the UI MTDC tab. You will not need to reenter this data.  </a:t>
          </a:r>
        </a:p>
        <a:p>
          <a:endParaRPr lang="en-US" sz="1100" b="1">
            <a:solidFill>
              <a:schemeClr val="dk1"/>
            </a:solidFill>
            <a:latin typeface="+mn-lt"/>
            <a:ea typeface="+mn-ea"/>
            <a:cs typeface="+mn-cs"/>
          </a:endParaRPr>
        </a:p>
        <a:p>
          <a:r>
            <a:rPr lang="en-US" sz="1100" b="1">
              <a:solidFill>
                <a:schemeClr val="dk1"/>
              </a:solidFill>
              <a:latin typeface="+mn-lt"/>
              <a:ea typeface="+mn-ea"/>
              <a:cs typeface="+mn-cs"/>
            </a:rPr>
            <a:t>UI MTDC  </a:t>
          </a:r>
          <a:endParaRPr lang="en-US" sz="1100">
            <a:solidFill>
              <a:schemeClr val="dk1"/>
            </a:solidFill>
            <a:latin typeface="+mn-lt"/>
            <a:ea typeface="+mn-ea"/>
            <a:cs typeface="+mn-cs"/>
          </a:endParaRPr>
        </a:p>
        <a:p>
          <a:r>
            <a:rPr lang="en-US" sz="1100">
              <a:solidFill>
                <a:schemeClr val="dk1"/>
              </a:solidFill>
              <a:latin typeface="+mn-lt"/>
              <a:ea typeface="+mn-ea"/>
              <a:cs typeface="+mn-cs"/>
            </a:rPr>
            <a:t>This sheet calculates F&amp;A on Modified Total Direct Cost basis.  Modified Total Direct Cost (MTDC) is an industry-standard term that refers to all line items that are subject to F&amp;A.  This is the most common calculation we use. </a:t>
          </a:r>
          <a:r>
            <a:rPr lang="en-US" sz="1100" b="1">
              <a:solidFill>
                <a:schemeClr val="dk1"/>
              </a:solidFill>
              <a:latin typeface="+mn-lt"/>
              <a:ea typeface="+mn-ea"/>
              <a:cs typeface="+mn-cs"/>
            </a:rPr>
            <a:t>  </a:t>
          </a:r>
          <a:r>
            <a:rPr lang="en-US" sz="1100">
              <a:solidFill>
                <a:schemeClr val="dk1"/>
              </a:solidFill>
              <a:latin typeface="+mn-lt"/>
              <a:ea typeface="+mn-ea"/>
              <a:cs typeface="+mn-cs"/>
            </a:rPr>
            <a:t> </a:t>
          </a:r>
        </a:p>
        <a:p>
          <a:r>
            <a:rPr lang="en-US" sz="1100">
              <a:solidFill>
                <a:schemeClr val="dk1"/>
              </a:solidFill>
              <a:latin typeface="+mn-lt"/>
              <a:ea typeface="+mn-ea"/>
              <a:cs typeface="+mn-cs"/>
            </a:rPr>
            <a:t>You can enter up to five years of budget data on this sheet.  In a project that runs one to five years, the second through fifth years will automatically increase according to the percent indicated in the INC/YR column. </a:t>
          </a:r>
        </a:p>
        <a:p>
          <a:r>
            <a:rPr lang="en-US" sz="1100" b="1" baseline="0">
              <a:solidFill>
                <a:schemeClr val="dk1"/>
              </a:solidFill>
              <a:latin typeface="+mn-lt"/>
              <a:ea typeface="+mn-ea"/>
              <a:cs typeface="+mn-cs"/>
            </a:rPr>
            <a:t>       </a:t>
          </a:r>
          <a:r>
            <a:rPr lang="en-US" sz="1100" b="1">
              <a:solidFill>
                <a:schemeClr val="dk1"/>
              </a:solidFill>
              <a:latin typeface="+mn-lt"/>
              <a:ea typeface="+mn-ea"/>
              <a:cs typeface="+mn-cs"/>
            </a:rPr>
            <a:t>Subcontracts</a:t>
          </a:r>
          <a:r>
            <a:rPr lang="en-US" sz="1100">
              <a:solidFill>
                <a:schemeClr val="dk1"/>
              </a:solidFill>
              <a:latin typeface="+mn-lt"/>
              <a:ea typeface="+mn-ea"/>
              <a:cs typeface="+mn-cs"/>
            </a:rPr>
            <a:t> - UI charges indirect costs (F&amp;A) on the </a:t>
          </a:r>
          <a:r>
            <a:rPr lang="en-US" sz="1100" b="1" i="1">
              <a:solidFill>
                <a:schemeClr val="dk1"/>
              </a:solidFill>
              <a:latin typeface="+mn-lt"/>
              <a:ea typeface="+mn-ea"/>
              <a:cs typeface="+mn-cs"/>
            </a:rPr>
            <a:t>first</a:t>
          </a:r>
          <a:r>
            <a:rPr lang="en-US" sz="1100">
              <a:solidFill>
                <a:schemeClr val="dk1"/>
              </a:solidFill>
              <a:latin typeface="+mn-lt"/>
              <a:ea typeface="+mn-ea"/>
              <a:cs typeface="+mn-cs"/>
            </a:rPr>
            <a:t> $25,000 of each subcontract regardless of the subcontract duration.  All amounts in excess of $25,000 will need to be entered in the corresponding Subaward Residual lines on the lower portion of the spreadsheet.  </a:t>
          </a:r>
        </a:p>
        <a:p>
          <a:r>
            <a:rPr lang="en-US" sz="1100" b="1">
              <a:solidFill>
                <a:schemeClr val="dk1"/>
              </a:solidFill>
              <a:latin typeface="+mn-lt"/>
              <a:ea typeface="+mn-ea"/>
              <a:cs typeface="+mn-cs"/>
            </a:rPr>
            <a:t>For both the data sheet and the MTDC tab, blue cells indicate manual entry and white cells are auto-fill.</a:t>
          </a:r>
        </a:p>
        <a:p>
          <a:endParaRPr lang="en-US" sz="1100" b="1">
            <a:solidFill>
              <a:schemeClr val="dk1"/>
            </a:solidFill>
            <a:latin typeface="+mn-lt"/>
            <a:ea typeface="+mn-ea"/>
            <a:cs typeface="+mn-cs"/>
          </a:endParaRPr>
        </a:p>
        <a:p>
          <a:r>
            <a:rPr lang="en-US" sz="1100" b="1">
              <a:solidFill>
                <a:schemeClr val="dk1"/>
              </a:solidFill>
              <a:latin typeface="+mn-lt"/>
              <a:ea typeface="+mn-ea"/>
              <a:cs typeface="+mn-cs"/>
            </a:rPr>
            <a:t>EIPRS</a:t>
          </a:r>
        </a:p>
        <a:p>
          <a:r>
            <a:rPr lang="en-US" sz="1100" b="0">
              <a:solidFill>
                <a:schemeClr val="dk1"/>
              </a:solidFill>
              <a:latin typeface="+mn-lt"/>
              <a:ea typeface="+mn-ea"/>
              <a:cs typeface="+mn-cs"/>
            </a:rPr>
            <a:t>This</a:t>
          </a:r>
          <a:r>
            <a:rPr lang="en-US" sz="1100" b="0" baseline="0">
              <a:solidFill>
                <a:schemeClr val="dk1"/>
              </a:solidFill>
              <a:latin typeface="+mn-lt"/>
              <a:ea typeface="+mn-ea"/>
              <a:cs typeface="+mn-cs"/>
            </a:rPr>
            <a:t> tab is an auto-fill box that will give you the numbers to enter into the main page and budget tab on the EIPRS.  The percent effort should be entered on the main page and is an average of the cumulative effort you plan to put toward this project. </a:t>
          </a:r>
        </a:p>
        <a:p>
          <a:r>
            <a:rPr lang="en-US" sz="1100" b="0" baseline="0">
              <a:solidFill>
                <a:schemeClr val="dk1"/>
              </a:solidFill>
              <a:latin typeface="+mn-lt"/>
              <a:ea typeface="+mn-ea"/>
              <a:cs typeface="+mn-cs"/>
            </a:rPr>
            <a:t>The remaining items on the EIPERS tab correspond to line items on the budget page of the EIPRS and can be transfered line by line.  </a:t>
          </a:r>
        </a:p>
        <a:p>
          <a:endParaRPr lang="en-US" sz="1100" b="0" baseline="0">
            <a:solidFill>
              <a:schemeClr val="dk1"/>
            </a:solidFill>
            <a:latin typeface="+mn-lt"/>
            <a:ea typeface="+mn-ea"/>
            <a:cs typeface="+mn-cs"/>
          </a:endParaRPr>
        </a:p>
        <a:p>
          <a:r>
            <a:rPr lang="en-US" sz="1100" b="1" baseline="0">
              <a:solidFill>
                <a:schemeClr val="dk1"/>
              </a:solidFill>
              <a:latin typeface="+mn-lt"/>
              <a:ea typeface="+mn-ea"/>
              <a:cs typeface="+mn-cs"/>
            </a:rPr>
            <a:t>Person Months Conversion</a:t>
          </a:r>
        </a:p>
        <a:p>
          <a:r>
            <a:rPr lang="en-US" sz="1100" b="0" baseline="0">
              <a:solidFill>
                <a:schemeClr val="dk1"/>
              </a:solidFill>
              <a:latin typeface="+mn-lt"/>
              <a:ea typeface="+mn-ea"/>
              <a:cs typeface="+mn-cs"/>
            </a:rPr>
            <a:t>If you are submitting to an agency that asks for effort reflected in person months, this auto-fill tab will convert the percent effort you indicated into person months for you.</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18</xdr:row>
          <xdr:rowOff>0</xdr:rowOff>
        </xdr:from>
        <xdr:to>
          <xdr:col>1</xdr:col>
          <xdr:colOff>12700</xdr:colOff>
          <xdr:row>19</xdr:row>
          <xdr:rowOff>0</xdr:rowOff>
        </xdr:to>
        <xdr:sp macro="" textlink="">
          <xdr:nvSpPr>
            <xdr:cNvPr id="1034" name="Butto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19</xdr:row>
          <xdr:rowOff>0</xdr:rowOff>
        </xdr:from>
        <xdr:to>
          <xdr:col>1</xdr:col>
          <xdr:colOff>12700</xdr:colOff>
          <xdr:row>19</xdr:row>
          <xdr:rowOff>0</xdr:rowOff>
        </xdr:to>
        <xdr:sp macro="" textlink="">
          <xdr:nvSpPr>
            <xdr:cNvPr id="1035" name="Button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19</xdr:row>
          <xdr:rowOff>0</xdr:rowOff>
        </xdr:from>
        <xdr:to>
          <xdr:col>1</xdr:col>
          <xdr:colOff>12700</xdr:colOff>
          <xdr:row>19</xdr:row>
          <xdr:rowOff>0</xdr:rowOff>
        </xdr:to>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19</xdr:row>
          <xdr:rowOff>0</xdr:rowOff>
        </xdr:from>
        <xdr:to>
          <xdr:col>1</xdr:col>
          <xdr:colOff>12700</xdr:colOff>
          <xdr:row>19</xdr:row>
          <xdr:rowOff>0</xdr:rowOff>
        </xdr:to>
        <xdr:sp macro="" textlink="">
          <xdr:nvSpPr>
            <xdr:cNvPr id="1037" name="Button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19</xdr:row>
          <xdr:rowOff>0</xdr:rowOff>
        </xdr:from>
        <xdr:to>
          <xdr:col>1</xdr:col>
          <xdr:colOff>12700</xdr:colOff>
          <xdr:row>19</xdr:row>
          <xdr:rowOff>0</xdr:rowOff>
        </xdr:to>
        <xdr:sp macro="" textlink="">
          <xdr:nvSpPr>
            <xdr:cNvPr id="1038" name="Button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6</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62</xdr:row>
          <xdr:rowOff>0</xdr:rowOff>
        </xdr:from>
        <xdr:to>
          <xdr:col>1</xdr:col>
          <xdr:colOff>12700</xdr:colOff>
          <xdr:row>62</xdr:row>
          <xdr:rowOff>0</xdr:rowOff>
        </xdr:to>
        <xdr:sp macro="" textlink="">
          <xdr:nvSpPr>
            <xdr:cNvPr id="1040" name="Button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Post-Doc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62</xdr:row>
          <xdr:rowOff>0</xdr:rowOff>
        </xdr:from>
        <xdr:to>
          <xdr:col>1</xdr:col>
          <xdr:colOff>12700</xdr:colOff>
          <xdr:row>62</xdr:row>
          <xdr:rowOff>0</xdr:rowOff>
        </xdr:to>
        <xdr:sp macro="" textlink="">
          <xdr:nvSpPr>
            <xdr:cNvPr id="1041" name="Button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Post-Doc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62</xdr:row>
          <xdr:rowOff>0</xdr:rowOff>
        </xdr:from>
        <xdr:to>
          <xdr:col>1</xdr:col>
          <xdr:colOff>12700</xdr:colOff>
          <xdr:row>62</xdr:row>
          <xdr:rowOff>0</xdr:rowOff>
        </xdr:to>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Post-Doc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80</xdr:row>
          <xdr:rowOff>0</xdr:rowOff>
        </xdr:from>
        <xdr:to>
          <xdr:col>1</xdr:col>
          <xdr:colOff>12700</xdr:colOff>
          <xdr:row>81</xdr:row>
          <xdr:rowOff>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86</xdr:row>
          <xdr:rowOff>0</xdr:rowOff>
        </xdr:from>
        <xdr:to>
          <xdr:col>1</xdr:col>
          <xdr:colOff>12700</xdr:colOff>
          <xdr:row>87</xdr:row>
          <xdr:rowOff>0</xdr:rowOff>
        </xdr:to>
        <xdr:sp macro="" textlink="">
          <xdr:nvSpPr>
            <xdr:cNvPr id="1044" name="Button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87</xdr:row>
          <xdr:rowOff>0</xdr:rowOff>
        </xdr:from>
        <xdr:to>
          <xdr:col>1</xdr:col>
          <xdr:colOff>12700</xdr:colOff>
          <xdr:row>87</xdr:row>
          <xdr:rowOff>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87</xdr:row>
          <xdr:rowOff>0</xdr:rowOff>
        </xdr:from>
        <xdr:to>
          <xdr:col>1</xdr:col>
          <xdr:colOff>12700</xdr:colOff>
          <xdr:row>87</xdr:row>
          <xdr:rowOff>0</xdr:rowOff>
        </xdr:to>
        <xdr:sp macro="" textlink="">
          <xdr:nvSpPr>
            <xdr:cNvPr id="1046" name="Button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118</xdr:row>
          <xdr:rowOff>114300</xdr:rowOff>
        </xdr:from>
        <xdr:to>
          <xdr:col>1</xdr:col>
          <xdr:colOff>12700</xdr:colOff>
          <xdr:row>119</xdr:row>
          <xdr:rowOff>114300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student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125</xdr:row>
          <xdr:rowOff>0</xdr:rowOff>
        </xdr:from>
        <xdr:to>
          <xdr:col>1</xdr:col>
          <xdr:colOff>12700</xdr:colOff>
          <xdr:row>126</xdr:row>
          <xdr:rowOff>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126</xdr:row>
          <xdr:rowOff>0</xdr:rowOff>
        </xdr:from>
        <xdr:to>
          <xdr:col>1</xdr:col>
          <xdr:colOff>12700</xdr:colOff>
          <xdr:row>126</xdr:row>
          <xdr:rowOff>0</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126</xdr:row>
          <xdr:rowOff>0</xdr:rowOff>
        </xdr:from>
        <xdr:to>
          <xdr:col>1</xdr:col>
          <xdr:colOff>12700</xdr:colOff>
          <xdr:row>126</xdr:row>
          <xdr:rowOff>0</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161</xdr:row>
          <xdr:rowOff>114300</xdr:rowOff>
        </xdr:from>
        <xdr:to>
          <xdr:col>1</xdr:col>
          <xdr:colOff>12700</xdr:colOff>
          <xdr:row>162</xdr:row>
          <xdr:rowOff>114300</xdr:rowOff>
        </xdr:to>
        <xdr:sp macro="" textlink="">
          <xdr:nvSpPr>
            <xdr:cNvPr id="1052" name="Button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164</xdr:row>
          <xdr:rowOff>0</xdr:rowOff>
        </xdr:from>
        <xdr:to>
          <xdr:col>1</xdr:col>
          <xdr:colOff>12700</xdr:colOff>
          <xdr:row>164</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164</xdr:row>
          <xdr:rowOff>0</xdr:rowOff>
        </xdr:from>
        <xdr:to>
          <xdr:col>1</xdr:col>
          <xdr:colOff>12700</xdr:colOff>
          <xdr:row>164</xdr:row>
          <xdr:rowOff>0</xdr:rowOff>
        </xdr:to>
        <xdr:sp macro="" textlink="">
          <xdr:nvSpPr>
            <xdr:cNvPr id="1054" name="Button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0</xdr:row>
          <xdr:rowOff>342900</xdr:rowOff>
        </xdr:from>
        <xdr:to>
          <xdr:col>14</xdr:col>
          <xdr:colOff>0</xdr:colOff>
          <xdr:row>1</xdr:row>
          <xdr:rowOff>0</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Yr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25400</xdr:colOff>
          <xdr:row>0</xdr:row>
          <xdr:rowOff>330200</xdr:rowOff>
        </xdr:from>
        <xdr:to>
          <xdr:col>13</xdr:col>
          <xdr:colOff>0</xdr:colOff>
          <xdr:row>0</xdr:row>
          <xdr:rowOff>469900</xdr:rowOff>
        </xdr:to>
        <xdr:sp macro="" textlink="">
          <xdr:nvSpPr>
            <xdr:cNvPr id="1059" name="Button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Yr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927100</xdr:colOff>
          <xdr:row>0</xdr:row>
          <xdr:rowOff>330200</xdr:rowOff>
        </xdr:from>
        <xdr:to>
          <xdr:col>9</xdr:col>
          <xdr:colOff>901700</xdr:colOff>
          <xdr:row>0</xdr:row>
          <xdr:rowOff>457200</xdr:rowOff>
        </xdr:to>
        <xdr:sp macro="" textlink="">
          <xdr:nvSpPr>
            <xdr:cNvPr id="1060" name="Button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Yr 3</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12700</xdr:colOff>
          <xdr:row>0</xdr:row>
          <xdr:rowOff>330200</xdr:rowOff>
        </xdr:from>
        <xdr:to>
          <xdr:col>6</xdr:col>
          <xdr:colOff>927100</xdr:colOff>
          <xdr:row>0</xdr:row>
          <xdr:rowOff>457200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Yr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12700</xdr:colOff>
          <xdr:row>9</xdr:row>
          <xdr:rowOff>50800</xdr:rowOff>
        </xdr:from>
        <xdr:to>
          <xdr:col>1</xdr:col>
          <xdr:colOff>12700</xdr:colOff>
          <xdr:row>11</xdr:row>
          <xdr:rowOff>12700</xdr:rowOff>
        </xdr:to>
        <xdr:sp macro="" textlink="">
          <xdr:nvSpPr>
            <xdr:cNvPr id="1066" name="Button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Co-PI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59</xdr:row>
          <xdr:rowOff>0</xdr:rowOff>
        </xdr:from>
        <xdr:to>
          <xdr:col>1</xdr:col>
          <xdr:colOff>12700</xdr:colOff>
          <xdr:row>60</xdr:row>
          <xdr:rowOff>0</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 Doc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62</xdr:row>
          <xdr:rowOff>0</xdr:rowOff>
        </xdr:from>
        <xdr:to>
          <xdr:col>1</xdr:col>
          <xdr:colOff>12700</xdr:colOff>
          <xdr:row>62</xdr:row>
          <xdr:rowOff>0</xdr:rowOff>
        </xdr:to>
        <xdr:sp macro="" textlink="">
          <xdr:nvSpPr>
            <xdr:cNvPr id="1068" name="Button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Post-Doc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62</xdr:row>
          <xdr:rowOff>0</xdr:rowOff>
        </xdr:from>
        <xdr:to>
          <xdr:col>1</xdr:col>
          <xdr:colOff>12700</xdr:colOff>
          <xdr:row>62</xdr:row>
          <xdr:rowOff>0</xdr:rowOff>
        </xdr:to>
        <xdr:sp macro="" textlink="">
          <xdr:nvSpPr>
            <xdr:cNvPr id="1069" name="Button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Post-Doc 6</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87</xdr:row>
          <xdr:rowOff>0</xdr:rowOff>
        </xdr:from>
        <xdr:to>
          <xdr:col>1</xdr:col>
          <xdr:colOff>12700</xdr:colOff>
          <xdr:row>87</xdr:row>
          <xdr:rowOff>0</xdr:rowOff>
        </xdr:to>
        <xdr:sp macro="" textlink="">
          <xdr:nvSpPr>
            <xdr:cNvPr id="1070" name="Button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87</xdr:row>
          <xdr:rowOff>0</xdr:rowOff>
        </xdr:from>
        <xdr:to>
          <xdr:col>1</xdr:col>
          <xdr:colOff>12700</xdr:colOff>
          <xdr:row>87</xdr:row>
          <xdr:rowOff>0</xdr:rowOff>
        </xdr:to>
        <xdr:sp macro="" textlink="">
          <xdr:nvSpPr>
            <xdr:cNvPr id="1071" name="Button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Grad Student 6</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126</xdr:row>
          <xdr:rowOff>0</xdr:rowOff>
        </xdr:from>
        <xdr:to>
          <xdr:col>1</xdr:col>
          <xdr:colOff>12700</xdr:colOff>
          <xdr:row>126</xdr:row>
          <xdr:rowOff>0</xdr:rowOff>
        </xdr:to>
        <xdr:sp macro="" textlink="">
          <xdr:nvSpPr>
            <xdr:cNvPr id="1072" name="Button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126</xdr:row>
          <xdr:rowOff>0</xdr:rowOff>
        </xdr:from>
        <xdr:to>
          <xdr:col>1</xdr:col>
          <xdr:colOff>12700</xdr:colOff>
          <xdr:row>126</xdr:row>
          <xdr:rowOff>0</xdr:rowOff>
        </xdr:to>
        <xdr:sp macro="" textlink="">
          <xdr:nvSpPr>
            <xdr:cNvPr id="1073" name="Button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Undergrad 6</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158</xdr:row>
          <xdr:rowOff>0</xdr:rowOff>
        </xdr:from>
        <xdr:to>
          <xdr:col>1</xdr:col>
          <xdr:colOff>12700</xdr:colOff>
          <xdr:row>159</xdr:row>
          <xdr:rowOff>0</xdr:rowOff>
        </xdr:to>
        <xdr:sp macro="" textlink="">
          <xdr:nvSpPr>
            <xdr:cNvPr id="1074" name="Button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164</xdr:row>
          <xdr:rowOff>0</xdr:rowOff>
        </xdr:from>
        <xdr:to>
          <xdr:col>1</xdr:col>
          <xdr:colOff>12700</xdr:colOff>
          <xdr:row>164</xdr:row>
          <xdr:rowOff>0</xdr:rowOff>
        </xdr:to>
        <xdr:sp macro="" textlink="">
          <xdr:nvSpPr>
            <xdr:cNvPr id="1075" name="Button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5</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164</xdr:row>
          <xdr:rowOff>0</xdr:rowOff>
        </xdr:from>
        <xdr:to>
          <xdr:col>1</xdr:col>
          <xdr:colOff>12700</xdr:colOff>
          <xdr:row>164</xdr:row>
          <xdr:rowOff>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IH employee 6</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0</xdr:row>
          <xdr:rowOff>342900</xdr:rowOff>
        </xdr:from>
        <xdr:to>
          <xdr:col>17</xdr:col>
          <xdr:colOff>0</xdr:colOff>
          <xdr:row>1</xdr:row>
          <xdr:rowOff>0</xdr:rowOff>
        </xdr:to>
        <xdr:sp macro="" textlink="">
          <xdr:nvSpPr>
            <xdr:cNvPr id="1080" name="Button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pitchFamily="2" charset="0"/>
                  <a:cs typeface="Arial" pitchFamily="2" charset="0"/>
                </a:rPr>
                <a:t>Add Yr 5</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13</xdr:col>
      <xdr:colOff>241301</xdr:colOff>
      <xdr:row>34</xdr:row>
      <xdr:rowOff>215900</xdr:rowOff>
    </xdr:from>
    <xdr:to>
      <xdr:col>13</xdr:col>
      <xdr:colOff>2116666</xdr:colOff>
      <xdr:row>51</xdr:row>
      <xdr:rowOff>203200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09568" y="7937500"/>
          <a:ext cx="1875365" cy="376343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t>F&amp;A (Overhead/Indirect) rates for FY18-19</a:t>
          </a:r>
        </a:p>
        <a:p>
          <a:pPr algn="ctr"/>
          <a:endParaRPr lang="en-US" sz="1200"/>
        </a:p>
        <a:p>
          <a:pPr algn="ctr"/>
          <a:r>
            <a:rPr lang="en-US" sz="1200"/>
            <a:t>On campus</a:t>
          </a:r>
          <a:r>
            <a:rPr lang="en-US" sz="1200" baseline="0"/>
            <a:t> Research              47.5%</a:t>
          </a:r>
        </a:p>
        <a:p>
          <a:pPr algn="ctr"/>
          <a:r>
            <a:rPr lang="en-US" sz="1200" baseline="0"/>
            <a:t>Off campus Research                 26%</a:t>
          </a:r>
        </a:p>
        <a:p>
          <a:pPr algn="ctr"/>
          <a:r>
            <a:rPr lang="en-US" sz="1200" baseline="0"/>
            <a:t>On campus Instruction           58%</a:t>
          </a:r>
        </a:p>
        <a:p>
          <a:pPr algn="ctr"/>
          <a:r>
            <a:rPr lang="en-US" sz="1200" baseline="0"/>
            <a:t>Off campus Instruction              26%</a:t>
          </a:r>
        </a:p>
        <a:p>
          <a:pPr algn="ctr"/>
          <a:r>
            <a:rPr lang="en-US" sz="1200" baseline="0"/>
            <a:t>Ag&amp;Forestry Exp Station        34%</a:t>
          </a:r>
        </a:p>
        <a:p>
          <a:pPr algn="ctr"/>
          <a:r>
            <a:rPr lang="en-US" sz="1200" baseline="0"/>
            <a:t>On campus public service      34%</a:t>
          </a:r>
        </a:p>
        <a:p>
          <a:pPr algn="ctr"/>
          <a:r>
            <a:rPr lang="en-US" sz="1200" baseline="0"/>
            <a:t>Off Campus Public Service        26%</a:t>
          </a:r>
        </a:p>
        <a:p>
          <a:pPr algn="ctr"/>
          <a:r>
            <a:rPr lang="en-US" sz="1200" baseline="0"/>
            <a:t>All State of Idaho agencies       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8" Type="http://schemas.openxmlformats.org/officeDocument/2006/relationships/ctrlProp" Target="../ctrlProps/ctrlProp6.x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students.uidaho.edu/default.aspx?pid=107090"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89999084444715716"/>
  </sheetPr>
  <dimension ref="A1"/>
  <sheetViews>
    <sheetView workbookViewId="0">
      <selection activeCell="N6" sqref="N6"/>
    </sheetView>
  </sheetViews>
  <sheetFormatPr baseColWidth="10" defaultColWidth="8.83203125" defaultRowHeight="13" x14ac:dyDescent="0.15"/>
  <cols>
    <col min="1" max="16384" width="8.83203125" style="260"/>
  </cols>
  <sheetData/>
  <sheetProtection sheet="1" objects="1" scenarios="1"/>
  <phoneticPr fontId="2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tint="-0.249977111117893"/>
  </sheetPr>
  <dimension ref="A1:BL223"/>
  <sheetViews>
    <sheetView topLeftCell="A117" zoomScale="118" zoomScaleNormal="118" zoomScalePageLayoutView="90" workbookViewId="0">
      <selection activeCell="E126" sqref="E126"/>
    </sheetView>
  </sheetViews>
  <sheetFormatPr baseColWidth="10" defaultColWidth="8.83203125" defaultRowHeight="13" x14ac:dyDescent="0.15"/>
  <cols>
    <col min="1" max="1" width="23.5" style="260" bestFit="1" customWidth="1"/>
    <col min="2" max="2" width="13.83203125" style="260" customWidth="1"/>
    <col min="3" max="3" width="15.33203125" style="260" customWidth="1"/>
    <col min="4" max="4" width="13.33203125" style="123" customWidth="1"/>
    <col min="5" max="5" width="17.33203125" style="260" customWidth="1"/>
    <col min="6" max="6" width="16.6640625" style="191" customWidth="1"/>
    <col min="7" max="7" width="18.5" style="191" customWidth="1"/>
    <col min="8" max="8" width="1.5" style="91" customWidth="1"/>
    <col min="9" max="9" width="15.5" style="191" customWidth="1"/>
    <col min="10" max="10" width="16.1640625" style="191" customWidth="1"/>
    <col min="11" max="11" width="0.83203125" style="91" customWidth="1"/>
    <col min="12" max="12" width="14.5" style="191" customWidth="1"/>
    <col min="13" max="13" width="14.1640625" style="191" customWidth="1"/>
    <col min="14" max="14" width="0.6640625" style="91" customWidth="1"/>
    <col min="15" max="15" width="14.5" style="191" customWidth="1"/>
    <col min="16" max="16" width="15.83203125" style="191" customWidth="1"/>
    <col min="17" max="17" width="0.6640625" style="91" customWidth="1"/>
    <col min="18" max="18" width="13.83203125" style="191" customWidth="1"/>
    <col min="19" max="19" width="14.1640625" style="191" customWidth="1"/>
    <col min="20" max="20" width="0.83203125" style="91" customWidth="1"/>
    <col min="21" max="21" width="13" style="260" customWidth="1"/>
    <col min="22" max="22" width="0.83203125" style="145" customWidth="1"/>
    <col min="23" max="23" width="8.83203125" style="260" hidden="1" customWidth="1"/>
    <col min="24" max="24" width="11.5" style="260" hidden="1" customWidth="1"/>
    <col min="25" max="25" width="1.33203125" style="260" hidden="1" customWidth="1"/>
    <col min="26" max="26" width="1" style="260" hidden="1" customWidth="1"/>
    <col min="27" max="27" width="2.1640625" style="260" hidden="1" customWidth="1"/>
    <col min="28" max="28" width="7.83203125" style="244" hidden="1" customWidth="1"/>
    <col min="29" max="30" width="7.83203125" style="260" hidden="1" customWidth="1"/>
    <col min="31" max="38" width="11.5" style="260" hidden="1" customWidth="1"/>
    <col min="39" max="16384" width="8.83203125" style="260"/>
  </cols>
  <sheetData>
    <row r="1" spans="1:64" s="283" customFormat="1" ht="50.25" customHeight="1" x14ac:dyDescent="0.15">
      <c r="A1" s="74" t="s">
        <v>125</v>
      </c>
      <c r="B1" s="74" t="s">
        <v>131</v>
      </c>
      <c r="C1" s="74" t="s">
        <v>172</v>
      </c>
      <c r="D1" s="74" t="s">
        <v>119</v>
      </c>
      <c r="E1" s="74" t="s">
        <v>122</v>
      </c>
      <c r="F1" s="280" t="s">
        <v>170</v>
      </c>
      <c r="G1" s="56" t="s">
        <v>178</v>
      </c>
      <c r="H1" s="94"/>
      <c r="I1" s="280" t="s">
        <v>171</v>
      </c>
      <c r="J1" s="56" t="s">
        <v>179</v>
      </c>
      <c r="K1" s="94"/>
      <c r="L1" s="280" t="s">
        <v>173</v>
      </c>
      <c r="M1" s="56" t="s">
        <v>180</v>
      </c>
      <c r="N1" s="94"/>
      <c r="O1" s="280" t="s">
        <v>175</v>
      </c>
      <c r="P1" s="56" t="s">
        <v>181</v>
      </c>
      <c r="Q1" s="94"/>
      <c r="R1" s="280" t="s">
        <v>174</v>
      </c>
      <c r="S1" s="56" t="s">
        <v>227</v>
      </c>
      <c r="T1" s="94"/>
      <c r="U1" s="74" t="s">
        <v>143</v>
      </c>
      <c r="V1" s="281"/>
      <c r="W1" s="282"/>
      <c r="X1" s="282"/>
      <c r="Y1" s="282"/>
      <c r="AE1" s="284" t="s">
        <v>160</v>
      </c>
      <c r="AX1" s="312"/>
      <c r="AY1" s="312"/>
      <c r="AZ1" s="312"/>
      <c r="BA1" s="312"/>
      <c r="BB1" s="312"/>
      <c r="BC1" s="312"/>
      <c r="BD1" s="312"/>
      <c r="BE1" s="312"/>
      <c r="BF1" s="312"/>
      <c r="BG1" s="312"/>
      <c r="BH1" s="312"/>
      <c r="BI1" s="312"/>
      <c r="BJ1" s="312"/>
      <c r="BK1" s="312"/>
      <c r="BL1" s="312"/>
    </row>
    <row r="2" spans="1:64" s="96" customFormat="1" ht="6" customHeight="1" thickBot="1" x14ac:dyDescent="0.2">
      <c r="A2" s="85"/>
      <c r="B2" s="85"/>
      <c r="C2" s="85"/>
      <c r="D2" s="285"/>
      <c r="E2" s="286"/>
      <c r="F2" s="86"/>
      <c r="G2" s="86"/>
      <c r="H2" s="86"/>
      <c r="I2" s="86"/>
      <c r="J2" s="86"/>
      <c r="K2" s="86"/>
      <c r="L2" s="86"/>
      <c r="M2" s="86"/>
      <c r="N2" s="86"/>
      <c r="O2" s="86"/>
      <c r="P2" s="86"/>
      <c r="Q2" s="86"/>
      <c r="R2" s="86"/>
      <c r="S2" s="86"/>
      <c r="T2" s="86"/>
      <c r="U2" s="85"/>
      <c r="V2" s="143"/>
      <c r="W2" s="242"/>
      <c r="X2" s="201"/>
      <c r="Y2" s="201"/>
      <c r="Z2" s="262"/>
      <c r="AA2" s="257"/>
      <c r="AB2" s="262"/>
      <c r="AC2" s="257"/>
      <c r="AD2" s="257"/>
      <c r="AE2" s="179" t="s">
        <v>154</v>
      </c>
      <c r="AF2" s="180"/>
      <c r="AG2" s="179" t="s">
        <v>155</v>
      </c>
      <c r="AH2" s="179"/>
      <c r="AI2" s="257"/>
      <c r="AJ2" s="257"/>
      <c r="AK2" s="257"/>
      <c r="AL2" s="257"/>
      <c r="AM2" s="257"/>
      <c r="AN2" s="257"/>
      <c r="AO2" s="257"/>
      <c r="AP2" s="287"/>
      <c r="AQ2" s="242"/>
      <c r="AR2" s="201"/>
      <c r="AS2" s="201"/>
      <c r="AT2" s="257"/>
      <c r="AU2" s="257"/>
      <c r="AV2" s="257"/>
      <c r="AW2" s="257"/>
      <c r="AX2" s="257"/>
      <c r="AY2" s="257"/>
      <c r="AZ2" s="257"/>
      <c r="BA2" s="257"/>
      <c r="BB2" s="257"/>
      <c r="BC2" s="257"/>
      <c r="BD2" s="257"/>
      <c r="BE2" s="257"/>
      <c r="BF2" s="257"/>
      <c r="BG2" s="257"/>
      <c r="BH2" s="257"/>
      <c r="BI2" s="257"/>
      <c r="BJ2" s="257"/>
      <c r="BK2" s="257"/>
      <c r="BL2" s="257"/>
    </row>
    <row r="3" spans="1:64" s="128" customFormat="1" x14ac:dyDescent="0.15">
      <c r="A3" s="257" t="s">
        <v>204</v>
      </c>
      <c r="B3" s="176" t="s">
        <v>241</v>
      </c>
      <c r="C3" s="193">
        <f>73632</f>
        <v>73632</v>
      </c>
      <c r="D3" s="80">
        <v>2.5000000000000001E-2</v>
      </c>
      <c r="E3" s="38" t="s">
        <v>148</v>
      </c>
      <c r="F3" s="80">
        <v>0</v>
      </c>
      <c r="G3" s="182">
        <f>C3*F3</f>
        <v>0</v>
      </c>
      <c r="H3" s="263"/>
      <c r="I3" s="80">
        <v>0</v>
      </c>
      <c r="J3" s="182">
        <f>($C$3*$I$3)*(1+$D$3)</f>
        <v>0</v>
      </c>
      <c r="K3" s="263"/>
      <c r="L3" s="80">
        <v>0</v>
      </c>
      <c r="M3" s="182">
        <f>($C$3*L3)*((1+$D$3)*(1+$D$3))</f>
        <v>0</v>
      </c>
      <c r="N3" s="263"/>
      <c r="O3" s="80">
        <v>0</v>
      </c>
      <c r="P3" s="182">
        <f>($C$3*O3)*((1+$D$3)*(1+$D$3)*(1+$D$3))</f>
        <v>0</v>
      </c>
      <c r="Q3" s="263"/>
      <c r="R3" s="80">
        <v>0</v>
      </c>
      <c r="S3" s="182">
        <f>($C$3*R3)*((1+$D$3)*(1+$D$3)*(1+$D$3))</f>
        <v>0</v>
      </c>
      <c r="T3" s="263"/>
      <c r="U3" s="182">
        <f>SUM(G3+J3+M3+P3+S3)</f>
        <v>0</v>
      </c>
      <c r="V3" s="127"/>
      <c r="W3" s="288"/>
      <c r="X3" s="240"/>
      <c r="Y3" s="131"/>
      <c r="Z3" s="257" t="s">
        <v>152</v>
      </c>
      <c r="AA3" s="257"/>
      <c r="AB3" s="257"/>
      <c r="AC3" s="257"/>
      <c r="AD3" s="257"/>
      <c r="AE3" s="179">
        <v>0</v>
      </c>
      <c r="AF3" s="180">
        <v>0.66</v>
      </c>
      <c r="AG3" s="179">
        <v>0</v>
      </c>
      <c r="AH3" s="180">
        <v>0.66</v>
      </c>
      <c r="AI3" s="257"/>
      <c r="AJ3" s="257"/>
      <c r="AK3" s="257"/>
      <c r="AL3" s="257"/>
      <c r="AM3" s="257"/>
      <c r="AN3" s="257"/>
      <c r="AO3" s="257"/>
      <c r="AP3" s="241"/>
      <c r="AQ3" s="288"/>
      <c r="AR3" s="240"/>
      <c r="AS3" s="131"/>
      <c r="AT3" s="257"/>
      <c r="AU3" s="257"/>
      <c r="AV3" s="257"/>
      <c r="AW3" s="257"/>
      <c r="AX3" s="257"/>
      <c r="AY3" s="257"/>
      <c r="AZ3" s="257"/>
      <c r="BA3" s="257"/>
      <c r="BB3" s="257"/>
      <c r="BC3" s="257"/>
      <c r="BD3" s="257"/>
      <c r="BE3" s="257"/>
      <c r="BF3" s="257"/>
      <c r="BG3" s="257"/>
      <c r="BH3" s="257"/>
      <c r="BI3" s="257"/>
      <c r="BJ3" s="257"/>
      <c r="BK3" s="257"/>
      <c r="BL3" s="257"/>
    </row>
    <row r="4" spans="1:64" s="128" customFormat="1" x14ac:dyDescent="0.15">
      <c r="A4" s="257" t="s">
        <v>205</v>
      </c>
      <c r="B4" s="257"/>
      <c r="C4" s="177">
        <f>IF(E3="Academic (9 month)",C3*(13/39),"0")</f>
        <v>24544</v>
      </c>
      <c r="D4" s="190"/>
      <c r="E4" s="178"/>
      <c r="F4" s="80">
        <f>0.23</f>
        <v>0.23</v>
      </c>
      <c r="G4" s="182">
        <f>F4*C4</f>
        <v>5645.12</v>
      </c>
      <c r="H4" s="263"/>
      <c r="I4" s="80">
        <v>0.23</v>
      </c>
      <c r="J4" s="182">
        <f>($C$4*I4)*(1+$D$3)</f>
        <v>5786.2479999999996</v>
      </c>
      <c r="K4" s="263"/>
      <c r="L4" s="80">
        <f>0.23</f>
        <v>0.23</v>
      </c>
      <c r="M4" s="182">
        <f>($C$4*L4)*((1+$D$3)*(1+$D$3))</f>
        <v>5930.904199999999</v>
      </c>
      <c r="N4" s="263"/>
      <c r="O4" s="80">
        <v>0</v>
      </c>
      <c r="P4" s="182">
        <f>($C$4*O4)*((1+$D$3)*(1+$D$3)*(1+$D$3))</f>
        <v>0</v>
      </c>
      <c r="Q4" s="263"/>
      <c r="R4" s="80">
        <v>0</v>
      </c>
      <c r="S4" s="182">
        <f>($C$4*R4)*((1+$D$3)*(1+$D$3)*(1+$D$3)*(1+$D$3))</f>
        <v>0</v>
      </c>
      <c r="T4" s="263"/>
      <c r="U4" s="182">
        <f>SUM(G4+J4+M4+P4+S4)</f>
        <v>17362.272199999999</v>
      </c>
      <c r="V4" s="127"/>
      <c r="W4" s="240"/>
      <c r="X4" s="129"/>
      <c r="Y4" s="289"/>
      <c r="Z4" s="262"/>
      <c r="AA4" s="257"/>
      <c r="AB4" s="257"/>
      <c r="AC4" s="257"/>
      <c r="AD4" s="257"/>
      <c r="AE4" s="179">
        <v>20000</v>
      </c>
      <c r="AF4" s="180">
        <v>0.66</v>
      </c>
      <c r="AG4" s="179">
        <v>20000</v>
      </c>
      <c r="AH4" s="180">
        <v>0.66</v>
      </c>
      <c r="AI4" s="257"/>
      <c r="AJ4" s="257"/>
      <c r="AK4" s="257"/>
      <c r="AL4" s="257"/>
      <c r="AM4" s="257"/>
      <c r="AN4" s="257"/>
      <c r="AO4" s="257"/>
      <c r="AP4" s="241"/>
      <c r="AQ4" s="240"/>
      <c r="AR4" s="129"/>
      <c r="AS4" s="289"/>
      <c r="AT4" s="257"/>
      <c r="AU4" s="257"/>
      <c r="AV4" s="257"/>
      <c r="AW4" s="257"/>
      <c r="AX4" s="257"/>
      <c r="AY4" s="257"/>
      <c r="AZ4" s="257"/>
      <c r="BA4" s="257"/>
      <c r="BB4" s="257"/>
      <c r="BC4" s="257"/>
      <c r="BD4" s="257"/>
      <c r="BE4" s="257"/>
      <c r="BF4" s="257"/>
      <c r="BG4" s="257"/>
      <c r="BH4" s="257"/>
      <c r="BI4" s="257"/>
      <c r="BJ4" s="257"/>
      <c r="BK4" s="257"/>
      <c r="BL4" s="257"/>
    </row>
    <row r="5" spans="1:64" s="258" customFormat="1" ht="14" thickBot="1" x14ac:dyDescent="0.2">
      <c r="A5" s="258" t="s">
        <v>49</v>
      </c>
      <c r="C5" s="14"/>
      <c r="D5" s="55"/>
      <c r="E5" s="259"/>
      <c r="F5" s="81">
        <f>IF(E3="Academic (9 month)",(G3+G4)/(C3+C4),F3)</f>
        <v>5.7499999999999996E-2</v>
      </c>
      <c r="G5" s="183">
        <f>SUM(G3:G4)</f>
        <v>5645.12</v>
      </c>
      <c r="H5" s="89"/>
      <c r="I5" s="81">
        <f>IF($E$3="Academic (9 month)",(J3+J4)/(($C$3+$C$4)*(1+$D$3)),I3)</f>
        <v>5.7500000000000002E-2</v>
      </c>
      <c r="J5" s="183">
        <f>SUM(J3:J4)</f>
        <v>5786.2479999999996</v>
      </c>
      <c r="K5" s="89"/>
      <c r="L5" s="81">
        <f>IF($E$3="Academic (9 month)",(M3+M4)/(($C$3+$C$4)*(1+($D$3*2))),L3)</f>
        <v>5.7534226190476177E-2</v>
      </c>
      <c r="M5" s="183">
        <f>SUM(M3:M4)</f>
        <v>5930.904199999999</v>
      </c>
      <c r="N5" s="89"/>
      <c r="O5" s="81">
        <f>IF($E$3="Academic (9 month)",(P3+P4)/(($C$3+$C$4)*(1+($D$3*2))),O3)</f>
        <v>0</v>
      </c>
      <c r="P5" s="183">
        <f>SUM(P3:P4)</f>
        <v>0</v>
      </c>
      <c r="Q5" s="89"/>
      <c r="R5" s="81">
        <f>IF($E$3="Academic (9 month)",(S3+S4)/(($C$3+$C$4)*(1+($D$3*2))),R3)</f>
        <v>0</v>
      </c>
      <c r="S5" s="183">
        <f>SUM(S3:S4)</f>
        <v>0</v>
      </c>
      <c r="T5" s="89"/>
      <c r="U5" s="43">
        <f>SUM(U3:U4)</f>
        <v>17362.272199999999</v>
      </c>
      <c r="V5" s="110"/>
      <c r="W5" s="45"/>
      <c r="X5" s="45"/>
      <c r="Y5" s="184"/>
      <c r="Z5" s="262"/>
      <c r="AA5" s="259"/>
      <c r="AB5" s="259"/>
      <c r="AC5" s="259"/>
      <c r="AD5" s="259"/>
      <c r="AE5" s="179">
        <v>25000</v>
      </c>
      <c r="AF5" s="180">
        <v>0.56999999999999995</v>
      </c>
      <c r="AG5" s="179">
        <v>25000</v>
      </c>
      <c r="AH5" s="180">
        <v>0.56999999999999995</v>
      </c>
      <c r="AI5" s="259"/>
      <c r="AJ5" s="259"/>
      <c r="AK5" s="259"/>
      <c r="AL5" s="259"/>
      <c r="AM5" s="259"/>
      <c r="AN5" s="259"/>
      <c r="AO5" s="259"/>
      <c r="AP5" s="44"/>
      <c r="AQ5" s="45"/>
      <c r="AR5" s="45"/>
      <c r="AS5" s="184"/>
      <c r="AT5" s="259"/>
      <c r="AU5" s="259"/>
      <c r="AV5" s="259"/>
      <c r="AW5" s="259"/>
      <c r="AX5" s="259"/>
      <c r="AY5" s="259"/>
      <c r="AZ5" s="259"/>
      <c r="BA5" s="259"/>
      <c r="BB5" s="259"/>
      <c r="BC5" s="259"/>
      <c r="BD5" s="259"/>
      <c r="BE5" s="259"/>
      <c r="BF5" s="259"/>
      <c r="BG5" s="259"/>
      <c r="BH5" s="259"/>
      <c r="BI5" s="259"/>
      <c r="BJ5" s="259"/>
      <c r="BK5" s="259"/>
      <c r="BL5" s="259"/>
    </row>
    <row r="6" spans="1:64" s="128" customFormat="1" ht="14" thickTop="1" x14ac:dyDescent="0.15">
      <c r="A6" s="257" t="s">
        <v>176</v>
      </c>
      <c r="B6" s="257" t="str">
        <f>B3</f>
        <v>Jessica Stanley</v>
      </c>
      <c r="C6" s="177"/>
      <c r="D6" s="189"/>
      <c r="E6" s="47" t="s">
        <v>183</v>
      </c>
      <c r="F6" s="83">
        <v>0.307</v>
      </c>
      <c r="G6" s="48">
        <f>G3*F6</f>
        <v>0</v>
      </c>
      <c r="H6" s="90"/>
      <c r="I6" s="206"/>
      <c r="J6" s="182">
        <f>F6*J3</f>
        <v>0</v>
      </c>
      <c r="K6" s="263"/>
      <c r="L6" s="206"/>
      <c r="M6" s="182">
        <f>F6*M3</f>
        <v>0</v>
      </c>
      <c r="N6" s="263"/>
      <c r="O6" s="206"/>
      <c r="P6" s="182">
        <f>F6*P3</f>
        <v>0</v>
      </c>
      <c r="Q6" s="263"/>
      <c r="R6" s="206"/>
      <c r="S6" s="182">
        <f>I6*S3</f>
        <v>0</v>
      </c>
      <c r="T6" s="263"/>
      <c r="U6" s="177"/>
      <c r="V6" s="127"/>
      <c r="W6" s="240"/>
      <c r="X6" s="201"/>
      <c r="Y6" s="184"/>
      <c r="Z6" s="262"/>
      <c r="AA6" s="257"/>
      <c r="AB6" s="257"/>
      <c r="AC6" s="257"/>
      <c r="AD6" s="257"/>
      <c r="AE6" s="179">
        <v>30000</v>
      </c>
      <c r="AF6" s="180">
        <v>0.52</v>
      </c>
      <c r="AG6" s="179">
        <v>30000</v>
      </c>
      <c r="AH6" s="180">
        <v>0.52</v>
      </c>
      <c r="AI6" s="257"/>
      <c r="AJ6" s="257"/>
      <c r="AK6" s="257"/>
      <c r="AL6" s="257"/>
      <c r="AM6" s="257"/>
      <c r="AN6" s="257"/>
      <c r="AO6" s="257"/>
      <c r="AP6" s="241"/>
      <c r="AQ6" s="240"/>
      <c r="AR6" s="201"/>
      <c r="AS6" s="184"/>
      <c r="AT6" s="257"/>
      <c r="AU6" s="257"/>
      <c r="AV6" s="257"/>
      <c r="AW6" s="257"/>
      <c r="AX6" s="257"/>
      <c r="AY6" s="257"/>
      <c r="AZ6" s="257"/>
      <c r="BA6" s="257"/>
      <c r="BB6" s="257"/>
      <c r="BC6" s="257"/>
      <c r="BD6" s="257"/>
      <c r="BE6" s="257"/>
      <c r="BF6" s="257"/>
      <c r="BG6" s="257"/>
      <c r="BH6" s="257"/>
      <c r="BI6" s="257"/>
      <c r="BJ6" s="257"/>
      <c r="BK6" s="257"/>
      <c r="BL6" s="257"/>
    </row>
    <row r="7" spans="1:64" s="128" customFormat="1" x14ac:dyDescent="0.15">
      <c r="A7" s="257" t="s">
        <v>177</v>
      </c>
      <c r="B7" s="257"/>
      <c r="C7" s="177"/>
      <c r="D7" s="189"/>
      <c r="E7" s="47" t="s">
        <v>120</v>
      </c>
      <c r="F7" s="83">
        <v>0.307</v>
      </c>
      <c r="G7" s="48">
        <f>G4*F7</f>
        <v>1733.0518399999999</v>
      </c>
      <c r="H7" s="90"/>
      <c r="I7" s="206"/>
      <c r="J7" s="182">
        <f>F7*J4</f>
        <v>1776.3781359999998</v>
      </c>
      <c r="K7" s="263"/>
      <c r="L7" s="206"/>
      <c r="M7" s="182">
        <f>F7*M4</f>
        <v>1820.7875893999997</v>
      </c>
      <c r="N7" s="263"/>
      <c r="O7" s="206"/>
      <c r="P7" s="182">
        <f>F7*P4</f>
        <v>0</v>
      </c>
      <c r="Q7" s="263"/>
      <c r="R7" s="206"/>
      <c r="S7" s="182">
        <f>F7*S4</f>
        <v>0</v>
      </c>
      <c r="T7" s="263"/>
      <c r="U7" s="177"/>
      <c r="V7" s="127"/>
      <c r="W7" s="240"/>
      <c r="X7" s="201"/>
      <c r="Y7" s="184"/>
      <c r="Z7" s="262"/>
      <c r="AA7" s="257"/>
      <c r="AB7" s="257"/>
      <c r="AC7" s="257"/>
      <c r="AD7" s="257"/>
      <c r="AE7" s="179">
        <v>35000</v>
      </c>
      <c r="AF7" s="180">
        <v>0.48</v>
      </c>
      <c r="AG7" s="179">
        <v>35000</v>
      </c>
      <c r="AH7" s="180">
        <v>0.48</v>
      </c>
      <c r="AI7" s="257"/>
      <c r="AJ7" s="257"/>
      <c r="AK7" s="257"/>
      <c r="AL7" s="257"/>
      <c r="AM7" s="257"/>
      <c r="AN7" s="257"/>
      <c r="AO7" s="257"/>
      <c r="AP7" s="241"/>
      <c r="AQ7" s="240"/>
      <c r="AR7" s="201"/>
      <c r="AS7" s="184"/>
      <c r="AT7" s="257"/>
      <c r="AU7" s="257"/>
      <c r="AV7" s="257"/>
      <c r="AW7" s="257"/>
      <c r="AX7" s="257"/>
      <c r="AY7" s="257"/>
      <c r="AZ7" s="257"/>
      <c r="BA7" s="257"/>
      <c r="BB7" s="257"/>
      <c r="BC7" s="257"/>
      <c r="BD7" s="257"/>
      <c r="BE7" s="257"/>
      <c r="BF7" s="257"/>
      <c r="BG7" s="257"/>
      <c r="BH7" s="257"/>
      <c r="BI7" s="257"/>
      <c r="BJ7" s="257"/>
      <c r="BK7" s="257"/>
      <c r="BL7" s="257"/>
    </row>
    <row r="8" spans="1:64" s="128" customFormat="1" ht="14" thickBot="1" x14ac:dyDescent="0.2">
      <c r="A8" s="259" t="s">
        <v>50</v>
      </c>
      <c r="B8" s="257"/>
      <c r="C8" s="177"/>
      <c r="D8" s="189"/>
      <c r="E8" s="178"/>
      <c r="F8" s="206"/>
      <c r="G8" s="43">
        <f>SUM(G6:G7)</f>
        <v>1733.0518399999999</v>
      </c>
      <c r="H8" s="88"/>
      <c r="I8" s="206"/>
      <c r="J8" s="43">
        <f>SUM(J6:J7)</f>
        <v>1776.3781359999998</v>
      </c>
      <c r="K8" s="88"/>
      <c r="L8" s="83"/>
      <c r="M8" s="43">
        <f>SUM(M6:M7)</f>
        <v>1820.7875893999997</v>
      </c>
      <c r="N8" s="88"/>
      <c r="O8" s="83"/>
      <c r="P8" s="43">
        <f>SUM(P6:P7)</f>
        <v>0</v>
      </c>
      <c r="Q8" s="88"/>
      <c r="R8" s="83"/>
      <c r="S8" s="43">
        <f>SUM(S6:S7)</f>
        <v>0</v>
      </c>
      <c r="T8" s="89"/>
      <c r="U8" s="39">
        <f>SUM(G8:S8)</f>
        <v>5330.2175653999993</v>
      </c>
      <c r="V8" s="127"/>
      <c r="W8" s="240"/>
      <c r="X8" s="201"/>
      <c r="Y8" s="184"/>
      <c r="Z8" s="262"/>
      <c r="AA8" s="257"/>
      <c r="AB8" s="257"/>
      <c r="AC8" s="257"/>
      <c r="AD8" s="257"/>
      <c r="AE8" s="179">
        <v>40000</v>
      </c>
      <c r="AF8" s="180">
        <v>0.45</v>
      </c>
      <c r="AG8" s="179">
        <v>40000</v>
      </c>
      <c r="AH8" s="180">
        <v>0.45</v>
      </c>
      <c r="AI8" s="257"/>
      <c r="AJ8" s="257"/>
      <c r="AK8" s="257"/>
      <c r="AL8" s="257"/>
      <c r="AM8" s="257"/>
      <c r="AN8" s="257"/>
      <c r="AO8" s="257"/>
      <c r="AP8" s="241"/>
      <c r="AQ8" s="240"/>
      <c r="AR8" s="201"/>
      <c r="AS8" s="184"/>
      <c r="AT8" s="257"/>
      <c r="AU8" s="257"/>
      <c r="AV8" s="257"/>
      <c r="AW8" s="257"/>
      <c r="AX8" s="257"/>
      <c r="AY8" s="257"/>
      <c r="AZ8" s="257"/>
      <c r="BA8" s="257"/>
      <c r="BB8" s="257"/>
      <c r="BC8" s="257"/>
      <c r="BD8" s="257"/>
      <c r="BE8" s="257"/>
      <c r="BF8" s="257"/>
      <c r="BG8" s="257"/>
      <c r="BH8" s="257"/>
      <c r="BI8" s="257"/>
      <c r="BJ8" s="257"/>
      <c r="BK8" s="257"/>
      <c r="BL8" s="257"/>
    </row>
    <row r="9" spans="1:64" s="128" customFormat="1" ht="15" thickTop="1" thickBot="1" x14ac:dyDescent="0.2">
      <c r="A9" s="259" t="s">
        <v>182</v>
      </c>
      <c r="B9" s="257"/>
      <c r="C9" s="177"/>
      <c r="D9" s="189"/>
      <c r="E9" s="178"/>
      <c r="F9" s="206"/>
      <c r="G9" s="261">
        <f>SUM(G5+G8)</f>
        <v>7378.17184</v>
      </c>
      <c r="H9" s="88"/>
      <c r="I9" s="206"/>
      <c r="J9" s="261">
        <f>SUM(J5+J8)</f>
        <v>7562.626135999999</v>
      </c>
      <c r="K9" s="88"/>
      <c r="L9" s="206"/>
      <c r="M9" s="261">
        <f>SUM(M5+M8)</f>
        <v>7751.6917893999989</v>
      </c>
      <c r="N9" s="88"/>
      <c r="O9" s="206"/>
      <c r="P9" s="261">
        <f>SUM(P5+P8)</f>
        <v>0</v>
      </c>
      <c r="Q9" s="88"/>
      <c r="R9" s="206"/>
      <c r="S9" s="261">
        <f>SUM(S5+S8)</f>
        <v>0</v>
      </c>
      <c r="T9" s="88"/>
      <c r="U9" s="52">
        <f>SUM(G9:S9)</f>
        <v>22692.489765399998</v>
      </c>
      <c r="V9" s="127"/>
      <c r="W9" s="240"/>
      <c r="X9" s="201"/>
      <c r="Y9" s="184"/>
      <c r="Z9" s="262"/>
      <c r="AA9" s="257"/>
      <c r="AB9" s="257"/>
      <c r="AC9" s="257"/>
      <c r="AD9" s="257"/>
      <c r="AE9" s="179">
        <v>45000</v>
      </c>
      <c r="AF9" s="180">
        <v>0.42</v>
      </c>
      <c r="AG9" s="179">
        <v>45000</v>
      </c>
      <c r="AH9" s="180">
        <v>0.42</v>
      </c>
      <c r="AI9" s="257"/>
      <c r="AJ9" s="257"/>
      <c r="AK9" s="257"/>
      <c r="AL9" s="257"/>
      <c r="AM9" s="257"/>
      <c r="AN9" s="257"/>
      <c r="AO9" s="257"/>
      <c r="AP9" s="241"/>
      <c r="AQ9" s="240"/>
      <c r="AR9" s="201"/>
      <c r="AS9" s="184"/>
      <c r="AT9" s="257"/>
      <c r="AU9" s="257"/>
      <c r="AV9" s="257"/>
      <c r="AW9" s="257"/>
      <c r="AX9" s="257"/>
      <c r="AY9" s="257"/>
      <c r="AZ9" s="257"/>
      <c r="BA9" s="257"/>
      <c r="BB9" s="257"/>
      <c r="BC9" s="257"/>
      <c r="BD9" s="257"/>
      <c r="BE9" s="257"/>
      <c r="BF9" s="257"/>
      <c r="BG9" s="257"/>
      <c r="BH9" s="257"/>
      <c r="BI9" s="257"/>
      <c r="BJ9" s="257"/>
      <c r="BK9" s="257"/>
      <c r="BL9" s="257"/>
    </row>
    <row r="10" spans="1:64" s="96" customFormat="1" ht="6" customHeight="1" thickTop="1" x14ac:dyDescent="0.15">
      <c r="A10" s="207"/>
      <c r="C10" s="165"/>
      <c r="D10" s="166"/>
      <c r="E10" s="87"/>
      <c r="F10" s="167"/>
      <c r="G10" s="88"/>
      <c r="H10" s="88"/>
      <c r="I10" s="167"/>
      <c r="J10" s="88"/>
      <c r="K10" s="88"/>
      <c r="L10" s="167"/>
      <c r="M10" s="88"/>
      <c r="N10" s="88"/>
      <c r="O10" s="167"/>
      <c r="P10" s="88"/>
      <c r="Q10" s="88"/>
      <c r="R10" s="167"/>
      <c r="S10" s="88"/>
      <c r="T10" s="88"/>
      <c r="U10" s="88"/>
      <c r="V10" s="127"/>
      <c r="W10" s="240"/>
      <c r="X10" s="201"/>
      <c r="Y10" s="184"/>
      <c r="Z10" s="262"/>
      <c r="AA10" s="257"/>
      <c r="AB10" s="257"/>
      <c r="AC10" s="257"/>
      <c r="AD10" s="257"/>
      <c r="AE10" s="179">
        <v>50000</v>
      </c>
      <c r="AF10" s="180">
        <v>0.41</v>
      </c>
      <c r="AG10" s="179">
        <v>50000</v>
      </c>
      <c r="AH10" s="180">
        <v>0.41</v>
      </c>
      <c r="AI10" s="257"/>
      <c r="AJ10" s="257"/>
      <c r="AK10" s="257"/>
      <c r="AL10" s="257"/>
      <c r="AM10" s="257"/>
      <c r="AN10" s="257"/>
      <c r="AO10" s="257"/>
      <c r="AP10" s="241"/>
      <c r="AQ10" s="240"/>
      <c r="AR10" s="201"/>
      <c r="AS10" s="184"/>
      <c r="AT10" s="257"/>
      <c r="AU10" s="257"/>
      <c r="AV10" s="257"/>
      <c r="AW10" s="257"/>
      <c r="AX10" s="257"/>
      <c r="AY10" s="257"/>
      <c r="AZ10" s="257"/>
      <c r="BA10" s="257"/>
      <c r="BB10" s="257"/>
      <c r="BC10" s="257"/>
      <c r="BD10" s="257"/>
      <c r="BE10" s="257"/>
      <c r="BF10" s="257"/>
      <c r="BG10" s="257"/>
      <c r="BH10" s="257"/>
      <c r="BI10" s="257"/>
      <c r="BJ10" s="257"/>
      <c r="BK10" s="257"/>
      <c r="BL10" s="257"/>
    </row>
    <row r="11" spans="1:64" s="257" customFormat="1" x14ac:dyDescent="0.15">
      <c r="A11" s="259"/>
      <c r="C11" s="177"/>
      <c r="D11" s="189"/>
      <c r="E11" s="178"/>
      <c r="F11" s="206"/>
      <c r="G11" s="261"/>
      <c r="H11" s="261"/>
      <c r="I11" s="206"/>
      <c r="J11" s="261"/>
      <c r="K11" s="261"/>
      <c r="L11" s="206"/>
      <c r="M11" s="261"/>
      <c r="N11" s="261"/>
      <c r="O11" s="206"/>
      <c r="P11" s="261"/>
      <c r="Q11" s="261"/>
      <c r="R11" s="206"/>
      <c r="S11" s="261"/>
      <c r="T11" s="261"/>
      <c r="U11" s="261"/>
      <c r="V11" s="241"/>
      <c r="W11" s="240"/>
      <c r="X11" s="201"/>
      <c r="Y11" s="184"/>
      <c r="Z11" s="262"/>
      <c r="AE11" s="179"/>
      <c r="AF11" s="180"/>
      <c r="AG11" s="179"/>
      <c r="AH11" s="180"/>
      <c r="AP11" s="241"/>
      <c r="AQ11" s="240"/>
      <c r="AR11" s="201"/>
      <c r="AS11" s="184"/>
    </row>
    <row r="12" spans="1:64" s="128" customFormat="1" ht="7" customHeight="1" x14ac:dyDescent="0.15">
      <c r="A12" s="257" t="s">
        <v>206</v>
      </c>
      <c r="B12" s="176"/>
      <c r="C12" s="193"/>
      <c r="D12" s="188">
        <v>0.03</v>
      </c>
      <c r="E12" s="38" t="s">
        <v>148</v>
      </c>
      <c r="F12" s="80">
        <v>0</v>
      </c>
      <c r="G12" s="182">
        <f>F12*C12</f>
        <v>0</v>
      </c>
      <c r="H12" s="263"/>
      <c r="I12" s="80">
        <v>0</v>
      </c>
      <c r="J12" s="182">
        <f>(C12*I12)*(1+$D$12)</f>
        <v>0</v>
      </c>
      <c r="K12" s="263"/>
      <c r="L12" s="80">
        <v>0</v>
      </c>
      <c r="M12" s="182">
        <f>($C$12*L12)*((1+$D$12)*(1+$D$12))</f>
        <v>0</v>
      </c>
      <c r="N12" s="263"/>
      <c r="O12" s="80">
        <v>0</v>
      </c>
      <c r="P12" s="182">
        <f>($C$12*O12)*((1+$D$12)*(1+$D$12)*(1+$D$12))</f>
        <v>0</v>
      </c>
      <c r="Q12" s="263"/>
      <c r="R12" s="80">
        <v>0</v>
      </c>
      <c r="S12" s="182">
        <f>($C$12*R12)*((1+$D$12)*(1+$D$12)*(1+$D$12))</f>
        <v>0</v>
      </c>
      <c r="T12" s="263"/>
      <c r="U12" s="182">
        <f>SUM(G12+J12+M12+P12+S12)</f>
        <v>0</v>
      </c>
      <c r="V12" s="127"/>
      <c r="W12" s="240"/>
      <c r="X12" s="201"/>
      <c r="Y12" s="184"/>
      <c r="Z12" s="262"/>
      <c r="AA12" s="257"/>
      <c r="AB12" s="257"/>
      <c r="AC12" s="257"/>
      <c r="AD12" s="257"/>
      <c r="AE12" s="179">
        <v>55000</v>
      </c>
      <c r="AF12" s="180">
        <v>0.39</v>
      </c>
      <c r="AG12" s="179">
        <v>55000</v>
      </c>
      <c r="AH12" s="180">
        <v>0.39</v>
      </c>
      <c r="AI12" s="257"/>
      <c r="AJ12" s="257"/>
      <c r="AK12" s="257"/>
      <c r="AL12" s="257"/>
      <c r="AM12" s="257"/>
      <c r="AN12" s="257"/>
      <c r="AO12" s="257"/>
      <c r="AP12" s="241"/>
      <c r="AQ12" s="240"/>
      <c r="AR12" s="201"/>
      <c r="AS12" s="184"/>
      <c r="AT12" s="257"/>
      <c r="AU12" s="257"/>
      <c r="AV12" s="257"/>
      <c r="AW12" s="257"/>
      <c r="AX12" s="257"/>
      <c r="AY12" s="257"/>
      <c r="AZ12" s="257"/>
      <c r="BA12" s="257"/>
      <c r="BB12" s="257"/>
      <c r="BC12" s="257"/>
      <c r="BD12" s="257"/>
      <c r="BE12" s="257"/>
      <c r="BF12" s="257"/>
      <c r="BG12" s="257"/>
      <c r="BH12" s="257"/>
      <c r="BI12" s="257"/>
      <c r="BJ12" s="257"/>
      <c r="BK12" s="257"/>
      <c r="BL12" s="257"/>
    </row>
    <row r="13" spans="1:64" s="128" customFormat="1" ht="7" customHeight="1" x14ac:dyDescent="0.15">
      <c r="A13" s="257" t="s">
        <v>205</v>
      </c>
      <c r="B13" s="257"/>
      <c r="C13" s="177">
        <f>IF(E12="Academic (9 month)",C12*(13/39),"0")</f>
        <v>0</v>
      </c>
      <c r="D13" s="189"/>
      <c r="E13" s="178"/>
      <c r="F13" s="80">
        <v>0</v>
      </c>
      <c r="G13" s="182">
        <f>F13*C13</f>
        <v>0</v>
      </c>
      <c r="H13" s="263"/>
      <c r="I13" s="80">
        <v>0</v>
      </c>
      <c r="J13" s="182">
        <f>(C13*I13)*(1+D12)</f>
        <v>0</v>
      </c>
      <c r="K13" s="263"/>
      <c r="L13" s="80">
        <v>0</v>
      </c>
      <c r="M13" s="182">
        <f>($C$13*L13)*((1+$D$12)*(1+$D$12))</f>
        <v>0</v>
      </c>
      <c r="N13" s="263"/>
      <c r="O13" s="80">
        <v>0</v>
      </c>
      <c r="P13" s="182">
        <f>($C$13*O13)*((1+$D$12)*(1+$D$12)*(1+$D$12))</f>
        <v>0</v>
      </c>
      <c r="Q13" s="263"/>
      <c r="R13" s="80">
        <v>0</v>
      </c>
      <c r="S13" s="182">
        <f>($C$13*R13)*((1+$D$12)*(1+$D$12)*(1+$D$12))</f>
        <v>0</v>
      </c>
      <c r="T13" s="263"/>
      <c r="U13" s="182">
        <f>SUM(G13+J13+M13+P13+S13)</f>
        <v>0</v>
      </c>
      <c r="V13" s="127"/>
      <c r="W13" s="240"/>
      <c r="X13" s="129"/>
      <c r="Y13" s="184"/>
      <c r="Z13" s="262"/>
      <c r="AA13" s="257"/>
      <c r="AB13" s="257"/>
      <c r="AC13" s="257"/>
      <c r="AD13" s="257"/>
      <c r="AE13" s="179">
        <v>60000</v>
      </c>
      <c r="AF13" s="180">
        <v>0.38</v>
      </c>
      <c r="AG13" s="179">
        <v>60000</v>
      </c>
      <c r="AH13" s="180">
        <v>0.38</v>
      </c>
      <c r="AI13" s="257"/>
      <c r="AJ13" s="257"/>
      <c r="AK13" s="257"/>
      <c r="AL13" s="257"/>
      <c r="AM13" s="257"/>
      <c r="AN13" s="257"/>
      <c r="AO13" s="257"/>
      <c r="AP13" s="241"/>
      <c r="AQ13" s="240"/>
      <c r="AR13" s="129"/>
      <c r="AS13" s="184"/>
      <c r="AT13" s="257"/>
      <c r="AU13" s="257"/>
      <c r="AV13" s="257"/>
      <c r="AW13" s="257"/>
      <c r="AX13" s="257"/>
      <c r="AY13" s="257"/>
      <c r="AZ13" s="257"/>
      <c r="BA13" s="257"/>
      <c r="BB13" s="257"/>
      <c r="BC13" s="257"/>
      <c r="BD13" s="257"/>
      <c r="BE13" s="257"/>
      <c r="BF13" s="257"/>
      <c r="BG13" s="257"/>
      <c r="BH13" s="257"/>
      <c r="BI13" s="257"/>
      <c r="BJ13" s="257"/>
      <c r="BK13" s="257"/>
      <c r="BL13" s="257"/>
    </row>
    <row r="14" spans="1:64" s="292" customFormat="1" ht="7" customHeight="1" thickBot="1" x14ac:dyDescent="0.2">
      <c r="A14" s="259" t="s">
        <v>186</v>
      </c>
      <c r="B14" s="259"/>
      <c r="C14" s="168"/>
      <c r="D14" s="169"/>
      <c r="E14" s="170"/>
      <c r="F14" s="81">
        <v>0</v>
      </c>
      <c r="G14" s="43">
        <f>SUM(G12:G13)</f>
        <v>0</v>
      </c>
      <c r="H14" s="89"/>
      <c r="I14" s="81" t="e">
        <f>IF(E12="Academic (9 month)",(J12+J13)/((C12+C13)*(1+D12)),I12)</f>
        <v>#DIV/0!</v>
      </c>
      <c r="J14" s="43">
        <f>SUM(J12:J13)</f>
        <v>0</v>
      </c>
      <c r="K14" s="89"/>
      <c r="L14" s="81" t="e">
        <f>IF($E$12="Academic (9 month)",(M12+M13)/(($C$12+$C$13)*(1+($D$12*2))),L12)</f>
        <v>#DIV/0!</v>
      </c>
      <c r="M14" s="43">
        <f>SUM(M12:M13)</f>
        <v>0</v>
      </c>
      <c r="N14" s="89"/>
      <c r="O14" s="81" t="e">
        <f>IF($E$12="Academic (9 month)",(P12+P13)/(($C$12+$C$13)*(1+($D$12*3))),O12)</f>
        <v>#DIV/0!</v>
      </c>
      <c r="P14" s="43">
        <f>SUM(P12:P13)</f>
        <v>0</v>
      </c>
      <c r="Q14" s="89"/>
      <c r="R14" s="81" t="e">
        <f>IF($E$12="Academic (9 month)",(S12+S13)/(($C$12+$C$13)*(1+($D$12*3))),R12)</f>
        <v>#DIV/0!</v>
      </c>
      <c r="S14" s="43">
        <f>SUM(S12:S13)</f>
        <v>0</v>
      </c>
      <c r="T14" s="89"/>
      <c r="U14" s="43">
        <f>SUM(G14+J14+M14+P14+S14)</f>
        <v>0</v>
      </c>
      <c r="V14" s="290"/>
      <c r="W14" s="45"/>
      <c r="X14" s="45"/>
      <c r="Y14" s="184"/>
      <c r="Z14" s="259"/>
      <c r="AA14" s="259"/>
      <c r="AB14" s="259"/>
      <c r="AC14" s="259"/>
      <c r="AD14" s="259"/>
      <c r="AE14" s="179">
        <v>65000</v>
      </c>
      <c r="AF14" s="180">
        <v>0.36</v>
      </c>
      <c r="AG14" s="179">
        <v>65000</v>
      </c>
      <c r="AH14" s="180">
        <v>0.36</v>
      </c>
      <c r="AI14" s="259"/>
      <c r="AJ14" s="259"/>
      <c r="AK14" s="259"/>
      <c r="AL14" s="259"/>
      <c r="AM14" s="259"/>
      <c r="AN14" s="259"/>
      <c r="AO14" s="259"/>
      <c r="AP14" s="291"/>
      <c r="AQ14" s="45"/>
      <c r="AR14" s="45"/>
      <c r="AS14" s="184"/>
      <c r="AT14" s="259"/>
      <c r="AU14" s="259"/>
      <c r="AV14" s="259"/>
      <c r="AW14" s="259"/>
      <c r="AX14" s="259"/>
      <c r="AY14" s="259"/>
      <c r="AZ14" s="259"/>
      <c r="BA14" s="259"/>
      <c r="BB14" s="259"/>
      <c r="BC14" s="259"/>
      <c r="BD14" s="259"/>
      <c r="BE14" s="259"/>
      <c r="BF14" s="259"/>
      <c r="BG14" s="259"/>
      <c r="BH14" s="259"/>
      <c r="BI14" s="259"/>
      <c r="BJ14" s="259"/>
      <c r="BK14" s="259"/>
      <c r="BL14" s="259"/>
    </row>
    <row r="15" spans="1:64" s="128" customFormat="1" ht="7" customHeight="1" thickTop="1" x14ac:dyDescent="0.15">
      <c r="A15" s="257" t="s">
        <v>188</v>
      </c>
      <c r="B15" s="257">
        <f>B12</f>
        <v>0</v>
      </c>
      <c r="C15" s="177"/>
      <c r="D15" s="189"/>
      <c r="E15" s="47" t="s">
        <v>183</v>
      </c>
      <c r="F15" s="83">
        <v>0.25900000000000001</v>
      </c>
      <c r="G15" s="182">
        <f>F15*G12</f>
        <v>0</v>
      </c>
      <c r="H15" s="263"/>
      <c r="I15" s="206"/>
      <c r="J15" s="182">
        <f>J12*F15</f>
        <v>0</v>
      </c>
      <c r="K15" s="263"/>
      <c r="L15" s="206"/>
      <c r="M15" s="182">
        <f>M12*F15</f>
        <v>0</v>
      </c>
      <c r="N15" s="263"/>
      <c r="O15" s="206"/>
      <c r="P15" s="182">
        <f>P12*F15</f>
        <v>0</v>
      </c>
      <c r="Q15" s="263"/>
      <c r="R15" s="206"/>
      <c r="S15" s="182">
        <f>S12*I15</f>
        <v>0</v>
      </c>
      <c r="T15" s="263"/>
      <c r="U15" s="177"/>
      <c r="V15" s="127"/>
      <c r="W15" s="240"/>
      <c r="X15" s="129"/>
      <c r="Y15" s="184"/>
      <c r="Z15" s="262"/>
      <c r="AA15" s="257"/>
      <c r="AB15" s="257"/>
      <c r="AC15" s="257"/>
      <c r="AD15" s="257"/>
      <c r="AE15" s="179">
        <v>70000</v>
      </c>
      <c r="AF15" s="181">
        <f>IF(C3&gt;65000,((C3*0.235)+8440)/C3)</f>
        <v>0.34962407648848326</v>
      </c>
      <c r="AG15" s="179">
        <v>70000</v>
      </c>
      <c r="AH15" s="181" t="b">
        <f>IF(C20&gt;65000,((C20*0.235)+8440)/C20)</f>
        <v>0</v>
      </c>
      <c r="AI15" s="257"/>
      <c r="AJ15" s="257"/>
      <c r="AK15" s="257"/>
      <c r="AL15" s="257"/>
      <c r="AM15" s="257"/>
      <c r="AN15" s="257"/>
      <c r="AO15" s="257"/>
      <c r="AP15" s="241"/>
      <c r="AQ15" s="240"/>
      <c r="AR15" s="129"/>
      <c r="AS15" s="184"/>
      <c r="AT15" s="257"/>
      <c r="AU15" s="257"/>
      <c r="AV15" s="257"/>
      <c r="AW15" s="257"/>
      <c r="AX15" s="257"/>
      <c r="AY15" s="257"/>
      <c r="AZ15" s="257"/>
      <c r="BA15" s="257"/>
      <c r="BB15" s="257"/>
      <c r="BC15" s="257"/>
      <c r="BD15" s="257"/>
      <c r="BE15" s="257"/>
      <c r="BF15" s="257"/>
      <c r="BG15" s="257"/>
      <c r="BH15" s="257"/>
      <c r="BI15" s="257"/>
      <c r="BJ15" s="257"/>
      <c r="BK15" s="257"/>
      <c r="BL15" s="257"/>
    </row>
    <row r="16" spans="1:64" s="128" customFormat="1" ht="7" customHeight="1" x14ac:dyDescent="0.15">
      <c r="A16" s="257" t="s">
        <v>189</v>
      </c>
      <c r="B16" s="257"/>
      <c r="C16" s="177"/>
      <c r="D16" s="189"/>
      <c r="E16" s="47" t="s">
        <v>120</v>
      </c>
      <c r="F16" s="83">
        <v>0.25900000000000001</v>
      </c>
      <c r="G16" s="182">
        <f>F16*G13</f>
        <v>0</v>
      </c>
      <c r="H16" s="263"/>
      <c r="I16" s="206"/>
      <c r="J16" s="182">
        <f>J13*F16</f>
        <v>0</v>
      </c>
      <c r="K16" s="263"/>
      <c r="L16" s="206"/>
      <c r="M16" s="182">
        <f>M13*F16</f>
        <v>0</v>
      </c>
      <c r="N16" s="263"/>
      <c r="O16" s="206"/>
      <c r="P16" s="182">
        <f>P13*F16</f>
        <v>0</v>
      </c>
      <c r="Q16" s="263"/>
      <c r="R16" s="206"/>
      <c r="S16" s="182">
        <f>S13*I16</f>
        <v>0</v>
      </c>
      <c r="T16" s="263"/>
      <c r="U16" s="177"/>
      <c r="V16" s="127"/>
      <c r="W16" s="240"/>
      <c r="X16" s="129"/>
      <c r="Y16" s="184"/>
      <c r="Z16" s="262"/>
      <c r="AA16" s="257"/>
      <c r="AB16" s="257"/>
      <c r="AC16" s="257"/>
      <c r="AD16" s="257"/>
      <c r="AE16" s="257"/>
      <c r="AF16" s="257"/>
      <c r="AG16" s="257"/>
      <c r="AH16" s="257"/>
      <c r="AI16" s="257"/>
      <c r="AJ16" s="257"/>
      <c r="AK16" s="257"/>
      <c r="AL16" s="257"/>
      <c r="AM16" s="257"/>
      <c r="AN16" s="257"/>
      <c r="AO16" s="257"/>
      <c r="AP16" s="241"/>
      <c r="AQ16" s="240"/>
      <c r="AR16" s="129"/>
      <c r="AS16" s="184"/>
      <c r="AT16" s="257"/>
      <c r="AU16" s="257"/>
      <c r="AV16" s="257"/>
      <c r="AW16" s="257"/>
      <c r="AX16" s="257"/>
      <c r="AY16" s="257"/>
      <c r="AZ16" s="257"/>
      <c r="BA16" s="257"/>
      <c r="BB16" s="257"/>
      <c r="BC16" s="257"/>
      <c r="BD16" s="257"/>
      <c r="BE16" s="257"/>
      <c r="BF16" s="257"/>
      <c r="BG16" s="257"/>
      <c r="BH16" s="257"/>
      <c r="BI16" s="257"/>
      <c r="BJ16" s="257"/>
      <c r="BK16" s="257"/>
      <c r="BL16" s="257"/>
    </row>
    <row r="17" spans="1:64" s="128" customFormat="1" ht="13" customHeight="1" thickBot="1" x14ac:dyDescent="0.2">
      <c r="A17" s="259" t="s">
        <v>184</v>
      </c>
      <c r="B17" s="257"/>
      <c r="C17" s="177"/>
      <c r="D17" s="189"/>
      <c r="E17" s="178"/>
      <c r="F17" s="206"/>
      <c r="G17" s="49">
        <f>SUM(G15:G16)</f>
        <v>0</v>
      </c>
      <c r="H17" s="88"/>
      <c r="I17" s="206"/>
      <c r="J17" s="49">
        <f>SUM(J15:J16)</f>
        <v>0</v>
      </c>
      <c r="K17" s="88"/>
      <c r="L17" s="206"/>
      <c r="M17" s="49">
        <f>SUM(M15:M16)</f>
        <v>0</v>
      </c>
      <c r="N17" s="88"/>
      <c r="O17" s="206"/>
      <c r="P17" s="49">
        <f>SUM(P15:P16)</f>
        <v>0</v>
      </c>
      <c r="Q17" s="88"/>
      <c r="R17" s="206"/>
      <c r="S17" s="49">
        <f>SUM(S15:S16)</f>
        <v>0</v>
      </c>
      <c r="T17" s="98"/>
      <c r="U17" s="43">
        <f>SUM(G17:S17)</f>
        <v>0</v>
      </c>
      <c r="V17" s="127"/>
      <c r="W17" s="240"/>
      <c r="X17" s="129"/>
      <c r="Y17" s="184"/>
      <c r="Z17" s="262"/>
      <c r="AA17" s="257"/>
      <c r="AB17" s="257"/>
      <c r="AC17" s="257"/>
      <c r="AD17" s="257"/>
      <c r="AE17" s="179" t="s">
        <v>156</v>
      </c>
      <c r="AF17" s="180"/>
      <c r="AG17" s="179" t="s">
        <v>157</v>
      </c>
      <c r="AH17" s="180"/>
      <c r="AI17" s="257"/>
      <c r="AJ17" s="257"/>
      <c r="AK17" s="257"/>
      <c r="AL17" s="257"/>
      <c r="AM17" s="257"/>
      <c r="AN17" s="257"/>
      <c r="AO17" s="257"/>
      <c r="AP17" s="241"/>
      <c r="AQ17" s="240"/>
      <c r="AR17" s="129"/>
      <c r="AS17" s="184"/>
      <c r="AT17" s="257"/>
      <c r="AU17" s="257"/>
      <c r="AV17" s="257"/>
      <c r="AW17" s="257"/>
      <c r="AX17" s="257"/>
      <c r="AY17" s="257"/>
      <c r="AZ17" s="257"/>
      <c r="BA17" s="257"/>
      <c r="BB17" s="257"/>
      <c r="BC17" s="257"/>
      <c r="BD17" s="257"/>
      <c r="BE17" s="257"/>
      <c r="BF17" s="257"/>
      <c r="BG17" s="257"/>
      <c r="BH17" s="257"/>
      <c r="BI17" s="257"/>
      <c r="BJ17" s="257"/>
      <c r="BK17" s="257"/>
      <c r="BL17" s="257"/>
    </row>
    <row r="18" spans="1:64" s="128" customFormat="1" ht="15" hidden="1" thickTop="1" thickBot="1" x14ac:dyDescent="0.2">
      <c r="A18" s="259" t="s">
        <v>185</v>
      </c>
      <c r="B18" s="257"/>
      <c r="C18" s="177"/>
      <c r="D18" s="189"/>
      <c r="E18" s="178"/>
      <c r="F18" s="206"/>
      <c r="G18" s="43">
        <f>G17+G14</f>
        <v>0</v>
      </c>
      <c r="H18" s="88"/>
      <c r="I18" s="206"/>
      <c r="J18" s="43">
        <f>J17+J14</f>
        <v>0</v>
      </c>
      <c r="K18" s="88"/>
      <c r="L18" s="206"/>
      <c r="M18" s="43">
        <f>M17+M14</f>
        <v>0</v>
      </c>
      <c r="N18" s="88"/>
      <c r="O18" s="206"/>
      <c r="P18" s="43">
        <f>P17+P14</f>
        <v>0</v>
      </c>
      <c r="Q18" s="88"/>
      <c r="R18" s="206"/>
      <c r="S18" s="43">
        <f>S17+S14</f>
        <v>0</v>
      </c>
      <c r="T18" s="99"/>
      <c r="U18" s="52">
        <f>SUM(G18:S18)</f>
        <v>0</v>
      </c>
      <c r="V18" s="127"/>
      <c r="W18" s="240"/>
      <c r="X18" s="129"/>
      <c r="Y18" s="184"/>
      <c r="Z18" s="262"/>
      <c r="AA18" s="257"/>
      <c r="AB18" s="257"/>
      <c r="AC18" s="257"/>
      <c r="AD18" s="257"/>
      <c r="AE18" s="179">
        <v>0</v>
      </c>
      <c r="AF18" s="180">
        <v>0.66</v>
      </c>
      <c r="AG18" s="179">
        <v>0</v>
      </c>
      <c r="AH18" s="180">
        <v>0.66</v>
      </c>
      <c r="AI18" s="257"/>
      <c r="AJ18" s="257"/>
      <c r="AK18" s="257"/>
      <c r="AL18" s="257"/>
      <c r="AM18" s="257"/>
      <c r="AN18" s="257"/>
      <c r="AO18" s="257"/>
      <c r="AP18" s="241"/>
      <c r="AQ18" s="240"/>
      <c r="AR18" s="129"/>
      <c r="AS18" s="184"/>
      <c r="AT18" s="257"/>
      <c r="AU18" s="257"/>
      <c r="AV18" s="257"/>
      <c r="AW18" s="257"/>
      <c r="AX18" s="257"/>
      <c r="AY18" s="257"/>
      <c r="AZ18" s="257"/>
      <c r="BA18" s="257"/>
      <c r="BB18" s="257"/>
      <c r="BC18" s="257"/>
      <c r="BD18" s="257"/>
      <c r="BE18" s="257"/>
      <c r="BF18" s="257"/>
      <c r="BG18" s="257"/>
      <c r="BH18" s="257"/>
      <c r="BI18" s="257"/>
      <c r="BJ18" s="257"/>
      <c r="BK18" s="257"/>
      <c r="BL18" s="257"/>
    </row>
    <row r="19" spans="1:64" s="257" customFormat="1" ht="14" hidden="1" thickTop="1" x14ac:dyDescent="0.15">
      <c r="A19" s="259"/>
      <c r="C19" s="177"/>
      <c r="D19" s="189"/>
      <c r="E19" s="178"/>
      <c r="F19" s="206"/>
      <c r="G19" s="261"/>
      <c r="H19" s="88"/>
      <c r="I19" s="206"/>
      <c r="J19" s="261"/>
      <c r="K19" s="88"/>
      <c r="L19" s="206"/>
      <c r="M19" s="261"/>
      <c r="N19" s="88"/>
      <c r="O19" s="206"/>
      <c r="P19" s="261"/>
      <c r="Q19" s="88"/>
      <c r="R19" s="206"/>
      <c r="S19" s="261"/>
      <c r="T19" s="88"/>
      <c r="U19" s="177"/>
      <c r="V19" s="127"/>
      <c r="W19" s="240"/>
      <c r="X19" s="129"/>
      <c r="Y19" s="184"/>
      <c r="Z19" s="262"/>
      <c r="AE19" s="179">
        <v>20000</v>
      </c>
      <c r="AF19" s="180">
        <v>0.66</v>
      </c>
      <c r="AG19" s="179">
        <v>20000</v>
      </c>
      <c r="AH19" s="180">
        <v>0.66</v>
      </c>
      <c r="AP19" s="241"/>
      <c r="AQ19" s="240"/>
      <c r="AR19" s="129"/>
      <c r="AS19" s="184"/>
    </row>
    <row r="20" spans="1:64" hidden="1" x14ac:dyDescent="0.15">
      <c r="A20" s="257" t="s">
        <v>207</v>
      </c>
      <c r="B20" s="176"/>
      <c r="C20" s="193">
        <v>0</v>
      </c>
      <c r="D20" s="188">
        <v>0</v>
      </c>
      <c r="E20" s="38" t="s">
        <v>150</v>
      </c>
      <c r="F20" s="80">
        <v>0</v>
      </c>
      <c r="G20" s="182">
        <f>F20*C20</f>
        <v>0</v>
      </c>
      <c r="H20" s="263"/>
      <c r="I20" s="80">
        <v>0</v>
      </c>
      <c r="J20" s="182">
        <f>(C20*I20)*(1+$D$20)</f>
        <v>0</v>
      </c>
      <c r="K20" s="263"/>
      <c r="L20" s="80">
        <v>0</v>
      </c>
      <c r="M20" s="182">
        <f>($C$20*L20)*((1+$D$20)*(1+$D$20))</f>
        <v>0</v>
      </c>
      <c r="N20" s="263"/>
      <c r="O20" s="80">
        <v>0</v>
      </c>
      <c r="P20" s="182">
        <f>($C$20*O20)*((1+$D$20)*(1+$D$20)*(1+$D$20))</f>
        <v>0</v>
      </c>
      <c r="Q20" s="263"/>
      <c r="R20" s="80">
        <v>0</v>
      </c>
      <c r="S20" s="182">
        <f>($C$20*R20)*((1+$D$20)*(1+$D$20)*(1+$D$20))</f>
        <v>0</v>
      </c>
      <c r="T20" s="263"/>
      <c r="U20" s="182">
        <f>SUM(G20+J20+M20+P20+S20)</f>
        <v>0</v>
      </c>
      <c r="V20" s="127"/>
      <c r="W20" s="240"/>
      <c r="X20" s="129"/>
      <c r="Y20" s="184"/>
      <c r="Z20" s="262"/>
      <c r="AA20" s="257"/>
      <c r="AB20" s="262"/>
      <c r="AC20" s="257"/>
      <c r="AD20" s="257"/>
      <c r="AE20" s="179">
        <v>25000</v>
      </c>
      <c r="AF20" s="180">
        <v>0.56999999999999995</v>
      </c>
      <c r="AG20" s="179">
        <v>25000</v>
      </c>
      <c r="AH20" s="180">
        <v>0.56999999999999995</v>
      </c>
      <c r="AI20" s="257"/>
      <c r="AJ20" s="257"/>
      <c r="AK20" s="257"/>
      <c r="AL20" s="257"/>
      <c r="AM20" s="257"/>
      <c r="AN20" s="257"/>
      <c r="AO20" s="257"/>
      <c r="AP20" s="241"/>
      <c r="AQ20" s="240"/>
      <c r="AR20" s="129"/>
      <c r="AS20" s="184"/>
      <c r="AT20" s="257"/>
      <c r="AU20" s="257"/>
      <c r="AV20" s="257"/>
      <c r="AW20" s="257"/>
      <c r="AX20" s="257"/>
      <c r="AY20" s="257"/>
      <c r="AZ20" s="257"/>
      <c r="BA20" s="257"/>
      <c r="BB20" s="257"/>
      <c r="BC20" s="257"/>
      <c r="BD20" s="257"/>
      <c r="BE20" s="257"/>
      <c r="BF20" s="257"/>
      <c r="BG20" s="257"/>
      <c r="BH20" s="257"/>
      <c r="BI20" s="257"/>
      <c r="BJ20" s="257"/>
      <c r="BK20" s="257"/>
      <c r="BL20" s="257"/>
    </row>
    <row r="21" spans="1:64" hidden="1" x14ac:dyDescent="0.15">
      <c r="A21" s="257" t="s">
        <v>205</v>
      </c>
      <c r="C21" s="177" t="str">
        <f>IF(E20="Academic (9 month)",C20*(13/39),"0")</f>
        <v>0</v>
      </c>
      <c r="D21" s="189"/>
      <c r="E21" s="178"/>
      <c r="F21" s="80">
        <v>0</v>
      </c>
      <c r="G21" s="182">
        <f>F21*C21</f>
        <v>0</v>
      </c>
      <c r="H21" s="263"/>
      <c r="I21" s="80">
        <v>0</v>
      </c>
      <c r="J21" s="182">
        <f>I21*$C$21*(1+$D$20)</f>
        <v>0</v>
      </c>
      <c r="K21" s="263"/>
      <c r="L21" s="80">
        <v>0</v>
      </c>
      <c r="M21" s="182">
        <f>(C21*L21)*((1+$D$20)*(1+$D$20))</f>
        <v>0</v>
      </c>
      <c r="N21" s="263"/>
      <c r="O21" s="80">
        <v>0</v>
      </c>
      <c r="P21" s="182">
        <f>O21*$C$21*((1+$D$20)*(1+$D$20)*(1+$D$20))</f>
        <v>0</v>
      </c>
      <c r="Q21" s="263"/>
      <c r="R21" s="80">
        <v>0</v>
      </c>
      <c r="S21" s="182">
        <f>R21*$C$21*((1+$D$20)*(1+$D$20)*(1+$D$20))</f>
        <v>0</v>
      </c>
      <c r="T21" s="263"/>
      <c r="U21" s="182">
        <f>SUM(G21+J21+M21+P21+S21)</f>
        <v>0</v>
      </c>
      <c r="V21" s="127"/>
      <c r="W21" s="240"/>
      <c r="X21" s="129"/>
      <c r="Y21" s="184"/>
      <c r="Z21" s="262"/>
      <c r="AA21" s="257"/>
      <c r="AB21" s="262"/>
      <c r="AC21" s="257"/>
      <c r="AD21" s="257"/>
      <c r="AE21" s="179">
        <v>30000</v>
      </c>
      <c r="AF21" s="180">
        <v>0.52</v>
      </c>
      <c r="AG21" s="179">
        <v>30000</v>
      </c>
      <c r="AH21" s="180">
        <v>0.52</v>
      </c>
      <c r="AI21" s="257"/>
      <c r="AJ21" s="257"/>
      <c r="AK21" s="257"/>
      <c r="AL21" s="257"/>
      <c r="AM21" s="257"/>
      <c r="AN21" s="257"/>
      <c r="AO21" s="257"/>
      <c r="AP21" s="241"/>
      <c r="AQ21" s="240"/>
      <c r="AR21" s="129"/>
      <c r="AS21" s="184"/>
      <c r="AT21" s="257"/>
      <c r="AU21" s="257"/>
      <c r="AV21" s="257"/>
      <c r="AW21" s="257"/>
      <c r="AX21" s="257"/>
      <c r="AY21" s="257"/>
      <c r="AZ21" s="257"/>
      <c r="BA21" s="257"/>
      <c r="BB21" s="257"/>
      <c r="BC21" s="257"/>
      <c r="BD21" s="257"/>
      <c r="BE21" s="257"/>
      <c r="BF21" s="257"/>
      <c r="BG21" s="257"/>
      <c r="BH21" s="257"/>
      <c r="BI21" s="257"/>
      <c r="BJ21" s="257"/>
      <c r="BK21" s="257"/>
      <c r="BL21" s="257"/>
    </row>
    <row r="22" spans="1:64" ht="14" hidden="1" thickBot="1" x14ac:dyDescent="0.2">
      <c r="A22" s="259" t="s">
        <v>187</v>
      </c>
      <c r="C22" s="177"/>
      <c r="D22" s="189"/>
      <c r="E22" s="178"/>
      <c r="F22" s="81">
        <f>IF(E20="Academic (9 month)",(G20+G21)/(C20+C21),F20)</f>
        <v>0</v>
      </c>
      <c r="G22" s="43">
        <f>SUM(G20:G21)</f>
        <v>0</v>
      </c>
      <c r="H22" s="89"/>
      <c r="I22" s="81">
        <f>IF($E$20="Academic (9 month)",(J20+J21)/(($C$20+$C$21)*(1+$D$20)),I20)</f>
        <v>0</v>
      </c>
      <c r="J22" s="43">
        <f>SUM(J20:J21)</f>
        <v>0</v>
      </c>
      <c r="K22" s="89"/>
      <c r="L22" s="81">
        <f>IF($E$20="Academic (9 month)",(M20+M21)/(($C$20+$C$21)*(1+($D$20*2))),L20)</f>
        <v>0</v>
      </c>
      <c r="M22" s="43">
        <f>SUM(M20:M21)</f>
        <v>0</v>
      </c>
      <c r="N22" s="89"/>
      <c r="O22" s="81">
        <f>IF($E$20="Academic (9 month)",(P20+P21)/(($C$20+$C$21)*(1+($D$20*3))),O20)</f>
        <v>0</v>
      </c>
      <c r="P22" s="43">
        <f>SUM(P20:P21)</f>
        <v>0</v>
      </c>
      <c r="Q22" s="89"/>
      <c r="R22" s="81">
        <f>IF($E$20="Academic (9 month)",(S20+S21)/(($C$20+$C$21)*(1+($D$20*3))),R20)</f>
        <v>0</v>
      </c>
      <c r="S22" s="43">
        <f>SUM(S20:S21)</f>
        <v>0</v>
      </c>
      <c r="T22" s="89"/>
      <c r="U22" s="43">
        <f>SUM(U20:U21)</f>
        <v>0</v>
      </c>
      <c r="V22" s="127"/>
      <c r="W22" s="240"/>
      <c r="X22" s="129"/>
      <c r="Y22" s="184"/>
      <c r="Z22" s="262"/>
      <c r="AA22" s="257"/>
      <c r="AB22" s="262"/>
      <c r="AC22" s="257"/>
      <c r="AD22" s="257"/>
      <c r="AE22" s="179">
        <v>35000</v>
      </c>
      <c r="AF22" s="180">
        <v>0.48</v>
      </c>
      <c r="AG22" s="179">
        <v>35000</v>
      </c>
      <c r="AH22" s="180">
        <v>0.48</v>
      </c>
      <c r="AI22" s="257"/>
      <c r="AJ22" s="257"/>
      <c r="AK22" s="257"/>
      <c r="AL22" s="257"/>
      <c r="AM22" s="257"/>
      <c r="AN22" s="257"/>
      <c r="AO22" s="257"/>
      <c r="AP22" s="241"/>
      <c r="AQ22" s="240"/>
      <c r="AR22" s="129"/>
      <c r="AS22" s="184"/>
      <c r="AT22" s="257"/>
      <c r="AU22" s="257"/>
      <c r="AV22" s="257"/>
      <c r="AW22" s="257"/>
      <c r="AX22" s="257"/>
      <c r="AY22" s="257"/>
      <c r="AZ22" s="257"/>
      <c r="BA22" s="257"/>
      <c r="BB22" s="257"/>
      <c r="BC22" s="257"/>
      <c r="BD22" s="257"/>
      <c r="BE22" s="257"/>
      <c r="BF22" s="257"/>
      <c r="BG22" s="257"/>
      <c r="BH22" s="257"/>
      <c r="BI22" s="257"/>
      <c r="BJ22" s="257"/>
      <c r="BK22" s="257"/>
      <c r="BL22" s="257"/>
    </row>
    <row r="23" spans="1:64" ht="15" hidden="1" thickTop="1" thickBot="1" x14ac:dyDescent="0.2">
      <c r="A23" s="257" t="s">
        <v>190</v>
      </c>
      <c r="B23" s="260">
        <f>B20</f>
        <v>0</v>
      </c>
      <c r="C23" s="177"/>
      <c r="D23" s="189"/>
      <c r="E23" s="47" t="s">
        <v>183</v>
      </c>
      <c r="F23" s="174" t="str">
        <f>IF(C20=0,"0%",((C20*0.235)+9100)/C20)</f>
        <v>0%</v>
      </c>
      <c r="G23" s="182">
        <f>F23*G20</f>
        <v>0</v>
      </c>
      <c r="H23" s="263"/>
      <c r="I23" s="206"/>
      <c r="J23" s="182">
        <f>F23*J20</f>
        <v>0</v>
      </c>
      <c r="K23" s="263"/>
      <c r="L23" s="206"/>
      <c r="M23" s="182">
        <f>F23*M20</f>
        <v>0</v>
      </c>
      <c r="N23" s="263"/>
      <c r="O23" s="206"/>
      <c r="P23" s="182">
        <f>F23*P20</f>
        <v>0</v>
      </c>
      <c r="Q23" s="263"/>
      <c r="R23" s="206"/>
      <c r="S23" s="182">
        <f>I23*S20</f>
        <v>0</v>
      </c>
      <c r="T23" s="263"/>
      <c r="U23" s="177"/>
      <c r="V23" s="127"/>
      <c r="W23" s="240"/>
      <c r="X23" s="129"/>
      <c r="Y23" s="184"/>
      <c r="Z23" s="262"/>
      <c r="AA23" s="257"/>
      <c r="AB23" s="262"/>
      <c r="AC23" s="257"/>
      <c r="AD23" s="257"/>
      <c r="AE23" s="179">
        <v>40000</v>
      </c>
      <c r="AF23" s="180">
        <v>0.45</v>
      </c>
      <c r="AG23" s="179">
        <v>40000</v>
      </c>
      <c r="AH23" s="180">
        <v>0.45</v>
      </c>
      <c r="AI23" s="257"/>
      <c r="AJ23" s="257"/>
      <c r="AK23" s="257"/>
      <c r="AL23" s="257"/>
      <c r="AM23" s="257"/>
      <c r="AN23" s="257"/>
      <c r="AO23" s="257"/>
      <c r="AP23" s="241"/>
      <c r="AQ23" s="240"/>
      <c r="AR23" s="129"/>
      <c r="AS23" s="184"/>
      <c r="AT23" s="257"/>
      <c r="AU23" s="257"/>
      <c r="AV23" s="257"/>
      <c r="AW23" s="257"/>
      <c r="AX23" s="257"/>
      <c r="AY23" s="257"/>
      <c r="AZ23" s="257"/>
      <c r="BA23" s="257"/>
      <c r="BB23" s="257"/>
      <c r="BC23" s="257"/>
      <c r="BD23" s="257"/>
      <c r="BE23" s="257"/>
      <c r="BF23" s="257"/>
      <c r="BG23" s="257"/>
      <c r="BH23" s="257"/>
      <c r="BI23" s="257"/>
      <c r="BJ23" s="257"/>
      <c r="BK23" s="257"/>
      <c r="BL23" s="257"/>
    </row>
    <row r="24" spans="1:64" ht="14" hidden="1" thickTop="1" x14ac:dyDescent="0.15">
      <c r="A24" s="257" t="s">
        <v>191</v>
      </c>
      <c r="C24" s="177"/>
      <c r="D24" s="189"/>
      <c r="E24" s="47" t="s">
        <v>121</v>
      </c>
      <c r="F24" s="163" t="str">
        <f>IF(E20="Academic (9 month)",0.24,"0%")</f>
        <v>0%</v>
      </c>
      <c r="G24" s="182">
        <f>F24*G21</f>
        <v>0</v>
      </c>
      <c r="H24" s="263"/>
      <c r="I24" s="206"/>
      <c r="J24" s="182">
        <f>F24*J21</f>
        <v>0</v>
      </c>
      <c r="K24" s="263"/>
      <c r="L24" s="206"/>
      <c r="M24" s="78">
        <f>F24*M21</f>
        <v>0</v>
      </c>
      <c r="N24" s="95"/>
      <c r="O24" s="206"/>
      <c r="P24" s="182">
        <f>F24*P21</f>
        <v>0</v>
      </c>
      <c r="Q24" s="95"/>
      <c r="R24" s="206"/>
      <c r="S24" s="182">
        <f>I24*S21</f>
        <v>0</v>
      </c>
      <c r="T24" s="263"/>
      <c r="U24" s="177"/>
      <c r="V24" s="127"/>
      <c r="W24" s="240"/>
      <c r="X24" s="129"/>
      <c r="Y24" s="184"/>
      <c r="Z24" s="262"/>
      <c r="AA24" s="257"/>
      <c r="AB24" s="262"/>
      <c r="AC24" s="257"/>
      <c r="AD24" s="257"/>
      <c r="AE24" s="179">
        <v>45000</v>
      </c>
      <c r="AF24" s="180">
        <v>0.42</v>
      </c>
      <c r="AG24" s="179">
        <v>45000</v>
      </c>
      <c r="AH24" s="180">
        <v>0.42</v>
      </c>
      <c r="AI24" s="257"/>
      <c r="AJ24" s="257"/>
      <c r="AK24" s="257"/>
      <c r="AL24" s="257"/>
      <c r="AM24" s="257"/>
      <c r="AN24" s="257"/>
      <c r="AO24" s="257"/>
      <c r="AP24" s="241"/>
      <c r="AQ24" s="240"/>
      <c r="AR24" s="129"/>
      <c r="AS24" s="184"/>
      <c r="AT24" s="257"/>
      <c r="AU24" s="257"/>
      <c r="AV24" s="257"/>
      <c r="AW24" s="257"/>
      <c r="AX24" s="257"/>
      <c r="AY24" s="257"/>
      <c r="AZ24" s="257"/>
      <c r="BA24" s="257"/>
      <c r="BB24" s="257"/>
      <c r="BC24" s="257"/>
      <c r="BD24" s="257"/>
      <c r="BE24" s="257"/>
      <c r="BF24" s="257"/>
      <c r="BG24" s="257"/>
      <c r="BH24" s="257"/>
      <c r="BI24" s="257"/>
      <c r="BJ24" s="257"/>
      <c r="BK24" s="257"/>
      <c r="BL24" s="257"/>
    </row>
    <row r="25" spans="1:64" ht="14" hidden="1" thickBot="1" x14ac:dyDescent="0.2">
      <c r="A25" s="259" t="s">
        <v>192</v>
      </c>
      <c r="C25" s="177"/>
      <c r="D25" s="189"/>
      <c r="E25" s="178"/>
      <c r="F25" s="206"/>
      <c r="G25" s="57">
        <f>SUM(G23:G24)</f>
        <v>0</v>
      </c>
      <c r="H25" s="88"/>
      <c r="I25" s="206"/>
      <c r="J25" s="57">
        <f>SUM(J23:J24)</f>
        <v>0</v>
      </c>
      <c r="K25" s="88"/>
      <c r="L25" s="206"/>
      <c r="M25" s="57">
        <f>SUM(M23:M24)</f>
        <v>0</v>
      </c>
      <c r="N25" s="88"/>
      <c r="O25" s="206"/>
      <c r="P25" s="57">
        <f>SUM(P23:P24)</f>
        <v>0</v>
      </c>
      <c r="Q25" s="88"/>
      <c r="R25" s="206"/>
      <c r="S25" s="57">
        <f>SUM(S23:S24)</f>
        <v>0</v>
      </c>
      <c r="T25" s="98"/>
      <c r="U25" s="43">
        <f>SUM(G25:S25)</f>
        <v>0</v>
      </c>
      <c r="V25" s="127"/>
      <c r="W25" s="261"/>
      <c r="X25" s="129"/>
      <c r="Y25" s="184"/>
      <c r="Z25" s="262"/>
      <c r="AA25" s="257"/>
      <c r="AB25" s="262"/>
      <c r="AC25" s="257"/>
      <c r="AD25" s="257"/>
      <c r="AE25" s="179">
        <v>50000</v>
      </c>
      <c r="AF25" s="180">
        <v>0.41</v>
      </c>
      <c r="AG25" s="179">
        <v>50000</v>
      </c>
      <c r="AH25" s="180">
        <v>0.41</v>
      </c>
      <c r="AI25" s="259" t="s">
        <v>150</v>
      </c>
      <c r="AJ25" s="130" t="s">
        <v>150</v>
      </c>
      <c r="AK25" s="257"/>
      <c r="AL25" s="257"/>
      <c r="AM25" s="257"/>
      <c r="AN25" s="257"/>
      <c r="AO25" s="257"/>
      <c r="AP25" s="241"/>
      <c r="AQ25" s="261"/>
      <c r="AR25" s="129"/>
      <c r="AS25" s="184"/>
      <c r="AT25" s="257"/>
      <c r="AU25" s="257"/>
      <c r="AV25" s="257"/>
      <c r="AW25" s="257"/>
      <c r="AX25" s="257"/>
      <c r="AY25" s="257"/>
      <c r="AZ25" s="257"/>
      <c r="BA25" s="257"/>
      <c r="BB25" s="257"/>
      <c r="BC25" s="257"/>
      <c r="BD25" s="257"/>
      <c r="BE25" s="257"/>
      <c r="BF25" s="257"/>
      <c r="BG25" s="257"/>
      <c r="BH25" s="257"/>
      <c r="BI25" s="257"/>
      <c r="BJ25" s="257"/>
      <c r="BK25" s="257"/>
      <c r="BL25" s="257"/>
    </row>
    <row r="26" spans="1:64" ht="15" hidden="1" thickTop="1" thickBot="1" x14ac:dyDescent="0.2">
      <c r="A26" s="259" t="s">
        <v>193</v>
      </c>
      <c r="C26" s="177"/>
      <c r="D26" s="189"/>
      <c r="E26" s="178"/>
      <c r="F26" s="206"/>
      <c r="G26" s="43">
        <f>SUM(G25+G22)</f>
        <v>0</v>
      </c>
      <c r="H26" s="88"/>
      <c r="I26" s="206"/>
      <c r="J26" s="43">
        <f>SUM(J25+J22)</f>
        <v>0</v>
      </c>
      <c r="K26" s="88"/>
      <c r="L26" s="206"/>
      <c r="M26" s="43">
        <f>SUM(M25+M22)</f>
        <v>0</v>
      </c>
      <c r="N26" s="88"/>
      <c r="O26" s="206"/>
      <c r="P26" s="43">
        <f>SUM(P25+P22)</f>
        <v>0</v>
      </c>
      <c r="Q26" s="88"/>
      <c r="R26" s="206"/>
      <c r="S26" s="43">
        <f>SUM(S25+S22)</f>
        <v>0</v>
      </c>
      <c r="T26" s="99"/>
      <c r="U26" s="52">
        <f>SUM(G26:S26)</f>
        <v>0</v>
      </c>
      <c r="V26" s="127"/>
      <c r="W26" s="240"/>
      <c r="X26" s="129"/>
      <c r="Y26" s="184"/>
      <c r="Z26" s="262"/>
      <c r="AA26" s="257"/>
      <c r="AB26" s="262"/>
      <c r="AC26" s="257"/>
      <c r="AD26" s="257"/>
      <c r="AE26" s="180">
        <v>55000</v>
      </c>
      <c r="AF26" s="180">
        <v>0.39</v>
      </c>
      <c r="AG26" s="180">
        <v>55000</v>
      </c>
      <c r="AH26" s="180">
        <v>0.39</v>
      </c>
      <c r="AI26" s="130" t="s">
        <v>148</v>
      </c>
      <c r="AJ26" s="130" t="s">
        <v>112</v>
      </c>
      <c r="AK26" s="257"/>
      <c r="AL26" s="257"/>
      <c r="AM26" s="257"/>
      <c r="AN26" s="257"/>
      <c r="AO26" s="257"/>
      <c r="AP26" s="241"/>
      <c r="AQ26" s="240"/>
      <c r="AR26" s="129"/>
      <c r="AS26" s="184"/>
      <c r="AT26" s="257"/>
      <c r="AU26" s="257"/>
      <c r="AV26" s="257"/>
      <c r="AW26" s="257"/>
      <c r="AX26" s="257"/>
      <c r="AY26" s="257"/>
      <c r="AZ26" s="257"/>
      <c r="BA26" s="257"/>
      <c r="BB26" s="257"/>
      <c r="BC26" s="257"/>
      <c r="BD26" s="257"/>
      <c r="BE26" s="257"/>
      <c r="BF26" s="257"/>
      <c r="BG26" s="257"/>
      <c r="BH26" s="257"/>
      <c r="BI26" s="257"/>
      <c r="BJ26" s="257"/>
      <c r="BK26" s="257"/>
      <c r="BL26" s="257"/>
    </row>
    <row r="27" spans="1:64" s="257" customFormat="1" ht="14" hidden="1" thickTop="1" x14ac:dyDescent="0.15">
      <c r="A27" s="259"/>
      <c r="C27" s="177"/>
      <c r="D27" s="189"/>
      <c r="E27" s="178"/>
      <c r="F27" s="206"/>
      <c r="G27" s="204"/>
      <c r="H27" s="91"/>
      <c r="I27" s="206"/>
      <c r="J27" s="204"/>
      <c r="K27" s="91"/>
      <c r="L27" s="206"/>
      <c r="M27" s="204"/>
      <c r="N27" s="91"/>
      <c r="O27" s="206"/>
      <c r="P27" s="204"/>
      <c r="Q27" s="91"/>
      <c r="R27" s="206"/>
      <c r="S27" s="204"/>
      <c r="T27" s="91"/>
      <c r="U27" s="177"/>
      <c r="V27" s="127"/>
      <c r="W27" s="240"/>
      <c r="X27" s="129"/>
      <c r="Y27" s="184"/>
      <c r="Z27" s="262"/>
      <c r="AB27" s="262"/>
      <c r="AE27" s="180">
        <v>60000</v>
      </c>
      <c r="AF27" s="180">
        <v>0.38</v>
      </c>
      <c r="AG27" s="180">
        <v>60000</v>
      </c>
      <c r="AH27" s="180">
        <v>0.38</v>
      </c>
      <c r="AI27" s="130" t="s">
        <v>149</v>
      </c>
      <c r="AJ27" s="130" t="s">
        <v>169</v>
      </c>
      <c r="AP27" s="241"/>
      <c r="AQ27" s="240"/>
      <c r="AR27" s="129"/>
      <c r="AS27" s="184"/>
    </row>
    <row r="28" spans="1:64" s="128" customFormat="1" hidden="1" x14ac:dyDescent="0.15">
      <c r="A28" s="257" t="s">
        <v>208</v>
      </c>
      <c r="B28" s="176"/>
      <c r="C28" s="193">
        <v>0</v>
      </c>
      <c r="D28" s="188">
        <v>0</v>
      </c>
      <c r="E28" s="38" t="s">
        <v>150</v>
      </c>
      <c r="F28" s="80">
        <v>0</v>
      </c>
      <c r="G28" s="182">
        <f>F28*C28</f>
        <v>0</v>
      </c>
      <c r="H28" s="263"/>
      <c r="I28" s="80">
        <v>0</v>
      </c>
      <c r="J28" s="182">
        <f>($C$28*I28)*(1+$D$28)</f>
        <v>0</v>
      </c>
      <c r="K28" s="263"/>
      <c r="L28" s="80">
        <v>0</v>
      </c>
      <c r="M28" s="182">
        <f>(C28*L28)*((1+$D$28)*(1+$D$28))</f>
        <v>0</v>
      </c>
      <c r="N28" s="263"/>
      <c r="O28" s="80">
        <v>0</v>
      </c>
      <c r="P28" s="182">
        <f>(O28*$C$28)*((1+$D$28)*(1+$D$28)*(1+$D$28))</f>
        <v>0</v>
      </c>
      <c r="Q28" s="263"/>
      <c r="R28" s="80">
        <v>0</v>
      </c>
      <c r="S28" s="182">
        <f>(R28*$C$28)*((1+$D$28)*(1+$D$28)*(1+$D$28))</f>
        <v>0</v>
      </c>
      <c r="T28" s="263"/>
      <c r="U28" s="182">
        <f>SUM(G28+J28+M28+P28+S28)</f>
        <v>0</v>
      </c>
      <c r="V28" s="127"/>
      <c r="W28" s="240"/>
      <c r="X28" s="129"/>
      <c r="Y28" s="184"/>
      <c r="Z28" s="262"/>
      <c r="AA28" s="257"/>
      <c r="AB28" s="257"/>
      <c r="AC28" s="257"/>
      <c r="AD28" s="257"/>
      <c r="AE28" s="179">
        <v>65000</v>
      </c>
      <c r="AF28" s="180">
        <v>0.36</v>
      </c>
      <c r="AG28" s="179">
        <v>65000</v>
      </c>
      <c r="AH28" s="180">
        <v>0.36</v>
      </c>
      <c r="AI28" s="257"/>
      <c r="AJ28" s="257"/>
      <c r="AK28" s="257"/>
      <c r="AL28" s="257"/>
      <c r="AM28" s="257"/>
      <c r="AN28" s="257"/>
      <c r="AO28" s="257"/>
      <c r="AP28" s="241"/>
      <c r="AQ28" s="240"/>
      <c r="AR28" s="129"/>
      <c r="AS28" s="184"/>
      <c r="AT28" s="257"/>
      <c r="AU28" s="257"/>
      <c r="AV28" s="257"/>
      <c r="AW28" s="257"/>
      <c r="AX28" s="257"/>
      <c r="AY28" s="257"/>
      <c r="AZ28" s="257"/>
      <c r="BA28" s="257"/>
      <c r="BB28" s="257"/>
      <c r="BC28" s="257"/>
      <c r="BD28" s="257"/>
      <c r="BE28" s="257"/>
      <c r="BF28" s="257"/>
      <c r="BG28" s="257"/>
      <c r="BH28" s="257"/>
      <c r="BI28" s="257"/>
      <c r="BJ28" s="257"/>
      <c r="BK28" s="257"/>
      <c r="BL28" s="257"/>
    </row>
    <row r="29" spans="1:64" s="128" customFormat="1" hidden="1" x14ac:dyDescent="0.15">
      <c r="A29" s="257" t="s">
        <v>205</v>
      </c>
      <c r="B29" s="257"/>
      <c r="C29" s="177" t="str">
        <f>IF(E28="Academic (9 month)",C28*(13/39),"0")</f>
        <v>0</v>
      </c>
      <c r="D29" s="189"/>
      <c r="E29" s="178"/>
      <c r="F29" s="80">
        <v>0</v>
      </c>
      <c r="G29" s="182">
        <f>F29*C29</f>
        <v>0</v>
      </c>
      <c r="H29" s="263"/>
      <c r="I29" s="80">
        <v>0</v>
      </c>
      <c r="J29" s="182">
        <f>($C$29*I29)*(1+$D$28)</f>
        <v>0</v>
      </c>
      <c r="K29" s="263"/>
      <c r="L29" s="80">
        <v>0</v>
      </c>
      <c r="M29" s="182">
        <f>(C29*L29)*((1+$D$28)*(1+$D$28))</f>
        <v>0</v>
      </c>
      <c r="N29" s="263"/>
      <c r="O29" s="80">
        <v>0</v>
      </c>
      <c r="P29" s="182">
        <f>(O29*$C$29)*((1+$D$28)*(1+$D$28)*(1+$D$28))</f>
        <v>0</v>
      </c>
      <c r="Q29" s="263"/>
      <c r="R29" s="80">
        <v>0</v>
      </c>
      <c r="S29" s="182">
        <f>(R29*$C$29)*((1+$D$28)*(1+$D$28)*(1+$D$28))</f>
        <v>0</v>
      </c>
      <c r="T29" s="263"/>
      <c r="U29" s="182">
        <f>SUM(G29+J29+M29+P29+S29)</f>
        <v>0</v>
      </c>
      <c r="V29" s="293"/>
      <c r="W29" s="240"/>
      <c r="X29" s="129"/>
      <c r="Y29" s="184"/>
      <c r="Z29" s="257"/>
      <c r="AA29" s="257"/>
      <c r="AB29" s="257"/>
      <c r="AC29" s="257"/>
      <c r="AD29" s="257"/>
      <c r="AE29" s="179">
        <v>70000</v>
      </c>
      <c r="AF29" s="181" t="b">
        <f>IF(C12&gt;70000,((C12*0.235)+8440)/C12)</f>
        <v>0</v>
      </c>
      <c r="AG29" s="179">
        <v>70000</v>
      </c>
      <c r="AH29" s="181" t="b">
        <f>IF(C28&gt;65000,((C28*0.235)+8440)/C28)</f>
        <v>0</v>
      </c>
      <c r="AI29" s="257"/>
      <c r="AJ29" s="257"/>
      <c r="AK29" s="257"/>
      <c r="AL29" s="257"/>
      <c r="AM29" s="257"/>
      <c r="AN29" s="257"/>
      <c r="AO29" s="257"/>
      <c r="AP29" s="294"/>
      <c r="AQ29" s="240"/>
      <c r="AR29" s="129"/>
      <c r="AS29" s="184"/>
      <c r="AT29" s="257"/>
      <c r="AU29" s="257"/>
      <c r="AV29" s="257"/>
      <c r="AW29" s="257"/>
      <c r="AX29" s="257"/>
      <c r="AY29" s="257"/>
      <c r="AZ29" s="257"/>
      <c r="BA29" s="257"/>
      <c r="BB29" s="257"/>
      <c r="BC29" s="257"/>
      <c r="BD29" s="257"/>
      <c r="BE29" s="257"/>
      <c r="BF29" s="257"/>
      <c r="BG29" s="257"/>
      <c r="BH29" s="257"/>
      <c r="BI29" s="257"/>
      <c r="BJ29" s="257"/>
      <c r="BK29" s="257"/>
      <c r="BL29" s="257"/>
    </row>
    <row r="30" spans="1:64" s="128" customFormat="1" ht="14" hidden="1" thickBot="1" x14ac:dyDescent="0.2">
      <c r="A30" s="259" t="s">
        <v>194</v>
      </c>
      <c r="B30" s="257"/>
      <c r="C30" s="177"/>
      <c r="D30" s="189"/>
      <c r="E30" s="178"/>
      <c r="F30" s="82">
        <f>IF(E28="Academic (9 month)",(G28+G29)/(C28+C29),F28)</f>
        <v>0</v>
      </c>
      <c r="G30" s="43">
        <f>SUM(G28:G29)</f>
        <v>0</v>
      </c>
      <c r="H30" s="89"/>
      <c r="I30" s="81">
        <f>IF(E28="Academic (9 month)",(J28+J29)/((C28+C29)*(1+D28)),I28)</f>
        <v>0</v>
      </c>
      <c r="J30" s="43">
        <f>SUM(J28:J29)</f>
        <v>0</v>
      </c>
      <c r="K30" s="89"/>
      <c r="L30" s="81">
        <f>IF(E28="Academic (9 month)",(M28+M29)/((C28+C29)*(1+(D28*2))),L28)</f>
        <v>0</v>
      </c>
      <c r="M30" s="43">
        <f>SUM(M28:M29)</f>
        <v>0</v>
      </c>
      <c r="N30" s="89"/>
      <c r="O30" s="81">
        <f>IF(G28="Academic (9 month)",(P28+P29)/((E28+E29)*(1+(F28*3))),O28)</f>
        <v>0</v>
      </c>
      <c r="P30" s="43">
        <f>SUM(P28:P29)</f>
        <v>0</v>
      </c>
      <c r="Q30" s="89"/>
      <c r="R30" s="81">
        <f>IF(J28="Academic (9 month)",(S28+S29)/((H28+H29)*(1+(I28*3))),R28)</f>
        <v>0</v>
      </c>
      <c r="S30" s="43">
        <f>SUM(S28:S29)</f>
        <v>0</v>
      </c>
      <c r="T30" s="89"/>
      <c r="U30" s="43">
        <f>G30+J30+M30+P30+S30</f>
        <v>0</v>
      </c>
      <c r="V30" s="127"/>
      <c r="W30" s="240"/>
      <c r="X30" s="129"/>
      <c r="Y30" s="184"/>
      <c r="Z30" s="257"/>
      <c r="AA30" s="257"/>
      <c r="AB30" s="257"/>
      <c r="AC30" s="257"/>
      <c r="AD30" s="257"/>
      <c r="AE30" s="179"/>
      <c r="AF30" s="181"/>
      <c r="AG30" s="179"/>
      <c r="AH30" s="181"/>
      <c r="AI30" s="257"/>
      <c r="AJ30" s="257"/>
      <c r="AK30" s="257"/>
      <c r="AL30" s="257"/>
      <c r="AM30" s="257"/>
      <c r="AN30" s="257"/>
      <c r="AO30" s="257"/>
      <c r="AP30" s="241"/>
      <c r="AQ30" s="240"/>
      <c r="AR30" s="129"/>
      <c r="AS30" s="184"/>
      <c r="AT30" s="257"/>
      <c r="AU30" s="257"/>
      <c r="AV30" s="257"/>
      <c r="AW30" s="257"/>
      <c r="AX30" s="257"/>
      <c r="AY30" s="257"/>
      <c r="AZ30" s="257"/>
      <c r="BA30" s="257"/>
      <c r="BB30" s="257"/>
      <c r="BC30" s="257"/>
      <c r="BD30" s="257"/>
      <c r="BE30" s="257"/>
      <c r="BF30" s="257"/>
      <c r="BG30" s="257"/>
      <c r="BH30" s="257"/>
      <c r="BI30" s="257"/>
      <c r="BJ30" s="257"/>
      <c r="BK30" s="257"/>
      <c r="BL30" s="257"/>
    </row>
    <row r="31" spans="1:64" s="128" customFormat="1" ht="15" hidden="1" thickTop="1" thickBot="1" x14ac:dyDescent="0.2">
      <c r="A31" s="257" t="s">
        <v>196</v>
      </c>
      <c r="B31" s="257">
        <f>B28</f>
        <v>0</v>
      </c>
      <c r="C31" s="177"/>
      <c r="D31" s="189"/>
      <c r="E31" s="47" t="s">
        <v>183</v>
      </c>
      <c r="F31" s="174" t="str">
        <f>IF(C28=0,"0%",((C28*0.235)+9100)/C28)</f>
        <v>0%</v>
      </c>
      <c r="G31" s="182">
        <f>F31*G28</f>
        <v>0</v>
      </c>
      <c r="H31" s="263"/>
      <c r="I31" s="206"/>
      <c r="J31" s="182">
        <f>J28*F31</f>
        <v>0</v>
      </c>
      <c r="K31" s="263"/>
      <c r="L31" s="206"/>
      <c r="M31" s="182">
        <f>M28*F31</f>
        <v>0</v>
      </c>
      <c r="N31" s="263"/>
      <c r="O31" s="206"/>
      <c r="P31" s="182">
        <f>P28*F31</f>
        <v>0</v>
      </c>
      <c r="Q31" s="263"/>
      <c r="R31" s="206"/>
      <c r="S31" s="182">
        <f>S28*I31</f>
        <v>0</v>
      </c>
      <c r="T31" s="263"/>
      <c r="U31" s="177"/>
      <c r="V31" s="127"/>
      <c r="W31" s="240"/>
      <c r="X31" s="129"/>
      <c r="Y31" s="184"/>
      <c r="Z31" s="257"/>
      <c r="AA31" s="257"/>
      <c r="AB31" s="257"/>
      <c r="AC31" s="257"/>
      <c r="AD31" s="257"/>
      <c r="AE31" s="180" t="s">
        <v>158</v>
      </c>
      <c r="AF31" s="180"/>
      <c r="AG31" s="180" t="s">
        <v>159</v>
      </c>
      <c r="AH31" s="180"/>
      <c r="AI31" s="257" t="s">
        <v>56</v>
      </c>
      <c r="AJ31" s="257"/>
      <c r="AK31" s="257"/>
      <c r="AL31" s="257"/>
      <c r="AM31" s="257"/>
      <c r="AN31" s="257"/>
      <c r="AO31" s="257"/>
      <c r="AP31" s="241"/>
      <c r="AQ31" s="240"/>
      <c r="AR31" s="129"/>
      <c r="AS31" s="184"/>
      <c r="AT31" s="257"/>
      <c r="AU31" s="257"/>
      <c r="AV31" s="257"/>
      <c r="AW31" s="257"/>
      <c r="AX31" s="257"/>
      <c r="AY31" s="257"/>
      <c r="AZ31" s="257"/>
      <c r="BA31" s="257"/>
      <c r="BB31" s="257"/>
      <c r="BC31" s="257"/>
      <c r="BD31" s="257"/>
      <c r="BE31" s="257"/>
      <c r="BF31" s="257"/>
      <c r="BG31" s="257"/>
      <c r="BH31" s="257"/>
      <c r="BI31" s="257"/>
      <c r="BJ31" s="257"/>
      <c r="BK31" s="257"/>
      <c r="BL31" s="257"/>
    </row>
    <row r="32" spans="1:64" s="128" customFormat="1" ht="14" hidden="1" thickTop="1" x14ac:dyDescent="0.15">
      <c r="A32" s="257" t="s">
        <v>197</v>
      </c>
      <c r="B32" s="257"/>
      <c r="C32" s="177"/>
      <c r="D32" s="189"/>
      <c r="E32" s="47" t="s">
        <v>121</v>
      </c>
      <c r="F32" s="83" t="str">
        <f>IF(E28="Academic (9 month)",0.24,"0%")</f>
        <v>0%</v>
      </c>
      <c r="G32" s="182">
        <f>F32*G29</f>
        <v>0</v>
      </c>
      <c r="H32" s="263"/>
      <c r="I32" s="206"/>
      <c r="J32" s="182">
        <f>J29*F32</f>
        <v>0</v>
      </c>
      <c r="K32" s="263"/>
      <c r="L32" s="206"/>
      <c r="M32" s="182">
        <f>M29*F32</f>
        <v>0</v>
      </c>
      <c r="N32" s="263"/>
      <c r="O32" s="206"/>
      <c r="P32" s="182">
        <f>P29*F32</f>
        <v>0</v>
      </c>
      <c r="Q32" s="263"/>
      <c r="R32" s="206"/>
      <c r="S32" s="182">
        <f>S29*I32</f>
        <v>0</v>
      </c>
      <c r="T32" s="263"/>
      <c r="U32" s="177"/>
      <c r="V32" s="127"/>
      <c r="W32" s="240"/>
      <c r="X32" s="129"/>
      <c r="Y32" s="184"/>
      <c r="Z32" s="257"/>
      <c r="AA32" s="257"/>
      <c r="AB32" s="257"/>
      <c r="AC32" s="257"/>
      <c r="AD32" s="257"/>
      <c r="AE32" s="180">
        <v>0</v>
      </c>
      <c r="AF32" s="180">
        <v>0.66</v>
      </c>
      <c r="AG32" s="180">
        <v>0</v>
      </c>
      <c r="AH32" s="180">
        <v>0.66</v>
      </c>
      <c r="AI32" s="180">
        <v>0</v>
      </c>
      <c r="AJ32" s="180">
        <v>0.66</v>
      </c>
      <c r="AK32" s="257"/>
      <c r="AL32" s="257"/>
      <c r="AM32" s="257"/>
      <c r="AN32" s="257"/>
      <c r="AO32" s="257"/>
      <c r="AP32" s="241"/>
      <c r="AQ32" s="240"/>
      <c r="AR32" s="129"/>
      <c r="AS32" s="184"/>
      <c r="AT32" s="257"/>
      <c r="AU32" s="257"/>
      <c r="AV32" s="257"/>
      <c r="AW32" s="257"/>
      <c r="AX32" s="257"/>
      <c r="AY32" s="257"/>
      <c r="AZ32" s="257"/>
      <c r="BA32" s="257"/>
      <c r="BB32" s="257"/>
      <c r="BC32" s="257"/>
      <c r="BD32" s="257"/>
      <c r="BE32" s="257"/>
      <c r="BF32" s="257"/>
      <c r="BG32" s="257"/>
      <c r="BH32" s="257"/>
      <c r="BI32" s="257"/>
      <c r="BJ32" s="257"/>
      <c r="BK32" s="257"/>
      <c r="BL32" s="257"/>
    </row>
    <row r="33" spans="1:64" s="128" customFormat="1" ht="14" hidden="1" thickBot="1" x14ac:dyDescent="0.2">
      <c r="A33" s="259" t="s">
        <v>195</v>
      </c>
      <c r="B33" s="257"/>
      <c r="C33" s="177"/>
      <c r="D33" s="189"/>
      <c r="E33" s="178"/>
      <c r="F33" s="206"/>
      <c r="G33" s="57">
        <f>SUM(G31:G32)</f>
        <v>0</v>
      </c>
      <c r="H33" s="88"/>
      <c r="I33" s="206"/>
      <c r="J33" s="57">
        <f>SUM(J31:J32)</f>
        <v>0</v>
      </c>
      <c r="K33" s="88"/>
      <c r="L33" s="206"/>
      <c r="M33" s="57">
        <f>SUM(M31:M32)</f>
        <v>0</v>
      </c>
      <c r="N33" s="88"/>
      <c r="O33" s="206"/>
      <c r="P33" s="57">
        <f>SUM(P31:P32)</f>
        <v>0</v>
      </c>
      <c r="Q33" s="88"/>
      <c r="R33" s="206"/>
      <c r="S33" s="57">
        <f>SUM(S31:S32)</f>
        <v>0</v>
      </c>
      <c r="T33" s="98"/>
      <c r="U33" s="43">
        <f>SUM(G33:S33)</f>
        <v>0</v>
      </c>
      <c r="V33" s="127"/>
      <c r="W33" s="240"/>
      <c r="X33" s="129"/>
      <c r="Y33" s="184"/>
      <c r="Z33" s="257"/>
      <c r="AA33" s="257"/>
      <c r="AB33" s="257"/>
      <c r="AC33" s="257"/>
      <c r="AD33" s="257"/>
      <c r="AE33" s="180">
        <v>20000</v>
      </c>
      <c r="AF33" s="180">
        <v>0.66</v>
      </c>
      <c r="AG33" s="180">
        <v>20000</v>
      </c>
      <c r="AH33" s="180">
        <v>0.66</v>
      </c>
      <c r="AI33" s="180">
        <v>20000</v>
      </c>
      <c r="AJ33" s="180">
        <v>0.66</v>
      </c>
      <c r="AK33" s="257"/>
      <c r="AL33" s="257"/>
      <c r="AM33" s="257"/>
      <c r="AN33" s="257"/>
      <c r="AO33" s="257"/>
      <c r="AP33" s="241"/>
      <c r="AQ33" s="240"/>
      <c r="AR33" s="129"/>
      <c r="AS33" s="184"/>
      <c r="AT33" s="257"/>
      <c r="AU33" s="257"/>
      <c r="AV33" s="257"/>
      <c r="AW33" s="257"/>
      <c r="AX33" s="257"/>
      <c r="AY33" s="257"/>
      <c r="AZ33" s="257"/>
      <c r="BA33" s="257"/>
      <c r="BB33" s="257"/>
      <c r="BC33" s="257"/>
      <c r="BD33" s="257"/>
      <c r="BE33" s="257"/>
      <c r="BF33" s="257"/>
      <c r="BG33" s="257"/>
      <c r="BH33" s="257"/>
      <c r="BI33" s="257"/>
      <c r="BJ33" s="257"/>
      <c r="BK33" s="257"/>
      <c r="BL33" s="257"/>
    </row>
    <row r="34" spans="1:64" s="128" customFormat="1" ht="15" hidden="1" thickTop="1" thickBot="1" x14ac:dyDescent="0.2">
      <c r="A34" s="259" t="s">
        <v>198</v>
      </c>
      <c r="B34" s="257"/>
      <c r="C34" s="177"/>
      <c r="D34" s="189"/>
      <c r="E34" s="178"/>
      <c r="F34" s="206"/>
      <c r="G34" s="43">
        <f>G33+G30</f>
        <v>0</v>
      </c>
      <c r="H34" s="88"/>
      <c r="I34" s="206"/>
      <c r="J34" s="43">
        <f>J33+J30</f>
        <v>0</v>
      </c>
      <c r="K34" s="88"/>
      <c r="L34" s="206"/>
      <c r="M34" s="43">
        <f>M33+M30</f>
        <v>0</v>
      </c>
      <c r="N34" s="88"/>
      <c r="O34" s="206"/>
      <c r="P34" s="43">
        <f>P33+P30</f>
        <v>0</v>
      </c>
      <c r="Q34" s="88"/>
      <c r="R34" s="206"/>
      <c r="S34" s="43">
        <f>S33+S30</f>
        <v>0</v>
      </c>
      <c r="T34" s="99"/>
      <c r="U34" s="52">
        <f>SUM(G34:S34)</f>
        <v>0</v>
      </c>
      <c r="V34" s="127"/>
      <c r="W34" s="240"/>
      <c r="X34" s="129"/>
      <c r="Y34" s="184"/>
      <c r="Z34" s="257"/>
      <c r="AA34" s="257"/>
      <c r="AB34" s="257"/>
      <c r="AC34" s="257"/>
      <c r="AD34" s="257"/>
      <c r="AE34" s="180">
        <v>25000</v>
      </c>
      <c r="AF34" s="180">
        <v>0.56999999999999995</v>
      </c>
      <c r="AG34" s="180">
        <v>25000</v>
      </c>
      <c r="AH34" s="180">
        <v>0.56999999999999995</v>
      </c>
      <c r="AI34" s="180">
        <v>25000</v>
      </c>
      <c r="AJ34" s="180">
        <v>0.56999999999999995</v>
      </c>
      <c r="AK34" s="257"/>
      <c r="AL34" s="257"/>
      <c r="AM34" s="257"/>
      <c r="AN34" s="257"/>
      <c r="AO34" s="257"/>
      <c r="AP34" s="241"/>
      <c r="AQ34" s="240"/>
      <c r="AR34" s="129"/>
      <c r="AS34" s="184"/>
      <c r="AT34" s="257"/>
      <c r="AU34" s="257"/>
      <c r="AV34" s="257"/>
      <c r="AW34" s="257"/>
      <c r="AX34" s="257"/>
      <c r="AY34" s="257"/>
      <c r="AZ34" s="257"/>
      <c r="BA34" s="257"/>
      <c r="BB34" s="257"/>
      <c r="BC34" s="257"/>
      <c r="BD34" s="257"/>
      <c r="BE34" s="257"/>
      <c r="BF34" s="257"/>
      <c r="BG34" s="257"/>
      <c r="BH34" s="257"/>
      <c r="BI34" s="257"/>
      <c r="BJ34" s="257"/>
      <c r="BK34" s="257"/>
      <c r="BL34" s="257"/>
    </row>
    <row r="35" spans="1:64" s="257" customFormat="1" ht="14" hidden="1" thickTop="1" x14ac:dyDescent="0.15">
      <c r="A35" s="259"/>
      <c r="C35" s="177"/>
      <c r="D35" s="189"/>
      <c r="E35" s="178"/>
      <c r="F35" s="206"/>
      <c r="G35" s="204"/>
      <c r="H35" s="91"/>
      <c r="I35" s="206"/>
      <c r="J35" s="204"/>
      <c r="K35" s="91"/>
      <c r="L35" s="206"/>
      <c r="M35" s="204"/>
      <c r="N35" s="91"/>
      <c r="O35" s="206"/>
      <c r="P35" s="204"/>
      <c r="Q35" s="91"/>
      <c r="R35" s="206"/>
      <c r="S35" s="204"/>
      <c r="T35" s="91"/>
      <c r="U35" s="177"/>
      <c r="V35" s="127"/>
      <c r="W35" s="240"/>
      <c r="X35" s="129"/>
      <c r="Y35" s="184"/>
      <c r="AE35" s="180">
        <v>30000</v>
      </c>
      <c r="AF35" s="180">
        <v>0.52</v>
      </c>
      <c r="AG35" s="180">
        <v>30000</v>
      </c>
      <c r="AH35" s="180">
        <v>0.52</v>
      </c>
      <c r="AI35" s="180">
        <v>30000</v>
      </c>
      <c r="AJ35" s="180">
        <v>0.52</v>
      </c>
      <c r="AP35" s="241"/>
      <c r="AQ35" s="240"/>
      <c r="AR35" s="129"/>
      <c r="AS35" s="184"/>
    </row>
    <row r="36" spans="1:64" s="257" customFormat="1" hidden="1" x14ac:dyDescent="0.15">
      <c r="A36" s="257" t="s">
        <v>209</v>
      </c>
      <c r="B36" s="176"/>
      <c r="C36" s="193">
        <v>0</v>
      </c>
      <c r="D36" s="188">
        <v>0</v>
      </c>
      <c r="E36" s="38" t="s">
        <v>150</v>
      </c>
      <c r="F36" s="80">
        <v>0</v>
      </c>
      <c r="G36" s="182">
        <f>F36*C36</f>
        <v>0</v>
      </c>
      <c r="H36" s="263"/>
      <c r="I36" s="80">
        <v>0</v>
      </c>
      <c r="J36" s="182">
        <f>(C36*I36)*(1+$D$36)</f>
        <v>0</v>
      </c>
      <c r="K36" s="263"/>
      <c r="L36" s="80">
        <v>0</v>
      </c>
      <c r="M36" s="182">
        <f>(L36*$C$36)*((1+$D$36)*(1+$D$36))</f>
        <v>0</v>
      </c>
      <c r="N36" s="263"/>
      <c r="O36" s="80">
        <v>0</v>
      </c>
      <c r="P36" s="182">
        <f>(O36*$C$36)*((1+$D$36)*(1+$D$36)*(1+$D$36))</f>
        <v>0</v>
      </c>
      <c r="Q36" s="263"/>
      <c r="R36" s="80">
        <v>0</v>
      </c>
      <c r="S36" s="182">
        <f>(R36*$C$36)*((1+$D$36)*(1+$D$36)*(1+$D$36))</f>
        <v>0</v>
      </c>
      <c r="T36" s="263"/>
      <c r="U36" s="182">
        <f>SUM(G36+J36+M36+P36+S36)</f>
        <v>0</v>
      </c>
      <c r="V36" s="127"/>
      <c r="W36" s="240"/>
      <c r="X36" s="129"/>
      <c r="Y36" s="184"/>
      <c r="AB36" s="262"/>
      <c r="AE36" s="180">
        <v>35000</v>
      </c>
      <c r="AF36" s="180">
        <v>0.48</v>
      </c>
      <c r="AG36" s="180">
        <v>35000</v>
      </c>
      <c r="AH36" s="180">
        <v>0.48</v>
      </c>
      <c r="AI36" s="180">
        <v>35000</v>
      </c>
      <c r="AJ36" s="180">
        <v>0.48</v>
      </c>
      <c r="AP36" s="241"/>
      <c r="AQ36" s="240"/>
      <c r="AR36" s="129"/>
      <c r="AS36" s="184"/>
    </row>
    <row r="37" spans="1:64" s="257" customFormat="1" hidden="1" x14ac:dyDescent="0.15">
      <c r="A37" s="257" t="s">
        <v>210</v>
      </c>
      <c r="C37" s="177" t="str">
        <f>IF(E36="Academic (9 month)",C36*(13/39),"0")</f>
        <v>0</v>
      </c>
      <c r="D37" s="189"/>
      <c r="E37" s="178"/>
      <c r="F37" s="80">
        <v>0</v>
      </c>
      <c r="G37" s="182">
        <f>F37*C37</f>
        <v>0</v>
      </c>
      <c r="H37" s="263"/>
      <c r="I37" s="80">
        <v>0</v>
      </c>
      <c r="J37" s="182">
        <f>C37*I37*(1+$D$36)</f>
        <v>0</v>
      </c>
      <c r="K37" s="263"/>
      <c r="L37" s="80">
        <v>0</v>
      </c>
      <c r="M37" s="182">
        <f>(L37*$C$37)*((1+$D$36)*(1+$D$36))</f>
        <v>0</v>
      </c>
      <c r="N37" s="263"/>
      <c r="O37" s="80">
        <v>0</v>
      </c>
      <c r="P37" s="182">
        <f>(O37*$C$37)*((1+$D$36)*(1+$D$36)*(1+$D$36))</f>
        <v>0</v>
      </c>
      <c r="Q37" s="263"/>
      <c r="R37" s="80">
        <v>0</v>
      </c>
      <c r="S37" s="182">
        <f>(R37*$C$37)*((1+$D$36)*(1+$D$36)*(1+$D$36))</f>
        <v>0</v>
      </c>
      <c r="T37" s="263"/>
      <c r="U37" s="182">
        <f>SUM(G37+J37+M37+P37+S37)</f>
        <v>0</v>
      </c>
      <c r="V37" s="127"/>
      <c r="W37" s="240"/>
      <c r="X37" s="129"/>
      <c r="Y37" s="184"/>
      <c r="AB37" s="262"/>
      <c r="AE37" s="180">
        <v>40000</v>
      </c>
      <c r="AF37" s="180">
        <v>0.45</v>
      </c>
      <c r="AG37" s="180">
        <v>40000</v>
      </c>
      <c r="AH37" s="180">
        <v>0.45</v>
      </c>
      <c r="AI37" s="180">
        <v>40000</v>
      </c>
      <c r="AJ37" s="180">
        <v>0.45</v>
      </c>
      <c r="AP37" s="241"/>
      <c r="AQ37" s="240"/>
      <c r="AR37" s="129"/>
      <c r="AS37" s="184"/>
    </row>
    <row r="38" spans="1:64" s="257" customFormat="1" ht="14" hidden="1" thickBot="1" x14ac:dyDescent="0.2">
      <c r="A38" s="259" t="s">
        <v>199</v>
      </c>
      <c r="C38" s="177"/>
      <c r="D38" s="189"/>
      <c r="E38" s="178"/>
      <c r="F38" s="82">
        <f>IF($E$36="Academic (9 month)",(G36+G37)/($C$36+$C$37),$F$36)</f>
        <v>0</v>
      </c>
      <c r="G38" s="43">
        <f>SUM(G36,G37)</f>
        <v>0</v>
      </c>
      <c r="H38" s="89"/>
      <c r="I38" s="82">
        <f>IF(E36="Academic (9 month)",(J36+J37)/((C36+C37)*(1+D36)),I36)</f>
        <v>0</v>
      </c>
      <c r="J38" s="43">
        <f>SUM(J36:J37)</f>
        <v>0</v>
      </c>
      <c r="K38" s="89"/>
      <c r="L38" s="82">
        <f>IF(E36="Academic (9 month)",(M36+M37)/((C36+C37)*(1+(D36*2))),L36)</f>
        <v>0</v>
      </c>
      <c r="M38" s="43">
        <f>SUM(M36:M37)</f>
        <v>0</v>
      </c>
      <c r="N38" s="89"/>
      <c r="O38" s="82">
        <f>IF(G36="Academic (9 month)",(P36+P37)/((E36+E37)*(1+(F36*3))),O36)</f>
        <v>0</v>
      </c>
      <c r="P38" s="43">
        <f>SUM(P36:P37)</f>
        <v>0</v>
      </c>
      <c r="Q38" s="89"/>
      <c r="R38" s="82">
        <f>IF(J36="Academic (9 month)",(S36+S37)/((H36+H37)*(1+(I36*3))),R36)</f>
        <v>0</v>
      </c>
      <c r="S38" s="43">
        <f>SUM(S36:S37)</f>
        <v>0</v>
      </c>
      <c r="T38" s="89"/>
      <c r="U38" s="43">
        <f>G38+J38+M38+P38+S38</f>
        <v>0</v>
      </c>
      <c r="V38" s="127"/>
      <c r="W38" s="240"/>
      <c r="X38" s="129"/>
      <c r="Y38" s="184"/>
      <c r="AB38" s="262"/>
      <c r="AE38" s="180">
        <v>45000</v>
      </c>
      <c r="AF38" s="180">
        <v>0.42</v>
      </c>
      <c r="AG38" s="180">
        <v>45000</v>
      </c>
      <c r="AH38" s="180">
        <v>0.42</v>
      </c>
      <c r="AI38" s="180">
        <v>45000</v>
      </c>
      <c r="AJ38" s="180">
        <v>0.42</v>
      </c>
      <c r="AP38" s="241"/>
      <c r="AQ38" s="240"/>
      <c r="AR38" s="129"/>
      <c r="AS38" s="184"/>
    </row>
    <row r="39" spans="1:64" s="257" customFormat="1" ht="15" hidden="1" thickTop="1" thickBot="1" x14ac:dyDescent="0.2">
      <c r="A39" s="257" t="s">
        <v>202</v>
      </c>
      <c r="B39" s="257">
        <f>B36</f>
        <v>0</v>
      </c>
      <c r="C39" s="177"/>
      <c r="D39" s="189"/>
      <c r="E39" s="47" t="s">
        <v>183</v>
      </c>
      <c r="F39" s="174" t="str">
        <f>IF(C36=0,"0%",((C36*0.235)+9100)/C36)</f>
        <v>0%</v>
      </c>
      <c r="G39" s="182">
        <f>$F$39*G36</f>
        <v>0</v>
      </c>
      <c r="H39" s="263"/>
      <c r="I39" s="206"/>
      <c r="J39" s="182">
        <f>$F$39*J36</f>
        <v>0</v>
      </c>
      <c r="K39" s="263"/>
      <c r="L39" s="206"/>
      <c r="M39" s="182">
        <f>$F$39*M36</f>
        <v>0</v>
      </c>
      <c r="N39" s="263"/>
      <c r="O39" s="206"/>
      <c r="P39" s="182">
        <f>$F$39*P36</f>
        <v>0</v>
      </c>
      <c r="Q39" s="263"/>
      <c r="R39" s="206"/>
      <c r="S39" s="182">
        <f>$F$39*S36</f>
        <v>0</v>
      </c>
      <c r="T39" s="263"/>
      <c r="U39" s="177"/>
      <c r="V39" s="127"/>
      <c r="W39" s="240"/>
      <c r="X39" s="129"/>
      <c r="Y39" s="184"/>
      <c r="AB39" s="262"/>
      <c r="AE39" s="180">
        <v>50000</v>
      </c>
      <c r="AF39" s="180">
        <v>0.41</v>
      </c>
      <c r="AG39" s="180">
        <v>50000</v>
      </c>
      <c r="AH39" s="180">
        <v>0.41</v>
      </c>
      <c r="AI39" s="180">
        <v>50000</v>
      </c>
      <c r="AJ39" s="180">
        <v>0.41</v>
      </c>
      <c r="AP39" s="241"/>
      <c r="AQ39" s="240"/>
      <c r="AR39" s="129"/>
      <c r="AS39" s="184"/>
    </row>
    <row r="40" spans="1:64" s="257" customFormat="1" ht="14" hidden="1" thickTop="1" x14ac:dyDescent="0.15">
      <c r="A40" s="257" t="s">
        <v>203</v>
      </c>
      <c r="C40" s="177"/>
      <c r="D40" s="189"/>
      <c r="E40" s="47" t="s">
        <v>121</v>
      </c>
      <c r="F40" s="83" t="str">
        <f>IF(E36="Academic (9 month)",0.24,"0%")</f>
        <v>0%</v>
      </c>
      <c r="G40" s="182">
        <f>$F$40*G37</f>
        <v>0</v>
      </c>
      <c r="H40" s="263"/>
      <c r="I40" s="206"/>
      <c r="J40" s="182">
        <f>$F$40*J37</f>
        <v>0</v>
      </c>
      <c r="K40" s="263"/>
      <c r="L40" s="206"/>
      <c r="M40" s="182">
        <f>$F$40*M37</f>
        <v>0</v>
      </c>
      <c r="N40" s="263"/>
      <c r="O40" s="206"/>
      <c r="P40" s="182">
        <f>$F$40*P37</f>
        <v>0</v>
      </c>
      <c r="Q40" s="263"/>
      <c r="R40" s="206"/>
      <c r="S40" s="182">
        <f>$F$40*S37</f>
        <v>0</v>
      </c>
      <c r="T40" s="263"/>
      <c r="U40" s="177"/>
      <c r="V40" s="127"/>
      <c r="W40" s="240"/>
      <c r="X40" s="129"/>
      <c r="Y40" s="184"/>
      <c r="AB40" s="262"/>
      <c r="AE40" s="180">
        <v>55000</v>
      </c>
      <c r="AF40" s="180">
        <v>0.39</v>
      </c>
      <c r="AG40" s="180">
        <v>55000</v>
      </c>
      <c r="AH40" s="180">
        <v>0.39</v>
      </c>
      <c r="AI40" s="180">
        <v>55000</v>
      </c>
      <c r="AJ40" s="180">
        <v>0.39</v>
      </c>
      <c r="AP40" s="241"/>
      <c r="AQ40" s="240"/>
      <c r="AR40" s="129"/>
      <c r="AS40" s="184"/>
    </row>
    <row r="41" spans="1:64" s="257" customFormat="1" ht="14" hidden="1" thickBot="1" x14ac:dyDescent="0.2">
      <c r="A41" s="259" t="s">
        <v>200</v>
      </c>
      <c r="C41" s="177"/>
      <c r="D41" s="189"/>
      <c r="E41" s="178"/>
      <c r="F41" s="206"/>
      <c r="G41" s="57">
        <f>SUM(G39:G40)</f>
        <v>0</v>
      </c>
      <c r="H41" s="88"/>
      <c r="I41" s="206"/>
      <c r="J41" s="57">
        <f>SUM(J39:J40)</f>
        <v>0</v>
      </c>
      <c r="K41" s="88"/>
      <c r="L41" s="206"/>
      <c r="M41" s="57">
        <f>SUM(M39:M40)</f>
        <v>0</v>
      </c>
      <c r="N41" s="88"/>
      <c r="O41" s="206"/>
      <c r="P41" s="57">
        <f>SUM(P39:P40)</f>
        <v>0</v>
      </c>
      <c r="Q41" s="88"/>
      <c r="R41" s="206"/>
      <c r="S41" s="57">
        <f>SUM(S39:S40)</f>
        <v>0</v>
      </c>
      <c r="T41" s="98"/>
      <c r="U41" s="43">
        <f>SUM(G41:S41)</f>
        <v>0</v>
      </c>
      <c r="V41" s="127"/>
      <c r="W41" s="240"/>
      <c r="X41" s="129"/>
      <c r="Y41" s="184"/>
      <c r="AB41" s="262"/>
      <c r="AE41" s="180">
        <v>60000</v>
      </c>
      <c r="AF41" s="180">
        <v>0.38</v>
      </c>
      <c r="AG41" s="180">
        <v>60000</v>
      </c>
      <c r="AH41" s="180">
        <v>0.38</v>
      </c>
      <c r="AI41" s="180">
        <v>60000</v>
      </c>
      <c r="AJ41" s="180">
        <v>0.38</v>
      </c>
      <c r="AP41" s="241"/>
      <c r="AQ41" s="240"/>
      <c r="AR41" s="129"/>
      <c r="AS41" s="184"/>
    </row>
    <row r="42" spans="1:64" s="257" customFormat="1" ht="15" hidden="1" thickTop="1" thickBot="1" x14ac:dyDescent="0.2">
      <c r="A42" s="259" t="s">
        <v>201</v>
      </c>
      <c r="C42" s="177"/>
      <c r="D42" s="189"/>
      <c r="E42" s="178"/>
      <c r="F42" s="206"/>
      <c r="G42" s="43">
        <f>G41+G38</f>
        <v>0</v>
      </c>
      <c r="H42" s="88"/>
      <c r="I42" s="206"/>
      <c r="J42" s="43">
        <f>J41+J38</f>
        <v>0</v>
      </c>
      <c r="K42" s="88"/>
      <c r="L42" s="206"/>
      <c r="M42" s="43">
        <f>M41+M38</f>
        <v>0</v>
      </c>
      <c r="N42" s="88"/>
      <c r="O42" s="206"/>
      <c r="P42" s="43">
        <f>P41+P38</f>
        <v>0</v>
      </c>
      <c r="Q42" s="88"/>
      <c r="R42" s="206"/>
      <c r="S42" s="43">
        <f>S41+S38</f>
        <v>0</v>
      </c>
      <c r="T42" s="99"/>
      <c r="U42" s="52">
        <f>SUM(G42:S42)</f>
        <v>0</v>
      </c>
      <c r="V42" s="127"/>
      <c r="W42" s="240"/>
      <c r="X42" s="129"/>
      <c r="Y42" s="184"/>
      <c r="AB42" s="262"/>
      <c r="AE42" s="180">
        <v>65000</v>
      </c>
      <c r="AF42" s="180">
        <v>0.36</v>
      </c>
      <c r="AG42" s="180">
        <v>65000</v>
      </c>
      <c r="AH42" s="180">
        <v>0.36</v>
      </c>
      <c r="AI42" s="180">
        <v>65000</v>
      </c>
      <c r="AJ42" s="180">
        <v>0.36</v>
      </c>
      <c r="AP42" s="241"/>
      <c r="AQ42" s="240"/>
      <c r="AR42" s="129"/>
      <c r="AS42" s="184"/>
    </row>
    <row r="43" spans="1:64" s="257" customFormat="1" ht="14" hidden="1" thickTop="1" x14ac:dyDescent="0.15">
      <c r="C43" s="177"/>
      <c r="D43" s="189"/>
      <c r="E43" s="178"/>
      <c r="F43" s="206"/>
      <c r="G43" s="204"/>
      <c r="H43" s="91"/>
      <c r="I43" s="206"/>
      <c r="J43" s="204"/>
      <c r="K43" s="91"/>
      <c r="L43" s="206"/>
      <c r="M43" s="204"/>
      <c r="N43" s="91"/>
      <c r="O43" s="206"/>
      <c r="P43" s="204"/>
      <c r="Q43" s="91"/>
      <c r="R43" s="206"/>
      <c r="S43" s="204"/>
      <c r="T43" s="91"/>
      <c r="U43" s="177"/>
      <c r="V43" s="127"/>
      <c r="W43" s="240"/>
      <c r="X43" s="129"/>
      <c r="Y43" s="184"/>
      <c r="AB43" s="262"/>
      <c r="AE43" s="50">
        <v>70000</v>
      </c>
      <c r="AF43" s="51" t="b">
        <f>IF(C36&gt;70000,((C36*0.235)+8440)/C36)</f>
        <v>0</v>
      </c>
      <c r="AG43" s="50">
        <v>70000</v>
      </c>
      <c r="AH43" s="51" t="b">
        <f>IF(C44&gt;70000,((C44*0.235)+8440)/C44)</f>
        <v>0</v>
      </c>
      <c r="AI43" s="50">
        <v>70000</v>
      </c>
      <c r="AJ43" s="51" t="b">
        <f>IF(C52&gt;70000,((C52*0.235)+8440)/C52)</f>
        <v>0</v>
      </c>
      <c r="AP43" s="241"/>
      <c r="AQ43" s="240"/>
      <c r="AR43" s="129"/>
      <c r="AS43" s="184"/>
    </row>
    <row r="44" spans="1:64" s="128" customFormat="1" hidden="1" x14ac:dyDescent="0.15">
      <c r="A44" s="257" t="s">
        <v>211</v>
      </c>
      <c r="B44" s="176"/>
      <c r="C44" s="193">
        <v>0</v>
      </c>
      <c r="D44" s="188">
        <v>0</v>
      </c>
      <c r="E44" s="38" t="s">
        <v>150</v>
      </c>
      <c r="F44" s="80">
        <v>0</v>
      </c>
      <c r="G44" s="182">
        <f>F44*C44</f>
        <v>0</v>
      </c>
      <c r="H44" s="263"/>
      <c r="I44" s="80">
        <v>0</v>
      </c>
      <c r="J44" s="182">
        <f>(C44*I44)*(1+$D$44)</f>
        <v>0</v>
      </c>
      <c r="K44" s="263"/>
      <c r="L44" s="80">
        <v>0</v>
      </c>
      <c r="M44" s="182">
        <f>($C$44*L44)*((1+$D$44)*(1+$D$44))</f>
        <v>0</v>
      </c>
      <c r="N44" s="263"/>
      <c r="O44" s="80">
        <v>0</v>
      </c>
      <c r="P44" s="182">
        <f>(O44*$C$44)*((1+$D$44)*(1+$D$44)*(1+$D$44))</f>
        <v>0</v>
      </c>
      <c r="Q44" s="263"/>
      <c r="R44" s="80">
        <v>0</v>
      </c>
      <c r="S44" s="182">
        <f>(R44*$C$44)*((1+$D$44)*(1+$D$44)*(1+$D$44))</f>
        <v>0</v>
      </c>
      <c r="T44" s="263"/>
      <c r="U44" s="182">
        <f>SUM(G44+J44+M44+P44+S44)</f>
        <v>0</v>
      </c>
      <c r="V44" s="127"/>
      <c r="W44" s="240"/>
      <c r="X44" s="129"/>
      <c r="Y44" s="184"/>
      <c r="Z44" s="257"/>
      <c r="AA44" s="257"/>
      <c r="AB44" s="257"/>
      <c r="AC44" s="257"/>
      <c r="AD44" s="257"/>
      <c r="AE44" s="257"/>
      <c r="AF44" s="257"/>
      <c r="AG44" s="257"/>
      <c r="AH44" s="257"/>
      <c r="AI44" s="257"/>
      <c r="AJ44" s="257"/>
      <c r="AK44" s="257"/>
      <c r="AL44" s="257"/>
      <c r="AM44" s="257"/>
      <c r="AN44" s="257"/>
      <c r="AO44" s="257"/>
      <c r="AP44" s="241"/>
      <c r="AQ44" s="240"/>
      <c r="AR44" s="129"/>
      <c r="AS44" s="184"/>
      <c r="AT44" s="257"/>
      <c r="AU44" s="257"/>
      <c r="AV44" s="257"/>
      <c r="AW44" s="257"/>
      <c r="AX44" s="257"/>
      <c r="AY44" s="257"/>
      <c r="AZ44" s="257"/>
      <c r="BA44" s="257"/>
      <c r="BB44" s="257"/>
      <c r="BC44" s="257"/>
      <c r="BD44" s="257"/>
      <c r="BE44" s="257"/>
      <c r="BF44" s="257"/>
      <c r="BG44" s="257"/>
      <c r="BH44" s="257"/>
      <c r="BI44" s="257"/>
      <c r="BJ44" s="257"/>
      <c r="BK44" s="257"/>
      <c r="BL44" s="257"/>
    </row>
    <row r="45" spans="1:64" s="128" customFormat="1" hidden="1" x14ac:dyDescent="0.15">
      <c r="A45" s="257" t="s">
        <v>205</v>
      </c>
      <c r="B45" s="257"/>
      <c r="C45" s="177" t="str">
        <f>IF(E44="Academic (9 month)",C44*(13/39),"0")</f>
        <v>0</v>
      </c>
      <c r="D45" s="189"/>
      <c r="E45" s="178"/>
      <c r="F45" s="80">
        <v>0</v>
      </c>
      <c r="G45" s="182">
        <f>F45*C45</f>
        <v>0</v>
      </c>
      <c r="H45" s="263"/>
      <c r="I45" s="80">
        <v>0</v>
      </c>
      <c r="J45" s="182">
        <f>(C45*I45)*(1+$D$44)</f>
        <v>0</v>
      </c>
      <c r="K45" s="263"/>
      <c r="L45" s="80">
        <v>0</v>
      </c>
      <c r="M45" s="182">
        <f>(L45*$C$45)*((1+$D$44)*(1+$D$44))</f>
        <v>0</v>
      </c>
      <c r="N45" s="263"/>
      <c r="O45" s="80">
        <v>0</v>
      </c>
      <c r="P45" s="182">
        <f>(O45*$C$45)*((1+$D$44)*(1+$D$44)*(1+$D$44))</f>
        <v>0</v>
      </c>
      <c r="Q45" s="263"/>
      <c r="R45" s="80">
        <v>0</v>
      </c>
      <c r="S45" s="182">
        <f>(R45*$C$45)*((1+$D$44)*(1+$D$44)*(1+$D$44))</f>
        <v>0</v>
      </c>
      <c r="T45" s="263"/>
      <c r="U45" s="182">
        <f>SUM(G45+J45+M45+P45+S45)</f>
        <v>0</v>
      </c>
      <c r="V45" s="127"/>
      <c r="W45" s="240"/>
      <c r="X45" s="129"/>
      <c r="Y45" s="184"/>
      <c r="Z45" s="257"/>
      <c r="AA45" s="257"/>
      <c r="AB45" s="257"/>
      <c r="AC45" s="257"/>
      <c r="AD45" s="257"/>
      <c r="AE45" s="262" t="s">
        <v>161</v>
      </c>
      <c r="AF45" s="262"/>
      <c r="AG45" s="262" t="s">
        <v>162</v>
      </c>
      <c r="AH45" s="262"/>
      <c r="AI45" s="257" t="s">
        <v>126</v>
      </c>
      <c r="AJ45" s="262"/>
      <c r="AK45" s="257" t="s">
        <v>0</v>
      </c>
      <c r="AL45" s="262"/>
      <c r="AM45" s="257"/>
      <c r="AN45" s="257"/>
      <c r="AO45" s="257"/>
      <c r="AP45" s="241"/>
      <c r="AQ45" s="240"/>
      <c r="AR45" s="129"/>
      <c r="AS45" s="184"/>
      <c r="AT45" s="257"/>
      <c r="AU45" s="257"/>
      <c r="AV45" s="257"/>
      <c r="AW45" s="257"/>
      <c r="AX45" s="257"/>
      <c r="AY45" s="257"/>
      <c r="AZ45" s="257"/>
      <c r="BA45" s="257"/>
      <c r="BB45" s="257"/>
      <c r="BC45" s="257"/>
      <c r="BD45" s="257"/>
      <c r="BE45" s="257"/>
      <c r="BF45" s="257"/>
      <c r="BG45" s="257"/>
      <c r="BH45" s="257"/>
      <c r="BI45" s="257"/>
      <c r="BJ45" s="257"/>
      <c r="BK45" s="257"/>
      <c r="BL45" s="257"/>
    </row>
    <row r="46" spans="1:64" s="128" customFormat="1" ht="14" hidden="1" thickBot="1" x14ac:dyDescent="0.2">
      <c r="A46" s="259" t="s">
        <v>52</v>
      </c>
      <c r="B46" s="257"/>
      <c r="C46" s="177"/>
      <c r="D46" s="189"/>
      <c r="E46" s="178"/>
      <c r="F46" s="81">
        <f>IF($E$44="Academic (9 month)",(G44+G45)/(C44+$C$45),F44)</f>
        <v>0</v>
      </c>
      <c r="G46" s="43">
        <f>SUM(G44:G45)</f>
        <v>0</v>
      </c>
      <c r="H46" s="89"/>
      <c r="I46" s="81">
        <f>IF(E44="Academic (9 month)",(J44+J45)/((C44+C45)*(1+D44)),I44)</f>
        <v>0</v>
      </c>
      <c r="J46" s="43">
        <f>SUM(J44:J45)</f>
        <v>0</v>
      </c>
      <c r="K46" s="89"/>
      <c r="L46" s="81">
        <f>IF($E$44="Academic (9 month)",(M44+M45)/(($C$44+$C$45)*(1+($D$44*2))),L44)</f>
        <v>0</v>
      </c>
      <c r="M46" s="43">
        <f>SUM(M44:M45)</f>
        <v>0</v>
      </c>
      <c r="N46" s="89"/>
      <c r="O46" s="81">
        <f>IF($E$44="Academic (9 month)",(P44+P45)/(($C$44+$C$45)*(1+($D$44*3))),O44)</f>
        <v>0</v>
      </c>
      <c r="P46" s="43">
        <f>SUM(P44:P45)</f>
        <v>0</v>
      </c>
      <c r="Q46" s="89"/>
      <c r="R46" s="81">
        <f>IF($E$44="Academic (9 month)",(S44+S45)/(($C$44+$C$45)*(1+($D$44*3))),R44)</f>
        <v>0</v>
      </c>
      <c r="S46" s="43">
        <f>SUM(S44:S45)</f>
        <v>0</v>
      </c>
      <c r="T46" s="89"/>
      <c r="U46" s="43">
        <f>G46+J46+M46+P46+S46</f>
        <v>0</v>
      </c>
      <c r="V46" s="127"/>
      <c r="W46" s="240"/>
      <c r="X46" s="129"/>
      <c r="Y46" s="184"/>
      <c r="Z46" s="257"/>
      <c r="AA46" s="257"/>
      <c r="AB46" s="257"/>
      <c r="AC46" s="257"/>
      <c r="AD46" s="257"/>
      <c r="AE46" s="180">
        <v>0</v>
      </c>
      <c r="AF46" s="180">
        <v>0.66</v>
      </c>
      <c r="AG46" s="180">
        <v>0</v>
      </c>
      <c r="AH46" s="180">
        <v>0.66</v>
      </c>
      <c r="AI46" s="180">
        <v>0</v>
      </c>
      <c r="AJ46" s="180">
        <v>0.66</v>
      </c>
      <c r="AK46" s="180">
        <v>0</v>
      </c>
      <c r="AL46" s="180">
        <v>0.66</v>
      </c>
      <c r="AM46" s="257"/>
      <c r="AN46" s="257"/>
      <c r="AO46" s="257"/>
      <c r="AP46" s="241"/>
      <c r="AQ46" s="240"/>
      <c r="AR46" s="129"/>
      <c r="AS46" s="184"/>
      <c r="AT46" s="257"/>
      <c r="AU46" s="257"/>
      <c r="AV46" s="257"/>
      <c r="AW46" s="257"/>
      <c r="AX46" s="257"/>
      <c r="AY46" s="257"/>
      <c r="AZ46" s="257"/>
      <c r="BA46" s="257"/>
      <c r="BB46" s="257"/>
      <c r="BC46" s="257"/>
      <c r="BD46" s="257"/>
      <c r="BE46" s="257"/>
      <c r="BF46" s="257"/>
      <c r="BG46" s="257"/>
      <c r="BH46" s="257"/>
      <c r="BI46" s="257"/>
      <c r="BJ46" s="257"/>
      <c r="BK46" s="257"/>
      <c r="BL46" s="257"/>
    </row>
    <row r="47" spans="1:64" s="128" customFormat="1" ht="15" hidden="1" thickTop="1" thickBot="1" x14ac:dyDescent="0.2">
      <c r="A47" s="257" t="s">
        <v>53</v>
      </c>
      <c r="B47" s="257">
        <f>B44</f>
        <v>0</v>
      </c>
      <c r="C47" s="177"/>
      <c r="D47" s="189"/>
      <c r="E47" s="47" t="s">
        <v>183</v>
      </c>
      <c r="F47" s="174" t="str">
        <f>IF(C44=0,"0%",((C44*0.235)+9100)/C44)</f>
        <v>0%</v>
      </c>
      <c r="G47" s="182">
        <f>$F$47*G44</f>
        <v>0</v>
      </c>
      <c r="H47" s="263"/>
      <c r="I47" s="206"/>
      <c r="J47" s="182">
        <f>$F$47*J44</f>
        <v>0</v>
      </c>
      <c r="K47" s="263"/>
      <c r="L47" s="206"/>
      <c r="M47" s="182">
        <f>$F$47*M44</f>
        <v>0</v>
      </c>
      <c r="N47" s="263"/>
      <c r="O47" s="206"/>
      <c r="P47" s="182">
        <f>$F$47*P44</f>
        <v>0</v>
      </c>
      <c r="Q47" s="263"/>
      <c r="R47" s="206"/>
      <c r="S47" s="182">
        <f>$F$47*S44</f>
        <v>0</v>
      </c>
      <c r="T47" s="263"/>
      <c r="U47" s="177"/>
      <c r="V47" s="127"/>
      <c r="W47" s="240"/>
      <c r="X47" s="129"/>
      <c r="Y47" s="184"/>
      <c r="Z47" s="257"/>
      <c r="AA47" s="257"/>
      <c r="AB47" s="257"/>
      <c r="AC47" s="257"/>
      <c r="AD47" s="257"/>
      <c r="AE47" s="180">
        <v>20000</v>
      </c>
      <c r="AF47" s="180">
        <v>0.66</v>
      </c>
      <c r="AG47" s="180">
        <v>20000</v>
      </c>
      <c r="AH47" s="180">
        <v>0.66</v>
      </c>
      <c r="AI47" s="180">
        <v>20000</v>
      </c>
      <c r="AJ47" s="180">
        <v>0.66</v>
      </c>
      <c r="AK47" s="180">
        <v>20000</v>
      </c>
      <c r="AL47" s="180">
        <v>0.66</v>
      </c>
      <c r="AM47" s="257"/>
      <c r="AN47" s="257"/>
      <c r="AO47" s="257"/>
      <c r="AP47" s="241"/>
      <c r="AQ47" s="240"/>
      <c r="AR47" s="129"/>
      <c r="AS47" s="184"/>
      <c r="AT47" s="257"/>
      <c r="AU47" s="257"/>
      <c r="AV47" s="257"/>
      <c r="AW47" s="257"/>
      <c r="AX47" s="257"/>
      <c r="AY47" s="257"/>
      <c r="AZ47" s="257"/>
      <c r="BA47" s="257"/>
      <c r="BB47" s="257"/>
      <c r="BC47" s="257"/>
      <c r="BD47" s="257"/>
      <c r="BE47" s="257"/>
      <c r="BF47" s="257"/>
      <c r="BG47" s="257"/>
      <c r="BH47" s="257"/>
      <c r="BI47" s="257"/>
      <c r="BJ47" s="257"/>
      <c r="BK47" s="257"/>
      <c r="BL47" s="257"/>
    </row>
    <row r="48" spans="1:64" s="128" customFormat="1" ht="14" hidden="1" thickTop="1" x14ac:dyDescent="0.15">
      <c r="A48" s="257" t="s">
        <v>54</v>
      </c>
      <c r="B48" s="257"/>
      <c r="C48" s="177"/>
      <c r="D48" s="189"/>
      <c r="E48" s="47" t="s">
        <v>121</v>
      </c>
      <c r="F48" s="83" t="str">
        <f>IF(E44="Academic (9 month)",0.24,"0%")</f>
        <v>0%</v>
      </c>
      <c r="G48" s="182">
        <f>$F$48*G45</f>
        <v>0</v>
      </c>
      <c r="H48" s="263"/>
      <c r="I48" s="206"/>
      <c r="J48" s="182">
        <f>$F$48*J45</f>
        <v>0</v>
      </c>
      <c r="K48" s="263"/>
      <c r="L48" s="206"/>
      <c r="M48" s="182">
        <f>$F$48*M45</f>
        <v>0</v>
      </c>
      <c r="N48" s="263"/>
      <c r="O48" s="206"/>
      <c r="P48" s="182">
        <f>$F$48*P45</f>
        <v>0</v>
      </c>
      <c r="Q48" s="263"/>
      <c r="R48" s="206"/>
      <c r="S48" s="182">
        <f>$F$48*S45</f>
        <v>0</v>
      </c>
      <c r="T48" s="263"/>
      <c r="U48" s="177"/>
      <c r="V48" s="127"/>
      <c r="W48" s="240"/>
      <c r="X48" s="129"/>
      <c r="Y48" s="184"/>
      <c r="Z48" s="257"/>
      <c r="AA48" s="257"/>
      <c r="AB48" s="257"/>
      <c r="AC48" s="257"/>
      <c r="AD48" s="257"/>
      <c r="AE48" s="180">
        <v>25000</v>
      </c>
      <c r="AF48" s="180">
        <v>0.56999999999999995</v>
      </c>
      <c r="AG48" s="180">
        <v>25000</v>
      </c>
      <c r="AH48" s="180">
        <v>0.56999999999999995</v>
      </c>
      <c r="AI48" s="180">
        <v>25000</v>
      </c>
      <c r="AJ48" s="180">
        <v>0.56999999999999995</v>
      </c>
      <c r="AK48" s="180">
        <v>25000</v>
      </c>
      <c r="AL48" s="180">
        <v>0.56999999999999995</v>
      </c>
      <c r="AM48" s="257"/>
      <c r="AN48" s="257"/>
      <c r="AO48" s="257"/>
      <c r="AP48" s="241"/>
      <c r="AQ48" s="240"/>
      <c r="AR48" s="129"/>
      <c r="AS48" s="184"/>
      <c r="AT48" s="257"/>
      <c r="AU48" s="257"/>
      <c r="AV48" s="257"/>
      <c r="AW48" s="257"/>
      <c r="AX48" s="257"/>
      <c r="AY48" s="257"/>
      <c r="AZ48" s="257"/>
      <c r="BA48" s="257"/>
      <c r="BB48" s="257"/>
      <c r="BC48" s="257"/>
      <c r="BD48" s="257"/>
      <c r="BE48" s="257"/>
      <c r="BF48" s="257"/>
      <c r="BG48" s="257"/>
      <c r="BH48" s="257"/>
      <c r="BI48" s="257"/>
      <c r="BJ48" s="257"/>
      <c r="BK48" s="257"/>
      <c r="BL48" s="257"/>
    </row>
    <row r="49" spans="1:64" s="128" customFormat="1" hidden="1" x14ac:dyDescent="0.15">
      <c r="A49" s="259" t="s">
        <v>55</v>
      </c>
      <c r="B49" s="257"/>
      <c r="C49" s="177"/>
      <c r="D49" s="189"/>
      <c r="E49" s="178"/>
      <c r="F49" s="206"/>
      <c r="G49" s="58">
        <f>SUM(G47:G48)</f>
        <v>0</v>
      </c>
      <c r="H49" s="92"/>
      <c r="I49" s="206"/>
      <c r="J49" s="58">
        <f>SUM(J47:J48)</f>
        <v>0</v>
      </c>
      <c r="K49" s="92"/>
      <c r="L49" s="206"/>
      <c r="M49" s="58">
        <f>SUM(M47:M48)</f>
        <v>0</v>
      </c>
      <c r="N49" s="92"/>
      <c r="O49" s="206"/>
      <c r="P49" s="58">
        <f>SUM(P47:P48)</f>
        <v>0</v>
      </c>
      <c r="Q49" s="92"/>
      <c r="R49" s="206"/>
      <c r="S49" s="58">
        <f>SUM(S47:S48)</f>
        <v>0</v>
      </c>
      <c r="T49" s="92"/>
      <c r="U49" s="177"/>
      <c r="V49" s="127"/>
      <c r="W49" s="240"/>
      <c r="X49" s="129"/>
      <c r="Y49" s="184"/>
      <c r="Z49" s="257"/>
      <c r="AA49" s="257"/>
      <c r="AB49" s="257"/>
      <c r="AC49" s="257"/>
      <c r="AD49" s="257"/>
      <c r="AE49" s="180">
        <v>30000</v>
      </c>
      <c r="AF49" s="180">
        <v>0.52</v>
      </c>
      <c r="AG49" s="180">
        <v>30000</v>
      </c>
      <c r="AH49" s="180">
        <v>0.52</v>
      </c>
      <c r="AI49" s="180">
        <v>30000</v>
      </c>
      <c r="AJ49" s="180">
        <v>0.52</v>
      </c>
      <c r="AK49" s="180">
        <v>30000</v>
      </c>
      <c r="AL49" s="180">
        <v>0.52</v>
      </c>
      <c r="AM49" s="257"/>
      <c r="AN49" s="257"/>
      <c r="AO49" s="257"/>
      <c r="AP49" s="241"/>
      <c r="AQ49" s="240"/>
      <c r="AR49" s="129"/>
      <c r="AS49" s="184"/>
      <c r="AT49" s="257"/>
      <c r="AU49" s="257"/>
      <c r="AV49" s="257"/>
      <c r="AW49" s="257"/>
      <c r="AX49" s="257"/>
      <c r="AY49" s="257"/>
      <c r="AZ49" s="257"/>
      <c r="BA49" s="257"/>
      <c r="BB49" s="257"/>
      <c r="BC49" s="257"/>
      <c r="BD49" s="257"/>
      <c r="BE49" s="257"/>
      <c r="BF49" s="257"/>
      <c r="BG49" s="257"/>
      <c r="BH49" s="257"/>
      <c r="BI49" s="257"/>
      <c r="BJ49" s="257"/>
      <c r="BK49" s="257"/>
      <c r="BL49" s="257"/>
    </row>
    <row r="50" spans="1:64" s="258" customFormat="1" ht="14" hidden="1" thickBot="1" x14ac:dyDescent="0.2">
      <c r="A50" s="259" t="s">
        <v>51</v>
      </c>
      <c r="C50" s="259"/>
      <c r="D50" s="270"/>
      <c r="E50" s="259"/>
      <c r="F50" s="192"/>
      <c r="G50" s="183">
        <f>G49+G46</f>
        <v>0</v>
      </c>
      <c r="H50" s="88"/>
      <c r="I50" s="192"/>
      <c r="J50" s="183">
        <f>J49+J46</f>
        <v>0</v>
      </c>
      <c r="K50" s="88"/>
      <c r="L50" s="84"/>
      <c r="M50" s="183">
        <f>M49+M46</f>
        <v>0</v>
      </c>
      <c r="N50" s="88"/>
      <c r="O50" s="192"/>
      <c r="P50" s="183">
        <f>P49+P46</f>
        <v>0</v>
      </c>
      <c r="Q50" s="88"/>
      <c r="R50" s="192"/>
      <c r="S50" s="183">
        <f>S49+S46</f>
        <v>0</v>
      </c>
      <c r="T50" s="89"/>
      <c r="U50" s="39">
        <f>SUM(G50:S50)</f>
        <v>0</v>
      </c>
      <c r="V50" s="110"/>
      <c r="W50" s="46"/>
      <c r="X50" s="45"/>
      <c r="Y50" s="184"/>
      <c r="Z50" s="259"/>
      <c r="AA50" s="259"/>
      <c r="AB50" s="259"/>
      <c r="AC50" s="259"/>
      <c r="AD50" s="259"/>
      <c r="AE50" s="180">
        <v>35000</v>
      </c>
      <c r="AF50" s="180">
        <v>0.48</v>
      </c>
      <c r="AG50" s="180">
        <v>35000</v>
      </c>
      <c r="AH50" s="180">
        <v>0.48</v>
      </c>
      <c r="AI50" s="180">
        <v>35000</v>
      </c>
      <c r="AJ50" s="180">
        <v>0.48</v>
      </c>
      <c r="AK50" s="180">
        <v>35000</v>
      </c>
      <c r="AL50" s="180">
        <v>0.48</v>
      </c>
      <c r="AM50" s="259"/>
      <c r="AN50" s="259"/>
      <c r="AO50" s="259"/>
      <c r="AP50" s="259"/>
      <c r="AQ50" s="259"/>
      <c r="AR50" s="259"/>
      <c r="AS50" s="259"/>
      <c r="AT50" s="259"/>
      <c r="AU50" s="259"/>
      <c r="AV50" s="259"/>
      <c r="AW50" s="259"/>
      <c r="AX50" s="259"/>
      <c r="AY50" s="259"/>
      <c r="AZ50" s="259"/>
      <c r="BA50" s="259"/>
      <c r="BB50" s="259"/>
      <c r="BC50" s="259"/>
      <c r="BD50" s="259"/>
      <c r="BE50" s="259"/>
      <c r="BF50" s="259"/>
      <c r="BG50" s="259"/>
      <c r="BH50" s="259"/>
      <c r="BI50" s="259"/>
      <c r="BJ50" s="259"/>
      <c r="BK50" s="259"/>
      <c r="BL50" s="259"/>
    </row>
    <row r="51" spans="1:64" s="257" customFormat="1" ht="14" hidden="1" thickTop="1" x14ac:dyDescent="0.15">
      <c r="A51" s="259"/>
      <c r="D51" s="135"/>
      <c r="F51" s="136"/>
      <c r="G51" s="204"/>
      <c r="H51" s="91"/>
      <c r="I51" s="136"/>
      <c r="J51" s="204"/>
      <c r="K51" s="91"/>
      <c r="L51" s="136"/>
      <c r="M51" s="204"/>
      <c r="N51" s="91"/>
      <c r="O51" s="136"/>
      <c r="P51" s="204"/>
      <c r="Q51" s="91"/>
      <c r="R51" s="136"/>
      <c r="S51" s="204"/>
      <c r="T51" s="91"/>
      <c r="U51" s="177"/>
      <c r="V51" s="143"/>
      <c r="W51" s="242"/>
      <c r="X51" s="242"/>
      <c r="Y51" s="131"/>
      <c r="AB51" s="262"/>
      <c r="AE51" s="180">
        <v>40000</v>
      </c>
      <c r="AF51" s="180">
        <v>0.45</v>
      </c>
      <c r="AG51" s="180">
        <v>40000</v>
      </c>
      <c r="AH51" s="180">
        <v>0.45</v>
      </c>
      <c r="AI51" s="180">
        <v>40000</v>
      </c>
      <c r="AJ51" s="180">
        <v>0.45</v>
      </c>
      <c r="AK51" s="180">
        <v>40000</v>
      </c>
      <c r="AL51" s="180">
        <v>0.45</v>
      </c>
    </row>
    <row r="52" spans="1:64" hidden="1" x14ac:dyDescent="0.15">
      <c r="A52" s="262" t="s">
        <v>57</v>
      </c>
      <c r="B52" s="176"/>
      <c r="C52" s="193">
        <v>0</v>
      </c>
      <c r="D52" s="188">
        <v>0</v>
      </c>
      <c r="E52" s="38" t="s">
        <v>150</v>
      </c>
      <c r="F52" s="80">
        <v>0</v>
      </c>
      <c r="G52" s="182">
        <f>F52*C52</f>
        <v>0</v>
      </c>
      <c r="H52" s="263"/>
      <c r="I52" s="80">
        <v>0</v>
      </c>
      <c r="J52" s="182">
        <f>(C52*I52)*(1+$D$52)</f>
        <v>0</v>
      </c>
      <c r="K52" s="263"/>
      <c r="L52" s="80">
        <v>0</v>
      </c>
      <c r="M52" s="182">
        <f>(L52*$C$52)*((1+$D$52)*(1+$D$52))</f>
        <v>0</v>
      </c>
      <c r="N52" s="263"/>
      <c r="O52" s="80">
        <v>0</v>
      </c>
      <c r="P52" s="182">
        <f>(C52*O52)*((1+$D$52)*(1+$D$52)*(1+$D$52))</f>
        <v>0</v>
      </c>
      <c r="Q52" s="263"/>
      <c r="R52" s="80">
        <v>0</v>
      </c>
      <c r="S52" s="182">
        <f>(F52*R52)*((1+$D$52)*(1+$D$52)*(1+$D$52))</f>
        <v>0</v>
      </c>
      <c r="T52" s="263"/>
      <c r="U52" s="182">
        <f>SUM(G52+J52+M52+P52+S52)</f>
        <v>0</v>
      </c>
      <c r="V52" s="127"/>
      <c r="W52" s="240"/>
      <c r="X52" s="240"/>
      <c r="Y52" s="131"/>
      <c r="Z52" s="257"/>
      <c r="AA52" s="257"/>
      <c r="AB52" s="262"/>
      <c r="AC52" s="257"/>
      <c r="AD52" s="257"/>
      <c r="AE52" s="180">
        <v>45000</v>
      </c>
      <c r="AF52" s="180">
        <v>0.42</v>
      </c>
      <c r="AG52" s="180">
        <v>45000</v>
      </c>
      <c r="AH52" s="180">
        <v>0.42</v>
      </c>
      <c r="AI52" s="180">
        <v>45000</v>
      </c>
      <c r="AJ52" s="180">
        <v>0.42</v>
      </c>
      <c r="AK52" s="180">
        <v>45000</v>
      </c>
      <c r="AL52" s="180">
        <v>0.42</v>
      </c>
      <c r="AM52" s="257"/>
      <c r="AN52" s="257"/>
      <c r="AO52" s="257"/>
      <c r="AP52" s="257"/>
      <c r="AQ52" s="257"/>
      <c r="AR52" s="257"/>
      <c r="AS52" s="257"/>
      <c r="AT52" s="257"/>
      <c r="AU52" s="257"/>
      <c r="AV52" s="257"/>
      <c r="AW52" s="257"/>
      <c r="AX52" s="257"/>
      <c r="AY52" s="257"/>
      <c r="AZ52" s="257"/>
      <c r="BA52" s="257"/>
      <c r="BB52" s="257"/>
      <c r="BC52" s="257"/>
      <c r="BD52" s="257"/>
      <c r="BE52" s="257"/>
      <c r="BF52" s="257"/>
      <c r="BG52" s="257"/>
      <c r="BH52" s="257"/>
      <c r="BI52" s="257"/>
      <c r="BJ52" s="257"/>
      <c r="BK52" s="257"/>
      <c r="BL52" s="257"/>
    </row>
    <row r="53" spans="1:64" hidden="1" x14ac:dyDescent="0.15">
      <c r="A53" s="262" t="s">
        <v>205</v>
      </c>
      <c r="B53" s="257"/>
      <c r="C53" s="177" t="str">
        <f>IF(E52="Academic (9 month)",C52*(13/39),"0")</f>
        <v>0</v>
      </c>
      <c r="D53" s="189"/>
      <c r="E53" s="178"/>
      <c r="F53" s="80">
        <v>0</v>
      </c>
      <c r="G53" s="182">
        <f>F53*$C$53</f>
        <v>0</v>
      </c>
      <c r="H53" s="263"/>
      <c r="I53" s="80">
        <v>0</v>
      </c>
      <c r="J53" s="182">
        <f>(C53*I53)*(1+$D$52)</f>
        <v>0</v>
      </c>
      <c r="K53" s="263"/>
      <c r="L53" s="80">
        <v>0</v>
      </c>
      <c r="M53" s="182">
        <f>(L53*$C$53)*((1+$D$52)*(1+$D$52))</f>
        <v>0</v>
      </c>
      <c r="N53" s="263"/>
      <c r="O53" s="80">
        <v>0</v>
      </c>
      <c r="P53" s="182">
        <f>(C53*O53)*((1+$D$52)*(1+$D$52)*(1+$D$52))</f>
        <v>0</v>
      </c>
      <c r="Q53" s="263"/>
      <c r="R53" s="80">
        <v>0</v>
      </c>
      <c r="S53" s="182">
        <f>(F53*R53)*((1+$D$52)*(1+$D$52)*(1+$D$52))</f>
        <v>0</v>
      </c>
      <c r="T53" s="263"/>
      <c r="U53" s="182">
        <f>SUM(G53+J53+M53+P53+S53)</f>
        <v>0</v>
      </c>
      <c r="V53" s="127"/>
      <c r="W53" s="240"/>
      <c r="X53" s="240"/>
      <c r="Y53" s="131"/>
      <c r="Z53" s="257"/>
      <c r="AA53" s="257"/>
      <c r="AB53" s="262"/>
      <c r="AC53" s="257"/>
      <c r="AD53" s="257"/>
      <c r="AE53" s="180">
        <v>50000</v>
      </c>
      <c r="AF53" s="180">
        <v>0.41</v>
      </c>
      <c r="AG53" s="180">
        <v>50000</v>
      </c>
      <c r="AH53" s="180">
        <v>0.41</v>
      </c>
      <c r="AI53" s="180">
        <v>50000</v>
      </c>
      <c r="AJ53" s="180">
        <v>0.41</v>
      </c>
      <c r="AK53" s="180">
        <v>50000</v>
      </c>
      <c r="AL53" s="180">
        <v>0.41</v>
      </c>
      <c r="AM53" s="257"/>
      <c r="AN53" s="257"/>
      <c r="AO53" s="257"/>
      <c r="AP53" s="257"/>
      <c r="AQ53" s="257"/>
      <c r="AR53" s="257"/>
      <c r="AS53" s="257"/>
      <c r="AT53" s="257"/>
      <c r="AU53" s="257"/>
      <c r="AV53" s="257"/>
      <c r="AW53" s="257"/>
      <c r="AX53" s="257"/>
      <c r="AY53" s="257"/>
      <c r="AZ53" s="257"/>
      <c r="BA53" s="257"/>
      <c r="BB53" s="257"/>
      <c r="BC53" s="257"/>
      <c r="BD53" s="257"/>
      <c r="BE53" s="257"/>
      <c r="BF53" s="257"/>
      <c r="BG53" s="257"/>
      <c r="BH53" s="257"/>
      <c r="BI53" s="257"/>
      <c r="BJ53" s="257"/>
      <c r="BK53" s="257"/>
      <c r="BL53" s="257"/>
    </row>
    <row r="54" spans="1:64" ht="6" hidden="1" customHeight="1" thickBot="1" x14ac:dyDescent="0.2">
      <c r="A54" s="259" t="s">
        <v>58</v>
      </c>
      <c r="B54" s="257"/>
      <c r="C54" s="177"/>
      <c r="D54" s="189"/>
      <c r="E54" s="178"/>
      <c r="F54" s="81">
        <f>IF(E52="Academic (9 month)",(G52+G53)/(C52+C53),F52)</f>
        <v>0</v>
      </c>
      <c r="G54" s="43">
        <f>SUM(G52:G53)</f>
        <v>0</v>
      </c>
      <c r="H54" s="89"/>
      <c r="I54" s="81">
        <f>IF(E52="Academic (9 month)",(J52+J53)/((C52+C53)*(1+D52)),I52)</f>
        <v>0</v>
      </c>
      <c r="J54" s="43">
        <f>SUM(J52:J53)</f>
        <v>0</v>
      </c>
      <c r="K54" s="89"/>
      <c r="L54" s="81">
        <f>IF($E$52="Academic (9 month)",(M52+M53)/(($C$52+$C$53)*(1+($D$52*2))),L52)</f>
        <v>0</v>
      </c>
      <c r="M54" s="43">
        <f>SUM(M52:M53)</f>
        <v>0</v>
      </c>
      <c r="N54" s="89"/>
      <c r="O54" s="81">
        <f>IF($E$52="Academic (9 month)",(P52+P53)/(($C$52+$C$53)*(1+($D$52*3))),O52)</f>
        <v>0</v>
      </c>
      <c r="P54" s="43">
        <f>SUM(P52:P53)</f>
        <v>0</v>
      </c>
      <c r="Q54" s="89"/>
      <c r="R54" s="81">
        <f>IF($E$52="Academic (9 month)",(S52+S53)/(($C$52+$C$53)*(1+($D$52*3))),R52)</f>
        <v>0</v>
      </c>
      <c r="S54" s="43">
        <f>SUM(S52:S53)</f>
        <v>0</v>
      </c>
      <c r="T54" s="89"/>
      <c r="U54" s="43">
        <f>G54+J54+M54+P54+S54</f>
        <v>0</v>
      </c>
      <c r="V54" s="127"/>
      <c r="W54" s="45"/>
      <c r="X54" s="45"/>
      <c r="Y54" s="131"/>
      <c r="Z54" s="257"/>
      <c r="AA54" s="257"/>
      <c r="AB54" s="262"/>
      <c r="AC54" s="257"/>
      <c r="AD54" s="257"/>
      <c r="AE54" s="179">
        <v>55000</v>
      </c>
      <c r="AF54" s="180">
        <v>0.39</v>
      </c>
      <c r="AG54" s="179">
        <v>55000</v>
      </c>
      <c r="AH54" s="180">
        <v>0.39</v>
      </c>
      <c r="AI54" s="179">
        <v>55000</v>
      </c>
      <c r="AJ54" s="180">
        <v>0.39</v>
      </c>
      <c r="AK54" s="179">
        <v>55000</v>
      </c>
      <c r="AL54" s="180">
        <v>0.39</v>
      </c>
      <c r="AM54" s="257"/>
      <c r="AN54" s="257"/>
      <c r="AO54" s="257"/>
      <c r="AP54" s="257"/>
      <c r="AQ54" s="257"/>
      <c r="AR54" s="257"/>
      <c r="AS54" s="257"/>
      <c r="AT54" s="257"/>
      <c r="AU54" s="257"/>
      <c r="AV54" s="257"/>
      <c r="AW54" s="257"/>
      <c r="AX54" s="257"/>
      <c r="AY54" s="257"/>
      <c r="AZ54" s="257"/>
      <c r="BA54" s="257"/>
      <c r="BB54" s="257"/>
      <c r="BC54" s="257"/>
      <c r="BD54" s="257"/>
      <c r="BE54" s="257"/>
      <c r="BF54" s="257"/>
      <c r="BG54" s="257"/>
      <c r="BH54" s="257"/>
      <c r="BI54" s="257"/>
      <c r="BJ54" s="257"/>
      <c r="BK54" s="257"/>
      <c r="BL54" s="257"/>
    </row>
    <row r="55" spans="1:64" ht="6" hidden="1" customHeight="1" thickTop="1" thickBot="1" x14ac:dyDescent="0.2">
      <c r="A55" s="262" t="s">
        <v>59</v>
      </c>
      <c r="B55" s="257">
        <f>B52</f>
        <v>0</v>
      </c>
      <c r="C55" s="177"/>
      <c r="D55" s="189"/>
      <c r="E55" s="47" t="s">
        <v>183</v>
      </c>
      <c r="F55" s="174" t="str">
        <f>IF(C52=0,"0%",((C52*0.235)+9100)/C52)</f>
        <v>0%</v>
      </c>
      <c r="G55" s="182">
        <f>$F$55*G52</f>
        <v>0</v>
      </c>
      <c r="H55" s="263"/>
      <c r="I55" s="206"/>
      <c r="J55" s="182">
        <f>$F$55*J52</f>
        <v>0</v>
      </c>
      <c r="K55" s="263"/>
      <c r="L55" s="206"/>
      <c r="M55" s="182">
        <f>$F$55*M52</f>
        <v>0</v>
      </c>
      <c r="N55" s="263"/>
      <c r="O55" s="206"/>
      <c r="P55" s="182">
        <f>$F$55*P52</f>
        <v>0</v>
      </c>
      <c r="Q55" s="263"/>
      <c r="R55" s="206"/>
      <c r="S55" s="182">
        <f>$F$55*S52</f>
        <v>0</v>
      </c>
      <c r="T55" s="263"/>
      <c r="U55" s="177"/>
      <c r="V55" s="127"/>
      <c r="W55" s="45"/>
      <c r="X55" s="45"/>
      <c r="Y55" s="131"/>
      <c r="Z55" s="257"/>
      <c r="AA55" s="257"/>
      <c r="AB55" s="262"/>
      <c r="AC55" s="257"/>
      <c r="AD55" s="257"/>
      <c r="AE55" s="179">
        <v>60000</v>
      </c>
      <c r="AF55" s="180">
        <v>0.38</v>
      </c>
      <c r="AG55" s="179">
        <v>60000</v>
      </c>
      <c r="AH55" s="180">
        <v>0.38</v>
      </c>
      <c r="AI55" s="179">
        <v>60000</v>
      </c>
      <c r="AJ55" s="180">
        <v>0.38</v>
      </c>
      <c r="AK55" s="179">
        <v>60000</v>
      </c>
      <c r="AL55" s="180">
        <v>0.38</v>
      </c>
      <c r="AM55" s="257"/>
      <c r="AN55" s="257"/>
      <c r="AO55" s="257"/>
      <c r="AP55" s="257"/>
      <c r="AQ55" s="257"/>
      <c r="AR55" s="257"/>
      <c r="AS55" s="257"/>
      <c r="AT55" s="257"/>
      <c r="AU55" s="257"/>
      <c r="AV55" s="257"/>
      <c r="AW55" s="257"/>
      <c r="AX55" s="257"/>
      <c r="AY55" s="257"/>
      <c r="AZ55" s="257"/>
      <c r="BA55" s="257"/>
      <c r="BB55" s="257"/>
      <c r="BC55" s="257"/>
      <c r="BD55" s="257"/>
      <c r="BE55" s="257"/>
      <c r="BF55" s="257"/>
      <c r="BG55" s="257"/>
      <c r="BH55" s="257"/>
      <c r="BI55" s="257"/>
      <c r="BJ55" s="257"/>
      <c r="BK55" s="257"/>
      <c r="BL55" s="257"/>
    </row>
    <row r="56" spans="1:64" ht="6" hidden="1" customHeight="1" thickTop="1" x14ac:dyDescent="0.15">
      <c r="A56" s="262" t="s">
        <v>60</v>
      </c>
      <c r="B56" s="257"/>
      <c r="C56" s="177"/>
      <c r="D56" s="189"/>
      <c r="E56" s="47" t="s">
        <v>121</v>
      </c>
      <c r="F56" s="83" t="str">
        <f>IF(E52="Academic (9 month)",0.24,"0%")</f>
        <v>0%</v>
      </c>
      <c r="G56" s="182">
        <f>F56*G53</f>
        <v>0</v>
      </c>
      <c r="H56" s="263"/>
      <c r="I56" s="206"/>
      <c r="J56" s="182">
        <f>$F$56*J53</f>
        <v>0</v>
      </c>
      <c r="K56" s="263"/>
      <c r="L56" s="206"/>
      <c r="M56" s="182">
        <f>$F$56*M53</f>
        <v>0</v>
      </c>
      <c r="N56" s="263"/>
      <c r="O56" s="206"/>
      <c r="P56" s="182">
        <f>$F$56*P53</f>
        <v>0</v>
      </c>
      <c r="Q56" s="263"/>
      <c r="R56" s="206"/>
      <c r="S56" s="182">
        <f>$F$56*S53</f>
        <v>0</v>
      </c>
      <c r="T56" s="263"/>
      <c r="U56" s="177"/>
      <c r="V56" s="127"/>
      <c r="W56" s="240"/>
      <c r="X56" s="242"/>
      <c r="Y56" s="131"/>
      <c r="Z56" s="257"/>
      <c r="AA56" s="257"/>
      <c r="AB56" s="262"/>
      <c r="AC56" s="257"/>
      <c r="AD56" s="257"/>
      <c r="AE56" s="179">
        <v>65000</v>
      </c>
      <c r="AF56" s="180">
        <v>0.36</v>
      </c>
      <c r="AG56" s="179">
        <v>65000</v>
      </c>
      <c r="AH56" s="180">
        <v>0.36</v>
      </c>
      <c r="AI56" s="179">
        <v>65000</v>
      </c>
      <c r="AJ56" s="180">
        <v>0.36</v>
      </c>
      <c r="AK56" s="179">
        <v>65000</v>
      </c>
      <c r="AL56" s="180">
        <v>0.36</v>
      </c>
      <c r="AM56" s="257"/>
      <c r="AN56" s="257"/>
      <c r="AO56" s="257"/>
      <c r="AP56" s="257"/>
      <c r="AQ56" s="257"/>
      <c r="AR56" s="257"/>
      <c r="AS56" s="257"/>
      <c r="AT56" s="257"/>
      <c r="AU56" s="257"/>
      <c r="AV56" s="257"/>
      <c r="AW56" s="257"/>
      <c r="AX56" s="257"/>
      <c r="AY56" s="257"/>
      <c r="AZ56" s="257"/>
      <c r="BA56" s="257"/>
      <c r="BB56" s="257"/>
      <c r="BC56" s="257"/>
      <c r="BD56" s="257"/>
      <c r="BE56" s="257"/>
      <c r="BF56" s="257"/>
      <c r="BG56" s="257"/>
      <c r="BH56" s="257"/>
      <c r="BI56" s="257"/>
      <c r="BJ56" s="257"/>
      <c r="BK56" s="257"/>
      <c r="BL56" s="257"/>
    </row>
    <row r="57" spans="1:64" ht="6" hidden="1" customHeight="1" x14ac:dyDescent="0.15">
      <c r="A57" s="258" t="s">
        <v>19</v>
      </c>
      <c r="B57" s="257"/>
      <c r="C57" s="177"/>
      <c r="D57" s="189"/>
      <c r="E57" s="178"/>
      <c r="F57" s="206"/>
      <c r="G57" s="58">
        <f>SUM(G55:G56)</f>
        <v>0</v>
      </c>
      <c r="H57" s="92"/>
      <c r="I57" s="206"/>
      <c r="J57" s="58">
        <f>SUM(J55:J56)</f>
        <v>0</v>
      </c>
      <c r="K57" s="92"/>
      <c r="L57" s="206"/>
      <c r="M57" s="58">
        <f>SUM(M55:M56)</f>
        <v>0</v>
      </c>
      <c r="N57" s="92"/>
      <c r="O57" s="206"/>
      <c r="P57" s="58">
        <f>SUM(P55:P56)</f>
        <v>0</v>
      </c>
      <c r="Q57" s="92"/>
      <c r="R57" s="206"/>
      <c r="S57" s="58">
        <f>SUM(S55:S56)</f>
        <v>0</v>
      </c>
      <c r="T57" s="92"/>
      <c r="U57" s="177"/>
      <c r="V57" s="127"/>
      <c r="W57" s="240"/>
      <c r="X57" s="242"/>
      <c r="Y57" s="131"/>
      <c r="Z57" s="257"/>
      <c r="AA57" s="257"/>
      <c r="AB57" s="262"/>
      <c r="AC57" s="257"/>
      <c r="AD57" s="257"/>
      <c r="AE57" s="179">
        <v>70000</v>
      </c>
      <c r="AF57" s="181" t="b">
        <f>IF(C61&gt;70000,((C61*0.235)+8440)/C61)</f>
        <v>0</v>
      </c>
      <c r="AG57" s="179">
        <v>70000</v>
      </c>
      <c r="AH57" s="181" t="e">
        <f>IF(#REF!&gt;70000,((#REF!*0.235)+8440)/#REF!)</f>
        <v>#REF!</v>
      </c>
      <c r="AI57" s="179">
        <v>70000</v>
      </c>
      <c r="AJ57" s="181" t="b">
        <f>IF(V78&gt;70000,((V78*0.235)+8440)/V78)</f>
        <v>0</v>
      </c>
      <c r="AK57" s="179">
        <v>70000</v>
      </c>
      <c r="AL57" s="181" t="b">
        <f>IF(X78&gt;70000,((X78*0.235)+8440)/X78)</f>
        <v>0</v>
      </c>
      <c r="AM57" s="257"/>
      <c r="AN57" s="257"/>
      <c r="AO57" s="257"/>
      <c r="AP57" s="257"/>
      <c r="AQ57" s="257"/>
      <c r="AR57" s="257"/>
      <c r="AS57" s="257"/>
      <c r="AT57" s="257"/>
      <c r="AU57" s="257"/>
      <c r="AV57" s="257"/>
      <c r="AW57" s="257"/>
      <c r="AX57" s="257"/>
      <c r="AY57" s="257"/>
      <c r="AZ57" s="257"/>
      <c r="BA57" s="257"/>
      <c r="BB57" s="257"/>
      <c r="BC57" s="257"/>
      <c r="BD57" s="257"/>
      <c r="BE57" s="257"/>
      <c r="BF57" s="257"/>
      <c r="BG57" s="257"/>
      <c r="BH57" s="257"/>
      <c r="BI57" s="257"/>
      <c r="BJ57" s="257"/>
      <c r="BK57" s="257"/>
      <c r="BL57" s="257"/>
    </row>
    <row r="58" spans="1:64" ht="15" thickTop="1" thickBot="1" x14ac:dyDescent="0.2">
      <c r="A58" s="259" t="s">
        <v>61</v>
      </c>
      <c r="B58" s="258"/>
      <c r="C58" s="259"/>
      <c r="D58" s="270"/>
      <c r="E58" s="259"/>
      <c r="F58" s="192"/>
      <c r="G58" s="183">
        <f>G57+G54</f>
        <v>0</v>
      </c>
      <c r="H58" s="88"/>
      <c r="I58" s="192"/>
      <c r="J58" s="183">
        <f>J57+J54</f>
        <v>0</v>
      </c>
      <c r="K58" s="88"/>
      <c r="L58" s="84"/>
      <c r="M58" s="183">
        <f>M57+M54</f>
        <v>0</v>
      </c>
      <c r="N58" s="88"/>
      <c r="O58" s="192"/>
      <c r="P58" s="183">
        <f>P57+P54</f>
        <v>0</v>
      </c>
      <c r="Q58" s="88"/>
      <c r="R58" s="192"/>
      <c r="S58" s="183">
        <f>S57+S54</f>
        <v>0</v>
      </c>
      <c r="T58" s="89"/>
      <c r="U58" s="39">
        <f>SUM(G58:S58)</f>
        <v>0</v>
      </c>
      <c r="V58" s="235"/>
      <c r="W58" s="257"/>
      <c r="X58" s="257"/>
      <c r="Y58" s="271"/>
      <c r="Z58" s="257"/>
      <c r="AA58" s="257"/>
      <c r="AB58" s="262"/>
      <c r="AC58" s="257"/>
      <c r="AD58" s="257"/>
      <c r="AE58" s="257"/>
      <c r="AF58" s="257"/>
      <c r="AG58" s="257"/>
      <c r="AH58" s="257"/>
      <c r="AI58" s="257"/>
      <c r="AJ58" s="257"/>
      <c r="AK58" s="257"/>
      <c r="AL58" s="257"/>
      <c r="AM58" s="257"/>
      <c r="AN58" s="257"/>
      <c r="AO58" s="257"/>
      <c r="AP58" s="257"/>
      <c r="AQ58" s="257"/>
      <c r="AR58" s="257"/>
      <c r="AS58" s="257"/>
      <c r="AT58" s="257"/>
      <c r="AU58" s="257"/>
      <c r="AV58" s="257"/>
      <c r="AW58" s="257"/>
      <c r="AX58" s="257"/>
      <c r="AY58" s="257"/>
      <c r="AZ58" s="257"/>
      <c r="BA58" s="257"/>
      <c r="BB58" s="257"/>
      <c r="BC58" s="257"/>
      <c r="BD58" s="257"/>
      <c r="BE58" s="257"/>
      <c r="BF58" s="257"/>
      <c r="BG58" s="257"/>
      <c r="BH58" s="257"/>
      <c r="BI58" s="257"/>
      <c r="BJ58" s="257"/>
      <c r="BK58" s="257"/>
      <c r="BL58" s="257"/>
    </row>
    <row r="59" spans="1:64" s="96" customFormat="1" ht="6" customHeight="1" thickTop="1" x14ac:dyDescent="0.15">
      <c r="B59" s="207"/>
      <c r="C59" s="207"/>
      <c r="D59" s="235"/>
      <c r="E59" s="207"/>
      <c r="F59" s="93"/>
      <c r="G59" s="88"/>
      <c r="H59" s="88"/>
      <c r="I59" s="93"/>
      <c r="J59" s="88"/>
      <c r="K59" s="88"/>
      <c r="L59" s="97"/>
      <c r="M59" s="88"/>
      <c r="N59" s="88"/>
      <c r="O59" s="93"/>
      <c r="P59" s="88"/>
      <c r="Q59" s="88"/>
      <c r="R59" s="93"/>
      <c r="S59" s="88"/>
      <c r="T59" s="88"/>
      <c r="U59" s="88"/>
      <c r="V59" s="235"/>
      <c r="W59" s="257"/>
      <c r="X59" s="257"/>
      <c r="Y59" s="271"/>
      <c r="Z59" s="257"/>
      <c r="AA59" s="257"/>
      <c r="AB59" s="262"/>
      <c r="AC59" s="257"/>
      <c r="AD59" s="257"/>
      <c r="AE59" s="257"/>
      <c r="AF59" s="257"/>
      <c r="AG59" s="257"/>
      <c r="AH59" s="257"/>
      <c r="AI59" s="257"/>
      <c r="AJ59" s="257"/>
      <c r="AK59" s="257"/>
      <c r="AL59" s="257"/>
      <c r="AM59" s="257"/>
      <c r="AN59" s="257"/>
      <c r="AO59" s="257"/>
      <c r="AP59" s="257"/>
      <c r="AQ59" s="257"/>
      <c r="AR59" s="257"/>
      <c r="AS59" s="257"/>
      <c r="AT59" s="257"/>
      <c r="AU59" s="257"/>
      <c r="AV59" s="257"/>
      <c r="AW59" s="257"/>
      <c r="AX59" s="257"/>
      <c r="AY59" s="257"/>
      <c r="AZ59" s="257"/>
      <c r="BA59" s="257"/>
      <c r="BB59" s="257"/>
      <c r="BC59" s="257"/>
      <c r="BD59" s="257"/>
      <c r="BE59" s="257"/>
      <c r="BF59" s="257"/>
      <c r="BG59" s="257"/>
      <c r="BH59" s="257"/>
      <c r="BI59" s="257"/>
      <c r="BJ59" s="257"/>
      <c r="BK59" s="257"/>
      <c r="BL59" s="257"/>
    </row>
    <row r="60" spans="1:64" s="257" customFormat="1" x14ac:dyDescent="0.15">
      <c r="B60" s="276" t="s">
        <v>131</v>
      </c>
      <c r="C60" s="276" t="s">
        <v>26</v>
      </c>
      <c r="D60" s="276" t="s">
        <v>118</v>
      </c>
      <c r="E60" s="259"/>
      <c r="F60" s="276" t="s">
        <v>62</v>
      </c>
      <c r="G60" s="192" t="s">
        <v>63</v>
      </c>
      <c r="H60" s="261"/>
      <c r="I60" s="192" t="s">
        <v>64</v>
      </c>
      <c r="J60" s="192" t="s">
        <v>65</v>
      </c>
      <c r="K60" s="261"/>
      <c r="L60" s="192" t="s">
        <v>66</v>
      </c>
      <c r="M60" s="192" t="s">
        <v>67</v>
      </c>
      <c r="N60" s="93"/>
      <c r="O60" s="192" t="s">
        <v>68</v>
      </c>
      <c r="P60" s="192" t="s">
        <v>69</v>
      </c>
      <c r="Q60" s="93"/>
      <c r="R60" s="192" t="s">
        <v>68</v>
      </c>
      <c r="S60" s="192" t="s">
        <v>228</v>
      </c>
      <c r="T60" s="93"/>
      <c r="U60" s="192" t="s">
        <v>132</v>
      </c>
      <c r="V60" s="270"/>
      <c r="Y60" s="271"/>
      <c r="AB60" s="262"/>
    </row>
    <row r="61" spans="1:64" s="244" customFormat="1" x14ac:dyDescent="0.15">
      <c r="A61" s="257" t="s">
        <v>134</v>
      </c>
      <c r="B61" s="176"/>
      <c r="C61" s="193">
        <v>0</v>
      </c>
      <c r="D61" s="188">
        <v>0</v>
      </c>
      <c r="F61" s="188">
        <v>0</v>
      </c>
      <c r="G61" s="182">
        <f>F61*C61</f>
        <v>0</v>
      </c>
      <c r="H61" s="263"/>
      <c r="I61" s="188">
        <v>0</v>
      </c>
      <c r="J61" s="182">
        <f>(I61*$C$61)*(1+$D$61)</f>
        <v>0</v>
      </c>
      <c r="K61" s="263"/>
      <c r="L61" s="188">
        <v>0</v>
      </c>
      <c r="M61" s="182">
        <f>(L61*$C$61)*((1+$D$61)*(1+$D$61))</f>
        <v>0</v>
      </c>
      <c r="N61" s="263"/>
      <c r="O61" s="188">
        <v>0</v>
      </c>
      <c r="P61" s="182">
        <f>(O61*$C$61)*((1+$D$61)*(1+$D$61)*(1+$D$61))</f>
        <v>0</v>
      </c>
      <c r="Q61" s="263"/>
      <c r="R61" s="188">
        <v>0</v>
      </c>
      <c r="S61" s="182">
        <f>(R61*$C$61)*((1+$D$61)*(1+$D$61)*(1+$D$61))</f>
        <v>0</v>
      </c>
      <c r="T61" s="263"/>
      <c r="U61" s="175">
        <f>S61+P61+M61+J61+G61</f>
        <v>0</v>
      </c>
      <c r="V61" s="295"/>
      <c r="W61" s="296"/>
      <c r="X61" s="262"/>
      <c r="Y61" s="262"/>
      <c r="Z61" s="262"/>
      <c r="AA61" s="262"/>
      <c r="AB61" s="262"/>
      <c r="AC61" s="262"/>
      <c r="AF61" s="262"/>
      <c r="AG61" s="262"/>
      <c r="AH61" s="262"/>
      <c r="AI61" s="262"/>
      <c r="AJ61" s="262"/>
      <c r="AK61" s="262"/>
      <c r="AL61" s="262"/>
      <c r="AM61" s="262"/>
      <c r="AN61" s="262"/>
      <c r="AO61" s="262"/>
      <c r="AP61" s="262"/>
      <c r="AQ61" s="262"/>
      <c r="AR61" s="262"/>
      <c r="AS61" s="262"/>
      <c r="AT61" s="262"/>
      <c r="AU61" s="262"/>
      <c r="AV61" s="262"/>
      <c r="AW61" s="262"/>
      <c r="AX61" s="262"/>
      <c r="AY61" s="262"/>
      <c r="AZ61" s="262"/>
      <c r="BA61" s="262"/>
      <c r="BB61" s="262"/>
      <c r="BC61" s="262"/>
      <c r="BD61" s="262"/>
      <c r="BE61" s="262"/>
      <c r="BF61" s="262"/>
      <c r="BG61" s="262"/>
      <c r="BH61" s="262"/>
    </row>
    <row r="62" spans="1:64" x14ac:dyDescent="0.15">
      <c r="A62" s="196" t="s">
        <v>163</v>
      </c>
      <c r="B62" s="257"/>
      <c r="C62" s="190" t="str">
        <f>IF(C61=0,"0%",((C61*0.235)+9100)/C61)</f>
        <v>0%</v>
      </c>
      <c r="D62" s="190"/>
      <c r="F62" s="190"/>
      <c r="G62" s="186">
        <f>C62*G61</f>
        <v>0</v>
      </c>
      <c r="H62" s="263"/>
      <c r="I62" s="190"/>
      <c r="J62" s="182">
        <f>J61*C62</f>
        <v>0</v>
      </c>
      <c r="K62" s="263"/>
      <c r="L62" s="190"/>
      <c r="M62" s="182">
        <f>M61*$C$62</f>
        <v>0</v>
      </c>
      <c r="O62" s="190"/>
      <c r="P62" s="182">
        <f>P61*$C$62</f>
        <v>0</v>
      </c>
      <c r="R62" s="190"/>
      <c r="S62" s="182">
        <f>S61*$C$62</f>
        <v>0</v>
      </c>
      <c r="T62" s="263"/>
      <c r="U62" s="175">
        <f>S62+P62+M62+J62+G62</f>
        <v>0</v>
      </c>
      <c r="V62" s="297"/>
      <c r="W62" s="298"/>
      <c r="X62" s="257"/>
      <c r="Y62" s="257"/>
      <c r="Z62" s="257"/>
      <c r="AA62" s="257"/>
      <c r="AB62" s="262"/>
      <c r="AC62" s="257"/>
      <c r="AD62" s="257"/>
      <c r="AE62" s="257"/>
      <c r="AF62" s="257"/>
      <c r="AG62" s="257"/>
      <c r="AH62" s="257"/>
      <c r="AI62" s="257"/>
      <c r="AJ62" s="257"/>
      <c r="AK62" s="257"/>
      <c r="AL62" s="257"/>
      <c r="AM62" s="257"/>
      <c r="AN62" s="257"/>
      <c r="AO62" s="257"/>
      <c r="AP62" s="257"/>
      <c r="AQ62" s="257"/>
      <c r="AR62" s="257"/>
      <c r="AS62" s="257"/>
      <c r="AT62" s="257"/>
      <c r="AU62" s="257"/>
      <c r="AV62" s="257"/>
      <c r="AW62" s="257"/>
      <c r="AX62" s="257"/>
      <c r="AY62" s="257"/>
      <c r="AZ62" s="257"/>
      <c r="BA62" s="257"/>
      <c r="BB62" s="257"/>
      <c r="BC62" s="257"/>
      <c r="BD62" s="257"/>
      <c r="BE62" s="257"/>
      <c r="BF62" s="257"/>
      <c r="BG62" s="257"/>
      <c r="BH62" s="257"/>
    </row>
    <row r="63" spans="1:64" s="257" customFormat="1" hidden="1" x14ac:dyDescent="0.15">
      <c r="A63" s="196"/>
      <c r="C63" s="53"/>
      <c r="D63" s="190"/>
      <c r="F63" s="190"/>
      <c r="G63" s="182"/>
      <c r="H63" s="263"/>
      <c r="I63" s="190"/>
      <c r="J63" s="182"/>
      <c r="K63" s="263"/>
      <c r="L63" s="190"/>
      <c r="M63" s="182"/>
      <c r="N63" s="263"/>
      <c r="O63" s="190"/>
      <c r="P63" s="182"/>
      <c r="Q63" s="263"/>
      <c r="R63" s="190"/>
      <c r="S63" s="182"/>
      <c r="T63" s="263"/>
      <c r="U63" s="204"/>
      <c r="V63" s="297"/>
      <c r="W63" s="298"/>
      <c r="AB63" s="262"/>
    </row>
    <row r="64" spans="1:64" s="123" customFormat="1" hidden="1" x14ac:dyDescent="0.15">
      <c r="A64" s="260" t="s">
        <v>135</v>
      </c>
      <c r="B64" s="176"/>
      <c r="C64" s="193">
        <v>0</v>
      </c>
      <c r="D64" s="188">
        <v>0</v>
      </c>
      <c r="F64" s="188">
        <v>0</v>
      </c>
      <c r="G64" s="182">
        <f>F64*C64</f>
        <v>0</v>
      </c>
      <c r="H64" s="263"/>
      <c r="I64" s="188">
        <v>0</v>
      </c>
      <c r="J64" s="182">
        <f>(I64*$C$64)*(1+$D$64)</f>
        <v>0</v>
      </c>
      <c r="K64" s="263"/>
      <c r="L64" s="188">
        <v>0</v>
      </c>
      <c r="M64" s="182">
        <f>(L64*$C$64)*((1+$D$64)*(1+$D$64))</f>
        <v>0</v>
      </c>
      <c r="N64" s="263"/>
      <c r="O64" s="188">
        <v>0</v>
      </c>
      <c r="P64" s="182">
        <f>(O64*$C$64)*((1+$D$64)*(1+$D$64)*(1+$D$64))</f>
        <v>0</v>
      </c>
      <c r="Q64" s="263"/>
      <c r="R64" s="188">
        <v>0</v>
      </c>
      <c r="S64" s="182">
        <f>(R64*$C$64)*((1+$D$64)*(1+$D$64)*(1+$D$64))</f>
        <v>0</v>
      </c>
      <c r="T64" s="263"/>
      <c r="U64" s="175">
        <f>S64+P64+M64+J64+G64</f>
        <v>0</v>
      </c>
      <c r="V64" s="297"/>
      <c r="W64" s="298"/>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row>
    <row r="65" spans="1:60" hidden="1" x14ac:dyDescent="0.15">
      <c r="A65" s="197" t="s">
        <v>163</v>
      </c>
      <c r="B65" s="257"/>
      <c r="C65" s="190" t="str">
        <f>IF(C64=0,"0%",((C64*0.235)+9100)/C64)</f>
        <v>0%</v>
      </c>
      <c r="D65" s="190"/>
      <c r="F65" s="190"/>
      <c r="G65" s="186">
        <f>$C$65*G64</f>
        <v>0</v>
      </c>
      <c r="H65" s="263"/>
      <c r="I65" s="190"/>
      <c r="J65" s="186">
        <f>$C$65*J64</f>
        <v>0</v>
      </c>
      <c r="K65" s="263"/>
      <c r="L65" s="190"/>
      <c r="M65" s="186">
        <f>$C$65*M64</f>
        <v>0</v>
      </c>
      <c r="N65" s="263"/>
      <c r="O65" s="190"/>
      <c r="P65" s="186">
        <f>$C$65*P64</f>
        <v>0</v>
      </c>
      <c r="Q65" s="263"/>
      <c r="R65" s="190"/>
      <c r="S65" s="186">
        <f>$C$65*S64</f>
        <v>0</v>
      </c>
      <c r="T65" s="263"/>
      <c r="U65" s="175">
        <f>S65+P65+M65+J65+G65</f>
        <v>0</v>
      </c>
      <c r="V65" s="297"/>
      <c r="W65" s="298"/>
      <c r="X65" s="257"/>
      <c r="Y65" s="257"/>
      <c r="Z65" s="257"/>
      <c r="AA65" s="257"/>
      <c r="AB65" s="262"/>
      <c r="AC65" s="257"/>
      <c r="AD65" s="257"/>
      <c r="AE65" s="179"/>
      <c r="AF65" s="180"/>
      <c r="AG65" s="179"/>
      <c r="AH65" s="180"/>
      <c r="AI65" s="257"/>
      <c r="AJ65" s="257"/>
      <c r="AK65" s="257"/>
      <c r="AL65" s="257"/>
      <c r="AM65" s="257"/>
      <c r="AN65" s="257"/>
      <c r="AO65" s="257"/>
      <c r="AP65" s="257"/>
      <c r="AQ65" s="257"/>
      <c r="AR65" s="257"/>
      <c r="AS65" s="257"/>
      <c r="AT65" s="257"/>
      <c r="AU65" s="257"/>
      <c r="AV65" s="257"/>
      <c r="AW65" s="257"/>
      <c r="AX65" s="257"/>
      <c r="AY65" s="257"/>
      <c r="AZ65" s="257"/>
      <c r="BA65" s="257"/>
      <c r="BB65" s="257"/>
      <c r="BC65" s="257"/>
      <c r="BD65" s="257"/>
      <c r="BE65" s="257"/>
      <c r="BF65" s="257"/>
      <c r="BG65" s="257"/>
      <c r="BH65" s="257"/>
    </row>
    <row r="66" spans="1:60" hidden="1" x14ac:dyDescent="0.15">
      <c r="A66" s="197"/>
      <c r="B66" s="257"/>
      <c r="C66" s="54"/>
      <c r="D66" s="190"/>
      <c r="F66" s="190"/>
      <c r="G66" s="186"/>
      <c r="H66" s="263"/>
      <c r="I66" s="190"/>
      <c r="J66" s="186"/>
      <c r="K66" s="263"/>
      <c r="L66" s="190"/>
      <c r="M66" s="186"/>
      <c r="N66" s="263"/>
      <c r="O66" s="190"/>
      <c r="P66" s="186"/>
      <c r="Q66" s="263"/>
      <c r="R66" s="190"/>
      <c r="S66" s="186"/>
      <c r="T66" s="263"/>
      <c r="U66" s="191"/>
      <c r="V66" s="297"/>
      <c r="W66" s="298"/>
      <c r="X66" s="257"/>
      <c r="Y66" s="257"/>
      <c r="Z66" s="257"/>
      <c r="AA66" s="257"/>
      <c r="AB66" s="262"/>
      <c r="AC66" s="257"/>
      <c r="AD66" s="257"/>
      <c r="AE66" s="179"/>
      <c r="AF66" s="180"/>
      <c r="AG66" s="179"/>
      <c r="AH66" s="180"/>
      <c r="AI66" s="257"/>
      <c r="AJ66" s="257"/>
      <c r="AK66" s="257"/>
      <c r="AL66" s="257"/>
      <c r="AM66" s="257"/>
      <c r="AN66" s="257"/>
      <c r="AO66" s="257"/>
      <c r="AP66" s="257"/>
      <c r="AQ66" s="257"/>
      <c r="AR66" s="257"/>
      <c r="AS66" s="257"/>
      <c r="AT66" s="257"/>
      <c r="AU66" s="257"/>
      <c r="AV66" s="257"/>
      <c r="AW66" s="257"/>
      <c r="AX66" s="257"/>
      <c r="AY66" s="257"/>
      <c r="AZ66" s="257"/>
      <c r="BA66" s="257"/>
      <c r="BB66" s="257"/>
      <c r="BC66" s="257"/>
      <c r="BD66" s="257"/>
      <c r="BE66" s="257"/>
      <c r="BF66" s="257"/>
      <c r="BG66" s="257"/>
      <c r="BH66" s="257"/>
    </row>
    <row r="67" spans="1:60" hidden="1" x14ac:dyDescent="0.15">
      <c r="A67" s="260" t="s">
        <v>1</v>
      </c>
      <c r="B67" s="176"/>
      <c r="C67" s="193">
        <v>0</v>
      </c>
      <c r="D67" s="188">
        <v>0</v>
      </c>
      <c r="F67" s="188">
        <v>0</v>
      </c>
      <c r="G67" s="182">
        <f>F67*C67</f>
        <v>0</v>
      </c>
      <c r="H67" s="263"/>
      <c r="I67" s="188">
        <v>0</v>
      </c>
      <c r="J67" s="182">
        <f>(I67*C67)*(1+$D$67)</f>
        <v>0</v>
      </c>
      <c r="K67" s="263"/>
      <c r="L67" s="188">
        <v>0</v>
      </c>
      <c r="M67" s="182">
        <f>(L67*C67)*((1+$D$67)*(1+$D$67))</f>
        <v>0</v>
      </c>
      <c r="N67" s="263"/>
      <c r="O67" s="188">
        <v>0</v>
      </c>
      <c r="P67" s="182">
        <f>(O67*C67)*((1+$D$67)*(1+$D$67)*(1+$D$67))</f>
        <v>0</v>
      </c>
      <c r="Q67" s="263"/>
      <c r="R67" s="188">
        <v>0</v>
      </c>
      <c r="S67" s="182">
        <f>(R67*F67)*((1+$D$67)*(1+$D$67)*(1+$D$67))</f>
        <v>0</v>
      </c>
      <c r="T67" s="263"/>
      <c r="U67" s="175">
        <f>S67+P67+M67+J67+G67</f>
        <v>0</v>
      </c>
      <c r="V67" s="297"/>
      <c r="W67" s="298"/>
      <c r="X67" s="257"/>
      <c r="Y67" s="257"/>
      <c r="Z67" s="257"/>
      <c r="AA67" s="257"/>
      <c r="AB67" s="262"/>
      <c r="AC67" s="257"/>
      <c r="AD67" s="257"/>
      <c r="AE67" s="179"/>
      <c r="AF67" s="180"/>
      <c r="AG67" s="179"/>
      <c r="AH67" s="180"/>
      <c r="AI67" s="257"/>
      <c r="AJ67" s="257"/>
      <c r="AK67" s="257"/>
      <c r="AL67" s="257"/>
      <c r="AM67" s="257"/>
      <c r="AN67" s="257"/>
      <c r="AO67" s="257"/>
      <c r="AP67" s="257"/>
      <c r="AQ67" s="257"/>
      <c r="AR67" s="257"/>
      <c r="AS67" s="257"/>
      <c r="AT67" s="257"/>
      <c r="AU67" s="257"/>
      <c r="AV67" s="257"/>
      <c r="AW67" s="257"/>
      <c r="AX67" s="257"/>
      <c r="AY67" s="257"/>
      <c r="AZ67" s="257"/>
      <c r="BA67" s="257"/>
      <c r="BB67" s="257"/>
      <c r="BC67" s="257"/>
      <c r="BD67" s="257"/>
      <c r="BE67" s="257"/>
      <c r="BF67" s="257"/>
      <c r="BG67" s="257"/>
      <c r="BH67" s="257"/>
    </row>
    <row r="68" spans="1:60" hidden="1" x14ac:dyDescent="0.15">
      <c r="A68" s="197" t="s">
        <v>163</v>
      </c>
      <c r="B68" s="257"/>
      <c r="C68" s="190" t="str">
        <f>IF(C67=0,"0%",((C67*0.235)+9100)/C67)</f>
        <v>0%</v>
      </c>
      <c r="D68" s="190"/>
      <c r="F68" s="190"/>
      <c r="G68" s="186">
        <f>C68*G67</f>
        <v>0</v>
      </c>
      <c r="H68" s="263"/>
      <c r="I68" s="190"/>
      <c r="J68" s="186">
        <f>C68*J67</f>
        <v>0</v>
      </c>
      <c r="K68" s="263"/>
      <c r="L68" s="190"/>
      <c r="M68" s="186">
        <f>C68*M67</f>
        <v>0</v>
      </c>
      <c r="N68" s="263"/>
      <c r="O68" s="190"/>
      <c r="P68" s="186">
        <f>C68*P67</f>
        <v>0</v>
      </c>
      <c r="Q68" s="263"/>
      <c r="R68" s="190"/>
      <c r="S68" s="186">
        <f>F68*S67</f>
        <v>0</v>
      </c>
      <c r="T68" s="263"/>
      <c r="U68" s="175">
        <f>S68+P68+M68+J68+G68</f>
        <v>0</v>
      </c>
      <c r="V68" s="299"/>
      <c r="W68" s="300"/>
      <c r="X68" s="301"/>
      <c r="Y68" s="257"/>
      <c r="Z68" s="257"/>
      <c r="AA68" s="257"/>
      <c r="AB68" s="262"/>
      <c r="AC68" s="257"/>
      <c r="AD68" s="257"/>
      <c r="AE68" s="179"/>
      <c r="AF68" s="180"/>
      <c r="AG68" s="179"/>
      <c r="AH68" s="180"/>
      <c r="AI68" s="257"/>
      <c r="AJ68" s="257"/>
      <c r="AK68" s="257"/>
      <c r="AL68" s="257"/>
      <c r="AM68" s="257"/>
      <c r="AN68" s="257"/>
      <c r="AO68" s="257"/>
      <c r="AP68" s="257"/>
      <c r="AQ68" s="257"/>
      <c r="AR68" s="257"/>
      <c r="AS68" s="257"/>
      <c r="AT68" s="257"/>
      <c r="AU68" s="257"/>
      <c r="AV68" s="257"/>
      <c r="AW68" s="257"/>
      <c r="AX68" s="257"/>
      <c r="AY68" s="257"/>
      <c r="AZ68" s="257"/>
      <c r="BA68" s="257"/>
      <c r="BB68" s="257"/>
      <c r="BC68" s="257"/>
      <c r="BD68" s="257"/>
      <c r="BE68" s="257"/>
      <c r="BF68" s="257"/>
      <c r="BG68" s="257"/>
      <c r="BH68" s="257"/>
    </row>
    <row r="69" spans="1:60" hidden="1" x14ac:dyDescent="0.15">
      <c r="A69" s="197"/>
      <c r="B69" s="257"/>
      <c r="C69" s="54"/>
      <c r="D69" s="190"/>
      <c r="F69" s="190"/>
      <c r="G69" s="186"/>
      <c r="H69" s="263"/>
      <c r="I69" s="190"/>
      <c r="J69" s="186"/>
      <c r="K69" s="263"/>
      <c r="L69" s="190"/>
      <c r="M69" s="186"/>
      <c r="N69" s="263"/>
      <c r="O69" s="190"/>
      <c r="P69" s="186"/>
      <c r="Q69" s="263"/>
      <c r="R69" s="190"/>
      <c r="S69" s="186"/>
      <c r="T69" s="263"/>
      <c r="U69" s="191"/>
      <c r="V69" s="299"/>
      <c r="W69" s="300"/>
      <c r="X69" s="301"/>
      <c r="Y69" s="257"/>
      <c r="Z69" s="257"/>
      <c r="AA69" s="257"/>
      <c r="AB69" s="262"/>
      <c r="AC69" s="257"/>
      <c r="AD69" s="257"/>
      <c r="AE69" s="179"/>
      <c r="AF69" s="180"/>
      <c r="AG69" s="179"/>
      <c r="AH69" s="180"/>
      <c r="AI69" s="257"/>
      <c r="AJ69" s="257"/>
      <c r="AK69" s="257"/>
      <c r="AL69" s="257"/>
      <c r="AM69" s="257"/>
      <c r="AN69" s="257"/>
      <c r="AO69" s="257"/>
      <c r="AP69" s="257"/>
      <c r="AQ69" s="257"/>
      <c r="AR69" s="257"/>
      <c r="AS69" s="257"/>
      <c r="AT69" s="257"/>
      <c r="AU69" s="257"/>
      <c r="AV69" s="257"/>
      <c r="AW69" s="257"/>
      <c r="AX69" s="257"/>
      <c r="AY69" s="257"/>
      <c r="AZ69" s="257"/>
      <c r="BA69" s="257"/>
      <c r="BB69" s="257"/>
      <c r="BC69" s="257"/>
      <c r="BD69" s="257"/>
      <c r="BE69" s="257"/>
      <c r="BF69" s="257"/>
      <c r="BG69" s="257"/>
      <c r="BH69" s="257"/>
    </row>
    <row r="70" spans="1:60" s="141" customFormat="1" hidden="1" x14ac:dyDescent="0.15">
      <c r="A70" s="260" t="s">
        <v>2</v>
      </c>
      <c r="B70" s="176"/>
      <c r="C70" s="193">
        <v>0</v>
      </c>
      <c r="D70" s="188">
        <v>0</v>
      </c>
      <c r="E70" s="257"/>
      <c r="F70" s="188">
        <v>0</v>
      </c>
      <c r="G70" s="182">
        <f>F70*C70</f>
        <v>0</v>
      </c>
      <c r="H70" s="263"/>
      <c r="I70" s="188">
        <v>0</v>
      </c>
      <c r="J70" s="182">
        <f>(I70*C70)*(1+$D$70)</f>
        <v>0</v>
      </c>
      <c r="K70" s="263"/>
      <c r="L70" s="188">
        <v>0</v>
      </c>
      <c r="M70" s="182">
        <f>(L70*C70)*((1+$D$70)*(1+$D$70))</f>
        <v>0</v>
      </c>
      <c r="N70" s="263"/>
      <c r="O70" s="188">
        <v>0</v>
      </c>
      <c r="P70" s="182">
        <f>(O70*C70)*((1+$D$70)*(1+$D$70)*(1+$D$70))</f>
        <v>0</v>
      </c>
      <c r="Q70" s="263"/>
      <c r="R70" s="188">
        <v>0</v>
      </c>
      <c r="S70" s="182">
        <f>(R70*F70)*((1+$D$70)*(1+$D$70)*(1+$D$70))</f>
        <v>0</v>
      </c>
      <c r="T70" s="263"/>
      <c r="U70" s="175">
        <f>S70+P70+M70+J70+G70</f>
        <v>0</v>
      </c>
      <c r="V70" s="299"/>
      <c r="W70" s="300"/>
      <c r="X70" s="301"/>
      <c r="Y70" s="257"/>
      <c r="Z70" s="257"/>
      <c r="AA70" s="257"/>
      <c r="AB70" s="262"/>
      <c r="AC70" s="257"/>
      <c r="AD70" s="257"/>
      <c r="AE70" s="179"/>
      <c r="AF70" s="180"/>
      <c r="AG70" s="179"/>
      <c r="AH70" s="180"/>
      <c r="AI70" s="257"/>
      <c r="AJ70" s="257"/>
      <c r="AK70" s="257"/>
      <c r="AL70" s="257"/>
      <c r="AM70" s="257"/>
      <c r="AN70" s="257"/>
      <c r="AO70" s="257"/>
      <c r="AP70" s="257"/>
      <c r="AQ70" s="257"/>
      <c r="AR70" s="257"/>
      <c r="AS70" s="257"/>
      <c r="AT70" s="257"/>
      <c r="AU70" s="257"/>
      <c r="AV70" s="257"/>
      <c r="AW70" s="257"/>
      <c r="AX70" s="257"/>
      <c r="AY70" s="257"/>
      <c r="AZ70" s="257"/>
      <c r="BA70" s="257"/>
      <c r="BB70" s="257"/>
      <c r="BC70" s="257"/>
      <c r="BD70" s="257"/>
      <c r="BE70" s="257"/>
      <c r="BF70" s="257"/>
      <c r="BG70" s="257"/>
      <c r="BH70" s="257"/>
    </row>
    <row r="71" spans="1:60" hidden="1" x14ac:dyDescent="0.15">
      <c r="A71" s="197" t="s">
        <v>163</v>
      </c>
      <c r="B71" s="257"/>
      <c r="C71" s="190" t="str">
        <f>IF(C70=0,"0%",((C70*0.235)+9100)/C70)</f>
        <v>0%</v>
      </c>
      <c r="D71" s="190"/>
      <c r="F71" s="190"/>
      <c r="G71" s="186">
        <f>C71*G70</f>
        <v>0</v>
      </c>
      <c r="H71" s="263"/>
      <c r="I71" s="243"/>
      <c r="J71" s="186">
        <f>C71*J70</f>
        <v>0</v>
      </c>
      <c r="K71" s="263"/>
      <c r="L71" s="190"/>
      <c r="M71" s="186">
        <f>C71*M70</f>
        <v>0</v>
      </c>
      <c r="N71" s="263"/>
      <c r="O71" s="190"/>
      <c r="P71" s="186">
        <f>C71*P70</f>
        <v>0</v>
      </c>
      <c r="Q71" s="263"/>
      <c r="R71" s="190"/>
      <c r="S71" s="186">
        <f>F71*S70</f>
        <v>0</v>
      </c>
      <c r="T71" s="263"/>
      <c r="U71" s="175">
        <f>S71+P71+M71+J71+G71</f>
        <v>0</v>
      </c>
      <c r="V71" s="211"/>
      <c r="W71" s="301"/>
      <c r="X71" s="257"/>
      <c r="Y71" s="257"/>
      <c r="Z71" s="257"/>
      <c r="AA71" s="262"/>
      <c r="AB71" s="257"/>
      <c r="AC71" s="257"/>
      <c r="AD71" s="179"/>
      <c r="AE71" s="181"/>
      <c r="AF71" s="179"/>
      <c r="AG71" s="181"/>
      <c r="AH71" s="257"/>
      <c r="AI71" s="257"/>
      <c r="AJ71" s="257"/>
      <c r="AK71" s="257"/>
      <c r="AL71" s="257"/>
      <c r="AM71" s="257"/>
      <c r="AN71" s="257"/>
      <c r="AO71" s="257"/>
      <c r="AP71" s="257"/>
      <c r="AQ71" s="257"/>
      <c r="AR71" s="257"/>
      <c r="AS71" s="257"/>
      <c r="AT71" s="257"/>
      <c r="AU71" s="257"/>
      <c r="AV71" s="257"/>
      <c r="AW71" s="257"/>
      <c r="AX71" s="257"/>
      <c r="AY71" s="257"/>
      <c r="AZ71" s="257"/>
      <c r="BA71" s="257"/>
      <c r="BB71" s="257"/>
      <c r="BC71" s="257"/>
      <c r="BD71" s="257"/>
      <c r="BE71" s="257"/>
      <c r="BF71" s="257"/>
      <c r="BG71" s="257"/>
      <c r="BH71" s="257"/>
    </row>
    <row r="72" spans="1:60" hidden="1" x14ac:dyDescent="0.15">
      <c r="A72" s="197"/>
      <c r="B72" s="257"/>
      <c r="C72" s="190"/>
      <c r="D72" s="190"/>
      <c r="F72" s="190"/>
      <c r="G72" s="186"/>
      <c r="H72" s="263"/>
      <c r="I72" s="243"/>
      <c r="J72" s="186"/>
      <c r="K72" s="263"/>
      <c r="L72" s="190"/>
      <c r="M72" s="186"/>
      <c r="N72" s="263"/>
      <c r="O72" s="190"/>
      <c r="P72" s="186"/>
      <c r="Q72" s="263"/>
      <c r="R72" s="190"/>
      <c r="S72" s="186"/>
      <c r="T72" s="263"/>
      <c r="U72" s="191"/>
      <c r="V72" s="211"/>
      <c r="W72" s="301"/>
      <c r="X72" s="257"/>
      <c r="Y72" s="257"/>
      <c r="Z72" s="257"/>
      <c r="AA72" s="262"/>
      <c r="AB72" s="257"/>
      <c r="AC72" s="257"/>
      <c r="AD72" s="179"/>
      <c r="AE72" s="181"/>
      <c r="AF72" s="179"/>
      <c r="AG72" s="181"/>
      <c r="AH72" s="257"/>
      <c r="AI72" s="257"/>
      <c r="AJ72" s="257"/>
      <c r="AK72" s="257"/>
      <c r="AL72" s="257"/>
      <c r="AM72" s="257"/>
      <c r="AN72" s="257"/>
      <c r="AO72" s="257"/>
      <c r="AP72" s="257"/>
      <c r="AQ72" s="257"/>
      <c r="AR72" s="257"/>
      <c r="AS72" s="257"/>
      <c r="AT72" s="257"/>
      <c r="AU72" s="257"/>
      <c r="AV72" s="257"/>
      <c r="AW72" s="257"/>
      <c r="AX72" s="257"/>
      <c r="AY72" s="257"/>
      <c r="AZ72" s="257"/>
      <c r="BA72" s="257"/>
      <c r="BB72" s="257"/>
      <c r="BC72" s="257"/>
      <c r="BD72" s="257"/>
      <c r="BE72" s="257"/>
      <c r="BF72" s="257"/>
      <c r="BG72" s="257"/>
      <c r="BH72" s="257"/>
    </row>
    <row r="73" spans="1:60" hidden="1" x14ac:dyDescent="0.15">
      <c r="A73" s="260" t="s">
        <v>32</v>
      </c>
      <c r="B73" s="176"/>
      <c r="C73" s="193">
        <v>0</v>
      </c>
      <c r="D73" s="188">
        <v>0</v>
      </c>
      <c r="E73" s="257"/>
      <c r="F73" s="188">
        <v>0</v>
      </c>
      <c r="G73" s="182">
        <f>F73*C73</f>
        <v>0</v>
      </c>
      <c r="H73" s="263"/>
      <c r="I73" s="188">
        <v>0</v>
      </c>
      <c r="J73" s="182">
        <f>(I73*C73)*(1+$D$73)</f>
        <v>0</v>
      </c>
      <c r="K73" s="263"/>
      <c r="L73" s="188">
        <v>0</v>
      </c>
      <c r="M73" s="182">
        <f>(L73*C73)*((1+$D$73)*(1+$D$73))</f>
        <v>0</v>
      </c>
      <c r="N73" s="263"/>
      <c r="O73" s="188">
        <v>0</v>
      </c>
      <c r="P73" s="182">
        <f>(O73*C73)*((1+$D$73)*(1+$D$73)*(1+$D$73))</f>
        <v>0</v>
      </c>
      <c r="Q73" s="263"/>
      <c r="R73" s="188">
        <v>0</v>
      </c>
      <c r="S73" s="182">
        <f>(R73*F73)*((1+$D$73)*(1+$D$73)*(1+$D$73))</f>
        <v>0</v>
      </c>
      <c r="T73" s="263"/>
      <c r="U73" s="175">
        <f>S73+P73+M73+J73+G73</f>
        <v>0</v>
      </c>
      <c r="V73" s="211"/>
      <c r="W73" s="301"/>
      <c r="X73" s="257"/>
      <c r="Y73" s="257"/>
      <c r="Z73" s="257"/>
      <c r="AA73" s="262"/>
      <c r="AB73" s="257"/>
      <c r="AC73" s="257"/>
      <c r="AD73" s="257"/>
      <c r="AE73" s="257"/>
      <c r="AF73" s="257"/>
      <c r="AG73" s="257"/>
      <c r="AH73" s="257"/>
      <c r="AI73" s="257"/>
      <c r="AJ73" s="257"/>
      <c r="AK73" s="257"/>
      <c r="AL73" s="257"/>
      <c r="AM73" s="257"/>
      <c r="AN73" s="257"/>
      <c r="AO73" s="257"/>
      <c r="AP73" s="257"/>
      <c r="AQ73" s="257"/>
      <c r="AR73" s="257"/>
      <c r="AS73" s="257"/>
      <c r="AT73" s="257"/>
      <c r="AU73" s="257"/>
      <c r="AV73" s="257"/>
      <c r="AW73" s="257"/>
      <c r="AX73" s="257"/>
      <c r="AY73" s="257"/>
      <c r="AZ73" s="257"/>
      <c r="BA73" s="257"/>
      <c r="BB73" s="257"/>
      <c r="BC73" s="257"/>
      <c r="BD73" s="257"/>
      <c r="BE73" s="257"/>
      <c r="BF73" s="257"/>
      <c r="BG73" s="257"/>
      <c r="BH73" s="257"/>
    </row>
    <row r="74" spans="1:60" s="207" customFormat="1" hidden="1" x14ac:dyDescent="0.15">
      <c r="A74" s="197" t="s">
        <v>163</v>
      </c>
      <c r="B74" s="257"/>
      <c r="C74" s="190" t="str">
        <f>IF(C73=0,"0%",((C73*0.235)+9100)/C73)</f>
        <v>0%</v>
      </c>
      <c r="D74" s="190"/>
      <c r="E74" s="260"/>
      <c r="F74" s="190"/>
      <c r="G74" s="186">
        <f>C74*G73</f>
        <v>0</v>
      </c>
      <c r="H74" s="263"/>
      <c r="I74" s="243"/>
      <c r="J74" s="186">
        <f>C74*J73</f>
        <v>0</v>
      </c>
      <c r="K74" s="263"/>
      <c r="L74" s="190"/>
      <c r="M74" s="186">
        <f>C74*M73</f>
        <v>0</v>
      </c>
      <c r="N74" s="263"/>
      <c r="O74" s="190"/>
      <c r="P74" s="186">
        <f>C74*P73</f>
        <v>0</v>
      </c>
      <c r="Q74" s="263"/>
      <c r="R74" s="190"/>
      <c r="S74" s="186">
        <f>F74*S73</f>
        <v>0</v>
      </c>
      <c r="T74" s="263"/>
      <c r="U74" s="175">
        <f>S74+P74+M74+J74+G74</f>
        <v>0</v>
      </c>
      <c r="V74" s="211"/>
      <c r="W74" s="254"/>
      <c r="X74" s="259"/>
      <c r="Y74" s="259"/>
      <c r="Z74" s="259"/>
      <c r="AA74" s="259"/>
      <c r="AB74" s="259"/>
      <c r="AC74" s="259"/>
      <c r="AD74" s="259"/>
      <c r="AE74" s="259"/>
      <c r="AF74" s="259"/>
      <c r="AG74" s="259"/>
      <c r="AH74" s="259"/>
      <c r="AI74" s="259"/>
      <c r="AJ74" s="259"/>
      <c r="AK74" s="259"/>
      <c r="AL74" s="259"/>
      <c r="AM74" s="259"/>
      <c r="AN74" s="259"/>
      <c r="AO74" s="259"/>
      <c r="AP74" s="259"/>
      <c r="AQ74" s="259"/>
      <c r="AR74" s="259"/>
      <c r="AS74" s="259"/>
      <c r="AT74" s="259"/>
      <c r="AU74" s="259"/>
      <c r="AV74" s="259"/>
      <c r="AW74" s="259"/>
      <c r="AX74" s="259"/>
      <c r="AY74" s="259"/>
      <c r="AZ74" s="259"/>
      <c r="BA74" s="259"/>
    </row>
    <row r="75" spans="1:60" s="207" customFormat="1" hidden="1" x14ac:dyDescent="0.15">
      <c r="A75" s="197"/>
      <c r="B75" s="257"/>
      <c r="C75" s="190"/>
      <c r="D75" s="190"/>
      <c r="E75" s="260"/>
      <c r="F75" s="190"/>
      <c r="G75" s="186"/>
      <c r="H75" s="263"/>
      <c r="I75" s="243"/>
      <c r="J75" s="186"/>
      <c r="K75" s="263"/>
      <c r="L75" s="190"/>
      <c r="M75" s="186"/>
      <c r="N75" s="263"/>
      <c r="O75" s="190"/>
      <c r="P75" s="186"/>
      <c r="Q75" s="263"/>
      <c r="R75" s="190"/>
      <c r="S75" s="186"/>
      <c r="T75" s="263"/>
      <c r="U75" s="191"/>
      <c r="V75" s="211"/>
      <c r="W75" s="254"/>
      <c r="X75" s="259"/>
      <c r="Y75" s="259"/>
      <c r="Z75" s="259"/>
      <c r="AA75" s="259"/>
      <c r="AB75" s="259"/>
      <c r="AC75" s="259"/>
      <c r="AD75" s="259"/>
      <c r="AE75" s="259"/>
      <c r="AF75" s="259"/>
      <c r="AG75" s="259"/>
      <c r="AH75" s="259"/>
      <c r="AI75" s="259"/>
      <c r="AJ75" s="259"/>
      <c r="AK75" s="259"/>
      <c r="AL75" s="259"/>
      <c r="AM75" s="259"/>
      <c r="AN75" s="259"/>
      <c r="AO75" s="259"/>
      <c r="AP75" s="259"/>
      <c r="AQ75" s="259"/>
      <c r="AR75" s="259"/>
      <c r="AS75" s="259"/>
      <c r="AT75" s="259"/>
      <c r="AU75" s="259"/>
      <c r="AV75" s="259"/>
      <c r="AW75" s="259"/>
      <c r="AX75" s="259"/>
      <c r="AY75" s="259"/>
      <c r="AZ75" s="259"/>
      <c r="BA75" s="259"/>
    </row>
    <row r="76" spans="1:60" hidden="1" x14ac:dyDescent="0.15">
      <c r="A76" s="260" t="s">
        <v>33</v>
      </c>
      <c r="B76" s="176"/>
      <c r="C76" s="193">
        <v>0</v>
      </c>
      <c r="D76" s="188">
        <v>0</v>
      </c>
      <c r="E76" s="257"/>
      <c r="F76" s="188">
        <v>0</v>
      </c>
      <c r="G76" s="182">
        <f>F76*C76</f>
        <v>0</v>
      </c>
      <c r="H76" s="263"/>
      <c r="I76" s="188">
        <v>0</v>
      </c>
      <c r="J76" s="182">
        <f>(I76*C76)*(1+$D$76)</f>
        <v>0</v>
      </c>
      <c r="K76" s="263"/>
      <c r="L76" s="188">
        <v>0</v>
      </c>
      <c r="M76" s="182">
        <f>(L76*C76)*((1+$D$76)*(1+$D$76))</f>
        <v>0</v>
      </c>
      <c r="N76" s="263"/>
      <c r="O76" s="188">
        <v>0</v>
      </c>
      <c r="P76" s="182">
        <f>(O76*C76)*((1+$D$76)*(1+$D$76)*(1+$D$76))</f>
        <v>0</v>
      </c>
      <c r="Q76" s="263"/>
      <c r="R76" s="188">
        <v>0</v>
      </c>
      <c r="S76" s="182">
        <f>(R76*F76)*((1+$D$76)*(1+$D$76)*(1+$D$76))</f>
        <v>0</v>
      </c>
      <c r="T76" s="263"/>
      <c r="U76" s="175">
        <f>S76+P76+M76+J76+G76</f>
        <v>0</v>
      </c>
      <c r="V76" s="211"/>
      <c r="W76" s="301"/>
      <c r="X76" s="257"/>
      <c r="Y76" s="257"/>
      <c r="Z76" s="257"/>
      <c r="AA76" s="262"/>
      <c r="AB76" s="257"/>
      <c r="AC76" s="257"/>
      <c r="AD76" s="257"/>
      <c r="AE76" s="257"/>
      <c r="AF76" s="257"/>
      <c r="AG76" s="257"/>
      <c r="AH76" s="257"/>
      <c r="AI76" s="257"/>
      <c r="AJ76" s="257"/>
      <c r="AK76" s="257"/>
      <c r="AL76" s="257"/>
      <c r="AM76" s="257"/>
      <c r="AN76" s="257"/>
      <c r="AO76" s="257"/>
      <c r="AP76" s="257"/>
      <c r="AQ76" s="257"/>
      <c r="AR76" s="257"/>
      <c r="AS76" s="257"/>
      <c r="AT76" s="257"/>
      <c r="AU76" s="257"/>
      <c r="AV76" s="257"/>
      <c r="AW76" s="257"/>
      <c r="AX76" s="257"/>
      <c r="AY76" s="257"/>
      <c r="AZ76" s="257"/>
      <c r="BA76" s="257"/>
      <c r="BB76" s="257"/>
      <c r="BC76" s="257"/>
      <c r="BD76" s="257"/>
      <c r="BE76" s="257"/>
      <c r="BF76" s="257"/>
      <c r="BG76" s="257"/>
      <c r="BH76" s="257"/>
    </row>
    <row r="77" spans="1:60" s="207" customFormat="1" hidden="1" x14ac:dyDescent="0.15">
      <c r="A77" s="197" t="s">
        <v>163</v>
      </c>
      <c r="B77" s="257"/>
      <c r="C77" s="190" t="str">
        <f>IF(C76=0,"0%",((C76*0.235)+9100)/C76)</f>
        <v>0%</v>
      </c>
      <c r="D77" s="190"/>
      <c r="E77" s="260"/>
      <c r="F77" s="190"/>
      <c r="G77" s="186">
        <f>C77*G76</f>
        <v>0</v>
      </c>
      <c r="H77" s="263"/>
      <c r="I77" s="243"/>
      <c r="J77" s="186">
        <f>C77*J76</f>
        <v>0</v>
      </c>
      <c r="K77" s="263"/>
      <c r="L77" s="190"/>
      <c r="M77" s="186">
        <f>C77*M76</f>
        <v>0</v>
      </c>
      <c r="N77" s="263"/>
      <c r="O77" s="190"/>
      <c r="P77" s="186">
        <f>C77*P76</f>
        <v>0</v>
      </c>
      <c r="Q77" s="263"/>
      <c r="R77" s="190"/>
      <c r="S77" s="186">
        <f>F77*S76</f>
        <v>0</v>
      </c>
      <c r="T77" s="263"/>
      <c r="U77" s="175">
        <f>S77+P77+M77+J77+G77</f>
        <v>0</v>
      </c>
      <c r="V77" s="211"/>
      <c r="W77" s="254"/>
      <c r="X77" s="259"/>
      <c r="Y77" s="259"/>
      <c r="Z77" s="259"/>
      <c r="AA77" s="259"/>
      <c r="AB77" s="259"/>
      <c r="AC77" s="259"/>
      <c r="AD77" s="259"/>
      <c r="AE77" s="259"/>
      <c r="AF77" s="259"/>
      <c r="AG77" s="259"/>
      <c r="AH77" s="259"/>
      <c r="AI77" s="259"/>
      <c r="AJ77" s="259"/>
      <c r="AK77" s="259"/>
      <c r="AL77" s="259"/>
      <c r="AM77" s="259"/>
      <c r="AN77" s="259"/>
      <c r="AO77" s="259"/>
      <c r="AP77" s="259"/>
      <c r="AQ77" s="259"/>
      <c r="AR77" s="259"/>
      <c r="AS77" s="259"/>
      <c r="AT77" s="259"/>
      <c r="AU77" s="259"/>
      <c r="AV77" s="259"/>
      <c r="AW77" s="259"/>
      <c r="AX77" s="259"/>
      <c r="AY77" s="259"/>
      <c r="AZ77" s="259"/>
      <c r="BA77" s="259"/>
    </row>
    <row r="78" spans="1:60" s="160" customFormat="1" ht="14" thickBot="1" x14ac:dyDescent="0.2">
      <c r="A78" s="258" t="s">
        <v>153</v>
      </c>
      <c r="B78" s="260"/>
      <c r="C78" s="175"/>
      <c r="D78" s="132"/>
      <c r="E78" s="260"/>
      <c r="F78" s="133"/>
      <c r="G78" s="183">
        <f>SUM(G61:G77)</f>
        <v>0</v>
      </c>
      <c r="H78" s="88"/>
      <c r="I78" s="134"/>
      <c r="J78" s="183">
        <f>SUM(J61:J77)</f>
        <v>0</v>
      </c>
      <c r="K78" s="88"/>
      <c r="L78" s="192"/>
      <c r="M78" s="183">
        <f>SUM(M61:M77)</f>
        <v>0</v>
      </c>
      <c r="N78" s="88"/>
      <c r="O78" s="192"/>
      <c r="P78" s="183">
        <f>SUM(P61:P77)</f>
        <v>0</v>
      </c>
      <c r="Q78" s="88"/>
      <c r="R78" s="192"/>
      <c r="S78" s="183">
        <f>SUM(S61:S77)</f>
        <v>0</v>
      </c>
      <c r="T78" s="89"/>
      <c r="U78" s="183">
        <f>SUM(U61:U77)</f>
        <v>0</v>
      </c>
      <c r="V78" s="211"/>
      <c r="W78" s="302"/>
    </row>
    <row r="79" spans="1:60" ht="6" customHeight="1" thickTop="1" x14ac:dyDescent="0.15">
      <c r="A79" s="207"/>
      <c r="B79" s="207"/>
      <c r="C79" s="207"/>
      <c r="D79" s="207"/>
      <c r="E79" s="207"/>
      <c r="F79" s="207"/>
      <c r="G79" s="207"/>
      <c r="H79" s="207"/>
      <c r="I79" s="207"/>
      <c r="J79" s="207"/>
      <c r="K79" s="207"/>
      <c r="L79" s="207"/>
      <c r="M79" s="207"/>
      <c r="N79" s="207"/>
      <c r="O79" s="207"/>
      <c r="P79" s="207"/>
      <c r="Q79" s="207"/>
      <c r="R79" s="207"/>
      <c r="S79" s="207"/>
      <c r="T79" s="207"/>
      <c r="U79" s="207"/>
      <c r="V79" s="211"/>
      <c r="W79" s="270"/>
      <c r="X79" s="257"/>
      <c r="Y79" s="257"/>
      <c r="Z79" s="257"/>
      <c r="AA79" s="262"/>
      <c r="AB79" s="257"/>
      <c r="AC79" s="257"/>
      <c r="AD79" s="257"/>
      <c r="AE79" s="257"/>
      <c r="AF79" s="257"/>
      <c r="AG79" s="257"/>
      <c r="AH79" s="257"/>
      <c r="AI79" s="257"/>
      <c r="AJ79" s="257"/>
      <c r="AK79" s="257"/>
      <c r="AL79" s="257"/>
      <c r="AM79" s="257"/>
      <c r="AN79" s="257"/>
      <c r="AO79" s="257"/>
      <c r="AP79" s="257"/>
      <c r="AQ79" s="257"/>
      <c r="AR79" s="257"/>
      <c r="AS79" s="257"/>
      <c r="AT79" s="257"/>
      <c r="AU79" s="257"/>
      <c r="AV79" s="257"/>
      <c r="AW79" s="257"/>
      <c r="AX79" s="257"/>
      <c r="AY79" s="257"/>
      <c r="AZ79" s="257"/>
      <c r="BA79" s="257"/>
      <c r="BB79" s="257"/>
      <c r="BC79" s="257"/>
      <c r="BD79" s="257"/>
      <c r="BE79" s="257"/>
      <c r="BF79" s="257"/>
      <c r="BG79" s="257"/>
      <c r="BH79" s="257"/>
    </row>
    <row r="80" spans="1:60" x14ac:dyDescent="0.15">
      <c r="A80" s="276"/>
      <c r="B80" s="162" t="s">
        <v>131</v>
      </c>
      <c r="C80" s="160" t="s">
        <v>27</v>
      </c>
      <c r="D80" s="160" t="s">
        <v>118</v>
      </c>
      <c r="E80" s="160"/>
      <c r="F80" s="160" t="s">
        <v>28</v>
      </c>
      <c r="G80" s="276" t="s">
        <v>73</v>
      </c>
      <c r="H80" s="235"/>
      <c r="I80" s="160" t="s">
        <v>29</v>
      </c>
      <c r="J80" s="276" t="s">
        <v>75</v>
      </c>
      <c r="K80" s="235"/>
      <c r="L80" s="160" t="s">
        <v>29</v>
      </c>
      <c r="M80" s="187" t="s">
        <v>76</v>
      </c>
      <c r="N80" s="209"/>
      <c r="O80" s="163" t="s">
        <v>29</v>
      </c>
      <c r="P80" s="187" t="s">
        <v>77</v>
      </c>
      <c r="Q80" s="209"/>
      <c r="R80" s="163" t="s">
        <v>29</v>
      </c>
      <c r="S80" s="187" t="s">
        <v>78</v>
      </c>
      <c r="T80" s="209"/>
      <c r="U80" s="187" t="s">
        <v>132</v>
      </c>
      <c r="V80" s="211"/>
      <c r="W80" s="301"/>
      <c r="X80" s="257"/>
      <c r="Y80" s="257"/>
      <c r="Z80" s="257"/>
      <c r="AA80" s="262"/>
      <c r="AB80" s="257"/>
      <c r="AC80" s="257"/>
      <c r="AD80" s="257"/>
      <c r="AE80" s="257"/>
      <c r="AF80" s="257"/>
      <c r="AG80" s="257"/>
      <c r="AH80" s="257"/>
      <c r="AI80" s="257"/>
      <c r="AJ80" s="257"/>
      <c r="AK80" s="257"/>
      <c r="AL80" s="257"/>
      <c r="AM80" s="257"/>
      <c r="AN80" s="257"/>
      <c r="AO80" s="257"/>
      <c r="AP80" s="257"/>
      <c r="AQ80" s="257"/>
      <c r="AR80" s="257"/>
      <c r="AS80" s="257"/>
      <c r="AT80" s="257"/>
      <c r="AU80" s="257"/>
      <c r="AV80" s="257"/>
      <c r="AW80" s="257"/>
      <c r="AX80" s="257"/>
      <c r="AY80" s="257"/>
      <c r="AZ80" s="257"/>
      <c r="BA80" s="257"/>
      <c r="BB80" s="257"/>
      <c r="BC80" s="257"/>
      <c r="BD80" s="257"/>
      <c r="BE80" s="257"/>
      <c r="BF80" s="257"/>
      <c r="BG80" s="257"/>
      <c r="BH80" s="257"/>
    </row>
    <row r="81" spans="1:60" x14ac:dyDescent="0.15">
      <c r="F81" s="204"/>
      <c r="G81" s="260"/>
      <c r="H81" s="96"/>
      <c r="I81" s="204"/>
      <c r="J81" s="123"/>
      <c r="K81" s="164"/>
      <c r="L81" s="204"/>
      <c r="M81" s="260"/>
      <c r="N81" s="96"/>
      <c r="O81" s="204"/>
      <c r="Q81" s="96"/>
      <c r="R81" s="204"/>
      <c r="U81" s="191"/>
      <c r="V81" s="211"/>
      <c r="W81" s="301"/>
      <c r="X81" s="257"/>
      <c r="Y81" s="257"/>
      <c r="Z81" s="257"/>
      <c r="AA81" s="262"/>
      <c r="AB81" s="257"/>
      <c r="AC81" s="257"/>
      <c r="AD81" s="257"/>
      <c r="AE81" s="257"/>
      <c r="AF81" s="257"/>
      <c r="AG81" s="257"/>
      <c r="AH81" s="257"/>
      <c r="AI81" s="257"/>
      <c r="AJ81" s="257"/>
      <c r="AK81" s="257"/>
      <c r="AL81" s="257"/>
      <c r="AM81" s="257"/>
      <c r="AN81" s="257"/>
      <c r="AO81" s="257"/>
      <c r="AP81" s="257"/>
      <c r="AQ81" s="257"/>
      <c r="AR81" s="257"/>
      <c r="AS81" s="257"/>
      <c r="AT81" s="257"/>
      <c r="AU81" s="257"/>
      <c r="AV81" s="257"/>
      <c r="AW81" s="257"/>
      <c r="AX81" s="257"/>
      <c r="AY81" s="257"/>
      <c r="AZ81" s="257"/>
      <c r="BA81" s="257"/>
      <c r="BB81" s="257"/>
      <c r="BC81" s="257"/>
      <c r="BD81" s="257"/>
      <c r="BE81" s="257"/>
      <c r="BF81" s="257"/>
      <c r="BG81" s="257"/>
      <c r="BH81" s="257"/>
    </row>
    <row r="82" spans="1:60" s="304" customFormat="1" x14ac:dyDescent="0.15">
      <c r="A82" s="260" t="s">
        <v>70</v>
      </c>
      <c r="B82" s="176" t="s">
        <v>225</v>
      </c>
      <c r="C82" s="205">
        <v>21</v>
      </c>
      <c r="D82" s="80">
        <v>2.5000000000000001E-2</v>
      </c>
      <c r="E82" s="270" t="s">
        <v>30</v>
      </c>
      <c r="F82" s="218">
        <v>780</v>
      </c>
      <c r="G82" s="219">
        <f>F82*C82</f>
        <v>16380</v>
      </c>
      <c r="H82" s="236"/>
      <c r="I82" s="218">
        <v>780</v>
      </c>
      <c r="J82" s="195">
        <f>IF(I82&gt;0,(I82*C82)*(1+$D$82),0)</f>
        <v>16789.5</v>
      </c>
      <c r="K82" s="208"/>
      <c r="L82" s="218">
        <v>780</v>
      </c>
      <c r="M82" s="195">
        <f>IF(L82&gt;0,(L82*C82)*((1+$D$82)*(1+$D$82)),0)</f>
        <v>17209.237499999999</v>
      </c>
      <c r="N82" s="208"/>
      <c r="O82" s="218">
        <v>0</v>
      </c>
      <c r="P82" s="195">
        <f>IF(O82&gt;0,(O82*C82)*((1+$D$82)*(1+$D$82)*(1+$D$82)),0)</f>
        <v>0</v>
      </c>
      <c r="Q82" s="208"/>
      <c r="R82" s="218">
        <v>0</v>
      </c>
      <c r="S82" s="195">
        <f>(R82*C82)*((1+$D$121)*(1+$D$121)*(1+$D$121)*(1+$D$121)*(1+$D$121))</f>
        <v>0</v>
      </c>
      <c r="T82" s="208"/>
      <c r="U82" s="185">
        <f>(S82+P82+M82+J82+G82)</f>
        <v>50378.737500000003</v>
      </c>
      <c r="V82" s="303"/>
      <c r="W82" s="46"/>
      <c r="X82" s="130"/>
      <c r="Y82" s="130"/>
      <c r="Z82" s="130"/>
      <c r="AA82" s="130"/>
      <c r="AB82" s="130"/>
      <c r="AC82" s="130"/>
      <c r="AD82" s="130"/>
      <c r="AE82" s="259"/>
      <c r="AF82" s="259"/>
      <c r="AG82" s="259"/>
      <c r="AH82" s="259"/>
      <c r="AI82" s="259"/>
      <c r="AJ82" s="259"/>
      <c r="AK82" s="259"/>
      <c r="AL82" s="259"/>
      <c r="AM82" s="259"/>
      <c r="AN82" s="259">
        <f>780/2</f>
        <v>390</v>
      </c>
      <c r="AO82" s="259"/>
      <c r="AP82" s="259"/>
      <c r="AQ82" s="259"/>
      <c r="AR82" s="259"/>
      <c r="AS82" s="259"/>
      <c r="AT82" s="259"/>
      <c r="AU82" s="259"/>
      <c r="AV82" s="259"/>
      <c r="AW82" s="259"/>
      <c r="AX82" s="259"/>
      <c r="AY82" s="259"/>
      <c r="AZ82" s="259"/>
      <c r="BA82" s="259"/>
      <c r="BB82" s="259"/>
      <c r="BC82" s="259"/>
      <c r="BD82" s="259"/>
      <c r="BE82" s="259"/>
      <c r="BF82" s="259"/>
      <c r="BG82" s="259"/>
      <c r="BH82" s="259"/>
    </row>
    <row r="83" spans="1:60" s="258" customFormat="1" x14ac:dyDescent="0.15">
      <c r="A83" s="198" t="s">
        <v>72</v>
      </c>
      <c r="B83" s="202"/>
      <c r="C83" s="257"/>
      <c r="D83" s="135"/>
      <c r="E83" s="270" t="s">
        <v>31</v>
      </c>
      <c r="F83" s="245"/>
      <c r="G83" s="220">
        <f>G82*F85</f>
        <v>343.98</v>
      </c>
      <c r="H83" s="212"/>
      <c r="I83" s="245"/>
      <c r="J83" s="220">
        <f>J82*F85</f>
        <v>352.5795</v>
      </c>
      <c r="K83" s="212"/>
      <c r="L83" s="245"/>
      <c r="M83" s="220">
        <f>M82*F85</f>
        <v>361.39398749999998</v>
      </c>
      <c r="N83" s="212"/>
      <c r="O83" s="245"/>
      <c r="P83" s="220">
        <f>P82*F85</f>
        <v>0</v>
      </c>
      <c r="Q83" s="212"/>
      <c r="R83" s="245"/>
      <c r="S83" s="220">
        <f>S82*F85</f>
        <v>0</v>
      </c>
      <c r="T83" s="212"/>
      <c r="U83" s="185">
        <f>SUM(G83:S83)</f>
        <v>1057.9534874999999</v>
      </c>
      <c r="V83" s="111"/>
      <c r="W83" s="130"/>
      <c r="X83" s="130"/>
      <c r="Y83" s="130"/>
      <c r="Z83" s="130"/>
      <c r="AA83" s="130"/>
      <c r="AB83" s="130"/>
      <c r="AC83" s="130"/>
      <c r="AD83" s="130"/>
      <c r="AE83" s="259"/>
      <c r="AF83" s="259"/>
      <c r="AG83" s="259"/>
      <c r="AH83" s="259"/>
      <c r="AI83" s="259"/>
      <c r="AJ83" s="259"/>
      <c r="AK83" s="259"/>
      <c r="AL83" s="259"/>
      <c r="AM83" s="259"/>
      <c r="AN83" s="259"/>
      <c r="AO83" s="259"/>
      <c r="AP83" s="259"/>
      <c r="AQ83" s="259"/>
      <c r="AR83" s="259"/>
      <c r="AS83" s="259"/>
      <c r="AT83" s="259"/>
      <c r="AU83" s="259"/>
      <c r="AV83" s="259"/>
      <c r="AW83" s="259"/>
      <c r="AX83" s="259"/>
      <c r="AY83" s="259"/>
      <c r="AZ83" s="259"/>
      <c r="BA83" s="259"/>
      <c r="BB83" s="259"/>
      <c r="BC83" s="259"/>
      <c r="BD83" s="259"/>
      <c r="BE83" s="259"/>
      <c r="BF83" s="259"/>
      <c r="BG83" s="259"/>
      <c r="BH83" s="259"/>
    </row>
    <row r="84" spans="1:60" x14ac:dyDescent="0.15">
      <c r="A84" s="260" t="s">
        <v>71</v>
      </c>
      <c r="B84" s="244" t="str">
        <f>B82</f>
        <v>Grad 1</v>
      </c>
      <c r="C84" s="259">
        <v>21</v>
      </c>
      <c r="D84" s="259"/>
      <c r="E84" s="123"/>
      <c r="F84" s="222">
        <v>200</v>
      </c>
      <c r="G84" s="219">
        <f>F84*C84</f>
        <v>4200</v>
      </c>
      <c r="H84" s="236"/>
      <c r="I84" s="222">
        <v>200</v>
      </c>
      <c r="J84" s="195">
        <f>IF(I84&gt;0,(I84*C84)*(1+$D$82),0)</f>
        <v>4305</v>
      </c>
      <c r="K84" s="208"/>
      <c r="L84" s="222">
        <v>200</v>
      </c>
      <c r="M84" s="195">
        <f>IF(L84&gt;0,(L84*C84)*((1+$D$82)*(1+$D$82)),0)</f>
        <v>4412.625</v>
      </c>
      <c r="N84" s="208"/>
      <c r="O84" s="222">
        <v>0</v>
      </c>
      <c r="P84" s="195">
        <f>IF(O84&gt;0,(O84*C82)*((1+$D$82)*(1+$D$82)*(1+$D$82)),0)</f>
        <v>0</v>
      </c>
      <c r="Q84" s="208"/>
      <c r="R84" s="222">
        <v>0</v>
      </c>
      <c r="S84" s="195">
        <f>(R84*C84)*((1+$D$82)*(1+$D$82)*(1+$D$82)*(1+$D$82)*(1+$D$82))</f>
        <v>0</v>
      </c>
      <c r="T84" s="208"/>
      <c r="U84" s="185">
        <f>S84+P84+M84+J84+G84</f>
        <v>12917.625</v>
      </c>
      <c r="V84" s="305"/>
      <c r="W84" s="242"/>
      <c r="X84" s="242"/>
      <c r="Y84" s="242"/>
      <c r="Z84" s="242"/>
      <c r="AA84" s="201"/>
      <c r="AB84" s="242"/>
      <c r="AC84" s="242"/>
      <c r="AD84" s="242"/>
      <c r="AE84" s="257"/>
      <c r="AF84" s="257"/>
      <c r="AG84" s="257"/>
      <c r="AH84" s="257"/>
      <c r="AI84" s="257"/>
      <c r="AJ84" s="257"/>
      <c r="AK84" s="257"/>
      <c r="AL84" s="257"/>
      <c r="AM84" s="257"/>
      <c r="AN84" s="257"/>
      <c r="AO84" s="257"/>
      <c r="AP84" s="257"/>
      <c r="AQ84" s="257"/>
      <c r="AR84" s="257"/>
      <c r="AS84" s="257"/>
      <c r="AT84" s="257"/>
      <c r="AU84" s="257"/>
      <c r="AV84" s="257"/>
      <c r="AW84" s="257"/>
      <c r="AX84" s="257"/>
      <c r="AY84" s="257"/>
      <c r="AZ84" s="257"/>
      <c r="BA84" s="257"/>
      <c r="BB84" s="257"/>
      <c r="BC84" s="257"/>
      <c r="BD84" s="257"/>
      <c r="BE84" s="257"/>
      <c r="BF84" s="257"/>
      <c r="BG84" s="257"/>
      <c r="BH84" s="257"/>
    </row>
    <row r="85" spans="1:60" s="258" customFormat="1" x14ac:dyDescent="0.15">
      <c r="A85" s="197" t="s">
        <v>72</v>
      </c>
      <c r="B85" s="202"/>
      <c r="C85" s="259"/>
      <c r="D85" s="259"/>
      <c r="E85" s="270" t="s">
        <v>260</v>
      </c>
      <c r="F85" s="137">
        <v>2.1000000000000001E-2</v>
      </c>
      <c r="G85" s="221">
        <f>G84*F86</f>
        <v>88.2</v>
      </c>
      <c r="H85" s="213"/>
      <c r="I85" s="137"/>
      <c r="J85" s="221">
        <f>J84*F86</f>
        <v>90.405000000000001</v>
      </c>
      <c r="K85" s="213"/>
      <c r="L85" s="137"/>
      <c r="M85" s="221">
        <f>M84*F86</f>
        <v>92.665125000000003</v>
      </c>
      <c r="N85" s="213"/>
      <c r="O85" s="137"/>
      <c r="P85" s="221">
        <f>P84*F86</f>
        <v>0</v>
      </c>
      <c r="Q85" s="213"/>
      <c r="R85" s="137"/>
      <c r="S85" s="221">
        <f>S84*F86</f>
        <v>0</v>
      </c>
      <c r="T85" s="213"/>
      <c r="U85" s="185">
        <f>SUM(G85:S85)</f>
        <v>271.27012500000001</v>
      </c>
      <c r="V85" s="139"/>
      <c r="W85" s="130"/>
      <c r="X85" s="130"/>
      <c r="Y85" s="130"/>
      <c r="Z85" s="130"/>
      <c r="AA85" s="130"/>
      <c r="AB85" s="130"/>
      <c r="AC85" s="130"/>
      <c r="AD85" s="130"/>
      <c r="AE85" s="259"/>
      <c r="AF85" s="259"/>
      <c r="AG85" s="259"/>
      <c r="AH85" s="259"/>
      <c r="AI85" s="259"/>
      <c r="AJ85" s="259"/>
      <c r="AK85" s="259"/>
      <c r="AL85" s="259"/>
      <c r="AM85" s="259"/>
      <c r="AN85" s="259"/>
      <c r="AO85" s="259"/>
      <c r="AP85" s="259"/>
      <c r="AQ85" s="259"/>
      <c r="AR85" s="259"/>
      <c r="AS85" s="259"/>
      <c r="AT85" s="259"/>
      <c r="AU85" s="259"/>
      <c r="AV85" s="259"/>
      <c r="AW85" s="259"/>
      <c r="AX85" s="259"/>
      <c r="AY85" s="259"/>
      <c r="AZ85" s="259"/>
      <c r="BA85" s="259"/>
      <c r="BB85" s="259"/>
      <c r="BC85" s="259"/>
      <c r="BD85" s="259"/>
      <c r="BE85" s="259"/>
      <c r="BF85" s="259"/>
      <c r="BG85" s="259"/>
      <c r="BH85" s="259"/>
    </row>
    <row r="86" spans="1:60" s="160" customFormat="1" x14ac:dyDescent="0.15">
      <c r="A86" s="258" t="s">
        <v>74</v>
      </c>
      <c r="B86" s="260"/>
      <c r="C86" s="257"/>
      <c r="D86" s="135"/>
      <c r="E86" s="270" t="s">
        <v>261</v>
      </c>
      <c r="F86" s="138">
        <v>2.1000000000000001E-2</v>
      </c>
      <c r="G86" s="266">
        <f>SUM(G82:G85)</f>
        <v>21012.18</v>
      </c>
      <c r="H86" s="126"/>
      <c r="I86" s="138"/>
      <c r="J86" s="266">
        <f>SUM(J82:J85)</f>
        <v>21537.484499999999</v>
      </c>
      <c r="K86" s="265"/>
      <c r="L86" s="138"/>
      <c r="M86" s="266">
        <f>SUM(M82:M85)</f>
        <v>22075.921612499998</v>
      </c>
      <c r="N86" s="265"/>
      <c r="O86" s="138"/>
      <c r="P86" s="266">
        <f>SUM(P82:P85)</f>
        <v>0</v>
      </c>
      <c r="Q86" s="265"/>
      <c r="R86" s="138"/>
      <c r="S86" s="266">
        <f>SUM(S82:S85)</f>
        <v>0</v>
      </c>
      <c r="T86" s="264"/>
      <c r="U86" s="269">
        <f>SUM(U82:U85)</f>
        <v>64625.586112500008</v>
      </c>
      <c r="V86" s="139"/>
      <c r="W86" s="306"/>
      <c r="X86" s="307"/>
      <c r="Y86" s="307"/>
      <c r="Z86" s="307"/>
      <c r="AA86" s="307"/>
      <c r="AB86" s="307"/>
      <c r="AC86" s="307"/>
      <c r="AD86" s="307"/>
      <c r="AN86" s="160">
        <f>88*2</f>
        <v>176</v>
      </c>
    </row>
    <row r="87" spans="1:60" x14ac:dyDescent="0.15">
      <c r="A87" s="258"/>
      <c r="B87" s="258"/>
      <c r="C87" s="259"/>
      <c r="D87" s="259"/>
      <c r="E87" s="259"/>
      <c r="F87" s="247"/>
      <c r="G87" s="259"/>
      <c r="H87" s="207"/>
      <c r="I87" s="247"/>
      <c r="J87" s="259"/>
      <c r="K87" s="207"/>
      <c r="L87" s="247"/>
      <c r="M87" s="259"/>
      <c r="N87" s="207"/>
      <c r="O87" s="247"/>
      <c r="P87" s="259"/>
      <c r="Q87" s="207"/>
      <c r="R87" s="247"/>
      <c r="S87" s="259"/>
      <c r="T87" s="207"/>
      <c r="U87" s="258"/>
      <c r="V87" s="139"/>
      <c r="W87" s="240"/>
      <c r="X87" s="242"/>
      <c r="Y87" s="242"/>
      <c r="Z87" s="242"/>
      <c r="AA87" s="201"/>
      <c r="AB87" s="242"/>
      <c r="AC87" s="242"/>
      <c r="AD87" s="242"/>
      <c r="AE87" s="257"/>
      <c r="AF87" s="257"/>
      <c r="AG87" s="257"/>
      <c r="AH87" s="257"/>
      <c r="AI87" s="257"/>
      <c r="AJ87" s="257"/>
      <c r="AK87" s="257"/>
      <c r="AL87" s="257"/>
      <c r="AM87" s="257"/>
      <c r="AN87" s="257"/>
      <c r="AO87" s="257"/>
      <c r="AP87" s="257"/>
      <c r="AQ87" s="257"/>
      <c r="AR87" s="257"/>
      <c r="AS87" s="257"/>
      <c r="AT87" s="257"/>
      <c r="AU87" s="257"/>
      <c r="AV87" s="257"/>
      <c r="AW87" s="257"/>
      <c r="AX87" s="257"/>
      <c r="AY87" s="257"/>
      <c r="AZ87" s="257"/>
      <c r="BA87" s="257"/>
      <c r="BB87" s="257"/>
      <c r="BC87" s="257"/>
      <c r="BD87" s="257"/>
      <c r="BE87" s="257"/>
      <c r="BF87" s="257"/>
      <c r="BG87" s="257"/>
      <c r="BH87" s="257"/>
    </row>
    <row r="88" spans="1:60" x14ac:dyDescent="0.15">
      <c r="A88" s="260" t="s">
        <v>79</v>
      </c>
      <c r="B88" s="176" t="s">
        <v>224</v>
      </c>
      <c r="C88" s="119">
        <v>21</v>
      </c>
      <c r="D88" s="80">
        <v>2.5000000000000001E-2</v>
      </c>
      <c r="E88" s="160"/>
      <c r="F88" s="222">
        <v>0</v>
      </c>
      <c r="G88" s="219">
        <f>F88*C88</f>
        <v>0</v>
      </c>
      <c r="H88" s="236"/>
      <c r="I88" s="222">
        <v>760</v>
      </c>
      <c r="J88" s="195">
        <f>IF(I88&gt;0,(I88*C88)*(1+$D$88),0)</f>
        <v>16358.999999999998</v>
      </c>
      <c r="K88" s="208"/>
      <c r="L88" s="222">
        <v>0</v>
      </c>
      <c r="M88" s="195">
        <f>IF(L88&gt;0,(L88*C88)*((1+$D$88)*(1+$D$88)),0)</f>
        <v>0</v>
      </c>
      <c r="N88" s="208"/>
      <c r="O88" s="222">
        <v>0</v>
      </c>
      <c r="P88" s="195">
        <f>IF(O88&gt;0,(O88*C88)*((1+$D$88)*(1+$D$88)*(1+$D$88)),0)</f>
        <v>0</v>
      </c>
      <c r="Q88" s="208"/>
      <c r="R88" s="222">
        <v>0</v>
      </c>
      <c r="S88" s="195">
        <f>(R88*C88)*((1+$D$121)*(1+$D$121)*(1+$D$121)*(1+$D$121)*(1+$D$121))</f>
        <v>0</v>
      </c>
      <c r="T88" s="208"/>
      <c r="U88" s="185">
        <f>S88+P88+M88+J88+G88</f>
        <v>16358.999999999998</v>
      </c>
      <c r="V88" s="210"/>
      <c r="W88" s="240"/>
      <c r="X88" s="242"/>
      <c r="Y88" s="242"/>
      <c r="Z88" s="242"/>
      <c r="AA88" s="201"/>
      <c r="AB88" s="242"/>
      <c r="AC88" s="242"/>
      <c r="AD88" s="242"/>
      <c r="AE88" s="257"/>
      <c r="AF88" s="257"/>
      <c r="AG88" s="257"/>
      <c r="AH88" s="257"/>
      <c r="AI88" s="257"/>
      <c r="AJ88" s="257"/>
      <c r="AK88" s="257"/>
      <c r="AL88" s="257"/>
      <c r="AM88" s="257"/>
      <c r="AN88" s="257">
        <f>88+88+44</f>
        <v>220</v>
      </c>
      <c r="AO88" s="257"/>
      <c r="AP88" s="257"/>
      <c r="AQ88" s="257"/>
      <c r="AR88" s="257"/>
      <c r="AS88" s="257"/>
      <c r="AT88" s="257"/>
      <c r="AU88" s="257"/>
      <c r="AV88" s="257"/>
      <c r="AW88" s="257"/>
      <c r="AX88" s="257"/>
      <c r="AY88" s="257"/>
      <c r="AZ88" s="257"/>
      <c r="BA88" s="257"/>
      <c r="BB88" s="257"/>
      <c r="BC88" s="257"/>
      <c r="BD88" s="257"/>
      <c r="BE88" s="257"/>
      <c r="BF88" s="257"/>
      <c r="BG88" s="257"/>
      <c r="BH88" s="257"/>
    </row>
    <row r="89" spans="1:60" s="141" customFormat="1" x14ac:dyDescent="0.15">
      <c r="A89" s="198" t="s">
        <v>81</v>
      </c>
      <c r="B89" s="202"/>
      <c r="C89" s="257"/>
      <c r="D89" s="246"/>
      <c r="E89" s="257"/>
      <c r="F89" s="138"/>
      <c r="G89" s="220">
        <f>G88*F85</f>
        <v>0</v>
      </c>
      <c r="H89" s="212"/>
      <c r="I89" s="138"/>
      <c r="J89" s="220">
        <f>J88*F85</f>
        <v>343.53899999999999</v>
      </c>
      <c r="K89" s="212"/>
      <c r="L89" s="138"/>
      <c r="M89" s="220">
        <f>M88*F85</f>
        <v>0</v>
      </c>
      <c r="N89" s="212"/>
      <c r="O89" s="138"/>
      <c r="P89" s="220">
        <f>P88*F85</f>
        <v>0</v>
      </c>
      <c r="Q89" s="212"/>
      <c r="R89" s="138"/>
      <c r="S89" s="220">
        <f>S88*F85</f>
        <v>0</v>
      </c>
      <c r="T89" s="212"/>
      <c r="U89" s="185">
        <f>SUM(G89:S89)</f>
        <v>343.53899999999999</v>
      </c>
      <c r="V89" s="210"/>
      <c r="W89" s="240"/>
      <c r="X89" s="242"/>
      <c r="Y89" s="242"/>
      <c r="Z89" s="242"/>
      <c r="AA89" s="201"/>
      <c r="AB89" s="242"/>
      <c r="AC89" s="242"/>
      <c r="AD89" s="242"/>
      <c r="AE89" s="257"/>
      <c r="AF89" s="257"/>
      <c r="AG89" s="257"/>
      <c r="AH89" s="257"/>
      <c r="AI89" s="257"/>
      <c r="AJ89" s="257"/>
      <c r="AK89" s="257"/>
      <c r="AL89" s="257"/>
      <c r="AM89" s="257"/>
      <c r="AN89" s="257">
        <v>9</v>
      </c>
      <c r="AO89" s="257"/>
      <c r="AP89" s="257"/>
      <c r="AQ89" s="257"/>
      <c r="AR89" s="257"/>
      <c r="AS89" s="257"/>
      <c r="AT89" s="257"/>
      <c r="AU89" s="257"/>
      <c r="AV89" s="257"/>
      <c r="AW89" s="257"/>
      <c r="AX89" s="257"/>
      <c r="AY89" s="257"/>
      <c r="AZ89" s="257"/>
      <c r="BA89" s="257"/>
      <c r="BB89" s="257"/>
      <c r="BC89" s="257"/>
      <c r="BD89" s="257"/>
      <c r="BE89" s="257"/>
      <c r="BF89" s="257"/>
      <c r="BG89" s="257"/>
      <c r="BH89" s="257"/>
    </row>
    <row r="90" spans="1:60" x14ac:dyDescent="0.15">
      <c r="A90" s="260" t="s">
        <v>80</v>
      </c>
      <c r="B90" s="244" t="str">
        <f>B88</f>
        <v>Grad 2</v>
      </c>
      <c r="C90" s="259">
        <v>21</v>
      </c>
      <c r="D90" s="246"/>
      <c r="E90" s="257"/>
      <c r="F90" s="222">
        <v>0</v>
      </c>
      <c r="G90" s="219">
        <f>F90*C90</f>
        <v>0</v>
      </c>
      <c r="H90" s="236"/>
      <c r="I90" s="222">
        <v>200</v>
      </c>
      <c r="J90" s="195">
        <f>IF(I90&gt;0,(I90*C90)*(1+$D$88),0)</f>
        <v>4305</v>
      </c>
      <c r="K90" s="208"/>
      <c r="L90" s="222">
        <v>0</v>
      </c>
      <c r="M90" s="195">
        <f>IF(L90&gt;0,(L90*C90)*((1+$D$88)*(1+$D$88)),0)</f>
        <v>0</v>
      </c>
      <c r="N90" s="208"/>
      <c r="O90" s="222">
        <v>0</v>
      </c>
      <c r="P90" s="195">
        <f>IF(O90&gt;0,(O90*C88)*((1+$D$88)*(1+$D$88)*(1+$D$88)),0)</f>
        <v>0</v>
      </c>
      <c r="Q90" s="208"/>
      <c r="R90" s="222">
        <v>0</v>
      </c>
      <c r="S90" s="195">
        <f>(R90*C90)*((1+$D$121)*(1+$D$121)*(1+$D$121)*(1+$D$121)*(1+$D$121))</f>
        <v>0</v>
      </c>
      <c r="T90" s="208"/>
      <c r="U90" s="185">
        <f>S90+P90+M90+J90+G90</f>
        <v>4305</v>
      </c>
      <c r="V90" s="139"/>
      <c r="W90" s="240"/>
      <c r="X90" s="242"/>
      <c r="Y90" s="242"/>
      <c r="Z90" s="242"/>
      <c r="AA90" s="201"/>
      <c r="AB90" s="242"/>
      <c r="AC90" s="242"/>
      <c r="AD90" s="242"/>
      <c r="AE90" s="257"/>
      <c r="AF90" s="257"/>
      <c r="AG90" s="257"/>
      <c r="AH90" s="257"/>
      <c r="AI90" s="257"/>
      <c r="AJ90" s="257"/>
      <c r="AK90" s="257"/>
      <c r="AL90" s="257"/>
      <c r="AM90" s="257"/>
      <c r="AN90" s="257"/>
      <c r="AO90" s="257"/>
      <c r="AP90" s="257"/>
      <c r="AQ90" s="257"/>
      <c r="AR90" s="257"/>
      <c r="AS90" s="257"/>
      <c r="AT90" s="257"/>
      <c r="AU90" s="257"/>
      <c r="AV90" s="257"/>
      <c r="AW90" s="257"/>
      <c r="AX90" s="257"/>
      <c r="AY90" s="257"/>
      <c r="AZ90" s="257"/>
      <c r="BA90" s="257"/>
      <c r="BB90" s="257"/>
      <c r="BC90" s="257"/>
      <c r="BD90" s="257"/>
      <c r="BE90" s="257"/>
      <c r="BF90" s="257"/>
      <c r="BG90" s="257"/>
      <c r="BH90" s="257"/>
    </row>
    <row r="91" spans="1:60" x14ac:dyDescent="0.15">
      <c r="A91" s="197" t="s">
        <v>81</v>
      </c>
      <c r="B91" s="202"/>
      <c r="C91" s="257"/>
      <c r="D91" s="140"/>
      <c r="E91" s="257"/>
      <c r="F91" s="247"/>
      <c r="G91" s="221">
        <f>G90*F86</f>
        <v>0</v>
      </c>
      <c r="H91" s="213"/>
      <c r="I91" s="247"/>
      <c r="J91" s="221">
        <f>J90*F86</f>
        <v>90.405000000000001</v>
      </c>
      <c r="K91" s="213"/>
      <c r="L91" s="247"/>
      <c r="M91" s="221">
        <f>M90*F86</f>
        <v>0</v>
      </c>
      <c r="N91" s="213"/>
      <c r="O91" s="247"/>
      <c r="P91" s="221">
        <f>P90*F86</f>
        <v>0</v>
      </c>
      <c r="Q91" s="213"/>
      <c r="R91" s="247"/>
      <c r="S91" s="221">
        <f>S90*F86</f>
        <v>0</v>
      </c>
      <c r="T91" s="213"/>
      <c r="U91" s="185">
        <f>SUM(G91:S91)</f>
        <v>90.405000000000001</v>
      </c>
      <c r="V91" s="139"/>
      <c r="W91" s="240"/>
      <c r="X91" s="242"/>
      <c r="Y91" s="242"/>
      <c r="Z91" s="242"/>
      <c r="AA91" s="201"/>
      <c r="AB91" s="242"/>
      <c r="AC91" s="242"/>
      <c r="AD91" s="242"/>
      <c r="AE91" s="257"/>
      <c r="AF91" s="257"/>
      <c r="AG91" s="257"/>
      <c r="AH91" s="257"/>
      <c r="AI91" s="257"/>
      <c r="AJ91" s="257"/>
      <c r="AK91" s="257"/>
      <c r="AL91" s="257"/>
      <c r="AM91" s="257"/>
      <c r="AN91" s="257"/>
      <c r="AO91" s="257"/>
      <c r="AP91" s="257"/>
      <c r="AQ91" s="257"/>
      <c r="AR91" s="257"/>
      <c r="AS91" s="257"/>
      <c r="AT91" s="257"/>
      <c r="AU91" s="257"/>
      <c r="AV91" s="257"/>
      <c r="AW91" s="257"/>
      <c r="AX91" s="257"/>
      <c r="AY91" s="257"/>
      <c r="AZ91" s="257"/>
      <c r="BA91" s="257"/>
      <c r="BB91" s="257"/>
      <c r="BC91" s="257"/>
      <c r="BD91" s="257"/>
      <c r="BE91" s="257"/>
      <c r="BF91" s="257"/>
      <c r="BG91" s="257"/>
      <c r="BH91" s="257"/>
    </row>
    <row r="92" spans="1:60" s="258" customFormat="1" x14ac:dyDescent="0.15">
      <c r="A92" s="258" t="s">
        <v>82</v>
      </c>
      <c r="B92" s="260"/>
      <c r="C92" s="257"/>
      <c r="D92" s="246"/>
      <c r="E92" s="257"/>
      <c r="F92" s="138"/>
      <c r="G92" s="266">
        <f>SUM(G88:G91)</f>
        <v>0</v>
      </c>
      <c r="H92" s="265"/>
      <c r="I92" s="204"/>
      <c r="J92" s="266">
        <f>SUM(J88:J91)</f>
        <v>21097.943999999996</v>
      </c>
      <c r="K92" s="265"/>
      <c r="L92" s="204"/>
      <c r="M92" s="266">
        <f>SUM(M88:M91)</f>
        <v>0</v>
      </c>
      <c r="N92" s="265"/>
      <c r="O92" s="204"/>
      <c r="P92" s="266">
        <f>SUM(P88:P91)</f>
        <v>0</v>
      </c>
      <c r="Q92" s="265"/>
      <c r="R92" s="204"/>
      <c r="S92" s="266">
        <f>SUM(S88:S91)</f>
        <v>0</v>
      </c>
      <c r="T92" s="264"/>
      <c r="U92" s="269">
        <f>SUM(U88:U91)</f>
        <v>21097.943999999996</v>
      </c>
      <c r="V92" s="210"/>
      <c r="W92" s="45"/>
      <c r="X92" s="130"/>
      <c r="Y92" s="130"/>
      <c r="Z92" s="130"/>
      <c r="AA92" s="130"/>
      <c r="AB92" s="130"/>
      <c r="AC92" s="130"/>
      <c r="AD92" s="130"/>
      <c r="AE92" s="259"/>
      <c r="AF92" s="259"/>
      <c r="AG92" s="259"/>
      <c r="AH92" s="259"/>
      <c r="AI92" s="259"/>
      <c r="AJ92" s="259"/>
      <c r="AK92" s="259"/>
      <c r="AL92" s="259"/>
      <c r="AM92" s="259"/>
      <c r="AN92" s="259"/>
      <c r="AO92" s="259"/>
      <c r="AP92" s="259"/>
      <c r="AQ92" s="259"/>
      <c r="AR92" s="259"/>
      <c r="AS92" s="259"/>
      <c r="AT92" s="259"/>
      <c r="AU92" s="259"/>
      <c r="AV92" s="259"/>
      <c r="AW92" s="259"/>
      <c r="AX92" s="259"/>
      <c r="AY92" s="259"/>
      <c r="AZ92" s="259"/>
      <c r="BA92" s="259"/>
      <c r="BB92" s="259"/>
      <c r="BC92" s="259"/>
      <c r="BD92" s="259"/>
      <c r="BE92" s="259"/>
      <c r="BF92" s="259"/>
      <c r="BG92" s="259"/>
      <c r="BH92" s="259"/>
    </row>
    <row r="93" spans="1:60" s="258" customFormat="1" x14ac:dyDescent="0.15">
      <c r="B93" s="260"/>
      <c r="C93" s="257"/>
      <c r="D93" s="246"/>
      <c r="E93" s="257"/>
      <c r="F93" s="138"/>
      <c r="G93" s="120"/>
      <c r="H93" s="265"/>
      <c r="I93" s="204"/>
      <c r="J93" s="120"/>
      <c r="K93" s="265"/>
      <c r="L93" s="204"/>
      <c r="M93" s="120"/>
      <c r="N93" s="265"/>
      <c r="O93" s="204"/>
      <c r="P93" s="120"/>
      <c r="Q93" s="265"/>
      <c r="R93" s="204"/>
      <c r="S93" s="120"/>
      <c r="T93" s="265"/>
      <c r="U93" s="185"/>
      <c r="V93" s="112"/>
      <c r="W93" s="46"/>
      <c r="X93" s="130"/>
      <c r="Y93" s="130"/>
      <c r="Z93" s="130"/>
      <c r="AA93" s="130"/>
      <c r="AB93" s="130"/>
      <c r="AC93" s="130"/>
      <c r="AD93" s="130"/>
      <c r="AE93" s="259"/>
      <c r="AF93" s="259"/>
      <c r="AG93" s="259"/>
      <c r="AH93" s="259"/>
      <c r="AI93" s="259"/>
      <c r="AJ93" s="259"/>
      <c r="AK93" s="259"/>
      <c r="AL93" s="259"/>
      <c r="AM93" s="259"/>
      <c r="AN93" s="259"/>
      <c r="AO93" s="259"/>
      <c r="AP93" s="259"/>
      <c r="AQ93" s="259"/>
      <c r="AR93" s="259"/>
      <c r="AS93" s="259"/>
      <c r="AT93" s="259"/>
      <c r="AU93" s="259"/>
      <c r="AV93" s="259"/>
      <c r="AW93" s="259"/>
      <c r="AX93" s="259"/>
      <c r="AY93" s="259"/>
      <c r="AZ93" s="259"/>
      <c r="BA93" s="259"/>
      <c r="BB93" s="259"/>
      <c r="BC93" s="259"/>
      <c r="BD93" s="259"/>
      <c r="BE93" s="259"/>
      <c r="BF93" s="259"/>
      <c r="BG93" s="259"/>
      <c r="BH93" s="259"/>
    </row>
    <row r="94" spans="1:60" s="258" customFormat="1" hidden="1" x14ac:dyDescent="0.15">
      <c r="A94" s="260" t="s">
        <v>3</v>
      </c>
      <c r="B94" s="176"/>
      <c r="C94" s="223">
        <v>0</v>
      </c>
      <c r="D94" s="224">
        <v>0</v>
      </c>
      <c r="E94" s="259"/>
      <c r="F94" s="222">
        <v>0</v>
      </c>
      <c r="G94" s="219">
        <f>F94*C94</f>
        <v>0</v>
      </c>
      <c r="H94" s="236"/>
      <c r="I94" s="222">
        <v>0</v>
      </c>
      <c r="J94" s="195">
        <f>IF(I94&gt;0,(I94*C94)*(1+$D$94),0)</f>
        <v>0</v>
      </c>
      <c r="K94" s="208"/>
      <c r="L94" s="222">
        <v>0</v>
      </c>
      <c r="M94" s="195">
        <f>IF(L94&gt;0,(L94*C94)*((1+$D$94)*(1+$D$94)),0)</f>
        <v>0</v>
      </c>
      <c r="N94" s="208"/>
      <c r="O94" s="222">
        <v>0</v>
      </c>
      <c r="P94" s="195">
        <f>IF(O94&gt;0,(O94*C94)*((1+$D$94)*(1+$D$94)*(1+$D$94)),0)</f>
        <v>0</v>
      </c>
      <c r="Q94" s="208"/>
      <c r="R94" s="222">
        <v>0</v>
      </c>
      <c r="S94" s="195">
        <f>IF(R94&gt;0,(R94*F94)*((1+$D$94)*(1+$D$94)*(1+$D$94)),0)</f>
        <v>0</v>
      </c>
      <c r="T94" s="208"/>
      <c r="U94" s="185">
        <f>S94+P94+M94+J94+G94</f>
        <v>0</v>
      </c>
      <c r="V94" s="113"/>
      <c r="W94" s="46"/>
      <c r="X94" s="130"/>
      <c r="Y94" s="130"/>
      <c r="Z94" s="130"/>
      <c r="AA94" s="130"/>
      <c r="AB94" s="130"/>
      <c r="AC94" s="130"/>
      <c r="AD94" s="130"/>
      <c r="AE94" s="259"/>
      <c r="AF94" s="259"/>
      <c r="AG94" s="259"/>
      <c r="AH94" s="259"/>
      <c r="AI94" s="259"/>
      <c r="AJ94" s="259"/>
      <c r="AK94" s="259"/>
      <c r="AL94" s="259"/>
      <c r="AM94" s="259"/>
      <c r="AN94" s="259"/>
      <c r="AO94" s="259"/>
      <c r="AP94" s="259"/>
      <c r="AQ94" s="259"/>
      <c r="AR94" s="259"/>
      <c r="AS94" s="259"/>
      <c r="AT94" s="259"/>
      <c r="AU94" s="259"/>
      <c r="AV94" s="259"/>
      <c r="AW94" s="259"/>
      <c r="AX94" s="259"/>
      <c r="AY94" s="259"/>
      <c r="AZ94" s="259"/>
      <c r="BA94" s="259"/>
      <c r="BB94" s="259"/>
      <c r="BC94" s="259"/>
      <c r="BD94" s="259"/>
      <c r="BE94" s="259"/>
      <c r="BF94" s="259"/>
      <c r="BG94" s="259"/>
      <c r="BH94" s="259"/>
    </row>
    <row r="95" spans="1:60" s="258" customFormat="1" hidden="1" x14ac:dyDescent="0.15">
      <c r="A95" s="198" t="s">
        <v>4</v>
      </c>
      <c r="B95" s="202"/>
      <c r="C95" s="259"/>
      <c r="D95" s="248"/>
      <c r="E95" s="259"/>
      <c r="F95" s="247"/>
      <c r="G95" s="220">
        <f>G94*0.01</f>
        <v>0</v>
      </c>
      <c r="H95" s="212"/>
      <c r="I95" s="247"/>
      <c r="J95" s="220">
        <f>J94*0.01</f>
        <v>0</v>
      </c>
      <c r="K95" s="212"/>
      <c r="L95" s="247"/>
      <c r="M95" s="220">
        <f>M94*0.01</f>
        <v>0</v>
      </c>
      <c r="N95" s="212"/>
      <c r="O95" s="247"/>
      <c r="P95" s="220">
        <f>P94*0.01</f>
        <v>0</v>
      </c>
      <c r="Q95" s="212"/>
      <c r="R95" s="247"/>
      <c r="S95" s="220">
        <f>S94*0.01</f>
        <v>0</v>
      </c>
      <c r="T95" s="212"/>
      <c r="U95" s="185">
        <f>SUM(G95:S95)</f>
        <v>0</v>
      </c>
      <c r="V95" s="113"/>
      <c r="W95" s="46"/>
      <c r="X95" s="130"/>
      <c r="Y95" s="130"/>
      <c r="Z95" s="130"/>
      <c r="AA95" s="130"/>
      <c r="AB95" s="130"/>
      <c r="AC95" s="130"/>
      <c r="AD95" s="130"/>
      <c r="AE95" s="259"/>
      <c r="AF95" s="259"/>
      <c r="AG95" s="259"/>
      <c r="AH95" s="259"/>
      <c r="AI95" s="259"/>
      <c r="AJ95" s="259"/>
      <c r="AK95" s="259"/>
      <c r="AL95" s="259"/>
      <c r="AM95" s="259"/>
      <c r="AN95" s="259"/>
      <c r="AO95" s="259"/>
      <c r="AP95" s="259"/>
      <c r="AQ95" s="259"/>
      <c r="AR95" s="259"/>
      <c r="AS95" s="259"/>
      <c r="AT95" s="259"/>
      <c r="AU95" s="259"/>
      <c r="AV95" s="259"/>
      <c r="AW95" s="259"/>
      <c r="AX95" s="259"/>
      <c r="AY95" s="259"/>
      <c r="AZ95" s="259"/>
      <c r="BA95" s="259"/>
      <c r="BB95" s="259"/>
      <c r="BC95" s="259"/>
      <c r="BD95" s="259"/>
      <c r="BE95" s="259"/>
      <c r="BF95" s="259"/>
      <c r="BG95" s="259"/>
      <c r="BH95" s="259"/>
    </row>
    <row r="96" spans="1:60" s="258" customFormat="1" hidden="1" x14ac:dyDescent="0.15">
      <c r="A96" s="260" t="s">
        <v>5</v>
      </c>
      <c r="B96" s="244">
        <f>B94</f>
        <v>0</v>
      </c>
      <c r="C96" s="259"/>
      <c r="D96" s="248"/>
      <c r="E96" s="259"/>
      <c r="F96" s="222">
        <v>0</v>
      </c>
      <c r="G96" s="219">
        <f>F96*C94</f>
        <v>0</v>
      </c>
      <c r="H96" s="236"/>
      <c r="I96" s="222">
        <v>0</v>
      </c>
      <c r="J96" s="195">
        <f>IF(I96&gt;0,(I96*C94)*(1+$D$94),0)</f>
        <v>0</v>
      </c>
      <c r="K96" s="208"/>
      <c r="L96" s="222">
        <v>0</v>
      </c>
      <c r="M96" s="195">
        <f>IF(L96&gt;0,(L96*C94)*((1+$D$94)*(1+$D$94)),0)</f>
        <v>0</v>
      </c>
      <c r="N96" s="208"/>
      <c r="O96" s="222">
        <v>0</v>
      </c>
      <c r="P96" s="195">
        <f>IF(O96&gt;0,(O96*C94)*((1+$D$94)*(1+$D$94)*(1+$D$94)),0)</f>
        <v>0</v>
      </c>
      <c r="Q96" s="208"/>
      <c r="R96" s="222">
        <v>0</v>
      </c>
      <c r="S96" s="195">
        <f>IF(R96&gt;0,(R96*F94)*((1+$D$94)*(1+$D$94)*(1+$D$94)),0)</f>
        <v>0</v>
      </c>
      <c r="T96" s="208"/>
      <c r="U96" s="185">
        <f>S96+P96+M96+J96+G96</f>
        <v>0</v>
      </c>
      <c r="V96" s="113"/>
      <c r="W96" s="46"/>
      <c r="X96" s="130"/>
      <c r="Y96" s="130"/>
      <c r="Z96" s="130"/>
      <c r="AA96" s="130"/>
      <c r="AB96" s="130"/>
      <c r="AC96" s="130"/>
      <c r="AD96" s="130"/>
      <c r="AE96" s="259"/>
      <c r="AF96" s="259"/>
      <c r="AG96" s="259"/>
      <c r="AH96" s="259"/>
      <c r="AI96" s="259"/>
      <c r="AJ96" s="259"/>
      <c r="AK96" s="259"/>
      <c r="AL96" s="259"/>
      <c r="AM96" s="259"/>
      <c r="AN96" s="259"/>
      <c r="AO96" s="259"/>
      <c r="AP96" s="259"/>
      <c r="AQ96" s="259"/>
      <c r="AR96" s="259"/>
      <c r="AS96" s="259"/>
      <c r="AT96" s="259"/>
      <c r="AU96" s="259"/>
      <c r="AV96" s="259"/>
      <c r="AW96" s="259"/>
      <c r="AX96" s="259"/>
      <c r="AY96" s="259"/>
      <c r="AZ96" s="259"/>
      <c r="BA96" s="259"/>
      <c r="BB96" s="259"/>
      <c r="BC96" s="259"/>
      <c r="BD96" s="259"/>
      <c r="BE96" s="259"/>
      <c r="BF96" s="259"/>
      <c r="BG96" s="259"/>
      <c r="BH96" s="259"/>
    </row>
    <row r="97" spans="1:60" s="258" customFormat="1" hidden="1" x14ac:dyDescent="0.15">
      <c r="A97" s="197" t="s">
        <v>4</v>
      </c>
      <c r="B97" s="202"/>
      <c r="C97" s="259"/>
      <c r="D97" s="248"/>
      <c r="E97" s="259"/>
      <c r="F97" s="247"/>
      <c r="G97" s="221">
        <f>G96*0.09</f>
        <v>0</v>
      </c>
      <c r="H97" s="213"/>
      <c r="I97" s="247"/>
      <c r="J97" s="221">
        <f>J96*0.09</f>
        <v>0</v>
      </c>
      <c r="K97" s="213"/>
      <c r="L97" s="247"/>
      <c r="M97" s="221">
        <f>M96*0.09</f>
        <v>0</v>
      </c>
      <c r="N97" s="213"/>
      <c r="O97" s="247"/>
      <c r="P97" s="221">
        <f>P96*0.09</f>
        <v>0</v>
      </c>
      <c r="Q97" s="213"/>
      <c r="R97" s="247"/>
      <c r="S97" s="221">
        <f>S96*0.09</f>
        <v>0</v>
      </c>
      <c r="T97" s="213"/>
      <c r="U97" s="185">
        <f>SUM(G97:S97)</f>
        <v>0</v>
      </c>
      <c r="V97" s="113"/>
      <c r="W97" s="46"/>
      <c r="X97" s="130"/>
      <c r="Y97" s="130"/>
      <c r="Z97" s="130"/>
      <c r="AA97" s="130"/>
      <c r="AB97" s="130"/>
      <c r="AC97" s="130"/>
      <c r="AD97" s="130"/>
      <c r="AE97" s="259"/>
      <c r="AF97" s="259"/>
      <c r="AG97" s="259"/>
      <c r="AH97" s="259"/>
      <c r="AI97" s="259"/>
      <c r="AJ97" s="259"/>
      <c r="AK97" s="259"/>
      <c r="AL97" s="259"/>
      <c r="AM97" s="259"/>
      <c r="AN97" s="259"/>
      <c r="AO97" s="259"/>
      <c r="AP97" s="259"/>
      <c r="AQ97" s="259"/>
      <c r="AR97" s="259"/>
      <c r="AS97" s="259"/>
      <c r="AT97" s="259"/>
      <c r="AU97" s="259"/>
      <c r="AV97" s="259"/>
      <c r="AW97" s="259"/>
      <c r="AX97" s="259"/>
      <c r="AY97" s="259"/>
      <c r="AZ97" s="259"/>
      <c r="BA97" s="259"/>
      <c r="BB97" s="259"/>
      <c r="BC97" s="259"/>
      <c r="BD97" s="259"/>
      <c r="BE97" s="259"/>
      <c r="BF97" s="259"/>
      <c r="BG97" s="259"/>
      <c r="BH97" s="259"/>
    </row>
    <row r="98" spans="1:60" s="304" customFormat="1" hidden="1" x14ac:dyDescent="0.15">
      <c r="A98" s="258" t="s">
        <v>10</v>
      </c>
      <c r="B98" s="260"/>
      <c r="C98" s="259"/>
      <c r="D98" s="248"/>
      <c r="E98" s="259"/>
      <c r="F98" s="247"/>
      <c r="G98" s="266">
        <f>SUM(G94:G97)</f>
        <v>0</v>
      </c>
      <c r="H98" s="265"/>
      <c r="I98" s="247"/>
      <c r="J98" s="266">
        <f>SUM(J94:J97)</f>
        <v>0</v>
      </c>
      <c r="K98" s="265"/>
      <c r="L98" s="259"/>
      <c r="M98" s="266">
        <f>SUM(M94:M97)</f>
        <v>0</v>
      </c>
      <c r="N98" s="265"/>
      <c r="O98" s="259"/>
      <c r="P98" s="266">
        <f>SUM(P94:P97)</f>
        <v>0</v>
      </c>
      <c r="Q98" s="265"/>
      <c r="R98" s="259"/>
      <c r="S98" s="266">
        <f>SUM(S94:S97)</f>
        <v>0</v>
      </c>
      <c r="T98" s="264"/>
      <c r="U98" s="269">
        <f>SUM(U94:U97)</f>
        <v>0</v>
      </c>
      <c r="V98" s="113"/>
      <c r="W98" s="46"/>
      <c r="X98" s="130"/>
      <c r="Y98" s="130"/>
      <c r="Z98" s="130"/>
      <c r="AA98" s="130"/>
      <c r="AB98" s="130"/>
      <c r="AC98" s="130"/>
      <c r="AD98" s="130"/>
      <c r="AE98" s="259"/>
      <c r="AF98" s="259"/>
      <c r="AG98" s="259"/>
      <c r="AH98" s="259"/>
      <c r="AI98" s="259"/>
      <c r="AJ98" s="259"/>
      <c r="AK98" s="259"/>
      <c r="AL98" s="259"/>
      <c r="AM98" s="259"/>
      <c r="AN98" s="259"/>
      <c r="AO98" s="259"/>
      <c r="AP98" s="259"/>
      <c r="AQ98" s="259"/>
      <c r="AR98" s="259"/>
      <c r="AS98" s="259"/>
      <c r="AT98" s="259"/>
      <c r="AU98" s="259"/>
      <c r="AV98" s="259"/>
      <c r="AW98" s="259"/>
      <c r="AX98" s="259"/>
      <c r="AY98" s="259"/>
      <c r="AZ98" s="259"/>
      <c r="BA98" s="259"/>
      <c r="BB98" s="259"/>
      <c r="BC98" s="259"/>
      <c r="BD98" s="259"/>
      <c r="BE98" s="259"/>
      <c r="BF98" s="259"/>
      <c r="BG98" s="259"/>
      <c r="BH98" s="259"/>
    </row>
    <row r="99" spans="1:60" s="258" customFormat="1" ht="12.75" hidden="1" customHeight="1" x14ac:dyDescent="0.15">
      <c r="A99" s="197"/>
      <c r="B99" s="202"/>
      <c r="C99" s="259"/>
      <c r="D99" s="248"/>
      <c r="E99" s="259"/>
      <c r="F99" s="247"/>
      <c r="G99" s="48"/>
      <c r="H99" s="90"/>
      <c r="I99" s="259"/>
      <c r="J99" s="48"/>
      <c r="K99" s="90"/>
      <c r="L99" s="259"/>
      <c r="M99" s="48"/>
      <c r="N99" s="90"/>
      <c r="O99" s="259"/>
      <c r="P99" s="48"/>
      <c r="Q99" s="90"/>
      <c r="R99" s="259"/>
      <c r="S99" s="48"/>
      <c r="T99" s="90"/>
      <c r="U99" s="185"/>
      <c r="V99" s="111"/>
      <c r="W99" s="46"/>
      <c r="X99" s="130"/>
      <c r="Y99" s="130"/>
      <c r="Z99" s="130"/>
      <c r="AA99" s="130"/>
      <c r="AB99" s="130"/>
      <c r="AC99" s="130"/>
      <c r="AD99" s="130"/>
      <c r="AE99" s="259"/>
      <c r="AF99" s="259"/>
      <c r="AG99" s="259"/>
      <c r="AH99" s="259"/>
      <c r="AI99" s="259"/>
      <c r="AJ99" s="259"/>
      <c r="AK99" s="259"/>
      <c r="AL99" s="259"/>
      <c r="AM99" s="259"/>
      <c r="AN99" s="259"/>
      <c r="AO99" s="259"/>
      <c r="AP99" s="259"/>
      <c r="AQ99" s="259"/>
      <c r="AR99" s="259"/>
      <c r="AS99" s="259"/>
      <c r="AT99" s="259"/>
      <c r="AU99" s="259"/>
      <c r="AV99" s="259"/>
      <c r="AW99" s="259"/>
      <c r="AX99" s="259"/>
      <c r="AY99" s="259"/>
      <c r="AZ99" s="259"/>
      <c r="BA99" s="259"/>
      <c r="BB99" s="259"/>
      <c r="BC99" s="259"/>
      <c r="BD99" s="259"/>
      <c r="BE99" s="259"/>
      <c r="BF99" s="259"/>
      <c r="BG99" s="259"/>
      <c r="BH99" s="259"/>
    </row>
    <row r="100" spans="1:60" s="258" customFormat="1" ht="13.5" hidden="1" customHeight="1" x14ac:dyDescent="0.15">
      <c r="A100" s="260" t="s">
        <v>7</v>
      </c>
      <c r="B100" s="176"/>
      <c r="C100" s="223">
        <v>0</v>
      </c>
      <c r="D100" s="224">
        <v>0</v>
      </c>
      <c r="E100" s="259"/>
      <c r="F100" s="222">
        <v>0</v>
      </c>
      <c r="G100" s="219">
        <f>F100*C100</f>
        <v>0</v>
      </c>
      <c r="H100" s="236"/>
      <c r="I100" s="222">
        <v>0</v>
      </c>
      <c r="J100" s="195">
        <f>IF(I100&gt;0,(I100*C100)*(1+$D$100),0)</f>
        <v>0</v>
      </c>
      <c r="K100" s="208"/>
      <c r="L100" s="222">
        <v>0</v>
      </c>
      <c r="M100" s="195">
        <f>IF(L100&gt;0,(L100*C100)*((1+$D$100)*(1+$D$100)),0)</f>
        <v>0</v>
      </c>
      <c r="N100" s="208"/>
      <c r="O100" s="222">
        <v>0</v>
      </c>
      <c r="P100" s="195">
        <f>IF(O100&gt;0,(O100*C100)*((1+$D$100)*(1+$D$100)*(1+$D$100)),0)</f>
        <v>0</v>
      </c>
      <c r="Q100" s="208"/>
      <c r="R100" s="222">
        <v>0</v>
      </c>
      <c r="S100" s="195">
        <f>IF(R100&gt;0,(R100*F100)*((1+$D$100)*(1+$D$100)*(1+$D$100)),0)</f>
        <v>0</v>
      </c>
      <c r="T100" s="208"/>
      <c r="U100" s="185">
        <f>S100+P100+M100+J100+G100</f>
        <v>0</v>
      </c>
      <c r="V100" s="308"/>
      <c r="W100" s="46"/>
      <c r="X100" s="130"/>
      <c r="Y100" s="130"/>
      <c r="Z100" s="130"/>
      <c r="AA100" s="130"/>
      <c r="AB100" s="130"/>
      <c r="AC100" s="130"/>
      <c r="AD100" s="130"/>
      <c r="AE100" s="259"/>
      <c r="AF100" s="259"/>
      <c r="AG100" s="259"/>
      <c r="AH100" s="259"/>
      <c r="AI100" s="259"/>
      <c r="AJ100" s="259"/>
      <c r="AK100" s="259"/>
      <c r="AL100" s="259"/>
      <c r="AM100" s="259"/>
      <c r="AN100" s="259"/>
      <c r="AO100" s="259"/>
      <c r="AP100" s="259"/>
      <c r="AQ100" s="259"/>
      <c r="AR100" s="259"/>
      <c r="AS100" s="259"/>
      <c r="AT100" s="259"/>
      <c r="AU100" s="259"/>
      <c r="AV100" s="259"/>
      <c r="AW100" s="259"/>
      <c r="AX100" s="259"/>
      <c r="AY100" s="259"/>
      <c r="AZ100" s="259"/>
      <c r="BA100" s="259"/>
      <c r="BB100" s="259"/>
      <c r="BC100" s="259"/>
      <c r="BD100" s="259"/>
      <c r="BE100" s="259"/>
      <c r="BF100" s="259"/>
      <c r="BG100" s="259"/>
      <c r="BH100" s="259"/>
    </row>
    <row r="101" spans="1:60" s="258" customFormat="1" ht="15" hidden="1" customHeight="1" x14ac:dyDescent="0.15">
      <c r="A101" s="198" t="s">
        <v>8</v>
      </c>
      <c r="B101" s="202"/>
      <c r="C101" s="259"/>
      <c r="D101" s="259"/>
      <c r="E101" s="259"/>
      <c r="F101" s="247"/>
      <c r="G101" s="220">
        <f>G100*0.01</f>
        <v>0</v>
      </c>
      <c r="H101" s="212"/>
      <c r="I101" s="247"/>
      <c r="J101" s="220">
        <f>J100*0.01</f>
        <v>0</v>
      </c>
      <c r="K101" s="212"/>
      <c r="L101" s="247"/>
      <c r="M101" s="220">
        <f>M100*0.01</f>
        <v>0</v>
      </c>
      <c r="N101" s="212"/>
      <c r="O101" s="247"/>
      <c r="P101" s="220">
        <f>P100*0.01</f>
        <v>0</v>
      </c>
      <c r="Q101" s="212"/>
      <c r="R101" s="247"/>
      <c r="S101" s="220">
        <f>S100*0.01</f>
        <v>0</v>
      </c>
      <c r="T101" s="212"/>
      <c r="U101" s="185">
        <f>SUM(G101:S101)</f>
        <v>0</v>
      </c>
      <c r="V101" s="210"/>
      <c r="W101" s="130"/>
      <c r="X101" s="130"/>
      <c r="Y101" s="130"/>
      <c r="Z101" s="130"/>
      <c r="AA101" s="130"/>
      <c r="AB101" s="130"/>
      <c r="AC101" s="130"/>
      <c r="AD101" s="130"/>
      <c r="AE101" s="259"/>
      <c r="AF101" s="259"/>
      <c r="AG101" s="259"/>
      <c r="AH101" s="259"/>
      <c r="AI101" s="259"/>
      <c r="AJ101" s="259"/>
      <c r="AK101" s="259"/>
      <c r="AL101" s="259"/>
      <c r="AM101" s="259"/>
      <c r="AN101" s="259"/>
      <c r="AO101" s="259"/>
      <c r="AP101" s="259"/>
      <c r="AQ101" s="259"/>
      <c r="AR101" s="259"/>
      <c r="AS101" s="259"/>
      <c r="AT101" s="259"/>
      <c r="AU101" s="259"/>
      <c r="AV101" s="259"/>
      <c r="AW101" s="259"/>
      <c r="AX101" s="259"/>
      <c r="AY101" s="259"/>
      <c r="AZ101" s="259"/>
      <c r="BA101" s="259"/>
      <c r="BB101" s="259"/>
      <c r="BC101" s="259"/>
      <c r="BD101" s="259"/>
      <c r="BE101" s="259"/>
      <c r="BF101" s="259"/>
      <c r="BG101" s="259"/>
      <c r="BH101" s="259"/>
    </row>
    <row r="102" spans="1:60" s="258" customFormat="1" hidden="1" x14ac:dyDescent="0.15">
      <c r="A102" s="260" t="s">
        <v>9</v>
      </c>
      <c r="B102" s="244">
        <f>B100</f>
        <v>0</v>
      </c>
      <c r="C102" s="259"/>
      <c r="D102" s="259"/>
      <c r="E102" s="259"/>
      <c r="F102" s="222">
        <v>0</v>
      </c>
      <c r="G102" s="219">
        <f>F102*C100</f>
        <v>0</v>
      </c>
      <c r="H102" s="236"/>
      <c r="I102" s="222">
        <v>0</v>
      </c>
      <c r="J102" s="195">
        <f>IF(I102&gt;0,(I102*C100)*(1+$D$100),0)</f>
        <v>0</v>
      </c>
      <c r="K102" s="208"/>
      <c r="L102" s="222">
        <v>0</v>
      </c>
      <c r="M102" s="195">
        <f>IF(L102&gt;0,(L102*C100)*((1+$D$100)*(1+$D$100)),0)</f>
        <v>0</v>
      </c>
      <c r="N102" s="208"/>
      <c r="O102" s="222">
        <v>0</v>
      </c>
      <c r="P102" s="195">
        <f>IF(O102&gt;0,(O102*C100)*((1+$D$100)*(1+$D$100)*(1+$D$100)),0)</f>
        <v>0</v>
      </c>
      <c r="Q102" s="208"/>
      <c r="R102" s="222">
        <v>0</v>
      </c>
      <c r="S102" s="195">
        <f>IF(R102&gt;0,(R102*F100)*((1+$D$100)*(1+$D$100)*(1+$D$100)),0)</f>
        <v>0</v>
      </c>
      <c r="T102" s="208"/>
      <c r="U102" s="185">
        <f>S102+P102+M102+J102+G102</f>
        <v>0</v>
      </c>
      <c r="V102" s="207"/>
      <c r="W102" s="259"/>
      <c r="X102" s="259"/>
      <c r="Y102" s="259"/>
      <c r="Z102" s="259"/>
      <c r="AA102" s="259"/>
      <c r="AB102" s="259"/>
      <c r="AC102" s="259"/>
      <c r="AD102" s="259"/>
      <c r="AE102" s="259"/>
      <c r="AF102" s="259"/>
      <c r="AG102" s="259"/>
      <c r="AH102" s="259"/>
      <c r="AI102" s="259"/>
      <c r="AJ102" s="259"/>
      <c r="AK102" s="259"/>
      <c r="AL102" s="259"/>
      <c r="AM102" s="259"/>
      <c r="AN102" s="259"/>
      <c r="AO102" s="259"/>
      <c r="AP102" s="259"/>
      <c r="AQ102" s="259"/>
      <c r="AR102" s="259"/>
      <c r="AS102" s="259"/>
      <c r="AT102" s="259"/>
      <c r="AU102" s="259"/>
      <c r="AV102" s="259"/>
      <c r="AW102" s="259"/>
      <c r="AX102" s="259"/>
      <c r="AY102" s="259"/>
      <c r="AZ102" s="259"/>
      <c r="BA102" s="259"/>
      <c r="BB102" s="259"/>
      <c r="BC102" s="259"/>
      <c r="BD102" s="259"/>
      <c r="BE102" s="259"/>
      <c r="BF102" s="259"/>
      <c r="BG102" s="259"/>
      <c r="BH102" s="259"/>
    </row>
    <row r="103" spans="1:60" s="258" customFormat="1" hidden="1" x14ac:dyDescent="0.15">
      <c r="A103" s="197" t="s">
        <v>8</v>
      </c>
      <c r="B103" s="202"/>
      <c r="F103" s="247"/>
      <c r="G103" s="221">
        <f>G102*0.09</f>
        <v>0</v>
      </c>
      <c r="H103" s="213"/>
      <c r="I103" s="247"/>
      <c r="J103" s="221">
        <f>J102*0.09</f>
        <v>0</v>
      </c>
      <c r="K103" s="213"/>
      <c r="L103" s="259"/>
      <c r="M103" s="221">
        <f>M102*0.09</f>
        <v>0</v>
      </c>
      <c r="N103" s="213"/>
      <c r="O103" s="247"/>
      <c r="P103" s="221">
        <f>P102*0.09</f>
        <v>0</v>
      </c>
      <c r="Q103" s="213"/>
      <c r="R103" s="247"/>
      <c r="S103" s="221">
        <f>S102*0.09</f>
        <v>0</v>
      </c>
      <c r="T103" s="213"/>
      <c r="U103" s="185">
        <f>SUM(G103:S103)</f>
        <v>0</v>
      </c>
      <c r="V103" s="207"/>
      <c r="W103" s="259"/>
      <c r="X103" s="259"/>
      <c r="Y103" s="259"/>
      <c r="Z103" s="259"/>
      <c r="AA103" s="259"/>
      <c r="AB103" s="259"/>
      <c r="AC103" s="259"/>
      <c r="AD103" s="259"/>
      <c r="AE103" s="259"/>
      <c r="AF103" s="259"/>
      <c r="AG103" s="259"/>
      <c r="AH103" s="259"/>
      <c r="AI103" s="259"/>
      <c r="AJ103" s="259"/>
      <c r="AK103" s="259"/>
      <c r="AL103" s="259"/>
      <c r="AM103" s="259"/>
      <c r="AN103" s="259"/>
      <c r="AO103" s="259"/>
      <c r="AP103" s="259"/>
      <c r="AQ103" s="259"/>
      <c r="AR103" s="259"/>
      <c r="AS103" s="259"/>
      <c r="AT103" s="259"/>
      <c r="AU103" s="259"/>
      <c r="AV103" s="259"/>
      <c r="AW103" s="259"/>
      <c r="AX103" s="259"/>
      <c r="AY103" s="259"/>
      <c r="AZ103" s="259"/>
      <c r="BA103" s="259"/>
      <c r="BB103" s="259"/>
      <c r="BC103" s="259"/>
      <c r="BD103" s="259"/>
      <c r="BE103" s="259"/>
      <c r="BF103" s="259"/>
      <c r="BG103" s="259"/>
      <c r="BH103" s="259"/>
    </row>
    <row r="104" spans="1:60" s="207" customFormat="1" hidden="1" x14ac:dyDescent="0.15">
      <c r="A104" s="258" t="s">
        <v>6</v>
      </c>
      <c r="B104" s="260"/>
      <c r="C104" s="258"/>
      <c r="D104" s="258"/>
      <c r="E104" s="258"/>
      <c r="F104" s="273"/>
      <c r="G104" s="266">
        <f>SUM(G100:G103)</f>
        <v>0</v>
      </c>
      <c r="H104" s="265"/>
      <c r="I104" s="258"/>
      <c r="J104" s="268">
        <f>SUM(J100:J103)</f>
        <v>0</v>
      </c>
      <c r="K104" s="265"/>
      <c r="L104" s="258"/>
      <c r="M104" s="268">
        <f>SUM(M100:M103)</f>
        <v>0</v>
      </c>
      <c r="N104" s="265"/>
      <c r="O104" s="258"/>
      <c r="P104" s="266">
        <f>SUM(P100:P103)</f>
        <v>0</v>
      </c>
      <c r="Q104" s="265"/>
      <c r="R104" s="258"/>
      <c r="S104" s="266">
        <f>SUM(S100:S103)</f>
        <v>0</v>
      </c>
      <c r="T104" s="264"/>
      <c r="U104" s="269">
        <f>SUM(U100:U103)</f>
        <v>0</v>
      </c>
      <c r="W104" s="259"/>
      <c r="X104" s="259"/>
      <c r="Y104" s="259"/>
      <c r="Z104" s="259"/>
      <c r="AA104" s="259"/>
      <c r="AB104" s="259"/>
      <c r="AC104" s="259"/>
      <c r="AD104" s="259"/>
      <c r="AE104" s="259"/>
      <c r="AF104" s="259"/>
      <c r="AG104" s="259"/>
      <c r="AH104" s="259"/>
      <c r="AI104" s="259"/>
      <c r="AJ104" s="259"/>
      <c r="AK104" s="259"/>
      <c r="AL104" s="259"/>
      <c r="AM104" s="259"/>
      <c r="AN104" s="259"/>
      <c r="AO104" s="259"/>
      <c r="AP104" s="259"/>
      <c r="AQ104" s="259"/>
      <c r="AR104" s="259"/>
      <c r="AS104" s="259"/>
      <c r="AT104" s="259"/>
      <c r="AU104" s="259"/>
      <c r="AV104" s="259"/>
      <c r="AW104" s="259"/>
      <c r="AX104" s="259"/>
      <c r="AY104" s="259"/>
      <c r="AZ104" s="259"/>
      <c r="BA104" s="259"/>
    </row>
    <row r="105" spans="1:60" s="207" customFormat="1" hidden="1" x14ac:dyDescent="0.15">
      <c r="A105" s="258"/>
      <c r="B105" s="260"/>
      <c r="C105" s="258"/>
      <c r="D105" s="258"/>
      <c r="E105" s="258"/>
      <c r="F105" s="273"/>
      <c r="G105" s="120"/>
      <c r="H105" s="265"/>
      <c r="I105" s="258"/>
      <c r="J105" s="255"/>
      <c r="K105" s="265"/>
      <c r="L105" s="258"/>
      <c r="M105" s="255"/>
      <c r="N105" s="265"/>
      <c r="O105" s="258"/>
      <c r="P105" s="120"/>
      <c r="Q105" s="265"/>
      <c r="R105" s="258"/>
      <c r="S105" s="120"/>
      <c r="T105" s="265"/>
      <c r="U105" s="185"/>
      <c r="W105" s="259"/>
      <c r="X105" s="259"/>
      <c r="Y105" s="259"/>
      <c r="Z105" s="259"/>
      <c r="AA105" s="259"/>
      <c r="AB105" s="259"/>
      <c r="AC105" s="259"/>
      <c r="AD105" s="259"/>
      <c r="AE105" s="259"/>
      <c r="AF105" s="259"/>
      <c r="AG105" s="259"/>
      <c r="AH105" s="259"/>
      <c r="AI105" s="259"/>
      <c r="AJ105" s="259"/>
      <c r="AK105" s="259"/>
      <c r="AL105" s="259"/>
      <c r="AM105" s="259"/>
      <c r="AN105" s="259"/>
      <c r="AO105" s="259"/>
      <c r="AP105" s="259"/>
      <c r="AQ105" s="259"/>
      <c r="AR105" s="259"/>
      <c r="AS105" s="259"/>
      <c r="AT105" s="259"/>
      <c r="AU105" s="259"/>
      <c r="AV105" s="259"/>
      <c r="AW105" s="259"/>
      <c r="AX105" s="259"/>
      <c r="AY105" s="259"/>
      <c r="AZ105" s="259"/>
      <c r="BA105" s="259"/>
    </row>
    <row r="106" spans="1:60" s="259" customFormat="1" hidden="1" x14ac:dyDescent="0.15">
      <c r="A106" s="260" t="s">
        <v>34</v>
      </c>
      <c r="B106" s="176"/>
      <c r="C106" s="223">
        <v>0</v>
      </c>
      <c r="D106" s="224">
        <v>0</v>
      </c>
      <c r="F106" s="222">
        <v>0</v>
      </c>
      <c r="G106" s="219">
        <f>F106*C106</f>
        <v>0</v>
      </c>
      <c r="H106" s="236"/>
      <c r="I106" s="222">
        <v>0</v>
      </c>
      <c r="J106" s="195">
        <f>IF(I106&gt;0,(I106*C106)*(1+$D$106),0)</f>
        <v>0</v>
      </c>
      <c r="K106" s="208"/>
      <c r="L106" s="222">
        <v>0</v>
      </c>
      <c r="M106" s="195">
        <f>IF(L106&gt;0,(L106*C106)*((1+$D$106)*(1+$D$106)),0)</f>
        <v>0</v>
      </c>
      <c r="N106" s="208"/>
      <c r="O106" s="222">
        <v>0</v>
      </c>
      <c r="P106" s="195">
        <f>IF(O106&gt;0,(O106*C106)*((1+$D$106)*(1+$D$106)*(1+$D$106)),0)</f>
        <v>0</v>
      </c>
      <c r="Q106" s="208"/>
      <c r="R106" s="222">
        <v>0</v>
      </c>
      <c r="S106" s="195">
        <f>IF(R106&gt;0,(R106*F106)*((1+$D$106)*(1+$D$106)*(1+$D$106)),0)</f>
        <v>0</v>
      </c>
      <c r="T106" s="208"/>
      <c r="U106" s="185">
        <f>S106+P106+M106+J106+G106</f>
        <v>0</v>
      </c>
      <c r="V106" s="308"/>
    </row>
    <row r="107" spans="1:60" s="258" customFormat="1" hidden="1" x14ac:dyDescent="0.15">
      <c r="A107" s="198" t="s">
        <v>35</v>
      </c>
      <c r="B107" s="202"/>
      <c r="C107" s="259"/>
      <c r="D107" s="259"/>
      <c r="E107" s="259"/>
      <c r="F107" s="247"/>
      <c r="G107" s="220">
        <f>G106*0.01</f>
        <v>0</v>
      </c>
      <c r="H107" s="212"/>
      <c r="I107" s="247"/>
      <c r="J107" s="220">
        <f>J106*0.01</f>
        <v>0</v>
      </c>
      <c r="K107" s="212"/>
      <c r="L107" s="247"/>
      <c r="M107" s="220">
        <f>M106*0.01</f>
        <v>0</v>
      </c>
      <c r="N107" s="212"/>
      <c r="O107" s="247"/>
      <c r="P107" s="220">
        <f>P106*0.01</f>
        <v>0</v>
      </c>
      <c r="Q107" s="212"/>
      <c r="R107" s="247"/>
      <c r="S107" s="220">
        <f>S106*0.01</f>
        <v>0</v>
      </c>
      <c r="T107" s="212"/>
      <c r="U107" s="185">
        <f>SUM(G107:S107)</f>
        <v>0</v>
      </c>
      <c r="V107" s="210"/>
      <c r="W107" s="259"/>
      <c r="X107" s="259"/>
      <c r="Y107" s="259"/>
      <c r="Z107" s="259"/>
      <c r="AA107" s="262"/>
      <c r="AB107" s="259"/>
      <c r="AC107" s="259"/>
      <c r="AD107" s="259"/>
      <c r="AE107" s="259"/>
      <c r="AF107" s="259"/>
      <c r="AG107" s="259"/>
      <c r="AH107" s="259"/>
      <c r="AI107" s="259"/>
      <c r="AJ107" s="259"/>
      <c r="AK107" s="259"/>
      <c r="AL107" s="259"/>
      <c r="AM107" s="259"/>
      <c r="AN107" s="259"/>
      <c r="AO107" s="259"/>
      <c r="AP107" s="259"/>
      <c r="AQ107" s="259"/>
      <c r="AR107" s="259"/>
      <c r="AS107" s="259"/>
      <c r="AT107" s="259"/>
      <c r="AU107" s="259"/>
      <c r="AV107" s="259"/>
      <c r="AW107" s="259"/>
      <c r="AX107" s="259"/>
      <c r="AY107" s="259"/>
      <c r="AZ107" s="259"/>
      <c r="BA107" s="259"/>
      <c r="BB107" s="259"/>
      <c r="BC107" s="259"/>
      <c r="BD107" s="259"/>
      <c r="BE107" s="259"/>
      <c r="BF107" s="259"/>
      <c r="BG107" s="259"/>
      <c r="BH107" s="259"/>
    </row>
    <row r="108" spans="1:60" hidden="1" x14ac:dyDescent="0.15">
      <c r="A108" s="260" t="s">
        <v>36</v>
      </c>
      <c r="B108" s="244">
        <f>B106</f>
        <v>0</v>
      </c>
      <c r="C108" s="259"/>
      <c r="D108" s="259"/>
      <c r="E108" s="259"/>
      <c r="F108" s="222">
        <v>0</v>
      </c>
      <c r="G108" s="219">
        <f>F108*C106</f>
        <v>0</v>
      </c>
      <c r="H108" s="236"/>
      <c r="I108" s="222">
        <v>0</v>
      </c>
      <c r="J108" s="195">
        <f>IF(I108&gt;0,(I108*C106)*(1+$D$106),0)</f>
        <v>0</v>
      </c>
      <c r="K108" s="208"/>
      <c r="L108" s="222">
        <v>0</v>
      </c>
      <c r="M108" s="195">
        <f>IF(L108&gt;0,(L108*C106)*((1+$D$106)*(1+$D$106)),0)</f>
        <v>0</v>
      </c>
      <c r="N108" s="208"/>
      <c r="O108" s="222">
        <v>0</v>
      </c>
      <c r="P108" s="195">
        <f>IF(O108&gt;0,(O108*C106)*((1+$D$106)*(1+$D$106)*(1+$D$106)),0)</f>
        <v>0</v>
      </c>
      <c r="Q108" s="208"/>
      <c r="R108" s="222">
        <v>0</v>
      </c>
      <c r="S108" s="195">
        <f>IF(R108&gt;0,(R108*F106)*((1+$D$106)*(1+$D$106)*(1+$D$106)),0)</f>
        <v>0</v>
      </c>
      <c r="T108" s="208"/>
      <c r="U108" s="185">
        <f>S108+P108+M108+J108+G108</f>
        <v>0</v>
      </c>
      <c r="V108" s="207"/>
      <c r="W108" s="257"/>
      <c r="X108" s="257"/>
      <c r="Y108" s="257"/>
      <c r="Z108" s="257"/>
      <c r="AA108" s="262"/>
      <c r="AB108" s="257"/>
      <c r="AC108" s="257"/>
      <c r="AD108" s="257"/>
      <c r="AE108" s="257"/>
      <c r="AF108" s="257"/>
      <c r="AG108" s="257"/>
      <c r="AH108" s="257"/>
      <c r="AI108" s="257"/>
      <c r="AJ108" s="257"/>
      <c r="AK108" s="257"/>
      <c r="AL108" s="257"/>
      <c r="AM108" s="257"/>
      <c r="AN108" s="257"/>
      <c r="AO108" s="257"/>
      <c r="AP108" s="257"/>
      <c r="AQ108" s="257"/>
      <c r="AR108" s="257"/>
      <c r="AS108" s="257"/>
      <c r="AT108" s="257"/>
      <c r="AU108" s="257"/>
      <c r="AV108" s="257"/>
      <c r="AW108" s="257"/>
      <c r="AX108" s="257"/>
      <c r="AY108" s="257"/>
      <c r="AZ108" s="257"/>
      <c r="BA108" s="257"/>
      <c r="BB108" s="257"/>
      <c r="BC108" s="257"/>
      <c r="BD108" s="257"/>
      <c r="BE108" s="257"/>
      <c r="BF108" s="257"/>
      <c r="BG108" s="257"/>
      <c r="BH108" s="257"/>
    </row>
    <row r="109" spans="1:60" hidden="1" x14ac:dyDescent="0.15">
      <c r="A109" s="197" t="s">
        <v>35</v>
      </c>
      <c r="B109" s="202"/>
      <c r="C109" s="258"/>
      <c r="D109" s="258"/>
      <c r="E109" s="258"/>
      <c r="F109" s="247"/>
      <c r="G109" s="221">
        <f>G108*0.09</f>
        <v>0</v>
      </c>
      <c r="H109" s="213"/>
      <c r="I109" s="247"/>
      <c r="J109" s="221">
        <f>J108*0.09</f>
        <v>0</v>
      </c>
      <c r="K109" s="213"/>
      <c r="L109" s="259"/>
      <c r="M109" s="221">
        <f>M108*0.09</f>
        <v>0</v>
      </c>
      <c r="N109" s="213"/>
      <c r="O109" s="247"/>
      <c r="P109" s="221">
        <f>P108*0.09</f>
        <v>0</v>
      </c>
      <c r="Q109" s="213"/>
      <c r="R109" s="247"/>
      <c r="S109" s="221">
        <f>S108*0.09</f>
        <v>0</v>
      </c>
      <c r="T109" s="213"/>
      <c r="U109" s="185">
        <f>SUM(G109:S109)</f>
        <v>0</v>
      </c>
      <c r="V109" s="207"/>
      <c r="W109" s="257"/>
      <c r="X109" s="257"/>
      <c r="Y109" s="257"/>
      <c r="Z109" s="257"/>
      <c r="AA109" s="262"/>
      <c r="AB109" s="257"/>
      <c r="AC109" s="257"/>
      <c r="AD109" s="257"/>
      <c r="AE109" s="257"/>
      <c r="AF109" s="257"/>
      <c r="AG109" s="257"/>
      <c r="AH109" s="257"/>
      <c r="AI109" s="257"/>
      <c r="AJ109" s="257"/>
      <c r="AK109" s="257"/>
      <c r="AL109" s="257"/>
      <c r="AM109" s="257"/>
      <c r="AN109" s="257"/>
      <c r="AO109" s="257"/>
      <c r="AP109" s="257"/>
      <c r="AQ109" s="257"/>
      <c r="AR109" s="257"/>
      <c r="AS109" s="257"/>
      <c r="AT109" s="257"/>
      <c r="AU109" s="257"/>
      <c r="AV109" s="257"/>
      <c r="AW109" s="257"/>
      <c r="AX109" s="257"/>
      <c r="AY109" s="257"/>
      <c r="AZ109" s="257"/>
      <c r="BA109" s="257"/>
    </row>
    <row r="110" spans="1:60" hidden="1" x14ac:dyDescent="0.15">
      <c r="A110" s="258" t="s">
        <v>37</v>
      </c>
      <c r="C110" s="258"/>
      <c r="D110" s="258"/>
      <c r="E110" s="258"/>
      <c r="F110" s="273"/>
      <c r="G110" s="266">
        <f>SUM(G106:G109)</f>
        <v>0</v>
      </c>
      <c r="H110" s="265"/>
      <c r="I110" s="258"/>
      <c r="J110" s="268">
        <f>SUM(J106:J109)</f>
        <v>0</v>
      </c>
      <c r="K110" s="265"/>
      <c r="L110" s="258"/>
      <c r="M110" s="268">
        <f>SUM(M106:M109)</f>
        <v>0</v>
      </c>
      <c r="N110" s="265"/>
      <c r="O110" s="258"/>
      <c r="P110" s="266">
        <f>SUM(P106:P109)</f>
        <v>0</v>
      </c>
      <c r="Q110" s="265"/>
      <c r="R110" s="258"/>
      <c r="S110" s="266">
        <f>SUM(S106:S109)</f>
        <v>0</v>
      </c>
      <c r="T110" s="264"/>
      <c r="U110" s="269">
        <f>SUM(U106:U109)</f>
        <v>0</v>
      </c>
      <c r="V110" s="207"/>
      <c r="AA110" s="244"/>
      <c r="AB110" s="260"/>
    </row>
    <row r="111" spans="1:60" hidden="1" x14ac:dyDescent="0.15">
      <c r="A111" s="258"/>
      <c r="C111" s="258"/>
      <c r="D111" s="258"/>
      <c r="E111" s="258"/>
      <c r="F111" s="273"/>
      <c r="G111" s="120"/>
      <c r="H111" s="265"/>
      <c r="I111" s="258"/>
      <c r="J111" s="255"/>
      <c r="K111" s="265"/>
      <c r="L111" s="258"/>
      <c r="M111" s="255"/>
      <c r="N111" s="265"/>
      <c r="O111" s="258"/>
      <c r="P111" s="120"/>
      <c r="Q111" s="265"/>
      <c r="R111" s="258"/>
      <c r="S111" s="120"/>
      <c r="T111" s="265"/>
      <c r="U111" s="185"/>
      <c r="V111" s="207"/>
      <c r="AA111" s="244"/>
      <c r="AB111" s="260"/>
    </row>
    <row r="112" spans="1:60" hidden="1" x14ac:dyDescent="0.15">
      <c r="A112" s="260" t="s">
        <v>38</v>
      </c>
      <c r="B112" s="176"/>
      <c r="C112" s="223">
        <v>0</v>
      </c>
      <c r="D112" s="224">
        <v>0</v>
      </c>
      <c r="E112" s="259"/>
      <c r="F112" s="222">
        <v>0</v>
      </c>
      <c r="G112" s="219">
        <f>F112*C112</f>
        <v>0</v>
      </c>
      <c r="H112" s="236"/>
      <c r="I112" s="222">
        <v>0</v>
      </c>
      <c r="J112" s="195">
        <f>IF(I112&gt;0,(I112*C112)*(1+$D$112),0)</f>
        <v>0</v>
      </c>
      <c r="K112" s="208"/>
      <c r="L112" s="222">
        <v>0</v>
      </c>
      <c r="M112" s="195">
        <f>IF(L112&gt;0,(L112*C112)*((1+$D$112)*(1+$D$112)),0)</f>
        <v>0</v>
      </c>
      <c r="N112" s="208"/>
      <c r="O112" s="222">
        <v>0</v>
      </c>
      <c r="P112" s="195">
        <f>IF(O112&gt;0,(O112*C112)*((1+$D$112)*(1+$D$112)*(1+$D$112)),0)</f>
        <v>0</v>
      </c>
      <c r="Q112" s="208"/>
      <c r="R112" s="222">
        <v>0</v>
      </c>
      <c r="S112" s="195">
        <f>IF(R112&gt;0,(R112*F112)*((1+$D$112)*(1+$D$112)*(1+$D$112)),0)</f>
        <v>0</v>
      </c>
      <c r="T112" s="208"/>
      <c r="U112" s="185">
        <f>S112+P112+M112+J112+G112</f>
        <v>0</v>
      </c>
      <c r="V112" s="207"/>
      <c r="AA112" s="244"/>
      <c r="AB112" s="260"/>
    </row>
    <row r="113" spans="1:28" hidden="1" x14ac:dyDescent="0.15">
      <c r="A113" s="198" t="s">
        <v>39</v>
      </c>
      <c r="B113" s="202"/>
      <c r="C113" s="259"/>
      <c r="D113" s="259"/>
      <c r="E113" s="259"/>
      <c r="F113" s="247"/>
      <c r="G113" s="220">
        <f>G112*0.01</f>
        <v>0</v>
      </c>
      <c r="H113" s="212"/>
      <c r="I113" s="247"/>
      <c r="J113" s="220">
        <f>J112*0.01</f>
        <v>0</v>
      </c>
      <c r="K113" s="212"/>
      <c r="L113" s="247"/>
      <c r="M113" s="220">
        <f>M112*0.01</f>
        <v>0</v>
      </c>
      <c r="N113" s="212"/>
      <c r="O113" s="247"/>
      <c r="P113" s="220">
        <f>P112*0.01</f>
        <v>0</v>
      </c>
      <c r="Q113" s="212"/>
      <c r="R113" s="247"/>
      <c r="S113" s="220">
        <f>S112*0.01</f>
        <v>0</v>
      </c>
      <c r="T113" s="212"/>
      <c r="U113" s="185">
        <f>SUM(G113:S113)</f>
        <v>0</v>
      </c>
      <c r="V113" s="207"/>
      <c r="AA113" s="244"/>
      <c r="AB113" s="260"/>
    </row>
    <row r="114" spans="1:28" ht="13.5" hidden="1" customHeight="1" x14ac:dyDescent="0.15">
      <c r="A114" s="260" t="s">
        <v>40</v>
      </c>
      <c r="B114" s="244">
        <f>B112</f>
        <v>0</v>
      </c>
      <c r="C114" s="259"/>
      <c r="D114" s="259"/>
      <c r="E114" s="259"/>
      <c r="F114" s="222">
        <v>0</v>
      </c>
      <c r="G114" s="219">
        <f>F114*C112</f>
        <v>0</v>
      </c>
      <c r="H114" s="236"/>
      <c r="I114" s="222">
        <v>0</v>
      </c>
      <c r="J114" s="195">
        <f>IF(I114&gt;0,(I114*C112)*(1+$D$112),0)</f>
        <v>0</v>
      </c>
      <c r="K114" s="208"/>
      <c r="L114" s="222">
        <v>0</v>
      </c>
      <c r="M114" s="195">
        <f>IF(L114&gt;0,(L114*C112)*((1+$D$112)*(1+$D$112)),0)</f>
        <v>0</v>
      </c>
      <c r="N114" s="208"/>
      <c r="O114" s="222">
        <v>0</v>
      </c>
      <c r="P114" s="195">
        <f>IF(O114&gt;0,(O114*C112)*((1+$D$112)*(1+$D$112)*(1+$D$112)),0)</f>
        <v>0</v>
      </c>
      <c r="Q114" s="208"/>
      <c r="R114" s="222">
        <v>0</v>
      </c>
      <c r="S114" s="195">
        <f>IF(R114&gt;0,(R114*F112)*((1+$D$112)*(1+$D$112)*(1+$D$112)),0)</f>
        <v>0</v>
      </c>
      <c r="T114" s="208"/>
      <c r="U114" s="185">
        <f>S114+P114+M114+J114+G114</f>
        <v>0</v>
      </c>
      <c r="V114" s="96"/>
      <c r="AA114" s="244"/>
      <c r="AB114" s="260"/>
    </row>
    <row r="115" spans="1:28" s="257" customFormat="1" hidden="1" x14ac:dyDescent="0.15">
      <c r="A115" s="197" t="s">
        <v>39</v>
      </c>
      <c r="B115" s="202"/>
      <c r="C115" s="258"/>
      <c r="D115" s="258"/>
      <c r="E115" s="258"/>
      <c r="F115" s="247"/>
      <c r="G115" s="221">
        <f>G114*0.09</f>
        <v>0</v>
      </c>
      <c r="H115" s="213"/>
      <c r="I115" s="247"/>
      <c r="J115" s="221">
        <f>J114*0.09</f>
        <v>0</v>
      </c>
      <c r="K115" s="213"/>
      <c r="L115" s="259"/>
      <c r="M115" s="221">
        <f>M114*0.09</f>
        <v>0</v>
      </c>
      <c r="N115" s="213"/>
      <c r="O115" s="247"/>
      <c r="P115" s="221">
        <f>P114*0.09</f>
        <v>0</v>
      </c>
      <c r="Q115" s="213"/>
      <c r="R115" s="247"/>
      <c r="S115" s="221">
        <f>S114*0.09</f>
        <v>0</v>
      </c>
      <c r="T115" s="213"/>
      <c r="U115" s="185">
        <f>SUM(G115:S115)</f>
        <v>0</v>
      </c>
      <c r="V115" s="96"/>
      <c r="AA115" s="262"/>
    </row>
    <row r="116" spans="1:28" hidden="1" x14ac:dyDescent="0.15">
      <c r="A116" s="258" t="s">
        <v>41</v>
      </c>
      <c r="C116" s="258"/>
      <c r="D116" s="258"/>
      <c r="E116" s="258"/>
      <c r="F116" s="273"/>
      <c r="G116" s="266">
        <f>SUM(G112:G115)</f>
        <v>0</v>
      </c>
      <c r="H116" s="265"/>
      <c r="I116" s="258"/>
      <c r="J116" s="268">
        <f>SUM(J112:J115)</f>
        <v>0</v>
      </c>
      <c r="K116" s="265"/>
      <c r="L116" s="258"/>
      <c r="M116" s="268">
        <f>SUM(M112:M115)</f>
        <v>0</v>
      </c>
      <c r="N116" s="265"/>
      <c r="O116" s="258"/>
      <c r="P116" s="266">
        <f>SUM(P112:P115)</f>
        <v>0</v>
      </c>
      <c r="Q116" s="265"/>
      <c r="R116" s="258"/>
      <c r="S116" s="266">
        <f>SUM(S112:S115)</f>
        <v>0</v>
      </c>
      <c r="T116" s="264"/>
      <c r="U116" s="269">
        <f>SUM(U112:U115)</f>
        <v>0</v>
      </c>
      <c r="V116" s="96"/>
      <c r="AA116" s="244"/>
      <c r="AB116" s="260"/>
    </row>
    <row r="117" spans="1:28" ht="12.75" customHeight="1" thickBot="1" x14ac:dyDescent="0.25">
      <c r="A117" s="258" t="s">
        <v>83</v>
      </c>
      <c r="C117" s="258"/>
      <c r="D117" s="258"/>
      <c r="E117" s="258"/>
      <c r="F117" s="273"/>
      <c r="G117" s="267">
        <f>G92+G86</f>
        <v>21012.18</v>
      </c>
      <c r="H117" s="265"/>
      <c r="I117" s="258"/>
      <c r="J117" s="267">
        <f>J92+J86+J98+J104</f>
        <v>42635.428499999995</v>
      </c>
      <c r="K117" s="265"/>
      <c r="L117" s="258"/>
      <c r="M117" s="267">
        <f>M92+M86+M98+M104</f>
        <v>22075.921612499998</v>
      </c>
      <c r="N117" s="265"/>
      <c r="O117" s="258"/>
      <c r="P117" s="267">
        <f>P92+P86+P98+P104</f>
        <v>0</v>
      </c>
      <c r="Q117" s="265"/>
      <c r="R117" s="258"/>
      <c r="S117" s="267">
        <f>S92+S86+S98+S104</f>
        <v>0</v>
      </c>
      <c r="T117" s="114"/>
      <c r="U117" s="183">
        <f>SUM(G117:S117)</f>
        <v>85723.530112499997</v>
      </c>
      <c r="V117" s="96"/>
      <c r="W117" s="309"/>
    </row>
    <row r="118" spans="1:28" ht="6" customHeight="1" thickTop="1" x14ac:dyDescent="0.2">
      <c r="A118" s="207"/>
      <c r="B118" s="207"/>
      <c r="C118" s="207"/>
      <c r="D118" s="207"/>
      <c r="E118" s="207"/>
      <c r="F118" s="207"/>
      <c r="G118" s="207"/>
      <c r="H118" s="207"/>
      <c r="I118" s="207"/>
      <c r="J118" s="207"/>
      <c r="K118" s="207"/>
      <c r="L118" s="207"/>
      <c r="M118" s="207"/>
      <c r="N118" s="207"/>
      <c r="O118" s="115"/>
      <c r="P118" s="115"/>
      <c r="Q118" s="207"/>
      <c r="R118" s="115"/>
      <c r="S118" s="115"/>
      <c r="T118" s="115"/>
      <c r="U118" s="210"/>
      <c r="V118" s="96"/>
      <c r="W118" s="144"/>
    </row>
    <row r="119" spans="1:28" ht="14" x14ac:dyDescent="0.2">
      <c r="A119" s="276"/>
      <c r="B119" s="270" t="s">
        <v>131</v>
      </c>
      <c r="C119" s="160" t="s">
        <v>27</v>
      </c>
      <c r="D119" s="160" t="s">
        <v>118</v>
      </c>
      <c r="E119" s="259"/>
      <c r="F119" s="160" t="s">
        <v>29</v>
      </c>
      <c r="G119" s="276" t="s">
        <v>73</v>
      </c>
      <c r="H119" s="235"/>
      <c r="I119" s="160" t="s">
        <v>29</v>
      </c>
      <c r="J119" s="276" t="s">
        <v>75</v>
      </c>
      <c r="K119" s="235"/>
      <c r="L119" s="160" t="s">
        <v>29</v>
      </c>
      <c r="M119" s="187" t="s">
        <v>76</v>
      </c>
      <c r="N119" s="209"/>
      <c r="O119" s="163" t="s">
        <v>29</v>
      </c>
      <c r="P119" s="187" t="s">
        <v>77</v>
      </c>
      <c r="Q119" s="209"/>
      <c r="R119" s="163" t="s">
        <v>29</v>
      </c>
      <c r="S119" s="187" t="s">
        <v>78</v>
      </c>
      <c r="T119" s="209"/>
      <c r="U119" s="187" t="s">
        <v>132</v>
      </c>
      <c r="V119" s="96"/>
      <c r="W119" s="144"/>
    </row>
    <row r="120" spans="1:28" ht="14" x14ac:dyDescent="0.2">
      <c r="A120" s="258"/>
      <c r="B120" s="258"/>
      <c r="D120" s="161"/>
      <c r="F120" s="204"/>
      <c r="G120" s="260"/>
      <c r="H120" s="96"/>
      <c r="I120" s="204"/>
      <c r="J120" s="123"/>
      <c r="K120" s="164"/>
      <c r="L120" s="204"/>
      <c r="M120" s="260"/>
      <c r="N120" s="96"/>
      <c r="O120" s="204"/>
      <c r="Q120" s="96"/>
      <c r="R120" s="204"/>
      <c r="U120" s="191"/>
      <c r="V120" s="96"/>
      <c r="W120" s="144"/>
    </row>
    <row r="121" spans="1:28" ht="14" x14ac:dyDescent="0.2">
      <c r="A121" s="260" t="s">
        <v>84</v>
      </c>
      <c r="B121" s="176"/>
      <c r="C121" s="205">
        <v>10</v>
      </c>
      <c r="D121" s="80">
        <v>2.5000000000000001E-2</v>
      </c>
      <c r="E121" s="270" t="s">
        <v>30</v>
      </c>
      <c r="F121" s="218">
        <v>140</v>
      </c>
      <c r="G121" s="219">
        <f>F121*C121</f>
        <v>1400</v>
      </c>
      <c r="H121" s="236"/>
      <c r="I121" s="218">
        <v>140</v>
      </c>
      <c r="J121" s="195">
        <f>(I121*C121)*(1+$D$121)</f>
        <v>1434.9999999999998</v>
      </c>
      <c r="K121" s="208"/>
      <c r="L121" s="218">
        <v>140</v>
      </c>
      <c r="M121" s="195">
        <f>(L121*C121)*((1+$D$121)*(1+$D$121))</f>
        <v>1470.875</v>
      </c>
      <c r="N121" s="218">
        <v>142</v>
      </c>
      <c r="O121" s="218">
        <v>0</v>
      </c>
      <c r="P121" s="195">
        <f>(O121*C121)*((1+$D$121)*(1+$D$121)*(1+$D$121)*(1+$D$121))</f>
        <v>0</v>
      </c>
      <c r="Q121" s="208"/>
      <c r="R121" s="218">
        <v>0</v>
      </c>
      <c r="S121" s="195">
        <f>(R121*C121)*((1+$D$121)*(1+$D$121)*(1+$D$121)*(1+$D$121)*(1+$D$121))</f>
        <v>0</v>
      </c>
      <c r="T121" s="208"/>
      <c r="U121" s="185">
        <f>(S121+P121+M121+J121+G121)</f>
        <v>4305.875</v>
      </c>
      <c r="V121" s="142"/>
      <c r="W121" s="144"/>
    </row>
    <row r="122" spans="1:28" ht="14" x14ac:dyDescent="0.2">
      <c r="A122" s="198" t="s">
        <v>85</v>
      </c>
      <c r="B122" s="202"/>
      <c r="C122" s="257"/>
      <c r="D122" s="246"/>
      <c r="E122" s="270" t="s">
        <v>31</v>
      </c>
      <c r="F122" s="245"/>
      <c r="G122" s="220">
        <f>G121*F124</f>
        <v>29.400000000000002</v>
      </c>
      <c r="H122" s="212"/>
      <c r="I122" s="245"/>
      <c r="J122" s="220">
        <f>J121*F124</f>
        <v>30.134999999999998</v>
      </c>
      <c r="K122" s="212"/>
      <c r="L122" s="245"/>
      <c r="M122" s="220">
        <f>M121*F124</f>
        <v>30.888375000000003</v>
      </c>
      <c r="N122" s="212"/>
      <c r="O122" s="245"/>
      <c r="P122" s="220">
        <f>P121*F124</f>
        <v>0</v>
      </c>
      <c r="Q122" s="212"/>
      <c r="R122" s="245"/>
      <c r="S122" s="220">
        <f>S121*F124</f>
        <v>0</v>
      </c>
      <c r="T122" s="212"/>
      <c r="U122" s="185">
        <f>SUM(G122:S122)</f>
        <v>90.423374999999993</v>
      </c>
      <c r="V122" s="143"/>
      <c r="W122" s="144"/>
    </row>
    <row r="123" spans="1:28" ht="14" x14ac:dyDescent="0.2">
      <c r="A123" s="260" t="s">
        <v>86</v>
      </c>
      <c r="B123" s="244">
        <f>B121</f>
        <v>0</v>
      </c>
      <c r="C123" s="259">
        <v>10</v>
      </c>
      <c r="D123" s="248"/>
      <c r="E123" s="123"/>
      <c r="F123" s="222">
        <v>180</v>
      </c>
      <c r="G123" s="219">
        <f>F123*C121</f>
        <v>1800</v>
      </c>
      <c r="H123" s="236"/>
      <c r="I123" s="222">
        <v>180</v>
      </c>
      <c r="J123" s="195">
        <f>(I123*C121)*(1+$D$121)</f>
        <v>1844.9999999999998</v>
      </c>
      <c r="K123" s="208"/>
      <c r="L123" s="222">
        <v>180</v>
      </c>
      <c r="M123" s="195">
        <f>(L123*C121)*((1+$D$121)*(1+$D$121))</f>
        <v>1891.1249999999998</v>
      </c>
      <c r="N123" s="208"/>
      <c r="O123" s="222">
        <v>0</v>
      </c>
      <c r="P123" s="195">
        <f>(O123*C121)*((1+$D$121)*(1+$D$121)*(1+$D$121))</f>
        <v>0</v>
      </c>
      <c r="Q123" s="208"/>
      <c r="R123" s="222">
        <v>0</v>
      </c>
      <c r="S123" s="195">
        <f>(R123*C123)*((1+$D$121)*(1+$D$121)*(1+$D$121)*(1+$D$121)*(1+$D$121))</f>
        <v>0</v>
      </c>
      <c r="T123" s="208"/>
      <c r="U123" s="185">
        <f>S123+P123+M123+J123+G123</f>
        <v>5536.125</v>
      </c>
      <c r="V123" s="143"/>
      <c r="W123" s="144"/>
    </row>
    <row r="124" spans="1:28" ht="14" x14ac:dyDescent="0.2">
      <c r="A124" s="199" t="s">
        <v>85</v>
      </c>
      <c r="B124" s="202"/>
      <c r="C124" s="259"/>
      <c r="D124" s="248"/>
      <c r="E124" s="270" t="s">
        <v>260</v>
      </c>
      <c r="F124" s="137">
        <v>2.1000000000000001E-2</v>
      </c>
      <c r="G124" s="221">
        <f>G123*F125</f>
        <v>37.800000000000004</v>
      </c>
      <c r="H124" s="213"/>
      <c r="I124" s="137"/>
      <c r="J124" s="221">
        <f>J123*F125</f>
        <v>38.744999999999997</v>
      </c>
      <c r="K124" s="213"/>
      <c r="L124" s="137"/>
      <c r="M124" s="221">
        <f>M123*F125</f>
        <v>39.713625</v>
      </c>
      <c r="N124" s="213"/>
      <c r="O124" s="137"/>
      <c r="P124" s="221">
        <f>P123*F125</f>
        <v>0</v>
      </c>
      <c r="Q124" s="213"/>
      <c r="R124" s="137"/>
      <c r="S124" s="221">
        <f>S123*F125</f>
        <v>0</v>
      </c>
      <c r="T124" s="213"/>
      <c r="U124" s="185">
        <f>SUM(G124:S124)</f>
        <v>116.25862499999999</v>
      </c>
      <c r="W124" s="144"/>
    </row>
    <row r="125" spans="1:28" ht="14" x14ac:dyDescent="0.2">
      <c r="A125" s="258" t="s">
        <v>87</v>
      </c>
      <c r="C125" s="257"/>
      <c r="D125" s="246"/>
      <c r="E125" s="270" t="s">
        <v>261</v>
      </c>
      <c r="F125" s="138">
        <v>2.1000000000000001E-2</v>
      </c>
      <c r="G125" s="117">
        <f>SUM(G121:G124)</f>
        <v>3267.2000000000003</v>
      </c>
      <c r="H125" s="126"/>
      <c r="I125" s="138"/>
      <c r="J125" s="266">
        <f>SUM(J121:J124)</f>
        <v>3348.8799999999992</v>
      </c>
      <c r="K125" s="265"/>
      <c r="L125" s="138"/>
      <c r="M125" s="266">
        <f>SUM(M121:M124)</f>
        <v>3432.6019999999994</v>
      </c>
      <c r="N125" s="265"/>
      <c r="O125" s="138"/>
      <c r="P125" s="266">
        <f>SUM(P121:P124)</f>
        <v>0</v>
      </c>
      <c r="Q125" s="265"/>
      <c r="R125" s="138"/>
      <c r="S125" s="266">
        <f>SUM(S121:S124)</f>
        <v>0</v>
      </c>
      <c r="T125" s="264"/>
      <c r="U125" s="269">
        <f>SUM(U121:U124)</f>
        <v>10048.682000000001</v>
      </c>
      <c r="W125" s="144"/>
    </row>
    <row r="126" spans="1:28" ht="14" x14ac:dyDescent="0.2">
      <c r="A126" s="258"/>
      <c r="C126" s="259"/>
      <c r="D126" s="248"/>
      <c r="F126" s="247"/>
      <c r="G126" s="259"/>
      <c r="H126" s="207"/>
      <c r="I126" s="247"/>
      <c r="J126" s="259"/>
      <c r="K126" s="207"/>
      <c r="L126" s="247"/>
      <c r="M126" s="259"/>
      <c r="N126" s="207"/>
      <c r="O126" s="247"/>
      <c r="P126" s="259"/>
      <c r="Q126" s="207"/>
      <c r="R126" s="247"/>
      <c r="S126" s="259"/>
      <c r="T126" s="207"/>
      <c r="U126" s="258"/>
      <c r="W126" s="144"/>
    </row>
    <row r="127" spans="1:28" ht="14" x14ac:dyDescent="0.2">
      <c r="A127" s="260" t="s">
        <v>88</v>
      </c>
      <c r="B127" s="176"/>
      <c r="C127" s="119">
        <v>15</v>
      </c>
      <c r="D127" s="80">
        <v>0</v>
      </c>
      <c r="E127" s="257"/>
      <c r="F127" s="218">
        <v>0</v>
      </c>
      <c r="G127" s="219">
        <f>F127*C127</f>
        <v>0</v>
      </c>
      <c r="H127" s="236"/>
      <c r="I127" s="218">
        <v>0</v>
      </c>
      <c r="J127" s="195">
        <f>(I127*C127)*(1+$D$127)</f>
        <v>0</v>
      </c>
      <c r="K127" s="208"/>
      <c r="L127" s="218">
        <v>0</v>
      </c>
      <c r="M127" s="195">
        <f>(L127*C127)*((1+$D$127)*(1+$D$127))</f>
        <v>0</v>
      </c>
      <c r="N127" s="208"/>
      <c r="O127" s="218">
        <v>0</v>
      </c>
      <c r="P127" s="195">
        <f>(O127*C127)*((1+$D$127)*(1+$D$127)*(1+$D$127))</f>
        <v>0</v>
      </c>
      <c r="Q127" s="208"/>
      <c r="R127" s="218">
        <v>0</v>
      </c>
      <c r="S127" s="195">
        <f>(R127*C127)*((1+$D$121)*(1+$D$121)*(1+$D$121)*(1+$D$121)*(1+$D$121))</f>
        <v>0</v>
      </c>
      <c r="T127" s="208"/>
      <c r="U127" s="185">
        <f>S127+P127+M127+J127+G127</f>
        <v>0</v>
      </c>
      <c r="W127" s="144"/>
    </row>
    <row r="128" spans="1:28" ht="14" x14ac:dyDescent="0.2">
      <c r="A128" s="198" t="s">
        <v>89</v>
      </c>
      <c r="B128" s="202"/>
      <c r="C128" s="257"/>
      <c r="D128" s="246"/>
      <c r="F128" s="138"/>
      <c r="G128" s="220">
        <f>G127*F124</f>
        <v>0</v>
      </c>
      <c r="H128" s="212"/>
      <c r="I128" s="138"/>
      <c r="J128" s="220">
        <f>J127*F124</f>
        <v>0</v>
      </c>
      <c r="K128" s="212"/>
      <c r="L128" s="138"/>
      <c r="M128" s="220">
        <f>M127*F124</f>
        <v>0</v>
      </c>
      <c r="N128" s="212"/>
      <c r="O128" s="138"/>
      <c r="P128" s="220">
        <f>P127*F124</f>
        <v>0</v>
      </c>
      <c r="Q128" s="212"/>
      <c r="R128" s="138"/>
      <c r="S128" s="220">
        <f>S127*F124</f>
        <v>0</v>
      </c>
      <c r="T128" s="212"/>
      <c r="U128" s="185">
        <f>SUM(G128:S128)</f>
        <v>0</v>
      </c>
      <c r="W128" s="144"/>
    </row>
    <row r="129" spans="1:53" ht="14" x14ac:dyDescent="0.2">
      <c r="A129" s="260" t="s">
        <v>90</v>
      </c>
      <c r="B129" s="244">
        <f>B127</f>
        <v>0</v>
      </c>
      <c r="C129" s="257">
        <v>10</v>
      </c>
      <c r="D129" s="246"/>
      <c r="F129" s="118">
        <v>40</v>
      </c>
      <c r="G129" s="219">
        <f>F129*C127</f>
        <v>600</v>
      </c>
      <c r="H129" s="236"/>
      <c r="I129" s="118">
        <v>40</v>
      </c>
      <c r="J129" s="195">
        <f>(I129*C127)*(1+$D$127)</f>
        <v>600</v>
      </c>
      <c r="K129" s="208"/>
      <c r="L129" s="118">
        <v>40</v>
      </c>
      <c r="M129" s="195">
        <f>(L129*C127)*((1+$D$127)*(1+$D$127))</f>
        <v>600</v>
      </c>
      <c r="N129" s="208"/>
      <c r="O129" s="118">
        <v>0</v>
      </c>
      <c r="P129" s="195">
        <f>(O129*C127)*((1+$D$127)*(1+$D$127)*(1+$D$127))</f>
        <v>0</v>
      </c>
      <c r="Q129" s="208"/>
      <c r="R129" s="118">
        <v>0</v>
      </c>
      <c r="S129" s="195">
        <f>(R129*C129)*((1+$D$121)*(1+$D$121)*(1+$D$121)*(1+$D$121)*(1+$D$121))</f>
        <v>0</v>
      </c>
      <c r="T129" s="208"/>
      <c r="U129" s="185">
        <f>S129+P129+M129+J129+G129</f>
        <v>1800</v>
      </c>
      <c r="W129" s="146"/>
      <c r="X129" s="257"/>
      <c r="Y129" s="257"/>
      <c r="Z129" s="257"/>
      <c r="AA129" s="257"/>
      <c r="AB129" s="262"/>
      <c r="AC129" s="257"/>
      <c r="AD129" s="257"/>
      <c r="AE129" s="257"/>
      <c r="AF129" s="257"/>
      <c r="AG129" s="257"/>
      <c r="AH129" s="257"/>
      <c r="AI129" s="257"/>
      <c r="AJ129" s="257"/>
      <c r="AK129" s="257"/>
      <c r="AL129" s="257"/>
      <c r="AM129" s="257"/>
      <c r="AN129" s="257"/>
      <c r="AO129" s="257"/>
      <c r="AP129" s="257"/>
      <c r="AQ129" s="257"/>
      <c r="AR129" s="257"/>
      <c r="AS129" s="257"/>
      <c r="AT129" s="257"/>
      <c r="AU129" s="257"/>
      <c r="AV129" s="257"/>
      <c r="AW129" s="257"/>
      <c r="AX129" s="257"/>
      <c r="AY129" s="257"/>
      <c r="AZ129" s="257"/>
      <c r="BA129" s="257"/>
    </row>
    <row r="130" spans="1:53" ht="14" x14ac:dyDescent="0.2">
      <c r="A130" s="199" t="s">
        <v>89</v>
      </c>
      <c r="B130" s="202"/>
      <c r="C130" s="257"/>
      <c r="D130" s="140"/>
      <c r="F130" s="247"/>
      <c r="G130" s="221">
        <f>(G129)*F125</f>
        <v>12.600000000000001</v>
      </c>
      <c r="H130" s="213"/>
      <c r="I130" s="247"/>
      <c r="J130" s="221">
        <f>(J129)*F125</f>
        <v>12.600000000000001</v>
      </c>
      <c r="K130" s="213"/>
      <c r="L130" s="247"/>
      <c r="M130" s="221">
        <f>(M129)*F125</f>
        <v>12.600000000000001</v>
      </c>
      <c r="N130" s="213"/>
      <c r="O130" s="247"/>
      <c r="P130" s="221">
        <f>(P129)*F125</f>
        <v>0</v>
      </c>
      <c r="Q130" s="213"/>
      <c r="R130" s="247"/>
      <c r="S130" s="221">
        <f>(S129)*F125</f>
        <v>0</v>
      </c>
      <c r="T130" s="213"/>
      <c r="U130" s="185">
        <f>SUM(G130:S130)</f>
        <v>37.800000000000004</v>
      </c>
      <c r="W130" s="146"/>
      <c r="X130" s="257"/>
      <c r="Y130" s="257"/>
      <c r="Z130" s="257"/>
      <c r="AA130" s="257"/>
      <c r="AB130" s="262"/>
      <c r="AC130" s="257"/>
      <c r="AD130" s="257"/>
      <c r="AE130" s="257"/>
      <c r="AF130" s="257"/>
      <c r="AG130" s="257"/>
      <c r="AH130" s="257"/>
      <c r="AI130" s="257"/>
      <c r="AJ130" s="257"/>
      <c r="AK130" s="257"/>
      <c r="AL130" s="257"/>
      <c r="AM130" s="257"/>
      <c r="AN130" s="257"/>
      <c r="AO130" s="257"/>
      <c r="AP130" s="257"/>
      <c r="AQ130" s="257"/>
      <c r="AR130" s="257"/>
      <c r="AS130" s="257"/>
      <c r="AT130" s="257"/>
      <c r="AU130" s="257"/>
      <c r="AV130" s="257"/>
      <c r="AW130" s="257"/>
      <c r="AX130" s="257"/>
      <c r="AY130" s="257"/>
      <c r="AZ130" s="257"/>
      <c r="BA130" s="257"/>
    </row>
    <row r="131" spans="1:53" ht="14" x14ac:dyDescent="0.2">
      <c r="A131" s="258" t="s">
        <v>91</v>
      </c>
      <c r="C131" s="257"/>
      <c r="D131" s="246"/>
      <c r="F131" s="138"/>
      <c r="G131" s="266">
        <f>SUM(G127:G130)</f>
        <v>612.6</v>
      </c>
      <c r="H131" s="265"/>
      <c r="I131" s="204"/>
      <c r="J131" s="266">
        <f>SUM(J127:J130)</f>
        <v>612.6</v>
      </c>
      <c r="K131" s="265"/>
      <c r="L131" s="204"/>
      <c r="M131" s="266">
        <f>SUM(M127:M130)</f>
        <v>612.6</v>
      </c>
      <c r="N131" s="265"/>
      <c r="O131" s="204"/>
      <c r="P131" s="266">
        <f>SUM(P127:P130)</f>
        <v>0</v>
      </c>
      <c r="Q131" s="265"/>
      <c r="R131" s="204"/>
      <c r="S131" s="266">
        <f>SUM(S127:S130)</f>
        <v>0</v>
      </c>
      <c r="T131" s="264"/>
      <c r="U131" s="269">
        <f>SUM(U127:U130)</f>
        <v>1837.8</v>
      </c>
      <c r="W131" s="146"/>
      <c r="X131" s="257"/>
      <c r="Y131" s="257"/>
      <c r="Z131" s="257"/>
      <c r="AA131" s="257"/>
      <c r="AB131" s="262"/>
      <c r="AC131" s="257"/>
      <c r="AD131" s="257"/>
      <c r="AE131" s="257"/>
      <c r="AF131" s="257"/>
      <c r="AG131" s="257"/>
      <c r="AH131" s="257"/>
      <c r="AI131" s="257"/>
      <c r="AJ131" s="257"/>
      <c r="AK131" s="257"/>
      <c r="AL131" s="257"/>
      <c r="AM131" s="257"/>
      <c r="AN131" s="257"/>
      <c r="AO131" s="257"/>
      <c r="AP131" s="257"/>
      <c r="AQ131" s="257"/>
      <c r="AR131" s="257"/>
      <c r="AS131" s="257"/>
      <c r="AT131" s="257"/>
      <c r="AU131" s="257"/>
      <c r="AV131" s="257"/>
      <c r="AW131" s="257"/>
      <c r="AX131" s="257"/>
      <c r="AY131" s="257"/>
      <c r="AZ131" s="257"/>
      <c r="BA131" s="257"/>
    </row>
    <row r="132" spans="1:53" ht="14" x14ac:dyDescent="0.2">
      <c r="A132" s="258"/>
      <c r="C132" s="257"/>
      <c r="D132" s="246"/>
      <c r="F132" s="138"/>
      <c r="G132" s="120"/>
      <c r="H132" s="265"/>
      <c r="I132" s="204"/>
      <c r="J132" s="120"/>
      <c r="K132" s="265"/>
      <c r="L132" s="204"/>
      <c r="M132" s="120"/>
      <c r="N132" s="265"/>
      <c r="O132" s="204"/>
      <c r="P132" s="120"/>
      <c r="Q132" s="265"/>
      <c r="R132" s="204"/>
      <c r="S132" s="120"/>
      <c r="T132" s="265"/>
      <c r="U132" s="185"/>
      <c r="W132" s="146"/>
      <c r="X132" s="257"/>
      <c r="Y132" s="257"/>
      <c r="Z132" s="257"/>
      <c r="AA132" s="257"/>
      <c r="AB132" s="262"/>
      <c r="AC132" s="257"/>
      <c r="AD132" s="257"/>
      <c r="AE132" s="257"/>
      <c r="AF132" s="257"/>
      <c r="AG132" s="257"/>
      <c r="AH132" s="257"/>
      <c r="AI132" s="257"/>
      <c r="AJ132" s="257"/>
      <c r="AK132" s="257"/>
      <c r="AL132" s="257"/>
      <c r="AM132" s="257"/>
      <c r="AN132" s="257"/>
      <c r="AO132" s="257"/>
      <c r="AP132" s="257"/>
      <c r="AQ132" s="257"/>
      <c r="AR132" s="257"/>
      <c r="AS132" s="257"/>
      <c r="AT132" s="257"/>
      <c r="AU132" s="257"/>
      <c r="AV132" s="257"/>
      <c r="AW132" s="257"/>
      <c r="AX132" s="257"/>
      <c r="AY132" s="257"/>
      <c r="AZ132" s="257"/>
      <c r="BA132" s="257"/>
    </row>
    <row r="133" spans="1:53" s="96" customFormat="1" ht="14" hidden="1" x14ac:dyDescent="0.2">
      <c r="A133" s="260" t="s">
        <v>11</v>
      </c>
      <c r="B133" s="176"/>
      <c r="C133" s="223">
        <v>0</v>
      </c>
      <c r="D133" s="224">
        <v>0</v>
      </c>
      <c r="E133" s="260"/>
      <c r="F133" s="222">
        <v>0</v>
      </c>
      <c r="G133" s="219">
        <f>F133*C133</f>
        <v>0</v>
      </c>
      <c r="H133" s="236"/>
      <c r="I133" s="222">
        <v>0</v>
      </c>
      <c r="J133" s="195">
        <f>(I133*C133)*(1+$D$133)</f>
        <v>0</v>
      </c>
      <c r="K133" s="208"/>
      <c r="L133" s="222">
        <v>0</v>
      </c>
      <c r="M133" s="195">
        <f>(L133*C133)*((1+$D$133)*(1+$D$133))</f>
        <v>0</v>
      </c>
      <c r="N133" s="208"/>
      <c r="O133" s="222">
        <v>0</v>
      </c>
      <c r="P133" s="195">
        <f>(O133*C133)*((1+$D$133)*(1+$D$133)*(1+$D$133))</f>
        <v>0</v>
      </c>
      <c r="Q133" s="208"/>
      <c r="R133" s="222">
        <v>0</v>
      </c>
      <c r="S133" s="195">
        <f>(R133*F133)*((1+$D$133)*(1+$D$133)*(1+$D$133))</f>
        <v>0</v>
      </c>
      <c r="T133" s="208"/>
      <c r="U133" s="185">
        <f>S133+P133+M133+J133+G133</f>
        <v>0</v>
      </c>
      <c r="V133" s="145"/>
      <c r="W133" s="146"/>
      <c r="X133" s="257"/>
      <c r="Y133" s="257"/>
      <c r="Z133" s="257"/>
      <c r="AA133" s="257"/>
      <c r="AB133" s="262"/>
      <c r="AC133" s="257"/>
      <c r="AD133" s="257"/>
      <c r="AE133" s="257"/>
      <c r="AF133" s="257"/>
      <c r="AG133" s="257"/>
      <c r="AH133" s="257"/>
      <c r="AI133" s="257"/>
      <c r="AJ133" s="257"/>
      <c r="AK133" s="257"/>
      <c r="AL133" s="257"/>
      <c r="AM133" s="257"/>
      <c r="AN133" s="257"/>
      <c r="AO133" s="257"/>
      <c r="AP133" s="257"/>
      <c r="AQ133" s="257"/>
      <c r="AR133" s="257"/>
      <c r="AS133" s="257"/>
      <c r="AT133" s="257"/>
      <c r="AU133" s="257"/>
      <c r="AV133" s="257"/>
      <c r="AW133" s="257"/>
      <c r="AX133" s="257"/>
      <c r="AY133" s="257"/>
      <c r="AZ133" s="257"/>
      <c r="BA133" s="257"/>
    </row>
    <row r="134" spans="1:53" ht="14" hidden="1" x14ac:dyDescent="0.2">
      <c r="A134" s="198" t="s">
        <v>12</v>
      </c>
      <c r="B134" s="202"/>
      <c r="C134" s="259"/>
      <c r="D134" s="248"/>
      <c r="F134" s="247"/>
      <c r="G134" s="220">
        <f>G133*0.01</f>
        <v>0</v>
      </c>
      <c r="H134" s="212"/>
      <c r="I134" s="247"/>
      <c r="J134" s="220">
        <f>J133*0.01</f>
        <v>0</v>
      </c>
      <c r="K134" s="212"/>
      <c r="L134" s="247"/>
      <c r="M134" s="220">
        <f>M133*0.01</f>
        <v>0</v>
      </c>
      <c r="N134" s="212"/>
      <c r="O134" s="247"/>
      <c r="P134" s="220">
        <f>P133*0.01</f>
        <v>0</v>
      </c>
      <c r="Q134" s="212"/>
      <c r="R134" s="247"/>
      <c r="S134" s="220">
        <f>S133*0.01</f>
        <v>0</v>
      </c>
      <c r="T134" s="212"/>
      <c r="U134" s="185">
        <f>SUM(G134:S134)</f>
        <v>0</v>
      </c>
      <c r="W134" s="146"/>
      <c r="X134" s="257"/>
      <c r="Y134" s="257"/>
      <c r="Z134" s="257"/>
      <c r="AA134" s="257"/>
      <c r="AB134" s="262"/>
      <c r="AC134" s="257"/>
      <c r="AD134" s="257"/>
      <c r="AE134" s="257"/>
      <c r="AF134" s="257"/>
      <c r="AG134" s="257"/>
      <c r="AH134" s="257"/>
      <c r="AI134" s="257"/>
      <c r="AJ134" s="257"/>
      <c r="AK134" s="257"/>
      <c r="AL134" s="257"/>
      <c r="AM134" s="257"/>
      <c r="AN134" s="257"/>
      <c r="AO134" s="257"/>
      <c r="AP134" s="257"/>
      <c r="AQ134" s="257"/>
      <c r="AR134" s="257"/>
      <c r="AS134" s="257"/>
      <c r="AT134" s="257"/>
      <c r="AU134" s="257"/>
      <c r="AV134" s="257"/>
      <c r="AW134" s="257"/>
      <c r="AX134" s="257"/>
      <c r="AY134" s="257"/>
      <c r="AZ134" s="257"/>
      <c r="BA134" s="257"/>
    </row>
    <row r="135" spans="1:53" ht="14" hidden="1" x14ac:dyDescent="0.2">
      <c r="A135" s="260" t="s">
        <v>13</v>
      </c>
      <c r="B135" s="244">
        <f>B133</f>
        <v>0</v>
      </c>
      <c r="C135" s="259"/>
      <c r="D135" s="248"/>
      <c r="F135" s="222">
        <v>0</v>
      </c>
      <c r="G135" s="219">
        <f>F135*C133</f>
        <v>0</v>
      </c>
      <c r="H135" s="236"/>
      <c r="I135" s="222">
        <v>0</v>
      </c>
      <c r="J135" s="195">
        <f>(I135*C133)*(1+$D$133)</f>
        <v>0</v>
      </c>
      <c r="K135" s="208"/>
      <c r="L135" s="222">
        <v>0</v>
      </c>
      <c r="M135" s="195">
        <f>(L135*C133)*((1+$D$133)*(1+$D$133))</f>
        <v>0</v>
      </c>
      <c r="N135" s="208"/>
      <c r="O135" s="222">
        <v>0</v>
      </c>
      <c r="P135" s="195">
        <f>(O135*C133)*((1+$D$133)*(1+$D$133)*(1+$D$133))</f>
        <v>0</v>
      </c>
      <c r="Q135" s="208"/>
      <c r="R135" s="222">
        <v>0</v>
      </c>
      <c r="S135" s="195">
        <f>(R135*F133)*((1+$D$133)*(1+$D$133)*(1+$D$133))</f>
        <v>0</v>
      </c>
      <c r="T135" s="208"/>
      <c r="U135" s="185">
        <f>S135+P135+M135+J135+G135</f>
        <v>0</v>
      </c>
      <c r="W135" s="146"/>
      <c r="X135" s="257"/>
      <c r="Y135" s="257"/>
      <c r="Z135" s="257"/>
      <c r="AA135" s="257"/>
      <c r="AB135" s="262"/>
      <c r="AC135" s="257"/>
      <c r="AD135" s="257"/>
      <c r="AE135" s="257"/>
      <c r="AF135" s="257"/>
      <c r="AG135" s="257"/>
      <c r="AH135" s="257"/>
      <c r="AI135" s="257"/>
      <c r="AJ135" s="257"/>
      <c r="AK135" s="257"/>
      <c r="AL135" s="257"/>
      <c r="AM135" s="257"/>
      <c r="AN135" s="257"/>
      <c r="AO135" s="257"/>
      <c r="AP135" s="257"/>
      <c r="AQ135" s="257"/>
      <c r="AR135" s="257"/>
      <c r="AS135" s="257"/>
      <c r="AT135" s="257"/>
      <c r="AU135" s="257"/>
      <c r="AV135" s="257"/>
      <c r="AW135" s="257"/>
      <c r="AX135" s="257"/>
      <c r="AY135" s="257"/>
      <c r="AZ135" s="257"/>
      <c r="BA135" s="257"/>
    </row>
    <row r="136" spans="1:53" ht="14" hidden="1" x14ac:dyDescent="0.2">
      <c r="A136" s="199" t="s">
        <v>12</v>
      </c>
      <c r="B136" s="202"/>
      <c r="C136" s="259"/>
      <c r="D136" s="248"/>
      <c r="F136" s="247"/>
      <c r="G136" s="221">
        <f>G135*0.09</f>
        <v>0</v>
      </c>
      <c r="H136" s="213"/>
      <c r="I136" s="247"/>
      <c r="J136" s="221">
        <f>J135*0.09</f>
        <v>0</v>
      </c>
      <c r="K136" s="213"/>
      <c r="L136" s="247"/>
      <c r="M136" s="221">
        <f>M135*0.09</f>
        <v>0</v>
      </c>
      <c r="N136" s="213"/>
      <c r="O136" s="247"/>
      <c r="P136" s="221">
        <f>P135*0.09</f>
        <v>0</v>
      </c>
      <c r="Q136" s="213"/>
      <c r="R136" s="247"/>
      <c r="S136" s="221">
        <f>S135*0.09</f>
        <v>0</v>
      </c>
      <c r="T136" s="213"/>
      <c r="U136" s="185">
        <f>SUM(G136:S136)</f>
        <v>0</v>
      </c>
      <c r="W136" s="146"/>
      <c r="X136" s="257"/>
      <c r="Y136" s="257"/>
      <c r="Z136" s="257"/>
      <c r="AA136" s="257"/>
      <c r="AB136" s="262"/>
      <c r="AC136" s="257"/>
      <c r="AD136" s="257"/>
      <c r="AE136" s="257"/>
      <c r="AF136" s="257"/>
      <c r="AG136" s="257"/>
      <c r="AH136" s="257"/>
      <c r="AI136" s="257"/>
      <c r="AJ136" s="257"/>
      <c r="AK136" s="257"/>
      <c r="AL136" s="257"/>
      <c r="AM136" s="257"/>
      <c r="AN136" s="257"/>
      <c r="AO136" s="257"/>
      <c r="AP136" s="257"/>
      <c r="AQ136" s="257"/>
      <c r="AR136" s="257"/>
      <c r="AS136" s="257"/>
      <c r="AT136" s="257"/>
      <c r="AU136" s="257"/>
      <c r="AV136" s="257"/>
      <c r="AW136" s="257"/>
      <c r="AX136" s="257"/>
      <c r="AY136" s="257"/>
      <c r="AZ136" s="257"/>
      <c r="BA136" s="257"/>
    </row>
    <row r="137" spans="1:53" hidden="1" x14ac:dyDescent="0.15">
      <c r="A137" s="258" t="s">
        <v>14</v>
      </c>
      <c r="C137" s="259"/>
      <c r="D137" s="248"/>
      <c r="F137" s="247"/>
      <c r="G137" s="266">
        <f>SUM(G133:G136)</f>
        <v>0</v>
      </c>
      <c r="H137" s="265"/>
      <c r="I137" s="247"/>
      <c r="J137" s="266">
        <f>SUM(J133:J136)</f>
        <v>0</v>
      </c>
      <c r="K137" s="265"/>
      <c r="L137" s="259"/>
      <c r="M137" s="266">
        <f>SUM(M133:M136)</f>
        <v>0</v>
      </c>
      <c r="N137" s="265"/>
      <c r="O137" s="259"/>
      <c r="P137" s="266">
        <f>SUM(P133:P136)</f>
        <v>0</v>
      </c>
      <c r="Q137" s="265"/>
      <c r="R137" s="259"/>
      <c r="S137" s="266">
        <f>SUM(S133:S136)</f>
        <v>0</v>
      </c>
      <c r="T137" s="264"/>
      <c r="U137" s="269">
        <f>SUM(U133:U136)</f>
        <v>0</v>
      </c>
      <c r="W137" s="257"/>
      <c r="X137" s="257"/>
      <c r="Y137" s="257"/>
      <c r="Z137" s="257"/>
      <c r="AA137" s="257"/>
      <c r="AB137" s="262"/>
      <c r="AC137" s="257"/>
      <c r="AD137" s="257"/>
      <c r="AE137" s="257"/>
      <c r="AF137" s="257"/>
      <c r="AG137" s="257"/>
      <c r="AH137" s="257"/>
      <c r="AI137" s="257"/>
      <c r="AJ137" s="257"/>
      <c r="AK137" s="257"/>
      <c r="AL137" s="257"/>
      <c r="AM137" s="257"/>
      <c r="AN137" s="257"/>
      <c r="AO137" s="257"/>
      <c r="AP137" s="257"/>
      <c r="AQ137" s="257"/>
      <c r="AR137" s="257"/>
      <c r="AS137" s="257"/>
      <c r="AT137" s="257"/>
      <c r="AU137" s="257"/>
      <c r="AV137" s="257"/>
      <c r="AW137" s="257"/>
      <c r="AX137" s="257"/>
      <c r="AY137" s="257"/>
      <c r="AZ137" s="257"/>
      <c r="BA137" s="257"/>
    </row>
    <row r="138" spans="1:53" hidden="1" x14ac:dyDescent="0.15">
      <c r="A138" s="259"/>
      <c r="B138" s="259"/>
      <c r="C138" s="259"/>
      <c r="D138" s="248"/>
      <c r="F138" s="247"/>
      <c r="G138" s="48"/>
      <c r="H138" s="90"/>
      <c r="I138" s="259"/>
      <c r="J138" s="48"/>
      <c r="K138" s="90"/>
      <c r="L138" s="259"/>
      <c r="M138" s="48"/>
      <c r="N138" s="90"/>
      <c r="O138" s="259"/>
      <c r="P138" s="48"/>
      <c r="Q138" s="90"/>
      <c r="R138" s="259"/>
      <c r="S138" s="48"/>
      <c r="T138" s="90"/>
      <c r="U138" s="185"/>
    </row>
    <row r="139" spans="1:53" hidden="1" x14ac:dyDescent="0.15">
      <c r="A139" s="260" t="s">
        <v>15</v>
      </c>
      <c r="B139" s="176"/>
      <c r="C139" s="223">
        <v>0</v>
      </c>
      <c r="D139" s="224">
        <v>0</v>
      </c>
      <c r="F139" s="222">
        <v>0</v>
      </c>
      <c r="G139" s="219">
        <f>F139*C139</f>
        <v>0</v>
      </c>
      <c r="H139" s="236"/>
      <c r="I139" s="222">
        <v>0</v>
      </c>
      <c r="J139" s="195">
        <f>(I139*C139)*(1+$D$139)</f>
        <v>0</v>
      </c>
      <c r="K139" s="208"/>
      <c r="L139" s="222">
        <v>0</v>
      </c>
      <c r="M139" s="195">
        <f>(L139*C139)*((1+$D$139)*(1+$D$139))</f>
        <v>0</v>
      </c>
      <c r="N139" s="208"/>
      <c r="O139" s="222">
        <v>0</v>
      </c>
      <c r="P139" s="195">
        <f>(O139*C139)*((1+$D$139)*(1+$D$139)*(1+$D$139))</f>
        <v>0</v>
      </c>
      <c r="Q139" s="208"/>
      <c r="R139" s="222">
        <v>0</v>
      </c>
      <c r="S139" s="195">
        <f>(R139*F139)*((1+$D$139)*(1+$D$139)*(1+$D$139))</f>
        <v>0</v>
      </c>
      <c r="T139" s="208"/>
      <c r="U139" s="185">
        <f>S139+P139+M139+J139+G139</f>
        <v>0</v>
      </c>
    </row>
    <row r="140" spans="1:53" hidden="1" x14ac:dyDescent="0.15">
      <c r="A140" s="198" t="s">
        <v>16</v>
      </c>
      <c r="B140" s="202"/>
      <c r="C140" s="259"/>
      <c r="D140" s="249"/>
      <c r="F140" s="247"/>
      <c r="G140" s="220">
        <f>G139*0.01</f>
        <v>0</v>
      </c>
      <c r="H140" s="212"/>
      <c r="I140" s="247"/>
      <c r="J140" s="220">
        <f>J139*0.01</f>
        <v>0</v>
      </c>
      <c r="K140" s="212"/>
      <c r="L140" s="247"/>
      <c r="M140" s="220">
        <f>M139*0.01</f>
        <v>0</v>
      </c>
      <c r="N140" s="212"/>
      <c r="O140" s="247"/>
      <c r="P140" s="220">
        <f>P139*0.01</f>
        <v>0</v>
      </c>
      <c r="Q140" s="212"/>
      <c r="R140" s="247"/>
      <c r="S140" s="220">
        <f>S139*0.01</f>
        <v>0</v>
      </c>
      <c r="T140" s="212"/>
      <c r="U140" s="185">
        <f>SUM(G140:S140)</f>
        <v>0</v>
      </c>
    </row>
    <row r="141" spans="1:53" hidden="1" x14ac:dyDescent="0.15">
      <c r="A141" s="260" t="s">
        <v>17</v>
      </c>
      <c r="B141" s="244">
        <f>B139</f>
        <v>0</v>
      </c>
      <c r="C141" s="259"/>
      <c r="D141" s="249"/>
      <c r="F141" s="222">
        <v>0</v>
      </c>
      <c r="G141" s="219">
        <f>F141*C139</f>
        <v>0</v>
      </c>
      <c r="H141" s="236"/>
      <c r="I141" s="222">
        <v>0</v>
      </c>
      <c r="J141" s="195">
        <f>(I141*C139)*(1+$D$139)</f>
        <v>0</v>
      </c>
      <c r="K141" s="208"/>
      <c r="L141" s="222">
        <v>0</v>
      </c>
      <c r="M141" s="195">
        <f>(L141*C139)*((1+$D$139)*(1+$D$139))</f>
        <v>0</v>
      </c>
      <c r="N141" s="208"/>
      <c r="O141" s="222">
        <v>0</v>
      </c>
      <c r="P141" s="195">
        <f>(O141*C139)*((1+$D$139)*(1+$D$139)*(1+$D$139))</f>
        <v>0</v>
      </c>
      <c r="Q141" s="208"/>
      <c r="R141" s="222">
        <v>0</v>
      </c>
      <c r="S141" s="195">
        <f>(R141*F139)*((1+$D$139)*(1+$D$139)*(1+$D$139))</f>
        <v>0</v>
      </c>
      <c r="T141" s="208"/>
      <c r="U141" s="185">
        <f>S141+P141+M141+J141+G141</f>
        <v>0</v>
      </c>
    </row>
    <row r="142" spans="1:53" hidden="1" x14ac:dyDescent="0.15">
      <c r="A142" s="199" t="s">
        <v>16</v>
      </c>
      <c r="B142" s="202"/>
      <c r="C142" s="258"/>
      <c r="D142" s="274"/>
      <c r="F142" s="247"/>
      <c r="G142" s="221">
        <f>G141*0.09</f>
        <v>0</v>
      </c>
      <c r="H142" s="213"/>
      <c r="I142" s="247"/>
      <c r="J142" s="221">
        <f>J141*0.09</f>
        <v>0</v>
      </c>
      <c r="K142" s="213"/>
      <c r="L142" s="259"/>
      <c r="M142" s="221">
        <f>M141*0.09</f>
        <v>0</v>
      </c>
      <c r="N142" s="213"/>
      <c r="O142" s="247"/>
      <c r="P142" s="221">
        <f>P141*0.09</f>
        <v>0</v>
      </c>
      <c r="Q142" s="213"/>
      <c r="R142" s="247"/>
      <c r="S142" s="221">
        <f>S141*0.09</f>
        <v>0</v>
      </c>
      <c r="T142" s="213"/>
      <c r="U142" s="185">
        <f>SUM(G142:S142)</f>
        <v>0</v>
      </c>
    </row>
    <row r="143" spans="1:53" hidden="1" x14ac:dyDescent="0.15">
      <c r="A143" s="258" t="s">
        <v>18</v>
      </c>
      <c r="C143" s="258"/>
      <c r="D143" s="274"/>
      <c r="F143" s="273"/>
      <c r="G143" s="266">
        <f>SUM(G139:G142)</f>
        <v>0</v>
      </c>
      <c r="H143" s="265"/>
      <c r="I143" s="258"/>
      <c r="J143" s="268">
        <f>SUM(J139:J142)</f>
        <v>0</v>
      </c>
      <c r="K143" s="265"/>
      <c r="L143" s="258"/>
      <c r="M143" s="268">
        <f>SUM(M139:M142)</f>
        <v>0</v>
      </c>
      <c r="N143" s="265"/>
      <c r="O143" s="258"/>
      <c r="P143" s="266">
        <f>SUM(P139:P142)</f>
        <v>0</v>
      </c>
      <c r="Q143" s="265"/>
      <c r="R143" s="258"/>
      <c r="S143" s="266">
        <f>SUM(S139:S142)</f>
        <v>0</v>
      </c>
      <c r="T143" s="264"/>
      <c r="U143" s="269">
        <f>SUM(U139:U142)</f>
        <v>0</v>
      </c>
    </row>
    <row r="144" spans="1:53" hidden="1" x14ac:dyDescent="0.15">
      <c r="A144" s="258"/>
      <c r="C144" s="258"/>
      <c r="D144" s="274"/>
      <c r="F144" s="273"/>
      <c r="G144" s="120"/>
      <c r="H144" s="265"/>
      <c r="I144" s="258"/>
      <c r="J144" s="255"/>
      <c r="K144" s="265"/>
      <c r="L144" s="258"/>
      <c r="M144" s="255"/>
      <c r="N144" s="265"/>
      <c r="O144" s="258"/>
      <c r="P144" s="120"/>
      <c r="Q144" s="265"/>
      <c r="R144" s="258"/>
      <c r="S144" s="120"/>
      <c r="T144" s="265"/>
      <c r="U144" s="185"/>
    </row>
    <row r="145" spans="1:21" hidden="1" x14ac:dyDescent="0.15">
      <c r="A145" s="260" t="s">
        <v>42</v>
      </c>
      <c r="B145" s="176"/>
      <c r="C145" s="223">
        <v>0</v>
      </c>
      <c r="D145" s="224">
        <v>0</v>
      </c>
      <c r="F145" s="222">
        <v>0</v>
      </c>
      <c r="G145" s="219">
        <f>F145*C145</f>
        <v>0</v>
      </c>
      <c r="H145" s="236"/>
      <c r="I145" s="222">
        <v>0</v>
      </c>
      <c r="J145" s="195">
        <f>(I145*C145)*(1+$D$145)</f>
        <v>0</v>
      </c>
      <c r="K145" s="208"/>
      <c r="L145" s="222">
        <v>0</v>
      </c>
      <c r="M145" s="195">
        <f>(L145*C145)*((1+$D$145)*(1+$D$145))</f>
        <v>0</v>
      </c>
      <c r="N145" s="208"/>
      <c r="O145" s="222">
        <v>0</v>
      </c>
      <c r="P145" s="195">
        <f>(O145*C145)*((1+$D$145)*(1+$D$145)*(1+$D$145))</f>
        <v>0</v>
      </c>
      <c r="Q145" s="208"/>
      <c r="R145" s="222">
        <v>0</v>
      </c>
      <c r="S145" s="195">
        <f>(R145*F145)*((1+$D$145)*(1+$D$145)*(1+$D$145))</f>
        <v>0</v>
      </c>
      <c r="T145" s="208"/>
      <c r="U145" s="185">
        <f>S145+P145+M145+J145+G145</f>
        <v>0</v>
      </c>
    </row>
    <row r="146" spans="1:21" hidden="1" x14ac:dyDescent="0.15">
      <c r="A146" s="198" t="s">
        <v>43</v>
      </c>
      <c r="B146" s="202"/>
      <c r="C146" s="259"/>
      <c r="D146" s="249"/>
      <c r="F146" s="247"/>
      <c r="G146" s="220">
        <f>G145*0.01</f>
        <v>0</v>
      </c>
      <c r="H146" s="212"/>
      <c r="I146" s="247"/>
      <c r="J146" s="220">
        <f>J145*0.01</f>
        <v>0</v>
      </c>
      <c r="K146" s="212"/>
      <c r="L146" s="247"/>
      <c r="M146" s="220">
        <f>M145*0.01</f>
        <v>0</v>
      </c>
      <c r="N146" s="212"/>
      <c r="O146" s="247"/>
      <c r="P146" s="220">
        <f>P145*0.01</f>
        <v>0</v>
      </c>
      <c r="Q146" s="212"/>
      <c r="R146" s="247"/>
      <c r="S146" s="220">
        <f>S145*0.01</f>
        <v>0</v>
      </c>
      <c r="T146" s="212"/>
      <c r="U146" s="185">
        <f>SUM(G146:S146)</f>
        <v>0</v>
      </c>
    </row>
    <row r="147" spans="1:21" hidden="1" x14ac:dyDescent="0.15">
      <c r="A147" s="260" t="s">
        <v>44</v>
      </c>
      <c r="B147" s="244">
        <f>B145</f>
        <v>0</v>
      </c>
      <c r="C147" s="259"/>
      <c r="D147" s="249"/>
      <c r="F147" s="222">
        <v>0</v>
      </c>
      <c r="G147" s="219">
        <f>F147*C145</f>
        <v>0</v>
      </c>
      <c r="H147" s="236"/>
      <c r="I147" s="222">
        <v>0</v>
      </c>
      <c r="J147" s="195">
        <f>(I147*C145)*(1+$D$145)</f>
        <v>0</v>
      </c>
      <c r="K147" s="208"/>
      <c r="L147" s="222">
        <v>0</v>
      </c>
      <c r="M147" s="195">
        <f>(L147*C145)*((1+$D$145)*(1+$D$145))</f>
        <v>0</v>
      </c>
      <c r="N147" s="208"/>
      <c r="O147" s="222">
        <v>0</v>
      </c>
      <c r="P147" s="195">
        <f>(O147*C145)*((1+$D$145)*(1+$D$145)*(1+$D$145))</f>
        <v>0</v>
      </c>
      <c r="Q147" s="208"/>
      <c r="R147" s="222">
        <v>0</v>
      </c>
      <c r="S147" s="195">
        <f>(R147*F145)*((1+$D$145)*(1+$D$145)*(1+$D$145))</f>
        <v>0</v>
      </c>
      <c r="T147" s="208"/>
      <c r="U147" s="185">
        <f>S147+P147+M147+J147+G147</f>
        <v>0</v>
      </c>
    </row>
    <row r="148" spans="1:21" hidden="1" x14ac:dyDescent="0.15">
      <c r="A148" s="199" t="s">
        <v>43</v>
      </c>
      <c r="B148" s="202"/>
      <c r="C148" s="258"/>
      <c r="D148" s="274"/>
      <c r="F148" s="247"/>
      <c r="G148" s="221">
        <f>G147*0.09</f>
        <v>0</v>
      </c>
      <c r="H148" s="213"/>
      <c r="I148" s="247"/>
      <c r="J148" s="221">
        <f>J147*0.09</f>
        <v>0</v>
      </c>
      <c r="K148" s="213"/>
      <c r="L148" s="259"/>
      <c r="M148" s="221">
        <f>M147*0.09</f>
        <v>0</v>
      </c>
      <c r="N148" s="213"/>
      <c r="O148" s="247"/>
      <c r="P148" s="221">
        <f>P147*0.09</f>
        <v>0</v>
      </c>
      <c r="Q148" s="213"/>
      <c r="R148" s="247"/>
      <c r="S148" s="221">
        <f>S147*0.09</f>
        <v>0</v>
      </c>
      <c r="T148" s="213"/>
      <c r="U148" s="185">
        <f>SUM(G148:S148)</f>
        <v>0</v>
      </c>
    </row>
    <row r="149" spans="1:21" hidden="1" x14ac:dyDescent="0.15">
      <c r="A149" s="258" t="s">
        <v>108</v>
      </c>
      <c r="C149" s="258"/>
      <c r="D149" s="274"/>
      <c r="F149" s="273"/>
      <c r="G149" s="266">
        <f>SUM(G145:G148)</f>
        <v>0</v>
      </c>
      <c r="H149" s="265"/>
      <c r="I149" s="258"/>
      <c r="J149" s="268">
        <f>SUM(J145:J148)</f>
        <v>0</v>
      </c>
      <c r="K149" s="265"/>
      <c r="L149" s="258"/>
      <c r="M149" s="268">
        <f>SUM(M145:M148)</f>
        <v>0</v>
      </c>
      <c r="N149" s="265"/>
      <c r="O149" s="258"/>
      <c r="P149" s="266">
        <f>SUM(P145:P148)</f>
        <v>0</v>
      </c>
      <c r="Q149" s="265"/>
      <c r="R149" s="258"/>
      <c r="S149" s="266">
        <f>SUM(S145:S148)</f>
        <v>0</v>
      </c>
      <c r="T149" s="264"/>
      <c r="U149" s="269">
        <f>SUM(U145:U148)</f>
        <v>0</v>
      </c>
    </row>
    <row r="150" spans="1:21" hidden="1" x14ac:dyDescent="0.15">
      <c r="A150" s="199"/>
      <c r="B150" s="202"/>
      <c r="C150" s="258"/>
      <c r="D150" s="274"/>
      <c r="F150" s="247"/>
      <c r="G150" s="221"/>
      <c r="H150" s="213"/>
      <c r="I150" s="247"/>
      <c r="J150" s="221"/>
      <c r="K150" s="213"/>
      <c r="L150" s="259"/>
      <c r="M150" s="221"/>
      <c r="N150" s="213"/>
      <c r="O150" s="247"/>
      <c r="P150" s="221"/>
      <c r="Q150" s="213"/>
      <c r="R150" s="247"/>
      <c r="S150" s="221"/>
      <c r="T150" s="213"/>
      <c r="U150" s="185"/>
    </row>
    <row r="151" spans="1:21" hidden="1" x14ac:dyDescent="0.15">
      <c r="A151" s="260" t="s">
        <v>46</v>
      </c>
      <c r="B151" s="176"/>
      <c r="C151" s="223">
        <v>0</v>
      </c>
      <c r="D151" s="224">
        <v>0</v>
      </c>
      <c r="F151" s="222">
        <v>0</v>
      </c>
      <c r="G151" s="219">
        <f>F151*C151</f>
        <v>0</v>
      </c>
      <c r="H151" s="236"/>
      <c r="I151" s="222">
        <v>0</v>
      </c>
      <c r="J151" s="195">
        <f>(I151*C151)*(1+$D$151)</f>
        <v>0</v>
      </c>
      <c r="K151" s="208"/>
      <c r="L151" s="222">
        <v>0</v>
      </c>
      <c r="M151" s="195">
        <f>(L151*C151)*((1+$D$151)*(1+$D$151))</f>
        <v>0</v>
      </c>
      <c r="N151" s="208"/>
      <c r="O151" s="222">
        <v>0</v>
      </c>
      <c r="P151" s="195">
        <f>(O151*C151)*((1+$D$151)*(1+$D$151)*(1+$D$151))</f>
        <v>0</v>
      </c>
      <c r="Q151" s="208"/>
      <c r="R151" s="222">
        <v>0</v>
      </c>
      <c r="S151" s="195">
        <f>(R151*F151)*((1+$D$151)*(1+$D$151)*(1+$D$151))</f>
        <v>0</v>
      </c>
      <c r="T151" s="208"/>
      <c r="U151" s="185">
        <f>S151+P151+M151+J151+G151</f>
        <v>0</v>
      </c>
    </row>
    <row r="152" spans="1:21" hidden="1" x14ac:dyDescent="0.15">
      <c r="A152" s="198" t="s">
        <v>47</v>
      </c>
      <c r="B152" s="202"/>
      <c r="C152" s="259"/>
      <c r="D152" s="249"/>
      <c r="F152" s="247"/>
      <c r="G152" s="220">
        <f>G151*0.01</f>
        <v>0</v>
      </c>
      <c r="H152" s="212"/>
      <c r="I152" s="247"/>
      <c r="J152" s="220">
        <f>J151*0.01</f>
        <v>0</v>
      </c>
      <c r="K152" s="212"/>
      <c r="L152" s="247"/>
      <c r="M152" s="220">
        <f>M151*0.01</f>
        <v>0</v>
      </c>
      <c r="N152" s="212"/>
      <c r="O152" s="247"/>
      <c r="P152" s="220">
        <f>P151*0.01</f>
        <v>0</v>
      </c>
      <c r="Q152" s="212"/>
      <c r="R152" s="247"/>
      <c r="S152" s="220">
        <f>S151*0.01</f>
        <v>0</v>
      </c>
      <c r="T152" s="212"/>
      <c r="U152" s="185">
        <f>SUM(G152:S152)</f>
        <v>0</v>
      </c>
    </row>
    <row r="153" spans="1:21" hidden="1" x14ac:dyDescent="0.15">
      <c r="A153" s="260" t="s">
        <v>48</v>
      </c>
      <c r="B153" s="244">
        <f>B151</f>
        <v>0</v>
      </c>
      <c r="C153" s="259"/>
      <c r="D153" s="249"/>
      <c r="F153" s="222">
        <v>0</v>
      </c>
      <c r="G153" s="219">
        <f>F153*C151</f>
        <v>0</v>
      </c>
      <c r="H153" s="236"/>
      <c r="I153" s="222">
        <v>0</v>
      </c>
      <c r="J153" s="195">
        <f>(I153*C151)*(1+$D$151)</f>
        <v>0</v>
      </c>
      <c r="K153" s="208"/>
      <c r="L153" s="222">
        <v>0</v>
      </c>
      <c r="M153" s="195">
        <f>(L153*C151)*((1+$D$151)*(1+$D$151))</f>
        <v>0</v>
      </c>
      <c r="N153" s="208"/>
      <c r="O153" s="222">
        <v>0</v>
      </c>
      <c r="P153" s="195">
        <f>(O153*C151)*((1+$D$151)*(1+$D$151)*(1+$D$151))</f>
        <v>0</v>
      </c>
      <c r="Q153" s="208"/>
      <c r="R153" s="222">
        <v>0</v>
      </c>
      <c r="S153" s="195">
        <f>(R153*F151)*((1+$D$151)*(1+$D$151)*(1+$D$151))</f>
        <v>0</v>
      </c>
      <c r="T153" s="208"/>
      <c r="U153" s="185">
        <f>S153+P153+M153+J153+G153</f>
        <v>0</v>
      </c>
    </row>
    <row r="154" spans="1:21" hidden="1" x14ac:dyDescent="0.15">
      <c r="A154" s="199" t="s">
        <v>47</v>
      </c>
      <c r="B154" s="202"/>
      <c r="C154" s="258"/>
      <c r="D154" s="274"/>
      <c r="F154" s="247"/>
      <c r="G154" s="221">
        <f>G153*0.09</f>
        <v>0</v>
      </c>
      <c r="H154" s="213"/>
      <c r="I154" s="247"/>
      <c r="J154" s="221">
        <f>J153*0.09</f>
        <v>0</v>
      </c>
      <c r="K154" s="213"/>
      <c r="L154" s="259"/>
      <c r="M154" s="221">
        <f>M153*0.09</f>
        <v>0</v>
      </c>
      <c r="N154" s="213"/>
      <c r="O154" s="247"/>
      <c r="P154" s="221">
        <f>P153*0.09</f>
        <v>0</v>
      </c>
      <c r="Q154" s="213"/>
      <c r="R154" s="247"/>
      <c r="S154" s="221">
        <f>S153*0.09</f>
        <v>0</v>
      </c>
      <c r="T154" s="213"/>
      <c r="U154" s="185">
        <f>SUM(G154:S154)</f>
        <v>0</v>
      </c>
    </row>
    <row r="155" spans="1:21" hidden="1" x14ac:dyDescent="0.15">
      <c r="A155" s="258" t="s">
        <v>45</v>
      </c>
      <c r="C155" s="258"/>
      <c r="D155" s="274"/>
      <c r="F155" s="273"/>
      <c r="G155" s="266">
        <f>SUM(G151:G154)</f>
        <v>0</v>
      </c>
      <c r="H155" s="265"/>
      <c r="I155" s="258"/>
      <c r="J155" s="268">
        <f>SUM(J151:J154)</f>
        <v>0</v>
      </c>
      <c r="K155" s="265"/>
      <c r="L155" s="258"/>
      <c r="M155" s="268">
        <f>SUM(M151:M154)</f>
        <v>0</v>
      </c>
      <c r="N155" s="265"/>
      <c r="O155" s="258"/>
      <c r="P155" s="266">
        <f>SUM(P151:P154)</f>
        <v>0</v>
      </c>
      <c r="Q155" s="265"/>
      <c r="R155" s="258"/>
      <c r="S155" s="266">
        <f>SUM(S151:S154)</f>
        <v>0</v>
      </c>
      <c r="T155" s="264"/>
      <c r="U155" s="269">
        <f>SUM(U151:U154)</f>
        <v>0</v>
      </c>
    </row>
    <row r="156" spans="1:21" ht="14" thickBot="1" x14ac:dyDescent="0.2">
      <c r="A156" s="75" t="s">
        <v>92</v>
      </c>
      <c r="B156" s="147"/>
      <c r="C156" s="258"/>
      <c r="D156" s="274"/>
      <c r="F156" s="273"/>
      <c r="G156" s="267">
        <f>G131+G125+G137+G143+G149+G155+G132</f>
        <v>3879.8</v>
      </c>
      <c r="H156" s="265"/>
      <c r="I156" s="258"/>
      <c r="J156" s="267">
        <f>J131+J125+J137+J143+J149+J155+J132</f>
        <v>3961.4799999999991</v>
      </c>
      <c r="K156" s="265"/>
      <c r="L156" s="258"/>
      <c r="M156" s="267">
        <f>M131+M125+M137+M143+M149+M155+M132</f>
        <v>4045.2019999999993</v>
      </c>
      <c r="N156" s="265"/>
      <c r="O156" s="258"/>
      <c r="P156" s="267">
        <f>P131+P125+P137+P143+P149+P155+P132</f>
        <v>0</v>
      </c>
      <c r="Q156" s="265"/>
      <c r="R156" s="258"/>
      <c r="S156" s="267">
        <f>S131+S125+S137+S143+S149+S155+S132</f>
        <v>0</v>
      </c>
      <c r="T156" s="114"/>
      <c r="U156" s="183">
        <f>SUM(G156:S156)</f>
        <v>11886.481999999998</v>
      </c>
    </row>
    <row r="157" spans="1:21" ht="6" customHeight="1" thickTop="1" x14ac:dyDescent="0.15">
      <c r="A157" s="210"/>
      <c r="B157" s="149"/>
      <c r="C157" s="265"/>
      <c r="D157" s="265"/>
      <c r="E157" s="265"/>
      <c r="F157" s="265"/>
      <c r="G157" s="265"/>
      <c r="H157" s="265"/>
      <c r="I157" s="265"/>
      <c r="J157" s="265"/>
      <c r="K157" s="265"/>
      <c r="L157" s="265"/>
      <c r="M157" s="265"/>
      <c r="N157" s="265"/>
      <c r="O157" s="265"/>
      <c r="P157" s="265"/>
      <c r="Q157" s="265"/>
      <c r="R157" s="265"/>
      <c r="S157" s="265"/>
      <c r="T157" s="88"/>
      <c r="U157" s="88"/>
    </row>
    <row r="158" spans="1:21" x14ac:dyDescent="0.15">
      <c r="A158" s="200"/>
      <c r="B158" s="253" t="s">
        <v>131</v>
      </c>
      <c r="C158" s="276" t="s">
        <v>27</v>
      </c>
      <c r="D158" s="276" t="s">
        <v>118</v>
      </c>
      <c r="E158" s="258" t="s">
        <v>110</v>
      </c>
      <c r="F158" s="192" t="s">
        <v>29</v>
      </c>
      <c r="G158" s="200" t="s">
        <v>73</v>
      </c>
      <c r="H158" s="237"/>
      <c r="I158" s="192" t="s">
        <v>29</v>
      </c>
      <c r="J158" s="276" t="s">
        <v>75</v>
      </c>
      <c r="K158" s="235"/>
      <c r="L158" s="192" t="s">
        <v>29</v>
      </c>
      <c r="M158" s="187" t="s">
        <v>76</v>
      </c>
      <c r="N158" s="209"/>
      <c r="O158" s="192" t="s">
        <v>29</v>
      </c>
      <c r="P158" s="187" t="s">
        <v>77</v>
      </c>
      <c r="Q158" s="209"/>
      <c r="R158" s="192" t="s">
        <v>29</v>
      </c>
      <c r="S158" s="187" t="s">
        <v>77</v>
      </c>
      <c r="T158" s="209"/>
      <c r="U158" s="233" t="s">
        <v>132</v>
      </c>
    </row>
    <row r="159" spans="1:21" x14ac:dyDescent="0.15">
      <c r="A159" s="200"/>
      <c r="B159" s="253"/>
      <c r="C159" s="276"/>
      <c r="D159" s="276"/>
      <c r="E159" s="258"/>
      <c r="F159" s="192"/>
      <c r="G159" s="200"/>
      <c r="H159" s="237"/>
      <c r="I159" s="192"/>
      <c r="J159" s="276"/>
      <c r="K159" s="235"/>
      <c r="L159" s="192"/>
      <c r="M159" s="187"/>
      <c r="N159" s="209"/>
      <c r="O159" s="192"/>
      <c r="P159" s="187"/>
      <c r="Q159" s="209"/>
      <c r="R159" s="192"/>
      <c r="S159" s="187"/>
      <c r="T159" s="209"/>
      <c r="U159" s="233"/>
    </row>
    <row r="160" spans="1:21" x14ac:dyDescent="0.15">
      <c r="A160" s="201" t="s">
        <v>93</v>
      </c>
      <c r="B160" s="176"/>
      <c r="C160" s="205">
        <v>0</v>
      </c>
      <c r="D160" s="217">
        <v>0</v>
      </c>
      <c r="E160" s="176" t="s">
        <v>112</v>
      </c>
      <c r="F160" s="218">
        <v>0</v>
      </c>
      <c r="G160" s="221">
        <f>F160*C160</f>
        <v>0</v>
      </c>
      <c r="H160" s="213"/>
      <c r="I160" s="218">
        <v>0</v>
      </c>
      <c r="J160" s="195">
        <f>(I160*C160)*(1+$D$160)</f>
        <v>0</v>
      </c>
      <c r="K160" s="208"/>
      <c r="L160" s="218">
        <v>0</v>
      </c>
      <c r="M160" s="195">
        <f>(L160*C160)*((1+$D$160)*(1+$D$160))</f>
        <v>0</v>
      </c>
      <c r="N160" s="208"/>
      <c r="O160" s="218">
        <v>0</v>
      </c>
      <c r="P160" s="195">
        <f>(O160*C160)*((1+$D$160)*(1+$D$160)*(1+$D$160))</f>
        <v>0</v>
      </c>
      <c r="Q160" s="208"/>
      <c r="R160" s="218">
        <v>0</v>
      </c>
      <c r="S160" s="195">
        <f>(R160*F160)*((1+$D$160)*(1+$D$160)*(1+$D$160))</f>
        <v>0</v>
      </c>
      <c r="T160" s="208"/>
      <c r="U160" s="234">
        <f>S160+P160+M160+J160+G160</f>
        <v>0</v>
      </c>
    </row>
    <row r="161" spans="1:21" x14ac:dyDescent="0.15">
      <c r="A161" s="202" t="s">
        <v>111</v>
      </c>
      <c r="C161" s="250"/>
      <c r="D161" s="246"/>
      <c r="E161" s="251"/>
      <c r="F161" s="275" t="s">
        <v>109</v>
      </c>
      <c r="G161" s="225">
        <f>IF(E160="Full Time",G160*0.31,G160*".09")</f>
        <v>0</v>
      </c>
      <c r="H161" s="238"/>
      <c r="I161" s="252"/>
      <c r="J161" s="225">
        <f>IF(E160="Full Time",J160*0.3,J160*".09")</f>
        <v>0</v>
      </c>
      <c r="K161" s="238"/>
      <c r="L161" s="252"/>
      <c r="M161" s="229">
        <f>IF(E160="Full Time",M160*0.3,M160*".09")</f>
        <v>0</v>
      </c>
      <c r="N161" s="238"/>
      <c r="O161" s="252"/>
      <c r="P161" s="232">
        <f>IF(E160="Full Time",P160*0.3,P160*".09")</f>
        <v>0</v>
      </c>
      <c r="Q161" s="238"/>
      <c r="R161" s="252"/>
      <c r="S161" s="232">
        <f>IF(H160="Full Time",S160*0.3,S160*".09")</f>
        <v>0</v>
      </c>
      <c r="T161" s="214"/>
      <c r="U161" s="261">
        <f>SUM(G161:S161)</f>
        <v>0</v>
      </c>
    </row>
    <row r="162" spans="1:21" x14ac:dyDescent="0.15">
      <c r="A162" s="203" t="s">
        <v>115</v>
      </c>
      <c r="C162" s="250"/>
      <c r="D162" s="248"/>
      <c r="E162" s="251"/>
      <c r="F162" s="272" t="s">
        <v>107</v>
      </c>
      <c r="G162" s="226">
        <f>SUM(G160:G161)</f>
        <v>0</v>
      </c>
      <c r="H162" s="239"/>
      <c r="I162" s="252"/>
      <c r="J162" s="226">
        <f>SUM(J160:J161)</f>
        <v>0</v>
      </c>
      <c r="K162" s="239"/>
      <c r="L162" s="252"/>
      <c r="M162" s="230">
        <f>SUM(M160:M161)</f>
        <v>0</v>
      </c>
      <c r="N162" s="239"/>
      <c r="O162" s="252"/>
      <c r="P162" s="227">
        <f t="shared" ref="P162" si="0">SUM(P160:P161)</f>
        <v>0</v>
      </c>
      <c r="Q162" s="239"/>
      <c r="R162" s="252"/>
      <c r="S162" s="227">
        <f t="shared" ref="S162" si="1">SUM(S160:S161)</f>
        <v>0</v>
      </c>
      <c r="T162" s="215"/>
      <c r="U162" s="269">
        <f>SUM(G162:S162)</f>
        <v>0</v>
      </c>
    </row>
    <row r="163" spans="1:21" x14ac:dyDescent="0.15">
      <c r="A163" s="203"/>
      <c r="C163" s="250"/>
      <c r="D163" s="248"/>
      <c r="E163" s="251"/>
      <c r="F163" s="137"/>
      <c r="G163" s="121"/>
      <c r="H163" s="239"/>
      <c r="I163" s="252"/>
      <c r="J163" s="121"/>
      <c r="K163" s="239"/>
      <c r="L163" s="252"/>
      <c r="M163" s="124"/>
      <c r="N163" s="239"/>
      <c r="O163" s="252"/>
      <c r="P163" s="125"/>
      <c r="Q163" s="239"/>
      <c r="R163" s="252"/>
      <c r="S163" s="125"/>
      <c r="T163" s="216"/>
      <c r="U163" s="185"/>
    </row>
    <row r="164" spans="1:21" x14ac:dyDescent="0.15">
      <c r="A164" s="260" t="s">
        <v>113</v>
      </c>
      <c r="B164" s="176"/>
      <c r="C164" s="205">
        <v>0</v>
      </c>
      <c r="D164" s="217">
        <v>0</v>
      </c>
      <c r="E164" s="194" t="s">
        <v>112</v>
      </c>
      <c r="F164" s="118">
        <v>0</v>
      </c>
      <c r="G164" s="221">
        <f>F164*C164</f>
        <v>0</v>
      </c>
      <c r="H164" s="213"/>
      <c r="I164" s="218">
        <v>0</v>
      </c>
      <c r="J164" s="195">
        <f>(I164*C164)*(1+$D$164)</f>
        <v>0</v>
      </c>
      <c r="K164" s="208"/>
      <c r="L164" s="218">
        <v>0</v>
      </c>
      <c r="M164" s="195">
        <f>(L164*C164)*((1+$D$164)*(1+$D$164))</f>
        <v>0</v>
      </c>
      <c r="N164" s="208"/>
      <c r="O164" s="218">
        <v>0</v>
      </c>
      <c r="P164" s="195">
        <f>(O164*C164)*((1+$D$164)*(1+$D$164)*(1+$D$164))</f>
        <v>0</v>
      </c>
      <c r="Q164" s="208"/>
      <c r="R164" s="218">
        <v>0</v>
      </c>
      <c r="S164" s="195">
        <f>(R164*F164)*((1+$D$164)*(1+$D$164)*(1+$D$164))</f>
        <v>0</v>
      </c>
      <c r="T164" s="208"/>
      <c r="U164" s="234">
        <f>S164+P164+M164+J164+G164</f>
        <v>0</v>
      </c>
    </row>
    <row r="165" spans="1:21" hidden="1" x14ac:dyDescent="0.15">
      <c r="A165" s="202" t="s">
        <v>114</v>
      </c>
      <c r="C165" s="250"/>
      <c r="D165" s="248"/>
      <c r="E165" s="251"/>
      <c r="F165" s="247"/>
      <c r="G165" s="225">
        <f>IF(E164="Full Time",G164*0.31,G164*".09")</f>
        <v>0</v>
      </c>
      <c r="H165" s="238"/>
      <c r="I165" s="252"/>
      <c r="J165" s="225">
        <f>IF(E164="Full Time",J164*0.3,J164*".09")</f>
        <v>0</v>
      </c>
      <c r="K165" s="238"/>
      <c r="L165" s="252"/>
      <c r="M165" s="229">
        <f>IF(E164="Full Time",M164*0.3,M164*".09")</f>
        <v>0</v>
      </c>
      <c r="N165" s="238"/>
      <c r="O165" s="252"/>
      <c r="P165" s="232">
        <f>IF(E164="Full Time",P164*0.3,P164*".09")</f>
        <v>0</v>
      </c>
      <c r="Q165" s="238"/>
      <c r="R165" s="252"/>
      <c r="S165" s="232">
        <f>IF(H164="Full Time",S164*0.3,S164*".09")</f>
        <v>0</v>
      </c>
      <c r="T165" s="214"/>
      <c r="U165" s="185">
        <f>SUM(G165:S165)</f>
        <v>0</v>
      </c>
    </row>
    <row r="166" spans="1:21" hidden="1" x14ac:dyDescent="0.15">
      <c r="A166" s="258" t="s">
        <v>116</v>
      </c>
      <c r="C166" s="250"/>
      <c r="D166" s="148"/>
      <c r="E166" s="251"/>
      <c r="F166" s="247"/>
      <c r="G166" s="226">
        <f>SUM(G164:G165)</f>
        <v>0</v>
      </c>
      <c r="H166" s="239"/>
      <c r="I166" s="252"/>
      <c r="J166" s="226">
        <f>SUM(J164:J165)</f>
        <v>0</v>
      </c>
      <c r="K166" s="239"/>
      <c r="L166" s="252"/>
      <c r="M166" s="230">
        <f>SUM(M164:M165)</f>
        <v>0</v>
      </c>
      <c r="N166" s="239"/>
      <c r="O166" s="252"/>
      <c r="P166" s="227">
        <f t="shared" ref="P166" si="2">SUM(P164:P165)</f>
        <v>0</v>
      </c>
      <c r="Q166" s="239"/>
      <c r="R166" s="252"/>
      <c r="S166" s="227">
        <f t="shared" ref="S166" si="3">SUM(S164:S165)</f>
        <v>0</v>
      </c>
      <c r="T166" s="215"/>
      <c r="U166" s="269">
        <f>SUM(G166:S166)</f>
        <v>0</v>
      </c>
    </row>
    <row r="167" spans="1:21" hidden="1" x14ac:dyDescent="0.15">
      <c r="A167" s="258"/>
      <c r="C167" s="250"/>
      <c r="D167" s="246"/>
      <c r="E167" s="251"/>
      <c r="F167" s="138"/>
      <c r="G167" s="121"/>
      <c r="H167" s="239"/>
      <c r="I167" s="252"/>
      <c r="J167" s="121"/>
      <c r="K167" s="239"/>
      <c r="L167" s="252"/>
      <c r="M167" s="124"/>
      <c r="N167" s="239"/>
      <c r="O167" s="252"/>
      <c r="P167" s="125"/>
      <c r="Q167" s="239"/>
      <c r="R167" s="252"/>
      <c r="S167" s="125"/>
      <c r="T167" s="216"/>
      <c r="U167" s="185"/>
    </row>
    <row r="168" spans="1:21" hidden="1" x14ac:dyDescent="0.15">
      <c r="A168" s="260" t="s">
        <v>20</v>
      </c>
      <c r="B168" s="176"/>
      <c r="C168" s="205">
        <v>0</v>
      </c>
      <c r="D168" s="217">
        <v>0</v>
      </c>
      <c r="E168" s="194" t="s">
        <v>112</v>
      </c>
      <c r="F168" s="118">
        <v>0</v>
      </c>
      <c r="G168" s="221">
        <f>F168*C168</f>
        <v>0</v>
      </c>
      <c r="H168" s="213"/>
      <c r="I168" s="218">
        <v>0</v>
      </c>
      <c r="J168" s="195">
        <f>(I168*C168)*(1+D168)</f>
        <v>0</v>
      </c>
      <c r="K168" s="208"/>
      <c r="L168" s="218">
        <v>0</v>
      </c>
      <c r="M168" s="195">
        <f>(L168*C168)*(1+D168*2)</f>
        <v>0</v>
      </c>
      <c r="N168" s="208"/>
      <c r="O168" s="218">
        <v>0</v>
      </c>
      <c r="P168" s="195">
        <f>(O168*C168)*(1+D168*3)</f>
        <v>0</v>
      </c>
      <c r="Q168" s="208"/>
      <c r="R168" s="218">
        <v>0</v>
      </c>
      <c r="S168" s="195">
        <f>(R168*F168)*(1+G168*3)</f>
        <v>0</v>
      </c>
      <c r="T168" s="208"/>
      <c r="U168" s="234">
        <f>S168+P168+M168+J168+G168</f>
        <v>0</v>
      </c>
    </row>
    <row r="169" spans="1:21" hidden="1" x14ac:dyDescent="0.15">
      <c r="A169" s="197" t="s">
        <v>21</v>
      </c>
      <c r="C169" s="250"/>
      <c r="D169" s="140"/>
      <c r="E169" s="251"/>
      <c r="F169" s="247"/>
      <c r="G169" s="225">
        <f>IF(E168="Full Time",G168*0.31,G168*".09")</f>
        <v>0</v>
      </c>
      <c r="H169" s="238"/>
      <c r="I169" s="252"/>
      <c r="J169" s="225">
        <f>IF(E168="Full Time",J168*0.3,J168*".09")</f>
        <v>0</v>
      </c>
      <c r="K169" s="238"/>
      <c r="L169" s="252"/>
      <c r="M169" s="229">
        <f>IF(E168="Full Time",M168*0.3,M168*".09")</f>
        <v>0</v>
      </c>
      <c r="N169" s="238"/>
      <c r="O169" s="252"/>
      <c r="P169" s="232">
        <f>IF(E168="Full Time",P168*0.3,P168*".09")</f>
        <v>0</v>
      </c>
      <c r="Q169" s="238"/>
      <c r="R169" s="252"/>
      <c r="S169" s="232">
        <f>IF(H168="Full Time",S168*0.3,S168*".09")</f>
        <v>0</v>
      </c>
      <c r="T169" s="214"/>
      <c r="U169" s="185">
        <f>SUM(G169:S169)</f>
        <v>0</v>
      </c>
    </row>
    <row r="170" spans="1:21" hidden="1" x14ac:dyDescent="0.15">
      <c r="A170" s="258" t="s">
        <v>22</v>
      </c>
      <c r="C170" s="250"/>
      <c r="D170" s="246"/>
      <c r="E170" s="251"/>
      <c r="F170" s="138"/>
      <c r="G170" s="226">
        <f>SUM(G168:G169)</f>
        <v>0</v>
      </c>
      <c r="H170" s="239"/>
      <c r="I170" s="252"/>
      <c r="J170" s="226">
        <f>SUM(J168:J169)</f>
        <v>0</v>
      </c>
      <c r="K170" s="239"/>
      <c r="L170" s="252"/>
      <c r="M170" s="230">
        <f>SUM(M168:M169)</f>
        <v>0</v>
      </c>
      <c r="N170" s="239"/>
      <c r="O170" s="252"/>
      <c r="P170" s="227">
        <f t="shared" ref="P170" si="4">SUM(P168:P169)</f>
        <v>0</v>
      </c>
      <c r="Q170" s="239"/>
      <c r="R170" s="252"/>
      <c r="S170" s="227">
        <f t="shared" ref="S170" si="5">SUM(S168:S169)</f>
        <v>0</v>
      </c>
      <c r="T170" s="215"/>
      <c r="U170" s="269">
        <f>SUM(G170:S170)</f>
        <v>0</v>
      </c>
    </row>
    <row r="171" spans="1:21" hidden="1" x14ac:dyDescent="0.15">
      <c r="A171" s="258"/>
      <c r="C171" s="250"/>
      <c r="D171" s="246"/>
      <c r="E171" s="251"/>
      <c r="F171" s="138"/>
      <c r="G171" s="121"/>
      <c r="H171" s="239"/>
      <c r="I171" s="252"/>
      <c r="J171" s="121"/>
      <c r="K171" s="239"/>
      <c r="L171" s="252"/>
      <c r="M171" s="124"/>
      <c r="N171" s="239"/>
      <c r="O171" s="252"/>
      <c r="P171" s="125"/>
      <c r="Q171" s="239"/>
      <c r="R171" s="252"/>
      <c r="S171" s="125"/>
      <c r="T171" s="216"/>
      <c r="U171" s="185"/>
    </row>
    <row r="172" spans="1:21" hidden="1" x14ac:dyDescent="0.15">
      <c r="A172" s="260" t="s">
        <v>23</v>
      </c>
      <c r="B172" s="176"/>
      <c r="C172" s="205">
        <v>0</v>
      </c>
      <c r="D172" s="224">
        <v>0</v>
      </c>
      <c r="E172" s="194" t="s">
        <v>112</v>
      </c>
      <c r="F172" s="222">
        <v>0</v>
      </c>
      <c r="G172" s="221">
        <f>F172*C172</f>
        <v>0</v>
      </c>
      <c r="H172" s="213"/>
      <c r="I172" s="218">
        <v>0</v>
      </c>
      <c r="J172" s="195">
        <f>(I172*C172)*(1+D172)</f>
        <v>0</v>
      </c>
      <c r="K172" s="208"/>
      <c r="L172" s="218">
        <v>0</v>
      </c>
      <c r="M172" s="195">
        <f>(L172*C172)*(1+D172*2)</f>
        <v>0</v>
      </c>
      <c r="N172" s="208"/>
      <c r="O172" s="218">
        <v>0</v>
      </c>
      <c r="P172" s="195">
        <f>(O172*C172)*(1+D172*3)</f>
        <v>0</v>
      </c>
      <c r="Q172" s="208"/>
      <c r="R172" s="218">
        <v>0</v>
      </c>
      <c r="S172" s="195">
        <f>(R172*F172)*(1+G172*3)</f>
        <v>0</v>
      </c>
      <c r="T172" s="208"/>
      <c r="U172" s="234">
        <f>S172+P172+M172+J172+G172</f>
        <v>0</v>
      </c>
    </row>
    <row r="173" spans="1:21" hidden="1" x14ac:dyDescent="0.15">
      <c r="A173" s="197" t="s">
        <v>24</v>
      </c>
      <c r="C173" s="250"/>
      <c r="D173" s="248"/>
      <c r="E173" s="251"/>
      <c r="F173" s="247"/>
      <c r="G173" s="225">
        <f>IF(E172="Full Time",G172*0.31,G172*".09")</f>
        <v>0</v>
      </c>
      <c r="H173" s="238"/>
      <c r="I173" s="252"/>
      <c r="J173" s="225">
        <f>IF(E172="Full Time",J172*0.3,J172*".09")</f>
        <v>0</v>
      </c>
      <c r="K173" s="238"/>
      <c r="L173" s="252"/>
      <c r="M173" s="229">
        <f>IF(E172="Full Time",M172*0.3,M172*".09")</f>
        <v>0</v>
      </c>
      <c r="N173" s="238"/>
      <c r="O173" s="252"/>
      <c r="P173" s="225">
        <f>IF(E172="Full Time",P172*0.3,P172*".09")</f>
        <v>0</v>
      </c>
      <c r="Q173" s="238"/>
      <c r="R173" s="252"/>
      <c r="S173" s="225">
        <f>IF(H172="Full Time",S172*0.3,S172*".09")</f>
        <v>0</v>
      </c>
      <c r="T173" s="214"/>
      <c r="U173" s="185">
        <f>SUM(G173:S173)</f>
        <v>0</v>
      </c>
    </row>
    <row r="174" spans="1:21" hidden="1" x14ac:dyDescent="0.15">
      <c r="A174" s="258" t="s">
        <v>25</v>
      </c>
      <c r="C174" s="251"/>
      <c r="D174" s="248"/>
      <c r="E174" s="251"/>
      <c r="F174" s="247"/>
      <c r="G174" s="227">
        <f>SUM(G172:G173)</f>
        <v>0</v>
      </c>
      <c r="H174" s="216"/>
      <c r="I174" s="252"/>
      <c r="J174" s="227">
        <f>SUM(J172:J173)</f>
        <v>0</v>
      </c>
      <c r="K174" s="216"/>
      <c r="L174" s="252"/>
      <c r="M174" s="231">
        <f>SUM(M172:M173)</f>
        <v>0</v>
      </c>
      <c r="N174" s="216"/>
      <c r="O174" s="252"/>
      <c r="P174" s="227">
        <f t="shared" ref="P174" si="6">SUM(P172:P173)</f>
        <v>0</v>
      </c>
      <c r="Q174" s="216"/>
      <c r="R174" s="252"/>
      <c r="S174" s="227">
        <f t="shared" ref="S174" si="7">SUM(S172:S173)</f>
        <v>0</v>
      </c>
      <c r="T174" s="215"/>
      <c r="U174" s="269">
        <f>SUM(G174:S174)</f>
        <v>0</v>
      </c>
    </row>
    <row r="175" spans="1:21" hidden="1" x14ac:dyDescent="0.15">
      <c r="A175" s="258"/>
      <c r="C175" s="251"/>
      <c r="D175" s="248"/>
      <c r="E175" s="251"/>
      <c r="F175" s="247"/>
      <c r="G175" s="125"/>
      <c r="H175" s="216"/>
      <c r="I175" s="252"/>
      <c r="J175" s="125"/>
      <c r="K175" s="216"/>
      <c r="L175" s="252"/>
      <c r="M175" s="256"/>
      <c r="N175" s="216"/>
      <c r="O175" s="252"/>
      <c r="P175" s="125"/>
      <c r="Q175" s="216"/>
      <c r="R175" s="252"/>
      <c r="S175" s="125"/>
      <c r="T175" s="216"/>
      <c r="U175" s="234"/>
    </row>
    <row r="176" spans="1:21" hidden="1" x14ac:dyDescent="0.15">
      <c r="A176" s="242" t="s">
        <v>101</v>
      </c>
      <c r="B176" s="176"/>
      <c r="C176" s="205">
        <v>0</v>
      </c>
      <c r="D176" s="217">
        <v>0</v>
      </c>
      <c r="E176" s="176" t="s">
        <v>112</v>
      </c>
      <c r="F176" s="218">
        <v>0</v>
      </c>
      <c r="G176" s="221">
        <f>F176*C176</f>
        <v>0</v>
      </c>
      <c r="H176" s="213"/>
      <c r="I176" s="218">
        <v>0</v>
      </c>
      <c r="J176" s="195">
        <f>(I176*C176)*(1+D176)</f>
        <v>0</v>
      </c>
      <c r="K176" s="208"/>
      <c r="L176" s="218">
        <v>0</v>
      </c>
      <c r="M176" s="195">
        <f>(L176*C176)*(1+D176*2)</f>
        <v>0</v>
      </c>
      <c r="N176" s="208"/>
      <c r="O176" s="218">
        <v>0</v>
      </c>
      <c r="P176" s="195">
        <f>(O176*C176)*(1+D176*3)</f>
        <v>0</v>
      </c>
      <c r="Q176" s="208"/>
      <c r="R176" s="218">
        <v>0</v>
      </c>
      <c r="S176" s="195">
        <f>(R176*F176)*(1+G176*3)</f>
        <v>0</v>
      </c>
      <c r="T176" s="208"/>
      <c r="U176" s="234">
        <f>S176+P176+M176+J176+G176</f>
        <v>0</v>
      </c>
    </row>
    <row r="177" spans="1:21" hidden="1" x14ac:dyDescent="0.15">
      <c r="A177" s="197" t="s">
        <v>102</v>
      </c>
      <c r="C177" s="250"/>
      <c r="D177" s="246"/>
      <c r="E177" s="251"/>
      <c r="F177" s="245"/>
      <c r="G177" s="225">
        <f>IF(E176="Full Time",G176*0.31,G176*".09")</f>
        <v>0</v>
      </c>
      <c r="H177" s="238"/>
      <c r="I177" s="252"/>
      <c r="J177" s="225">
        <f>IF(E176="Full Time",J176*0.3,J176*".09")</f>
        <v>0</v>
      </c>
      <c r="K177" s="238"/>
      <c r="L177" s="252"/>
      <c r="M177" s="229">
        <f>IF(E176="Full Time",M176*0.3,M176*".09")</f>
        <v>0</v>
      </c>
      <c r="N177" s="238"/>
      <c r="O177" s="252"/>
      <c r="P177" s="232">
        <f>IF(E176="Full Time",P176*0.3,P176*".09")</f>
        <v>0</v>
      </c>
      <c r="Q177" s="238"/>
      <c r="R177" s="252"/>
      <c r="S177" s="232">
        <f>IF(H176="Full Time",S176*0.3,S176*".09")</f>
        <v>0</v>
      </c>
      <c r="T177" s="214"/>
      <c r="U177" s="261">
        <f>SUM(G177:S177)</f>
        <v>0</v>
      </c>
    </row>
    <row r="178" spans="1:21" hidden="1" x14ac:dyDescent="0.15">
      <c r="A178" s="203" t="s">
        <v>103</v>
      </c>
      <c r="C178" s="250"/>
      <c r="D178" s="248"/>
      <c r="E178" s="251"/>
      <c r="F178" s="247"/>
      <c r="G178" s="226">
        <f>SUM(G176:G177)</f>
        <v>0</v>
      </c>
      <c r="H178" s="239"/>
      <c r="I178" s="252"/>
      <c r="J178" s="226">
        <f>SUM(J176:J177)</f>
        <v>0</v>
      </c>
      <c r="K178" s="239"/>
      <c r="L178" s="252"/>
      <c r="M178" s="230">
        <f>SUM(M176:M177)</f>
        <v>0</v>
      </c>
      <c r="N178" s="239"/>
      <c r="O178" s="252"/>
      <c r="P178" s="227">
        <f t="shared" ref="P178" si="8">SUM(P176:P177)</f>
        <v>0</v>
      </c>
      <c r="Q178" s="239"/>
      <c r="R178" s="252"/>
      <c r="S178" s="227">
        <f t="shared" ref="S178" si="9">SUM(S176:S177)</f>
        <v>0</v>
      </c>
      <c r="T178" s="215"/>
      <c r="U178" s="269">
        <f>SUM(G178:S178)</f>
        <v>0</v>
      </c>
    </row>
    <row r="179" spans="1:21" hidden="1" x14ac:dyDescent="0.15">
      <c r="A179" s="203"/>
      <c r="C179" s="250"/>
      <c r="D179" s="248"/>
      <c r="E179" s="251"/>
      <c r="F179" s="247"/>
      <c r="G179" s="121"/>
      <c r="H179" s="239"/>
      <c r="I179" s="252"/>
      <c r="J179" s="121"/>
      <c r="K179" s="239"/>
      <c r="L179" s="252"/>
      <c r="M179" s="124"/>
      <c r="N179" s="239"/>
      <c r="O179" s="252"/>
      <c r="P179" s="125"/>
      <c r="Q179" s="239"/>
      <c r="R179" s="252"/>
      <c r="S179" s="125"/>
      <c r="T179" s="216"/>
      <c r="U179" s="234"/>
    </row>
    <row r="180" spans="1:21" hidden="1" x14ac:dyDescent="0.15">
      <c r="A180" s="260" t="s">
        <v>104</v>
      </c>
      <c r="B180" s="176"/>
      <c r="C180" s="205">
        <v>0</v>
      </c>
      <c r="D180" s="224">
        <v>0</v>
      </c>
      <c r="E180" s="194" t="s">
        <v>112</v>
      </c>
      <c r="F180" s="222">
        <v>0</v>
      </c>
      <c r="G180" s="221">
        <f>F180*C180</f>
        <v>0</v>
      </c>
      <c r="H180" s="213"/>
      <c r="I180" s="218">
        <v>0</v>
      </c>
      <c r="J180" s="195">
        <f>(I180*C180)*(1+D180)</f>
        <v>0</v>
      </c>
      <c r="K180" s="208"/>
      <c r="L180" s="218">
        <v>0</v>
      </c>
      <c r="M180" s="195">
        <f>(L180*C180)*(1+D180*2)</f>
        <v>0</v>
      </c>
      <c r="N180" s="208"/>
      <c r="O180" s="218">
        <v>0</v>
      </c>
      <c r="P180" s="195">
        <f>(O180*C180)*(1+D180*3)</f>
        <v>0</v>
      </c>
      <c r="Q180" s="208"/>
      <c r="R180" s="218">
        <v>0</v>
      </c>
      <c r="S180" s="195">
        <f>(R180*F180)*(1+G180*3)</f>
        <v>0</v>
      </c>
      <c r="T180" s="208"/>
      <c r="U180" s="234">
        <f>S180+P180+M180+J180+G180</f>
        <v>0</v>
      </c>
    </row>
    <row r="181" spans="1:21" hidden="1" x14ac:dyDescent="0.15">
      <c r="A181" s="197" t="s">
        <v>105</v>
      </c>
      <c r="C181" s="250"/>
      <c r="D181" s="248"/>
      <c r="E181" s="251"/>
      <c r="F181" s="247"/>
      <c r="G181" s="225">
        <f>IF(E180="Full Time",G180*0.31,G180*".09")</f>
        <v>0</v>
      </c>
      <c r="H181" s="238"/>
      <c r="I181" s="252"/>
      <c r="J181" s="225">
        <f>IF(E180="Full Time",J180*0.3,J180*".09")</f>
        <v>0</v>
      </c>
      <c r="K181" s="238"/>
      <c r="L181" s="252"/>
      <c r="M181" s="229">
        <f>IF(E180="Full Time",M180*0.3,M180*".09")</f>
        <v>0</v>
      </c>
      <c r="N181" s="238"/>
      <c r="O181" s="252"/>
      <c r="P181" s="225">
        <f>IF(E180="Full Time",P180*0.3,P180*".09")</f>
        <v>0</v>
      </c>
      <c r="Q181" s="238"/>
      <c r="R181" s="252"/>
      <c r="S181" s="225">
        <f>IF(H180="Full Time",S180*0.3,S180*".09")</f>
        <v>0</v>
      </c>
      <c r="T181" s="214"/>
      <c r="U181" s="185">
        <f>SUM(G181:S181)</f>
        <v>0</v>
      </c>
    </row>
    <row r="182" spans="1:21" hidden="1" x14ac:dyDescent="0.15">
      <c r="A182" s="258" t="s">
        <v>106</v>
      </c>
      <c r="C182" s="251"/>
      <c r="D182" s="248"/>
      <c r="E182" s="251"/>
      <c r="F182" s="247"/>
      <c r="G182" s="227">
        <f>SUM(G180:G181)</f>
        <v>0</v>
      </c>
      <c r="H182" s="216"/>
      <c r="I182" s="252"/>
      <c r="J182" s="227">
        <f>SUM(J180:J181)</f>
        <v>0</v>
      </c>
      <c r="K182" s="216"/>
      <c r="L182" s="252"/>
      <c r="M182" s="231">
        <f>SUM(M180:M181)</f>
        <v>0</v>
      </c>
      <c r="N182" s="216"/>
      <c r="O182" s="252"/>
      <c r="P182" s="227">
        <f t="shared" ref="P182" si="10">SUM(P180:P181)</f>
        <v>0</v>
      </c>
      <c r="Q182" s="216"/>
      <c r="R182" s="252"/>
      <c r="S182" s="227">
        <f t="shared" ref="S182" si="11">SUM(S180:S181)</f>
        <v>0</v>
      </c>
      <c r="T182" s="215"/>
      <c r="U182" s="269">
        <f>SUM(G182:S182)</f>
        <v>0</v>
      </c>
    </row>
    <row r="183" spans="1:21" ht="14" thickBot="1" x14ac:dyDescent="0.2">
      <c r="A183" s="76" t="s">
        <v>117</v>
      </c>
      <c r="C183" s="251"/>
      <c r="D183" s="248"/>
      <c r="E183" s="251"/>
      <c r="F183" s="247"/>
      <c r="G183" s="228">
        <f>SUM(G162+G166+G170+G174+G178+G182)</f>
        <v>0</v>
      </c>
      <c r="H183" s="216"/>
      <c r="I183" s="252"/>
      <c r="J183" s="228">
        <f>SUM(J162+J166+J170+J174+J178+J182)</f>
        <v>0</v>
      </c>
      <c r="K183" s="216"/>
      <c r="L183" s="252"/>
      <c r="M183" s="228">
        <f>SUM(M162+M166+M170+M174+M178+M182)</f>
        <v>0</v>
      </c>
      <c r="N183" s="216"/>
      <c r="O183" s="252"/>
      <c r="P183" s="228">
        <f>SUM(P162+P166+P170+P174+P178+P182)</f>
        <v>0</v>
      </c>
      <c r="Q183" s="216"/>
      <c r="R183" s="252"/>
      <c r="S183" s="228">
        <f>SUM(S162+S166+S170+S174+S178+S182)</f>
        <v>0</v>
      </c>
      <c r="T183" s="116"/>
      <c r="U183" s="183">
        <f>SUM(G183:S183)</f>
        <v>0</v>
      </c>
    </row>
    <row r="184" spans="1:21" ht="14" thickTop="1" x14ac:dyDescent="0.15">
      <c r="D184" s="248"/>
      <c r="E184" s="250"/>
      <c r="F184" s="247"/>
      <c r="L184" s="310"/>
    </row>
    <row r="185" spans="1:21" x14ac:dyDescent="0.15">
      <c r="A185" s="258"/>
      <c r="B185" s="258"/>
      <c r="C185" s="258"/>
      <c r="D185" s="248"/>
      <c r="E185" s="259"/>
      <c r="F185" s="247"/>
      <c r="G185" s="122"/>
      <c r="H185" s="122"/>
      <c r="I185" s="122"/>
      <c r="J185" s="204"/>
      <c r="K185" s="204"/>
      <c r="L185" s="204"/>
      <c r="M185" s="204"/>
      <c r="N185" s="204"/>
      <c r="O185" s="204"/>
      <c r="P185" s="204"/>
      <c r="Q185" s="204"/>
      <c r="R185" s="204"/>
      <c r="S185" s="204"/>
      <c r="T185" s="204"/>
      <c r="U185" s="257"/>
    </row>
    <row r="186" spans="1:21" x14ac:dyDescent="0.15">
      <c r="A186" s="258"/>
      <c r="D186" s="311"/>
      <c r="E186" s="257"/>
      <c r="F186" s="247"/>
      <c r="G186" s="204"/>
      <c r="H186" s="204"/>
      <c r="I186" s="204"/>
      <c r="J186" s="204"/>
      <c r="K186" s="204"/>
      <c r="L186" s="204"/>
      <c r="M186" s="204"/>
      <c r="N186" s="204"/>
      <c r="O186" s="204"/>
      <c r="P186" s="204"/>
      <c r="Q186" s="204"/>
      <c r="R186" s="204"/>
      <c r="S186" s="204"/>
      <c r="T186" s="204"/>
      <c r="U186" s="257"/>
    </row>
    <row r="187" spans="1:21" x14ac:dyDescent="0.15">
      <c r="D187" s="249"/>
      <c r="E187" s="257"/>
      <c r="F187" s="247"/>
      <c r="G187" s="204"/>
      <c r="H187" s="204"/>
      <c r="I187" s="204"/>
      <c r="J187" s="204"/>
      <c r="K187" s="204"/>
      <c r="L187" s="204"/>
      <c r="M187" s="204"/>
      <c r="N187" s="204"/>
      <c r="O187" s="204"/>
      <c r="P187" s="204"/>
      <c r="Q187" s="204"/>
      <c r="R187" s="204"/>
      <c r="S187" s="204"/>
      <c r="T187" s="204"/>
      <c r="U187" s="257"/>
    </row>
    <row r="188" spans="1:21" x14ac:dyDescent="0.15">
      <c r="D188" s="249"/>
      <c r="E188" s="257"/>
      <c r="F188" s="247"/>
      <c r="G188" s="204"/>
      <c r="H188" s="204"/>
      <c r="I188" s="204"/>
      <c r="J188" s="204"/>
      <c r="K188" s="204"/>
      <c r="L188" s="204"/>
      <c r="M188" s="204"/>
      <c r="N188" s="204"/>
      <c r="O188" s="204"/>
      <c r="P188" s="204"/>
      <c r="Q188" s="204"/>
      <c r="R188" s="204"/>
      <c r="S188" s="204"/>
      <c r="T188" s="204"/>
      <c r="U188" s="257"/>
    </row>
    <row r="189" spans="1:21" x14ac:dyDescent="0.15">
      <c r="D189" s="274"/>
      <c r="E189" s="257"/>
      <c r="F189" s="247"/>
      <c r="G189" s="204"/>
      <c r="H189" s="204"/>
      <c r="I189" s="204"/>
      <c r="J189" s="204"/>
      <c r="K189" s="204"/>
      <c r="L189" s="204"/>
      <c r="M189" s="204"/>
      <c r="N189" s="204"/>
      <c r="O189" s="204"/>
      <c r="P189" s="204"/>
      <c r="Q189" s="204"/>
      <c r="R189" s="204"/>
      <c r="S189" s="204"/>
      <c r="T189" s="204"/>
      <c r="U189" s="257"/>
    </row>
    <row r="190" spans="1:21" x14ac:dyDescent="0.15">
      <c r="D190" s="274"/>
      <c r="E190" s="257"/>
      <c r="F190" s="247"/>
      <c r="G190" s="204"/>
      <c r="H190" s="204"/>
      <c r="I190" s="204"/>
      <c r="J190" s="204"/>
      <c r="K190" s="204"/>
      <c r="L190" s="204"/>
      <c r="M190" s="204"/>
      <c r="N190" s="204"/>
      <c r="O190" s="204"/>
      <c r="P190" s="204"/>
      <c r="Q190" s="204"/>
      <c r="R190" s="204"/>
      <c r="S190" s="204"/>
      <c r="T190" s="204"/>
      <c r="U190" s="257"/>
    </row>
    <row r="191" spans="1:21" x14ac:dyDescent="0.15">
      <c r="D191" s="274"/>
      <c r="E191" s="257"/>
      <c r="F191" s="247"/>
      <c r="G191" s="204"/>
      <c r="H191" s="204"/>
      <c r="I191" s="204"/>
      <c r="J191" s="204"/>
      <c r="K191" s="204"/>
      <c r="L191" s="204"/>
      <c r="M191" s="204"/>
      <c r="N191" s="204"/>
      <c r="O191" s="204"/>
      <c r="P191" s="204"/>
      <c r="Q191" s="204"/>
      <c r="R191" s="204"/>
      <c r="S191" s="204"/>
      <c r="T191" s="204"/>
      <c r="U191" s="257"/>
    </row>
    <row r="192" spans="1:21" x14ac:dyDescent="0.15">
      <c r="E192" s="257"/>
      <c r="F192" s="204"/>
      <c r="G192" s="204"/>
      <c r="H192" s="204"/>
      <c r="I192" s="204"/>
      <c r="J192" s="204"/>
      <c r="K192" s="204"/>
      <c r="L192" s="204"/>
      <c r="M192" s="204"/>
      <c r="N192" s="204"/>
      <c r="O192" s="204"/>
      <c r="P192" s="204"/>
      <c r="Q192" s="204"/>
      <c r="R192" s="204"/>
      <c r="S192" s="204"/>
      <c r="T192" s="204"/>
      <c r="U192" s="257"/>
    </row>
    <row r="193" spans="1:21" x14ac:dyDescent="0.15">
      <c r="E193" s="257"/>
      <c r="F193" s="204"/>
      <c r="G193" s="204"/>
      <c r="H193" s="204"/>
      <c r="I193" s="204"/>
      <c r="J193" s="204"/>
      <c r="K193" s="204"/>
      <c r="L193" s="204"/>
      <c r="M193" s="204"/>
      <c r="N193" s="204"/>
      <c r="O193" s="204"/>
      <c r="P193" s="204"/>
      <c r="Q193" s="204"/>
      <c r="R193" s="204"/>
      <c r="S193" s="204"/>
      <c r="T193" s="204"/>
      <c r="U193" s="257"/>
    </row>
    <row r="194" spans="1:21" x14ac:dyDescent="0.15">
      <c r="E194" s="257"/>
      <c r="F194" s="204"/>
      <c r="G194" s="204"/>
      <c r="H194" s="204"/>
      <c r="I194" s="204"/>
      <c r="J194" s="204"/>
      <c r="K194" s="204"/>
      <c r="L194" s="204"/>
      <c r="M194" s="204"/>
      <c r="N194" s="204"/>
      <c r="O194" s="204"/>
      <c r="P194" s="204"/>
      <c r="Q194" s="204"/>
      <c r="R194" s="204"/>
      <c r="S194" s="204"/>
      <c r="T194" s="204"/>
      <c r="U194" s="257"/>
    </row>
    <row r="195" spans="1:21" x14ac:dyDescent="0.15">
      <c r="E195" s="257"/>
      <c r="F195" s="204"/>
      <c r="G195" s="204"/>
      <c r="H195" s="204"/>
      <c r="I195" s="204"/>
      <c r="J195" s="204"/>
      <c r="K195" s="204"/>
      <c r="L195" s="204"/>
      <c r="M195" s="204"/>
      <c r="N195" s="204"/>
      <c r="O195" s="204"/>
      <c r="P195" s="204"/>
      <c r="Q195" s="204"/>
      <c r="R195" s="204"/>
      <c r="S195" s="204"/>
      <c r="T195" s="204"/>
      <c r="U195" s="257"/>
    </row>
    <row r="196" spans="1:21" x14ac:dyDescent="0.15">
      <c r="A196" s="258"/>
      <c r="E196" s="257"/>
      <c r="F196" s="204"/>
      <c r="G196" s="204"/>
      <c r="H196" s="204"/>
      <c r="I196" s="204"/>
      <c r="J196" s="204"/>
      <c r="K196" s="204"/>
      <c r="L196" s="204"/>
      <c r="M196" s="204"/>
      <c r="N196" s="204"/>
      <c r="O196" s="204"/>
      <c r="P196" s="204"/>
      <c r="Q196" s="204"/>
      <c r="R196" s="204"/>
      <c r="S196" s="204"/>
      <c r="T196" s="204"/>
      <c r="U196" s="257"/>
    </row>
    <row r="197" spans="1:21" x14ac:dyDescent="0.15">
      <c r="E197" s="257"/>
      <c r="F197" s="204"/>
      <c r="G197" s="204"/>
      <c r="H197" s="204"/>
      <c r="I197" s="204"/>
      <c r="J197" s="204"/>
      <c r="K197" s="204"/>
      <c r="L197" s="204"/>
      <c r="M197" s="204"/>
      <c r="N197" s="204"/>
      <c r="O197" s="204"/>
      <c r="P197" s="204"/>
      <c r="Q197" s="204"/>
      <c r="R197" s="204"/>
      <c r="S197" s="204"/>
      <c r="T197" s="204"/>
      <c r="U197" s="257"/>
    </row>
    <row r="198" spans="1:21" x14ac:dyDescent="0.15">
      <c r="E198" s="257"/>
      <c r="F198" s="204"/>
      <c r="G198" s="204"/>
      <c r="H198" s="204"/>
      <c r="I198" s="204"/>
      <c r="J198" s="204"/>
      <c r="K198" s="204"/>
      <c r="L198" s="204"/>
      <c r="M198" s="204"/>
      <c r="N198" s="204"/>
      <c r="O198" s="204"/>
      <c r="P198" s="204"/>
      <c r="Q198" s="204"/>
      <c r="R198" s="204"/>
      <c r="S198" s="204"/>
      <c r="T198" s="204"/>
      <c r="U198" s="257"/>
    </row>
    <row r="199" spans="1:21" x14ac:dyDescent="0.15">
      <c r="E199" s="257"/>
      <c r="F199" s="204"/>
      <c r="G199" s="204"/>
      <c r="H199" s="204"/>
      <c r="I199" s="204"/>
      <c r="J199" s="204"/>
      <c r="K199" s="204"/>
      <c r="L199" s="204"/>
      <c r="M199" s="204"/>
      <c r="N199" s="204"/>
      <c r="O199" s="204"/>
      <c r="P199" s="204"/>
      <c r="Q199" s="204"/>
      <c r="R199" s="204"/>
      <c r="S199" s="204"/>
      <c r="T199" s="204"/>
      <c r="U199" s="257"/>
    </row>
    <row r="200" spans="1:21" x14ac:dyDescent="0.15">
      <c r="E200" s="257"/>
      <c r="F200" s="204"/>
      <c r="G200" s="204"/>
      <c r="H200" s="204"/>
      <c r="I200" s="204"/>
      <c r="J200" s="204"/>
      <c r="K200" s="204"/>
      <c r="L200" s="204"/>
      <c r="M200" s="204"/>
      <c r="N200" s="204"/>
      <c r="O200" s="204"/>
      <c r="P200" s="204"/>
      <c r="Q200" s="204"/>
      <c r="R200" s="204"/>
      <c r="S200" s="204"/>
      <c r="T200" s="204"/>
      <c r="U200" s="257"/>
    </row>
    <row r="201" spans="1:21" x14ac:dyDescent="0.15">
      <c r="E201" s="257"/>
      <c r="F201" s="204"/>
      <c r="G201" s="204"/>
      <c r="H201" s="204"/>
      <c r="I201" s="204"/>
      <c r="J201" s="204"/>
      <c r="K201" s="204"/>
      <c r="L201" s="204"/>
      <c r="M201" s="204"/>
      <c r="N201" s="204"/>
      <c r="O201" s="204"/>
      <c r="P201" s="204"/>
      <c r="Q201" s="204"/>
      <c r="R201" s="204"/>
      <c r="S201" s="204"/>
      <c r="T201" s="204"/>
      <c r="U201" s="257"/>
    </row>
    <row r="202" spans="1:21" x14ac:dyDescent="0.15">
      <c r="E202" s="257"/>
      <c r="F202" s="204"/>
      <c r="G202" s="204"/>
      <c r="H202" s="204"/>
      <c r="I202" s="204"/>
      <c r="J202" s="204"/>
      <c r="K202" s="204"/>
      <c r="L202" s="204"/>
      <c r="M202" s="204"/>
      <c r="N202" s="204"/>
      <c r="O202" s="204"/>
      <c r="P202" s="204"/>
      <c r="Q202" s="204"/>
      <c r="R202" s="204"/>
      <c r="S202" s="204"/>
      <c r="T202" s="204"/>
      <c r="U202" s="257"/>
    </row>
    <row r="203" spans="1:21" x14ac:dyDescent="0.15">
      <c r="A203" s="258"/>
      <c r="E203" s="257"/>
      <c r="F203" s="204"/>
      <c r="G203" s="204"/>
      <c r="H203" s="204"/>
      <c r="I203" s="204"/>
      <c r="J203" s="204"/>
      <c r="K203" s="204"/>
      <c r="L203" s="204"/>
      <c r="M203" s="204"/>
      <c r="N203" s="204"/>
      <c r="O203" s="204"/>
      <c r="P203" s="204"/>
      <c r="Q203" s="204"/>
      <c r="R203" s="204"/>
      <c r="S203" s="204"/>
      <c r="T203" s="204"/>
      <c r="U203" s="257"/>
    </row>
    <row r="204" spans="1:21" x14ac:dyDescent="0.15">
      <c r="A204" s="258"/>
      <c r="E204" s="257"/>
      <c r="F204" s="204"/>
      <c r="G204" s="204"/>
      <c r="H204" s="204"/>
      <c r="I204" s="204"/>
      <c r="J204" s="204"/>
      <c r="K204" s="204"/>
      <c r="L204" s="204"/>
      <c r="M204" s="204"/>
      <c r="N204" s="204"/>
      <c r="O204" s="204"/>
      <c r="P204" s="204"/>
      <c r="Q204" s="204"/>
      <c r="R204" s="204"/>
      <c r="S204" s="204"/>
      <c r="T204" s="204"/>
      <c r="U204" s="257"/>
    </row>
    <row r="205" spans="1:21" x14ac:dyDescent="0.15">
      <c r="E205" s="257"/>
      <c r="F205" s="204"/>
      <c r="G205" s="204"/>
      <c r="H205" s="204"/>
      <c r="I205" s="204"/>
      <c r="J205" s="204"/>
      <c r="K205" s="204"/>
      <c r="L205" s="204"/>
      <c r="M205" s="204"/>
      <c r="N205" s="204"/>
      <c r="O205" s="204"/>
      <c r="P205" s="204"/>
      <c r="Q205" s="204"/>
      <c r="R205" s="204"/>
      <c r="S205" s="204"/>
      <c r="T205" s="204"/>
      <c r="U205" s="257"/>
    </row>
    <row r="206" spans="1:21" x14ac:dyDescent="0.15">
      <c r="E206" s="257"/>
      <c r="F206" s="204"/>
      <c r="G206" s="204"/>
      <c r="H206" s="204"/>
      <c r="I206" s="204"/>
      <c r="J206" s="204"/>
      <c r="K206" s="204"/>
      <c r="L206" s="204"/>
      <c r="M206" s="204"/>
      <c r="N206" s="204"/>
      <c r="O206" s="204"/>
      <c r="P206" s="204"/>
      <c r="Q206" s="204"/>
      <c r="R206" s="204"/>
      <c r="S206" s="204"/>
      <c r="T206" s="204"/>
      <c r="U206" s="257"/>
    </row>
    <row r="207" spans="1:21" x14ac:dyDescent="0.15">
      <c r="E207" s="257"/>
      <c r="F207" s="204"/>
      <c r="G207" s="204"/>
      <c r="H207" s="204"/>
      <c r="I207" s="204"/>
      <c r="J207" s="204"/>
      <c r="K207" s="204"/>
      <c r="L207" s="204"/>
      <c r="M207" s="204"/>
      <c r="N207" s="204"/>
      <c r="O207" s="204"/>
      <c r="P207" s="204"/>
      <c r="Q207" s="204"/>
      <c r="R207" s="204"/>
      <c r="S207" s="204"/>
      <c r="T207" s="204"/>
      <c r="U207" s="257"/>
    </row>
    <row r="208" spans="1:21" x14ac:dyDescent="0.15">
      <c r="E208" s="257"/>
      <c r="F208" s="204"/>
      <c r="G208" s="204"/>
      <c r="H208" s="204"/>
      <c r="I208" s="204"/>
      <c r="J208" s="204"/>
      <c r="K208" s="204"/>
      <c r="L208" s="204"/>
      <c r="M208" s="204"/>
      <c r="N208" s="204"/>
      <c r="O208" s="204"/>
      <c r="P208" s="204"/>
      <c r="Q208" s="204"/>
      <c r="R208" s="204"/>
      <c r="S208" s="204"/>
      <c r="T208" s="204"/>
      <c r="U208" s="257"/>
    </row>
    <row r="209" spans="1:21" x14ac:dyDescent="0.15">
      <c r="E209" s="257"/>
      <c r="F209" s="204"/>
      <c r="G209" s="204"/>
      <c r="H209" s="204"/>
      <c r="I209" s="204"/>
      <c r="J209" s="204"/>
      <c r="K209" s="204"/>
      <c r="L209" s="204"/>
      <c r="M209" s="204"/>
      <c r="N209" s="204"/>
      <c r="O209" s="204"/>
      <c r="P209" s="204"/>
      <c r="Q209" s="204"/>
      <c r="R209" s="204"/>
      <c r="S209" s="204"/>
      <c r="T209" s="204"/>
      <c r="U209" s="257"/>
    </row>
    <row r="210" spans="1:21" x14ac:dyDescent="0.15">
      <c r="E210" s="257"/>
      <c r="F210" s="204"/>
      <c r="G210" s="204"/>
      <c r="H210" s="204"/>
      <c r="I210" s="204"/>
      <c r="J210" s="204"/>
      <c r="K210" s="204"/>
      <c r="L210" s="204"/>
      <c r="M210" s="204"/>
      <c r="N210" s="204"/>
      <c r="O210" s="204"/>
      <c r="P210" s="204"/>
      <c r="Q210" s="204"/>
      <c r="R210" s="204"/>
      <c r="S210" s="204"/>
      <c r="T210" s="204"/>
      <c r="U210" s="257"/>
    </row>
    <row r="211" spans="1:21" x14ac:dyDescent="0.15">
      <c r="E211" s="257"/>
      <c r="F211" s="204"/>
      <c r="G211" s="204"/>
      <c r="H211" s="204"/>
      <c r="I211" s="204"/>
      <c r="J211" s="204"/>
      <c r="K211" s="204"/>
      <c r="L211" s="204"/>
      <c r="M211" s="204"/>
      <c r="N211" s="204"/>
      <c r="O211" s="204"/>
      <c r="P211" s="204"/>
      <c r="Q211" s="204"/>
      <c r="R211" s="204"/>
      <c r="S211" s="204"/>
      <c r="T211" s="204"/>
      <c r="U211" s="257"/>
    </row>
    <row r="212" spans="1:21" x14ac:dyDescent="0.15">
      <c r="A212" s="258"/>
      <c r="E212" s="257"/>
      <c r="F212" s="204"/>
      <c r="G212" s="204"/>
      <c r="H212" s="204"/>
      <c r="I212" s="204"/>
      <c r="J212" s="204"/>
      <c r="K212" s="204"/>
      <c r="L212" s="204"/>
      <c r="M212" s="204"/>
      <c r="N212" s="204"/>
      <c r="O212" s="204"/>
      <c r="P212" s="204"/>
      <c r="Q212" s="204"/>
      <c r="R212" s="204"/>
      <c r="S212" s="204"/>
      <c r="T212" s="204"/>
      <c r="U212" s="257"/>
    </row>
    <row r="213" spans="1:21" x14ac:dyDescent="0.15">
      <c r="A213" s="258"/>
      <c r="E213" s="257"/>
      <c r="F213" s="204"/>
      <c r="G213" s="204"/>
      <c r="H213" s="204"/>
      <c r="I213" s="204"/>
      <c r="J213" s="204"/>
      <c r="K213" s="204"/>
      <c r="L213" s="204"/>
      <c r="M213" s="204"/>
      <c r="N213" s="204"/>
      <c r="O213" s="204"/>
      <c r="P213" s="204"/>
      <c r="Q213" s="204"/>
      <c r="R213" s="204"/>
      <c r="S213" s="204"/>
      <c r="T213" s="204"/>
      <c r="U213" s="257"/>
    </row>
    <row r="214" spans="1:21" x14ac:dyDescent="0.15">
      <c r="E214" s="257"/>
      <c r="F214" s="204"/>
      <c r="G214" s="204"/>
      <c r="H214" s="204"/>
      <c r="I214" s="204"/>
      <c r="J214" s="204"/>
      <c r="K214" s="204"/>
      <c r="L214" s="204"/>
      <c r="M214" s="204"/>
      <c r="N214" s="204"/>
      <c r="O214" s="204"/>
      <c r="P214" s="204"/>
      <c r="Q214" s="204"/>
      <c r="R214" s="204"/>
      <c r="S214" s="204"/>
      <c r="T214" s="204"/>
      <c r="U214" s="257"/>
    </row>
    <row r="215" spans="1:21" x14ac:dyDescent="0.15">
      <c r="E215" s="257"/>
      <c r="F215" s="204"/>
      <c r="G215" s="204"/>
      <c r="H215" s="204"/>
      <c r="I215" s="204"/>
      <c r="J215" s="204"/>
      <c r="K215" s="204"/>
      <c r="L215" s="204"/>
      <c r="M215" s="204"/>
      <c r="N215" s="204"/>
      <c r="O215" s="204"/>
      <c r="P215" s="204"/>
      <c r="Q215" s="204"/>
      <c r="R215" s="204"/>
      <c r="S215" s="204"/>
      <c r="T215" s="204"/>
      <c r="U215" s="257"/>
    </row>
    <row r="216" spans="1:21" x14ac:dyDescent="0.15">
      <c r="E216" s="257"/>
      <c r="F216" s="204"/>
      <c r="G216" s="204"/>
      <c r="H216" s="204"/>
      <c r="I216" s="204"/>
      <c r="J216" s="204"/>
      <c r="K216" s="204"/>
      <c r="L216" s="204"/>
      <c r="M216" s="204"/>
      <c r="N216" s="204"/>
      <c r="O216" s="204"/>
      <c r="P216" s="204"/>
      <c r="Q216" s="204"/>
      <c r="R216" s="204"/>
      <c r="S216" s="204"/>
      <c r="T216" s="204"/>
      <c r="U216" s="257"/>
    </row>
    <row r="217" spans="1:21" x14ac:dyDescent="0.15">
      <c r="E217" s="257"/>
      <c r="F217" s="204"/>
      <c r="G217" s="204"/>
      <c r="H217" s="204"/>
      <c r="I217" s="204"/>
      <c r="J217" s="204"/>
      <c r="K217" s="204"/>
      <c r="L217" s="204"/>
      <c r="M217" s="204"/>
      <c r="N217" s="204"/>
      <c r="O217" s="204"/>
      <c r="P217" s="204"/>
      <c r="Q217" s="204"/>
      <c r="R217" s="204"/>
      <c r="S217" s="204"/>
      <c r="T217" s="204"/>
      <c r="U217" s="257"/>
    </row>
    <row r="218" spans="1:21" x14ac:dyDescent="0.15">
      <c r="E218" s="257"/>
      <c r="F218" s="204"/>
      <c r="G218" s="204"/>
      <c r="H218" s="204"/>
      <c r="I218" s="204"/>
      <c r="J218" s="204"/>
      <c r="K218" s="204"/>
      <c r="L218" s="204"/>
      <c r="M218" s="204"/>
      <c r="N218" s="204"/>
      <c r="O218" s="204"/>
      <c r="P218" s="204"/>
      <c r="Q218" s="204"/>
      <c r="R218" s="204"/>
      <c r="S218" s="204"/>
      <c r="T218" s="204"/>
      <c r="U218" s="257"/>
    </row>
    <row r="219" spans="1:21" x14ac:dyDescent="0.15">
      <c r="E219" s="257"/>
      <c r="F219" s="204"/>
      <c r="G219" s="204"/>
      <c r="H219" s="204"/>
      <c r="I219" s="204"/>
      <c r="J219" s="204"/>
      <c r="K219" s="204"/>
      <c r="L219" s="204"/>
      <c r="M219" s="204"/>
      <c r="N219" s="204"/>
      <c r="O219" s="204"/>
      <c r="P219" s="204"/>
      <c r="Q219" s="204"/>
      <c r="R219" s="204"/>
      <c r="S219" s="204"/>
      <c r="T219" s="204"/>
      <c r="U219" s="257"/>
    </row>
    <row r="220" spans="1:21" x14ac:dyDescent="0.15">
      <c r="A220" s="258"/>
      <c r="E220" s="257"/>
      <c r="F220" s="204"/>
      <c r="G220" s="204"/>
      <c r="H220" s="204"/>
      <c r="I220" s="204"/>
      <c r="J220" s="204"/>
      <c r="K220" s="204"/>
      <c r="L220" s="204"/>
      <c r="M220" s="204"/>
      <c r="N220" s="204"/>
      <c r="O220" s="204"/>
      <c r="P220" s="204"/>
      <c r="Q220" s="204"/>
      <c r="R220" s="204"/>
      <c r="S220" s="204"/>
      <c r="T220" s="204"/>
      <c r="U220" s="257"/>
    </row>
    <row r="221" spans="1:21" x14ac:dyDescent="0.15">
      <c r="E221" s="257"/>
      <c r="F221" s="204"/>
      <c r="G221" s="204"/>
      <c r="H221" s="204"/>
      <c r="I221" s="204"/>
      <c r="J221" s="204"/>
      <c r="K221" s="204"/>
      <c r="L221" s="204"/>
      <c r="M221" s="204"/>
      <c r="N221" s="204"/>
      <c r="O221" s="204"/>
      <c r="P221" s="204"/>
      <c r="Q221" s="204"/>
      <c r="R221" s="204"/>
      <c r="S221" s="204"/>
      <c r="T221" s="204"/>
      <c r="U221" s="257"/>
    </row>
    <row r="222" spans="1:21" x14ac:dyDescent="0.15">
      <c r="E222" s="257"/>
      <c r="F222" s="204"/>
      <c r="G222" s="204"/>
      <c r="H222" s="204"/>
      <c r="I222" s="204"/>
      <c r="J222" s="204"/>
      <c r="K222" s="204"/>
      <c r="L222" s="204"/>
      <c r="M222" s="204"/>
      <c r="N222" s="204"/>
      <c r="O222" s="204"/>
      <c r="P222" s="204"/>
      <c r="Q222" s="204"/>
      <c r="R222" s="204"/>
      <c r="S222" s="204"/>
      <c r="T222" s="204"/>
      <c r="U222" s="257"/>
    </row>
    <row r="223" spans="1:21" x14ac:dyDescent="0.15">
      <c r="A223" s="77"/>
    </row>
  </sheetData>
  <phoneticPr fontId="21" type="noConversion"/>
  <dataValidations count="2">
    <dataValidation type="list" allowBlank="1" showInputMessage="1" showErrorMessage="1" sqref="E160 E180 E176 E164 E168 E172" xr:uid="{00000000-0002-0000-0100-000000000000}">
      <formula1>$AJ$26:$AJ$27</formula1>
    </dataValidation>
    <dataValidation type="list" allowBlank="1" showInputMessage="1" showErrorMessage="1" sqref="F78 E41:E46 E57 E52:E54 E3:E4 E49 E12 E17:E22 E28:E30 E36:E38" xr:uid="{00000000-0002-0000-0100-000001000000}">
      <formula1>$AI$25:$AI$27</formula1>
    </dataValidation>
  </dataValidations>
  <pageMargins left="0.25" right="0.25" top="0.75" bottom="0.75" header="0.3" footer="0.3"/>
  <pageSetup orientation="portrait"/>
  <headerFooter alignWithMargins="0">
    <oddHeader>&amp;LBlue Cells require manual data entry.  White cells are auto-fill.</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1034" r:id="rId3" name="Button 10">
              <controlPr defaultSize="0" print="0" autoFill="0" autoPict="0" macro="[0]!addcopi2">
                <anchor moveWithCells="1" sizeWithCells="1">
                  <from>
                    <xdr:col>0</xdr:col>
                    <xdr:colOff>0</xdr:colOff>
                    <xdr:row>18</xdr:row>
                    <xdr:rowOff>0</xdr:rowOff>
                  </from>
                  <to>
                    <xdr:col>1</xdr:col>
                    <xdr:colOff>12700</xdr:colOff>
                    <xdr:row>19</xdr:row>
                    <xdr:rowOff>0</xdr:rowOff>
                  </to>
                </anchor>
              </controlPr>
            </control>
          </mc:Choice>
        </mc:AlternateContent>
        <mc:AlternateContent xmlns:mc="http://schemas.openxmlformats.org/markup-compatibility/2006">
          <mc:Choice Requires="x14">
            <control shapeId="1035" r:id="rId4" name="Button 11">
              <controlPr defaultSize="0" print="0" autoFill="0" autoPict="0" macro="[0]!addcopi3">
                <anchor moveWithCells="1" sizeWithCells="1">
                  <from>
                    <xdr:col>0</xdr:col>
                    <xdr:colOff>0</xdr:colOff>
                    <xdr:row>19</xdr:row>
                    <xdr:rowOff>0</xdr:rowOff>
                  </from>
                  <to>
                    <xdr:col>1</xdr:col>
                    <xdr:colOff>12700</xdr:colOff>
                    <xdr:row>19</xdr:row>
                    <xdr:rowOff>0</xdr:rowOff>
                  </to>
                </anchor>
              </controlPr>
            </control>
          </mc:Choice>
        </mc:AlternateContent>
        <mc:AlternateContent xmlns:mc="http://schemas.openxmlformats.org/markup-compatibility/2006">
          <mc:Choice Requires="x14">
            <control shapeId="1036" r:id="rId5" name="Button 12">
              <controlPr defaultSize="0" print="0" autoFill="0" autoPict="0" macro="[0]!addcopi4">
                <anchor moveWithCells="1" sizeWithCells="1">
                  <from>
                    <xdr:col>0</xdr:col>
                    <xdr:colOff>0</xdr:colOff>
                    <xdr:row>19</xdr:row>
                    <xdr:rowOff>0</xdr:rowOff>
                  </from>
                  <to>
                    <xdr:col>1</xdr:col>
                    <xdr:colOff>12700</xdr:colOff>
                    <xdr:row>19</xdr:row>
                    <xdr:rowOff>0</xdr:rowOff>
                  </to>
                </anchor>
              </controlPr>
            </control>
          </mc:Choice>
        </mc:AlternateContent>
        <mc:AlternateContent xmlns:mc="http://schemas.openxmlformats.org/markup-compatibility/2006">
          <mc:Choice Requires="x14">
            <control shapeId="1037" r:id="rId6" name="Button 13">
              <controlPr defaultSize="0" print="0" autoFill="0" autoPict="0" macro="[0]!addcopi5">
                <anchor moveWithCells="1" sizeWithCells="1">
                  <from>
                    <xdr:col>0</xdr:col>
                    <xdr:colOff>0</xdr:colOff>
                    <xdr:row>19</xdr:row>
                    <xdr:rowOff>0</xdr:rowOff>
                  </from>
                  <to>
                    <xdr:col>1</xdr:col>
                    <xdr:colOff>12700</xdr:colOff>
                    <xdr:row>19</xdr:row>
                    <xdr:rowOff>0</xdr:rowOff>
                  </to>
                </anchor>
              </controlPr>
            </control>
          </mc:Choice>
        </mc:AlternateContent>
        <mc:AlternateContent xmlns:mc="http://schemas.openxmlformats.org/markup-compatibility/2006">
          <mc:Choice Requires="x14">
            <control shapeId="1038" r:id="rId7" name="Button 14">
              <controlPr defaultSize="0" print="0" autoFill="0" autoPict="0" macro="[0]!addcopi6">
                <anchor moveWithCells="1" sizeWithCells="1">
                  <from>
                    <xdr:col>0</xdr:col>
                    <xdr:colOff>0</xdr:colOff>
                    <xdr:row>19</xdr:row>
                    <xdr:rowOff>0</xdr:rowOff>
                  </from>
                  <to>
                    <xdr:col>1</xdr:col>
                    <xdr:colOff>12700</xdr:colOff>
                    <xdr:row>19</xdr:row>
                    <xdr:rowOff>0</xdr:rowOff>
                  </to>
                </anchor>
              </controlPr>
            </control>
          </mc:Choice>
        </mc:AlternateContent>
        <mc:AlternateContent xmlns:mc="http://schemas.openxmlformats.org/markup-compatibility/2006">
          <mc:Choice Requires="x14">
            <control shapeId="1040" r:id="rId8" name="Button 16">
              <controlPr defaultSize="0" print="0" autoFill="0" autoPict="0" macro="[0]!addpostdoc2">
                <anchor moveWithCells="1" sizeWithCells="1">
                  <from>
                    <xdr:col>0</xdr:col>
                    <xdr:colOff>0</xdr:colOff>
                    <xdr:row>62</xdr:row>
                    <xdr:rowOff>0</xdr:rowOff>
                  </from>
                  <to>
                    <xdr:col>1</xdr:col>
                    <xdr:colOff>12700</xdr:colOff>
                    <xdr:row>62</xdr:row>
                    <xdr:rowOff>0</xdr:rowOff>
                  </to>
                </anchor>
              </controlPr>
            </control>
          </mc:Choice>
        </mc:AlternateContent>
        <mc:AlternateContent xmlns:mc="http://schemas.openxmlformats.org/markup-compatibility/2006">
          <mc:Choice Requires="x14">
            <control shapeId="1041" r:id="rId9" name="Button 17">
              <controlPr defaultSize="0" print="0" autoFill="0" autoPict="0" macro="[0]!addpostdoc3">
                <anchor moveWithCells="1" sizeWithCells="1">
                  <from>
                    <xdr:col>0</xdr:col>
                    <xdr:colOff>0</xdr:colOff>
                    <xdr:row>62</xdr:row>
                    <xdr:rowOff>0</xdr:rowOff>
                  </from>
                  <to>
                    <xdr:col>1</xdr:col>
                    <xdr:colOff>12700</xdr:colOff>
                    <xdr:row>62</xdr:row>
                    <xdr:rowOff>0</xdr:rowOff>
                  </to>
                </anchor>
              </controlPr>
            </control>
          </mc:Choice>
        </mc:AlternateContent>
        <mc:AlternateContent xmlns:mc="http://schemas.openxmlformats.org/markup-compatibility/2006">
          <mc:Choice Requires="x14">
            <control shapeId="1042" r:id="rId10" name="Button 18">
              <controlPr defaultSize="0" print="0" autoFill="0" autoPict="0" macro="[0]!addpostdoc4">
                <anchor moveWithCells="1" sizeWithCells="1">
                  <from>
                    <xdr:col>0</xdr:col>
                    <xdr:colOff>0</xdr:colOff>
                    <xdr:row>62</xdr:row>
                    <xdr:rowOff>0</xdr:rowOff>
                  </from>
                  <to>
                    <xdr:col>1</xdr:col>
                    <xdr:colOff>12700</xdr:colOff>
                    <xdr:row>62</xdr:row>
                    <xdr:rowOff>0</xdr:rowOff>
                  </to>
                </anchor>
              </controlPr>
            </control>
          </mc:Choice>
        </mc:AlternateContent>
        <mc:AlternateContent xmlns:mc="http://schemas.openxmlformats.org/markup-compatibility/2006">
          <mc:Choice Requires="x14">
            <control shapeId="1043" r:id="rId11" name="Button 19">
              <controlPr defaultSize="0" print="0" autoFill="0" autoPict="0" macro="[0]!addgrad1">
                <anchor moveWithCells="1" sizeWithCells="1">
                  <from>
                    <xdr:col>0</xdr:col>
                    <xdr:colOff>0</xdr:colOff>
                    <xdr:row>80</xdr:row>
                    <xdr:rowOff>0</xdr:rowOff>
                  </from>
                  <to>
                    <xdr:col>1</xdr:col>
                    <xdr:colOff>12700</xdr:colOff>
                    <xdr:row>81</xdr:row>
                    <xdr:rowOff>0</xdr:rowOff>
                  </to>
                </anchor>
              </controlPr>
            </control>
          </mc:Choice>
        </mc:AlternateContent>
        <mc:AlternateContent xmlns:mc="http://schemas.openxmlformats.org/markup-compatibility/2006">
          <mc:Choice Requires="x14">
            <control shapeId="1044" r:id="rId12" name="Button 20">
              <controlPr defaultSize="0" print="0" autoFill="0" autoPict="0" macro="[0]!addgrad2">
                <anchor moveWithCells="1" sizeWithCells="1">
                  <from>
                    <xdr:col>0</xdr:col>
                    <xdr:colOff>0</xdr:colOff>
                    <xdr:row>86</xdr:row>
                    <xdr:rowOff>0</xdr:rowOff>
                  </from>
                  <to>
                    <xdr:col>1</xdr:col>
                    <xdr:colOff>12700</xdr:colOff>
                    <xdr:row>87</xdr:row>
                    <xdr:rowOff>0</xdr:rowOff>
                  </to>
                </anchor>
              </controlPr>
            </control>
          </mc:Choice>
        </mc:AlternateContent>
        <mc:AlternateContent xmlns:mc="http://schemas.openxmlformats.org/markup-compatibility/2006">
          <mc:Choice Requires="x14">
            <control shapeId="1045" r:id="rId13" name="Button 21">
              <controlPr defaultSize="0" print="0" autoFill="0" autoPict="0" macro="[0]!addgrad3">
                <anchor moveWithCells="1" sizeWithCells="1">
                  <from>
                    <xdr:col>0</xdr:col>
                    <xdr:colOff>0</xdr:colOff>
                    <xdr:row>87</xdr:row>
                    <xdr:rowOff>0</xdr:rowOff>
                  </from>
                  <to>
                    <xdr:col>1</xdr:col>
                    <xdr:colOff>12700</xdr:colOff>
                    <xdr:row>87</xdr:row>
                    <xdr:rowOff>0</xdr:rowOff>
                  </to>
                </anchor>
              </controlPr>
            </control>
          </mc:Choice>
        </mc:AlternateContent>
        <mc:AlternateContent xmlns:mc="http://schemas.openxmlformats.org/markup-compatibility/2006">
          <mc:Choice Requires="x14">
            <control shapeId="1046" r:id="rId14" name="Button 22">
              <controlPr defaultSize="0" print="0" autoFill="0" autoPict="0" macro="[0]!addgrad4">
                <anchor moveWithCells="1" sizeWithCells="1">
                  <from>
                    <xdr:col>0</xdr:col>
                    <xdr:colOff>0</xdr:colOff>
                    <xdr:row>87</xdr:row>
                    <xdr:rowOff>0</xdr:rowOff>
                  </from>
                  <to>
                    <xdr:col>1</xdr:col>
                    <xdr:colOff>12700</xdr:colOff>
                    <xdr:row>87</xdr:row>
                    <xdr:rowOff>0</xdr:rowOff>
                  </to>
                </anchor>
              </controlPr>
            </control>
          </mc:Choice>
        </mc:AlternateContent>
        <mc:AlternateContent xmlns:mc="http://schemas.openxmlformats.org/markup-compatibility/2006">
          <mc:Choice Requires="x14">
            <control shapeId="1047" r:id="rId15" name="Button 23">
              <controlPr defaultSize="0" print="0" autoFill="0" autoPict="0" macro="[0]!addug1">
                <anchor moveWithCells="1" sizeWithCells="1">
                  <from>
                    <xdr:col>0</xdr:col>
                    <xdr:colOff>0</xdr:colOff>
                    <xdr:row>118</xdr:row>
                    <xdr:rowOff>114300</xdr:rowOff>
                  </from>
                  <to>
                    <xdr:col>1</xdr:col>
                    <xdr:colOff>12700</xdr:colOff>
                    <xdr:row>119</xdr:row>
                    <xdr:rowOff>114300</xdr:rowOff>
                  </to>
                </anchor>
              </controlPr>
            </control>
          </mc:Choice>
        </mc:AlternateContent>
        <mc:AlternateContent xmlns:mc="http://schemas.openxmlformats.org/markup-compatibility/2006">
          <mc:Choice Requires="x14">
            <control shapeId="1048" r:id="rId16" name="Button 24">
              <controlPr defaultSize="0" print="0" autoFill="0" autoPict="0" macro="[0]!addug2">
                <anchor moveWithCells="1" sizeWithCells="1">
                  <from>
                    <xdr:col>0</xdr:col>
                    <xdr:colOff>0</xdr:colOff>
                    <xdr:row>125</xdr:row>
                    <xdr:rowOff>0</xdr:rowOff>
                  </from>
                  <to>
                    <xdr:col>1</xdr:col>
                    <xdr:colOff>12700</xdr:colOff>
                    <xdr:row>126</xdr:row>
                    <xdr:rowOff>0</xdr:rowOff>
                  </to>
                </anchor>
              </controlPr>
            </control>
          </mc:Choice>
        </mc:AlternateContent>
        <mc:AlternateContent xmlns:mc="http://schemas.openxmlformats.org/markup-compatibility/2006">
          <mc:Choice Requires="x14">
            <control shapeId="1049" r:id="rId17" name="Button 25">
              <controlPr defaultSize="0" print="0" autoFill="0" autoPict="0" macro="[0]!addug3">
                <anchor moveWithCells="1" sizeWithCells="1">
                  <from>
                    <xdr:col>0</xdr:col>
                    <xdr:colOff>0</xdr:colOff>
                    <xdr:row>126</xdr:row>
                    <xdr:rowOff>0</xdr:rowOff>
                  </from>
                  <to>
                    <xdr:col>1</xdr:col>
                    <xdr:colOff>12700</xdr:colOff>
                    <xdr:row>126</xdr:row>
                    <xdr:rowOff>0</xdr:rowOff>
                  </to>
                </anchor>
              </controlPr>
            </control>
          </mc:Choice>
        </mc:AlternateContent>
        <mc:AlternateContent xmlns:mc="http://schemas.openxmlformats.org/markup-compatibility/2006">
          <mc:Choice Requires="x14">
            <control shapeId="1050" r:id="rId18" name="Button 26">
              <controlPr defaultSize="0" print="0" autoFill="0" autoPict="0" macro="[0]!addug4">
                <anchor moveWithCells="1" sizeWithCells="1">
                  <from>
                    <xdr:col>0</xdr:col>
                    <xdr:colOff>0</xdr:colOff>
                    <xdr:row>126</xdr:row>
                    <xdr:rowOff>0</xdr:rowOff>
                  </from>
                  <to>
                    <xdr:col>1</xdr:col>
                    <xdr:colOff>12700</xdr:colOff>
                    <xdr:row>126</xdr:row>
                    <xdr:rowOff>0</xdr:rowOff>
                  </to>
                </anchor>
              </controlPr>
            </control>
          </mc:Choice>
        </mc:AlternateContent>
        <mc:AlternateContent xmlns:mc="http://schemas.openxmlformats.org/markup-compatibility/2006">
          <mc:Choice Requires="x14">
            <control shapeId="1052" r:id="rId19" name="Button 28">
              <controlPr defaultSize="0" print="0" autoFill="0" autoPict="0" macro="[0]!addih2">
                <anchor moveWithCells="1" sizeWithCells="1">
                  <from>
                    <xdr:col>0</xdr:col>
                    <xdr:colOff>0</xdr:colOff>
                    <xdr:row>161</xdr:row>
                    <xdr:rowOff>114300</xdr:rowOff>
                  </from>
                  <to>
                    <xdr:col>1</xdr:col>
                    <xdr:colOff>12700</xdr:colOff>
                    <xdr:row>162</xdr:row>
                    <xdr:rowOff>114300</xdr:rowOff>
                  </to>
                </anchor>
              </controlPr>
            </control>
          </mc:Choice>
        </mc:AlternateContent>
        <mc:AlternateContent xmlns:mc="http://schemas.openxmlformats.org/markup-compatibility/2006">
          <mc:Choice Requires="x14">
            <control shapeId="1053" r:id="rId20" name="Button 29">
              <controlPr defaultSize="0" print="0" autoFill="0" autoPict="0" macro="[0]!addih3">
                <anchor moveWithCells="1" sizeWithCells="1">
                  <from>
                    <xdr:col>0</xdr:col>
                    <xdr:colOff>0</xdr:colOff>
                    <xdr:row>164</xdr:row>
                    <xdr:rowOff>0</xdr:rowOff>
                  </from>
                  <to>
                    <xdr:col>1</xdr:col>
                    <xdr:colOff>12700</xdr:colOff>
                    <xdr:row>164</xdr:row>
                    <xdr:rowOff>0</xdr:rowOff>
                  </to>
                </anchor>
              </controlPr>
            </control>
          </mc:Choice>
        </mc:AlternateContent>
        <mc:AlternateContent xmlns:mc="http://schemas.openxmlformats.org/markup-compatibility/2006">
          <mc:Choice Requires="x14">
            <control shapeId="1054" r:id="rId21" name="Button 30">
              <controlPr defaultSize="0" print="0" autoFill="0" autoPict="0" macro="[0]!addih4">
                <anchor moveWithCells="1" sizeWithCells="1">
                  <from>
                    <xdr:col>0</xdr:col>
                    <xdr:colOff>0</xdr:colOff>
                    <xdr:row>164</xdr:row>
                    <xdr:rowOff>0</xdr:rowOff>
                  </from>
                  <to>
                    <xdr:col>1</xdr:col>
                    <xdr:colOff>12700</xdr:colOff>
                    <xdr:row>164</xdr:row>
                    <xdr:rowOff>0</xdr:rowOff>
                  </to>
                </anchor>
              </controlPr>
            </control>
          </mc:Choice>
        </mc:AlternateContent>
        <mc:AlternateContent xmlns:mc="http://schemas.openxmlformats.org/markup-compatibility/2006">
          <mc:Choice Requires="x14">
            <control shapeId="1058" r:id="rId22" name="Button 34">
              <controlPr defaultSize="0" print="0" autoFill="0" autoPict="0" macro="[0]!AddYr5">
                <anchor moveWithCells="1" sizeWithCells="1">
                  <from>
                    <xdr:col>14</xdr:col>
                    <xdr:colOff>0</xdr:colOff>
                    <xdr:row>0</xdr:row>
                    <xdr:rowOff>342900</xdr:rowOff>
                  </from>
                  <to>
                    <xdr:col>14</xdr:col>
                    <xdr:colOff>0</xdr:colOff>
                    <xdr:row>1</xdr:row>
                    <xdr:rowOff>0</xdr:rowOff>
                  </to>
                </anchor>
              </controlPr>
            </control>
          </mc:Choice>
        </mc:AlternateContent>
        <mc:AlternateContent xmlns:mc="http://schemas.openxmlformats.org/markup-compatibility/2006">
          <mc:Choice Requires="x14">
            <control shapeId="1059" r:id="rId23" name="Button 35">
              <controlPr defaultSize="0" print="0" autoFill="0" autoPict="0" macro="[0]!addyr4">
                <anchor moveWithCells="1" sizeWithCells="1">
                  <from>
                    <xdr:col>12</xdr:col>
                    <xdr:colOff>25400</xdr:colOff>
                    <xdr:row>0</xdr:row>
                    <xdr:rowOff>330200</xdr:rowOff>
                  </from>
                  <to>
                    <xdr:col>13</xdr:col>
                    <xdr:colOff>0</xdr:colOff>
                    <xdr:row>0</xdr:row>
                    <xdr:rowOff>469900</xdr:rowOff>
                  </to>
                </anchor>
              </controlPr>
            </control>
          </mc:Choice>
        </mc:AlternateContent>
        <mc:AlternateContent xmlns:mc="http://schemas.openxmlformats.org/markup-compatibility/2006">
          <mc:Choice Requires="x14">
            <control shapeId="1060" r:id="rId24" name="Button 36">
              <controlPr defaultSize="0" print="0" autoFill="0" autoPict="0" macro="[0]!addyr3">
                <anchor moveWithCells="1" sizeWithCells="1">
                  <from>
                    <xdr:col>8</xdr:col>
                    <xdr:colOff>927100</xdr:colOff>
                    <xdr:row>0</xdr:row>
                    <xdr:rowOff>330200</xdr:rowOff>
                  </from>
                  <to>
                    <xdr:col>9</xdr:col>
                    <xdr:colOff>901700</xdr:colOff>
                    <xdr:row>0</xdr:row>
                    <xdr:rowOff>457200</xdr:rowOff>
                  </to>
                </anchor>
              </controlPr>
            </control>
          </mc:Choice>
        </mc:AlternateContent>
        <mc:AlternateContent xmlns:mc="http://schemas.openxmlformats.org/markup-compatibility/2006">
          <mc:Choice Requires="x14">
            <control shapeId="1061" r:id="rId25" name="Button 37">
              <controlPr defaultSize="0" print="0" autoFill="0" autoPict="0" macro="[0]!addyr2">
                <anchor moveWithCells="1" sizeWithCells="1">
                  <from>
                    <xdr:col>6</xdr:col>
                    <xdr:colOff>12700</xdr:colOff>
                    <xdr:row>0</xdr:row>
                    <xdr:rowOff>330200</xdr:rowOff>
                  </from>
                  <to>
                    <xdr:col>6</xdr:col>
                    <xdr:colOff>927100</xdr:colOff>
                    <xdr:row>0</xdr:row>
                    <xdr:rowOff>457200</xdr:rowOff>
                  </to>
                </anchor>
              </controlPr>
            </control>
          </mc:Choice>
        </mc:AlternateContent>
        <mc:AlternateContent xmlns:mc="http://schemas.openxmlformats.org/markup-compatibility/2006">
          <mc:Choice Requires="x14">
            <control shapeId="1067" r:id="rId26" name="Button 43">
              <controlPr defaultSize="0" print="0" autoFill="0" autoPict="0" macro="[0]!addpostdoc1">
                <anchor moveWithCells="1" sizeWithCells="1">
                  <from>
                    <xdr:col>0</xdr:col>
                    <xdr:colOff>0</xdr:colOff>
                    <xdr:row>59</xdr:row>
                    <xdr:rowOff>0</xdr:rowOff>
                  </from>
                  <to>
                    <xdr:col>1</xdr:col>
                    <xdr:colOff>12700</xdr:colOff>
                    <xdr:row>60</xdr:row>
                    <xdr:rowOff>0</xdr:rowOff>
                  </to>
                </anchor>
              </controlPr>
            </control>
          </mc:Choice>
        </mc:AlternateContent>
        <mc:AlternateContent xmlns:mc="http://schemas.openxmlformats.org/markup-compatibility/2006">
          <mc:Choice Requires="x14">
            <control shapeId="1068" r:id="rId27" name="Button 44">
              <controlPr defaultSize="0" print="0" autoFill="0" autoPict="0" macro="[0]!addpostdoc5">
                <anchor moveWithCells="1" sizeWithCells="1">
                  <from>
                    <xdr:col>0</xdr:col>
                    <xdr:colOff>0</xdr:colOff>
                    <xdr:row>62</xdr:row>
                    <xdr:rowOff>0</xdr:rowOff>
                  </from>
                  <to>
                    <xdr:col>1</xdr:col>
                    <xdr:colOff>12700</xdr:colOff>
                    <xdr:row>62</xdr:row>
                    <xdr:rowOff>0</xdr:rowOff>
                  </to>
                </anchor>
              </controlPr>
            </control>
          </mc:Choice>
        </mc:AlternateContent>
        <mc:AlternateContent xmlns:mc="http://schemas.openxmlformats.org/markup-compatibility/2006">
          <mc:Choice Requires="x14">
            <control shapeId="1069" r:id="rId28" name="Button 45">
              <controlPr defaultSize="0" print="0" autoFill="0" autoPict="0" macro="[0]!addpostdoc6">
                <anchor moveWithCells="1" sizeWithCells="1">
                  <from>
                    <xdr:col>0</xdr:col>
                    <xdr:colOff>0</xdr:colOff>
                    <xdr:row>62</xdr:row>
                    <xdr:rowOff>0</xdr:rowOff>
                  </from>
                  <to>
                    <xdr:col>1</xdr:col>
                    <xdr:colOff>12700</xdr:colOff>
                    <xdr:row>62</xdr:row>
                    <xdr:rowOff>0</xdr:rowOff>
                  </to>
                </anchor>
              </controlPr>
            </control>
          </mc:Choice>
        </mc:AlternateContent>
        <mc:AlternateContent xmlns:mc="http://schemas.openxmlformats.org/markup-compatibility/2006">
          <mc:Choice Requires="x14">
            <control shapeId="1070" r:id="rId29" name="Button 46">
              <controlPr defaultSize="0" print="0" autoFill="0" autoPict="0" macro="[0]!addgrad5">
                <anchor moveWithCells="1" sizeWithCells="1">
                  <from>
                    <xdr:col>0</xdr:col>
                    <xdr:colOff>0</xdr:colOff>
                    <xdr:row>87</xdr:row>
                    <xdr:rowOff>0</xdr:rowOff>
                  </from>
                  <to>
                    <xdr:col>1</xdr:col>
                    <xdr:colOff>12700</xdr:colOff>
                    <xdr:row>87</xdr:row>
                    <xdr:rowOff>0</xdr:rowOff>
                  </to>
                </anchor>
              </controlPr>
            </control>
          </mc:Choice>
        </mc:AlternateContent>
        <mc:AlternateContent xmlns:mc="http://schemas.openxmlformats.org/markup-compatibility/2006">
          <mc:Choice Requires="x14">
            <control shapeId="1071" r:id="rId30" name="Button 47">
              <controlPr defaultSize="0" print="0" autoFill="0" autoPict="0" macro="[0]!addgrad6">
                <anchor moveWithCells="1" sizeWithCells="1">
                  <from>
                    <xdr:col>0</xdr:col>
                    <xdr:colOff>0</xdr:colOff>
                    <xdr:row>87</xdr:row>
                    <xdr:rowOff>0</xdr:rowOff>
                  </from>
                  <to>
                    <xdr:col>1</xdr:col>
                    <xdr:colOff>12700</xdr:colOff>
                    <xdr:row>87</xdr:row>
                    <xdr:rowOff>0</xdr:rowOff>
                  </to>
                </anchor>
              </controlPr>
            </control>
          </mc:Choice>
        </mc:AlternateContent>
        <mc:AlternateContent xmlns:mc="http://schemas.openxmlformats.org/markup-compatibility/2006">
          <mc:Choice Requires="x14">
            <control shapeId="1072" r:id="rId31" name="Button 48">
              <controlPr defaultSize="0" print="0" autoFill="0" autoPict="0" macro="[0]!addug5">
                <anchor moveWithCells="1" sizeWithCells="1">
                  <from>
                    <xdr:col>0</xdr:col>
                    <xdr:colOff>0</xdr:colOff>
                    <xdr:row>126</xdr:row>
                    <xdr:rowOff>0</xdr:rowOff>
                  </from>
                  <to>
                    <xdr:col>1</xdr:col>
                    <xdr:colOff>12700</xdr:colOff>
                    <xdr:row>126</xdr:row>
                    <xdr:rowOff>0</xdr:rowOff>
                  </to>
                </anchor>
              </controlPr>
            </control>
          </mc:Choice>
        </mc:AlternateContent>
        <mc:AlternateContent xmlns:mc="http://schemas.openxmlformats.org/markup-compatibility/2006">
          <mc:Choice Requires="x14">
            <control shapeId="1073" r:id="rId32" name="Button 49">
              <controlPr defaultSize="0" print="0" autoFill="0" autoPict="0" macro="[0]!addug6">
                <anchor moveWithCells="1" sizeWithCells="1">
                  <from>
                    <xdr:col>0</xdr:col>
                    <xdr:colOff>0</xdr:colOff>
                    <xdr:row>126</xdr:row>
                    <xdr:rowOff>0</xdr:rowOff>
                  </from>
                  <to>
                    <xdr:col>1</xdr:col>
                    <xdr:colOff>12700</xdr:colOff>
                    <xdr:row>126</xdr:row>
                    <xdr:rowOff>0</xdr:rowOff>
                  </to>
                </anchor>
              </controlPr>
            </control>
          </mc:Choice>
        </mc:AlternateContent>
        <mc:AlternateContent xmlns:mc="http://schemas.openxmlformats.org/markup-compatibility/2006">
          <mc:Choice Requires="x14">
            <control shapeId="1074" r:id="rId33" name="Button 50">
              <controlPr defaultSize="0" print="0" autoFill="0" autoPict="0" macro="[0]!addih1">
                <anchor moveWithCells="1" sizeWithCells="1">
                  <from>
                    <xdr:col>0</xdr:col>
                    <xdr:colOff>0</xdr:colOff>
                    <xdr:row>158</xdr:row>
                    <xdr:rowOff>0</xdr:rowOff>
                  </from>
                  <to>
                    <xdr:col>1</xdr:col>
                    <xdr:colOff>12700</xdr:colOff>
                    <xdr:row>159</xdr:row>
                    <xdr:rowOff>0</xdr:rowOff>
                  </to>
                </anchor>
              </controlPr>
            </control>
          </mc:Choice>
        </mc:AlternateContent>
        <mc:AlternateContent xmlns:mc="http://schemas.openxmlformats.org/markup-compatibility/2006">
          <mc:Choice Requires="x14">
            <control shapeId="1075" r:id="rId34" name="Button 51">
              <controlPr defaultSize="0" print="0" autoFill="0" autoPict="0" macro="[0]!addih5">
                <anchor moveWithCells="1" sizeWithCells="1">
                  <from>
                    <xdr:col>0</xdr:col>
                    <xdr:colOff>0</xdr:colOff>
                    <xdr:row>164</xdr:row>
                    <xdr:rowOff>0</xdr:rowOff>
                  </from>
                  <to>
                    <xdr:col>1</xdr:col>
                    <xdr:colOff>12700</xdr:colOff>
                    <xdr:row>164</xdr:row>
                    <xdr:rowOff>0</xdr:rowOff>
                  </to>
                </anchor>
              </controlPr>
            </control>
          </mc:Choice>
        </mc:AlternateContent>
        <mc:AlternateContent xmlns:mc="http://schemas.openxmlformats.org/markup-compatibility/2006">
          <mc:Choice Requires="x14">
            <control shapeId="1076" r:id="rId35" name="Button 52">
              <controlPr defaultSize="0" print="0" autoFill="0" autoPict="0" macro="[0]!addih6">
                <anchor moveWithCells="1" sizeWithCells="1">
                  <from>
                    <xdr:col>0</xdr:col>
                    <xdr:colOff>0</xdr:colOff>
                    <xdr:row>164</xdr:row>
                    <xdr:rowOff>0</xdr:rowOff>
                  </from>
                  <to>
                    <xdr:col>1</xdr:col>
                    <xdr:colOff>12700</xdr:colOff>
                    <xdr:row>164</xdr:row>
                    <xdr:rowOff>0</xdr:rowOff>
                  </to>
                </anchor>
              </controlPr>
            </control>
          </mc:Choice>
        </mc:AlternateContent>
        <mc:AlternateContent xmlns:mc="http://schemas.openxmlformats.org/markup-compatibility/2006">
          <mc:Choice Requires="x14">
            <control shapeId="1066" r:id="rId36" name="Button 42">
              <controlPr defaultSize="0" print="0" autoFill="0" autoPict="0" macro="[0]!addcopi1">
                <anchor moveWithCells="1" sizeWithCells="1">
                  <from>
                    <xdr:col>0</xdr:col>
                    <xdr:colOff>12700</xdr:colOff>
                    <xdr:row>9</xdr:row>
                    <xdr:rowOff>50800</xdr:rowOff>
                  </from>
                  <to>
                    <xdr:col>1</xdr:col>
                    <xdr:colOff>12700</xdr:colOff>
                    <xdr:row>11</xdr:row>
                    <xdr:rowOff>12700</xdr:rowOff>
                  </to>
                </anchor>
              </controlPr>
            </control>
          </mc:Choice>
        </mc:AlternateContent>
        <mc:AlternateContent xmlns:mc="http://schemas.openxmlformats.org/markup-compatibility/2006">
          <mc:Choice Requires="x14">
            <control shapeId="1080" r:id="rId37" name="Button 56">
              <controlPr defaultSize="0" print="0" autoFill="0" autoPict="0" macro="[0]!AddYr5">
                <anchor moveWithCells="1" sizeWithCells="1">
                  <from>
                    <xdr:col>17</xdr:col>
                    <xdr:colOff>0</xdr:colOff>
                    <xdr:row>0</xdr:row>
                    <xdr:rowOff>342900</xdr:rowOff>
                  </from>
                  <to>
                    <xdr:col>17</xdr:col>
                    <xdr:colOff>0</xdr:colOff>
                    <xdr:row>1</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249977111117893"/>
  </sheetPr>
  <dimension ref="A1:V90"/>
  <sheetViews>
    <sheetView tabSelected="1" showWhiteSpace="0" topLeftCell="B22" zoomScale="90" zoomScaleNormal="90" zoomScalePageLayoutView="90" workbookViewId="0">
      <selection activeCell="G41" sqref="G41"/>
    </sheetView>
  </sheetViews>
  <sheetFormatPr baseColWidth="10" defaultColWidth="11.5" defaultRowHeight="18" x14ac:dyDescent="0.2"/>
  <cols>
    <col min="1" max="1" width="26.6640625" style="7" customWidth="1"/>
    <col min="2" max="2" width="10.83203125" style="2" customWidth="1"/>
    <col min="3" max="3" width="17" style="2" customWidth="1"/>
    <col min="4" max="4" width="0.83203125" style="153" customWidth="1"/>
    <col min="5" max="5" width="17" style="2" customWidth="1"/>
    <col min="6" max="6" width="1" style="153" customWidth="1"/>
    <col min="7" max="7" width="16.83203125" style="7" customWidth="1"/>
    <col min="8" max="8" width="0.83203125" style="159" customWidth="1"/>
    <col min="9" max="9" width="16.83203125" style="7" customWidth="1"/>
    <col min="10" max="10" width="0.83203125" style="159" customWidth="1"/>
    <col min="11" max="11" width="16.83203125" style="7" customWidth="1"/>
    <col min="12" max="12" width="0.83203125" style="159" customWidth="1"/>
    <col min="13" max="13" width="16.83203125" style="7" customWidth="1"/>
    <col min="14" max="14" width="24.33203125" style="2" customWidth="1"/>
    <col min="15" max="15" width="41.6640625" style="2" customWidth="1"/>
    <col min="16" max="16" width="17.5" style="2" bestFit="1" customWidth="1"/>
    <col min="17" max="20" width="14.5" style="2" customWidth="1"/>
    <col min="21" max="16384" width="11.5" style="2"/>
  </cols>
  <sheetData>
    <row r="1" spans="1:22" x14ac:dyDescent="0.2">
      <c r="A1" s="108" t="s">
        <v>123</v>
      </c>
      <c r="B1" s="108"/>
      <c r="C1" s="108"/>
      <c r="D1" s="150"/>
      <c r="E1" s="108"/>
      <c r="F1" s="150"/>
      <c r="G1" s="108"/>
      <c r="H1" s="150"/>
      <c r="I1" s="108"/>
      <c r="J1" s="150"/>
      <c r="K1" s="108"/>
      <c r="L1" s="150"/>
      <c r="M1" s="108"/>
      <c r="N1" s="108"/>
      <c r="O1" s="108"/>
      <c r="P1" s="108"/>
      <c r="Q1" s="108"/>
      <c r="R1" s="108"/>
      <c r="S1" s="108"/>
      <c r="T1" s="108"/>
      <c r="U1" s="108"/>
      <c r="V1" s="108"/>
    </row>
    <row r="2" spans="1:22" x14ac:dyDescent="0.2">
      <c r="A2" s="21"/>
      <c r="B2" s="7"/>
      <c r="C2" s="2">
        <v>1</v>
      </c>
      <c r="D2" s="64"/>
      <c r="E2" s="2">
        <v>2</v>
      </c>
      <c r="F2" s="64"/>
      <c r="G2" s="2">
        <v>3</v>
      </c>
      <c r="H2" s="64"/>
      <c r="I2" s="2">
        <v>4</v>
      </c>
      <c r="J2" s="64"/>
      <c r="K2" s="2">
        <v>5</v>
      </c>
      <c r="L2" s="64"/>
      <c r="M2" s="2"/>
      <c r="N2" s="64"/>
      <c r="O2"/>
      <c r="P2"/>
      <c r="Q2" s="64"/>
    </row>
    <row r="3" spans="1:22" x14ac:dyDescent="0.2">
      <c r="A3" s="7" t="s">
        <v>95</v>
      </c>
      <c r="B3" s="7"/>
      <c r="C3" s="109" t="s">
        <v>249</v>
      </c>
      <c r="D3" s="151"/>
      <c r="E3" s="109" t="s">
        <v>250</v>
      </c>
      <c r="F3" s="151"/>
      <c r="G3" s="109" t="s">
        <v>251</v>
      </c>
      <c r="H3" s="151"/>
      <c r="I3" s="109"/>
      <c r="J3" s="151"/>
      <c r="K3" s="109"/>
      <c r="L3" s="151"/>
      <c r="M3" s="109" t="s">
        <v>94</v>
      </c>
      <c r="N3" s="65"/>
      <c r="O3"/>
      <c r="P3"/>
      <c r="Q3" s="65"/>
    </row>
    <row r="4" spans="1:22" x14ac:dyDescent="0.2">
      <c r="A4" s="64" t="s">
        <v>242</v>
      </c>
      <c r="B4" s="36"/>
      <c r="C4" s="1">
        <f>'Data Sheet'!G5</f>
        <v>5645.12</v>
      </c>
      <c r="D4" s="100"/>
      <c r="E4" s="1">
        <f>'Data Sheet'!J5</f>
        <v>5786.2479999999996</v>
      </c>
      <c r="F4" s="100"/>
      <c r="G4" s="1">
        <f>'Data Sheet'!M5</f>
        <v>5930.904199999999</v>
      </c>
      <c r="H4" s="100"/>
      <c r="I4" s="1">
        <f>'Data Sheet'!P5</f>
        <v>0</v>
      </c>
      <c r="J4" s="100"/>
      <c r="K4" s="327">
        <f>'Data Sheet'!S5+0.2</f>
        <v>0.2</v>
      </c>
      <c r="L4" s="100"/>
      <c r="M4" s="1">
        <f>SUM(C4:K4)</f>
        <v>17362.4722</v>
      </c>
      <c r="N4" s="65" t="s">
        <v>229</v>
      </c>
      <c r="O4"/>
      <c r="P4"/>
      <c r="Q4" s="66"/>
    </row>
    <row r="5" spans="1:22" x14ac:dyDescent="0.2">
      <c r="A5" s="64" t="s">
        <v>223</v>
      </c>
      <c r="B5" s="36"/>
      <c r="C5" s="1">
        <f>'Data Sheet'!G14+'Data Sheet'!G22+'Data Sheet'!G30+'Data Sheet'!G38+'Data Sheet'!G46+'Data Sheet'!G54</f>
        <v>0</v>
      </c>
      <c r="D5" s="100"/>
      <c r="E5" s="1">
        <f>'Data Sheet'!J14+'Data Sheet'!J22+'Data Sheet'!J30+'Data Sheet'!J38+'Data Sheet'!J46+'Data Sheet'!J54</f>
        <v>0</v>
      </c>
      <c r="F5" s="100"/>
      <c r="G5" s="1">
        <f>'Data Sheet'!M14+'Data Sheet'!M22+'Data Sheet'!M30+'Data Sheet'!M38+'Data Sheet'!M46+'Data Sheet'!M54</f>
        <v>0</v>
      </c>
      <c r="H5" s="100"/>
      <c r="I5" s="1">
        <f>'Data Sheet'!P14+'Data Sheet'!P22+'Data Sheet'!P30+'Data Sheet'!P38+'Data Sheet'!P46+'Data Sheet'!P54</f>
        <v>0</v>
      </c>
      <c r="J5" s="100"/>
      <c r="K5" s="1">
        <f>'Data Sheet'!S6</f>
        <v>0</v>
      </c>
      <c r="L5" s="100"/>
      <c r="M5" s="1">
        <f t="shared" ref="M5" si="0">SUM(C5:K5)</f>
        <v>0</v>
      </c>
      <c r="N5" s="313">
        <f>M4+M5</f>
        <v>17362.4722</v>
      </c>
      <c r="O5"/>
      <c r="P5"/>
      <c r="Q5" s="67"/>
      <c r="T5" s="18"/>
    </row>
    <row r="6" spans="1:22" x14ac:dyDescent="0.2">
      <c r="A6" s="64" t="s">
        <v>138</v>
      </c>
      <c r="B6" s="36"/>
      <c r="C6" s="1">
        <f>'Data Sheet'!G61+'Data Sheet'!G64+'Data Sheet'!G67+'Data Sheet'!G70+'Data Sheet'!G73+'Data Sheet'!G76</f>
        <v>0</v>
      </c>
      <c r="D6" s="100"/>
      <c r="E6" s="1">
        <f>'Data Sheet'!J61+'Data Sheet'!J64+'Data Sheet'!J67+'Data Sheet'!J70+'Data Sheet'!J73+'Data Sheet'!J76</f>
        <v>0</v>
      </c>
      <c r="F6" s="100"/>
      <c r="G6" s="1">
        <f>'Data Sheet'!M61+'Data Sheet'!M64+'Data Sheet'!M67+'Data Sheet'!M70+'Data Sheet'!M73+'Data Sheet'!M76</f>
        <v>0</v>
      </c>
      <c r="H6" s="100"/>
      <c r="I6" s="1">
        <f>'Data Sheet'!P61+'Data Sheet'!P64+'Data Sheet'!P67+'Data Sheet'!P70+'Data Sheet'!P73+'Data Sheet'!P76</f>
        <v>0</v>
      </c>
      <c r="J6" s="100"/>
      <c r="K6" s="1"/>
      <c r="L6" s="100"/>
      <c r="M6" s="1">
        <f>SUM(C6:K6)</f>
        <v>0</v>
      </c>
      <c r="N6" s="65"/>
      <c r="O6"/>
      <c r="P6"/>
      <c r="Q6" s="67"/>
      <c r="T6" s="18"/>
    </row>
    <row r="7" spans="1:22" x14ac:dyDescent="0.2">
      <c r="A7" s="64" t="s">
        <v>139</v>
      </c>
      <c r="B7" s="36"/>
      <c r="C7" s="1">
        <f>'Data Sheet'!G82+'Data Sheet'!G84+'Data Sheet'!G88+'Data Sheet'!G90+'Data Sheet'!G94+'Data Sheet'!G96+'Data Sheet'!G100+'Data Sheet'!G102+'Data Sheet'!G106+'Data Sheet'!G108+'Data Sheet'!G112+'Data Sheet'!G114</f>
        <v>20580</v>
      </c>
      <c r="D7" s="100"/>
      <c r="E7" s="1">
        <f>'Data Sheet'!J82+'Data Sheet'!J84+'Data Sheet'!J88+'Data Sheet'!J90+'Data Sheet'!J94+'Data Sheet'!J96+'Data Sheet'!J100+'Data Sheet'!J102+'Data Sheet'!J106+'Data Sheet'!J108+'Data Sheet'!J112+'Data Sheet'!J114</f>
        <v>41758.5</v>
      </c>
      <c r="F7" s="100"/>
      <c r="G7" s="1">
        <f>'Data Sheet'!M82+'Data Sheet'!M84+'Data Sheet'!M88+'Data Sheet'!M90+'Data Sheet'!M94+'Data Sheet'!M96+'Data Sheet'!M100+'Data Sheet'!M102+'Data Sheet'!M106+'Data Sheet'!M108+'Data Sheet'!M112+'Data Sheet'!M114</f>
        <v>21621.862499999999</v>
      </c>
      <c r="H7" s="100"/>
      <c r="I7" s="1">
        <f>'Data Sheet'!P82+'Data Sheet'!P84+'Data Sheet'!P88+'Data Sheet'!P90+'Data Sheet'!P94+'Data Sheet'!P96+'Data Sheet'!P100+'Data Sheet'!P102+'Data Sheet'!P106+'Data Sheet'!P108+'Data Sheet'!P112+'Data Sheet'!P114</f>
        <v>0</v>
      </c>
      <c r="J7" s="100"/>
      <c r="K7" s="1">
        <f>'Data Sheet'!S82+'Data Sheet'!S84+'Data Sheet'!S88+'Data Sheet'!S90+'Data Sheet'!S94+'Data Sheet'!S96+'Data Sheet'!S100+'Data Sheet'!S102+'Data Sheet'!S106+'Data Sheet'!S108+'Data Sheet'!S112+'Data Sheet'!S114</f>
        <v>0</v>
      </c>
      <c r="L7" s="100"/>
      <c r="M7" s="1">
        <f>SUM(C7:K7)</f>
        <v>83960.362500000003</v>
      </c>
      <c r="N7" s="65" t="s">
        <v>230</v>
      </c>
      <c r="O7"/>
      <c r="P7"/>
      <c r="Q7" s="67"/>
      <c r="R7" s="10"/>
      <c r="S7" s="10"/>
      <c r="T7" s="18"/>
    </row>
    <row r="8" spans="1:22" x14ac:dyDescent="0.2">
      <c r="A8" s="64" t="s">
        <v>164</v>
      </c>
      <c r="B8" s="36"/>
      <c r="C8" s="1">
        <f>'Data Sheet'!G121+'Data Sheet'!G123+'Data Sheet'!G139+'Data Sheet'!G141+'Data Sheet'!G127+'Data Sheet'!G129+'Data Sheet'!G133+'Data Sheet'!G135+'Data Sheet'!G145+'Data Sheet'!G147+'Data Sheet'!G151+'Data Sheet'!G153+'Data Sheet'!G132</f>
        <v>3800</v>
      </c>
      <c r="D8" s="100"/>
      <c r="E8" s="1">
        <f>'Data Sheet'!J121+'Data Sheet'!J123+'Data Sheet'!J139+'Data Sheet'!J141+'Data Sheet'!J127+'Data Sheet'!J129+'Data Sheet'!J133+'Data Sheet'!J135+'Data Sheet'!J145+'Data Sheet'!J147+'Data Sheet'!J151+'Data Sheet'!J153+'Data Sheet'!J132</f>
        <v>3879.9999999999995</v>
      </c>
      <c r="F8" s="100"/>
      <c r="G8" s="1">
        <f>'Data Sheet'!M121+'Data Sheet'!M123+'Data Sheet'!M139+'Data Sheet'!M141+'Data Sheet'!M127+'Data Sheet'!M129+'Data Sheet'!M133+'Data Sheet'!M135+'Data Sheet'!M145+'Data Sheet'!M147+'Data Sheet'!M151+'Data Sheet'!M153+'Data Sheet'!M132</f>
        <v>3962</v>
      </c>
      <c r="H8" s="100"/>
      <c r="I8" s="1">
        <f>'Data Sheet'!P121+'Data Sheet'!P123+'Data Sheet'!P139+'Data Sheet'!P141+'Data Sheet'!P127+'Data Sheet'!P129+'Data Sheet'!P133+'Data Sheet'!P135+'Data Sheet'!P145+'Data Sheet'!P147+'Data Sheet'!P151+'Data Sheet'!P153+'Data Sheet'!P132</f>
        <v>0</v>
      </c>
      <c r="J8" s="100"/>
      <c r="K8" s="1">
        <f>'Data Sheet'!S121+'Data Sheet'!S123+'Data Sheet'!S139+'Data Sheet'!S141+'Data Sheet'!S127+'Data Sheet'!S129+'Data Sheet'!S133+'Data Sheet'!S135+'Data Sheet'!S145+'Data Sheet'!S147+'Data Sheet'!S151+'Data Sheet'!S153+'Data Sheet'!S132</f>
        <v>0</v>
      </c>
      <c r="L8" s="100"/>
      <c r="M8" s="1">
        <f>SUM(C8:K8)</f>
        <v>11642</v>
      </c>
      <c r="N8" s="313">
        <f>M7+M8+M9</f>
        <v>95602.362500000003</v>
      </c>
      <c r="O8"/>
      <c r="P8"/>
      <c r="Q8" s="67"/>
      <c r="R8" s="10"/>
      <c r="S8" s="10"/>
      <c r="T8" s="18"/>
    </row>
    <row r="9" spans="1:22" x14ac:dyDescent="0.2">
      <c r="A9" s="64" t="s">
        <v>165</v>
      </c>
      <c r="B9" s="36"/>
      <c r="C9" s="327">
        <f>'Data Sheet'!G160+'Data Sheet'!G164+'Data Sheet'!G168+'Data Sheet'!G172+'Data Sheet'!G176+'Data Sheet'!G180</f>
        <v>0</v>
      </c>
      <c r="D9" s="100"/>
      <c r="E9" s="1">
        <f>'Data Sheet'!J160+'Data Sheet'!J164+'Data Sheet'!J168+'Data Sheet'!J172+'Data Sheet'!J176+'Data Sheet'!J180</f>
        <v>0</v>
      </c>
      <c r="F9" s="100"/>
      <c r="G9" s="1">
        <f>'Data Sheet'!M160+'Data Sheet'!M164+'Data Sheet'!M168+'Data Sheet'!M172+'Data Sheet'!M176+'Data Sheet'!M180</f>
        <v>0</v>
      </c>
      <c r="H9" s="100"/>
      <c r="I9" s="1">
        <f>'Data Sheet'!P160+'Data Sheet'!P164+'Data Sheet'!P168+'Data Sheet'!P172+'Data Sheet'!P176+'Data Sheet'!P180</f>
        <v>0</v>
      </c>
      <c r="J9" s="100"/>
      <c r="K9" s="1"/>
      <c r="L9" s="100"/>
      <c r="M9" s="1">
        <f>SUM(C9:K9)</f>
        <v>0</v>
      </c>
      <c r="N9" s="65"/>
      <c r="O9"/>
      <c r="P9"/>
      <c r="Q9" s="67"/>
      <c r="R9" s="10"/>
      <c r="S9" s="17"/>
      <c r="T9" s="18"/>
    </row>
    <row r="10" spans="1:22" x14ac:dyDescent="0.2">
      <c r="A10" s="157" t="s">
        <v>128</v>
      </c>
      <c r="B10" s="41"/>
      <c r="C10" s="13">
        <f>SUM(C4:C9)</f>
        <v>30025.119999999999</v>
      </c>
      <c r="D10" s="101"/>
      <c r="E10" s="13">
        <f>SUM(E4:E9)</f>
        <v>51424.748</v>
      </c>
      <c r="F10" s="101"/>
      <c r="G10" s="315">
        <f>SUM(G4:G9)</f>
        <v>31514.7667</v>
      </c>
      <c r="H10" s="101"/>
      <c r="I10" s="13">
        <f>SUM(I4:I9)</f>
        <v>0</v>
      </c>
      <c r="J10" s="101"/>
      <c r="K10" s="13">
        <f>SUM(K4:K9)</f>
        <v>0.2</v>
      </c>
      <c r="L10" s="101"/>
      <c r="M10" s="13">
        <f>SUM(M4:M9)</f>
        <v>112964.83470000001</v>
      </c>
      <c r="N10" s="3"/>
      <c r="O10"/>
      <c r="P10"/>
      <c r="Q10" s="67"/>
      <c r="R10" s="10"/>
      <c r="S10" s="10"/>
      <c r="T10" s="18"/>
    </row>
    <row r="11" spans="1:22" x14ac:dyDescent="0.2">
      <c r="A11" s="157"/>
      <c r="B11" s="41"/>
      <c r="C11" s="328"/>
      <c r="D11" s="319"/>
      <c r="E11" s="314"/>
      <c r="F11" s="319"/>
      <c r="G11" s="314"/>
      <c r="H11" s="102"/>
      <c r="I11" s="314"/>
      <c r="J11" s="319"/>
      <c r="K11" s="314"/>
      <c r="L11" s="102"/>
      <c r="M11" s="62"/>
      <c r="N11" s="68"/>
      <c r="O11"/>
      <c r="P11"/>
      <c r="Q11" s="67"/>
      <c r="R11" s="10"/>
      <c r="S11" s="10"/>
      <c r="T11" s="18"/>
    </row>
    <row r="12" spans="1:22" x14ac:dyDescent="0.2">
      <c r="A12" s="157" t="s">
        <v>96</v>
      </c>
      <c r="B12" s="42"/>
      <c r="C12" s="328"/>
      <c r="D12" s="319"/>
      <c r="E12" s="314"/>
      <c r="F12" s="319"/>
      <c r="G12" s="314"/>
      <c r="H12" s="102"/>
      <c r="I12" s="314"/>
      <c r="J12" s="319"/>
      <c r="K12" s="314"/>
      <c r="L12" s="102"/>
      <c r="M12" s="62"/>
      <c r="N12" s="65"/>
      <c r="O12"/>
      <c r="P12"/>
      <c r="Q12" s="67"/>
      <c r="R12" s="10"/>
      <c r="S12" s="10"/>
      <c r="T12" s="18"/>
    </row>
    <row r="13" spans="1:22" x14ac:dyDescent="0.2">
      <c r="A13" s="64" t="str">
        <f>A4</f>
        <v>PI: Jessica Stanley</v>
      </c>
      <c r="B13" s="36"/>
      <c r="C13" s="327">
        <f>'Data Sheet'!G8</f>
        <v>1733.0518399999999</v>
      </c>
      <c r="D13" s="100"/>
      <c r="E13" s="1">
        <f>'Data Sheet'!J8</f>
        <v>1776.3781359999998</v>
      </c>
      <c r="F13" s="100"/>
      <c r="G13" s="1">
        <f>'Data Sheet'!M8</f>
        <v>1820.7875893999997</v>
      </c>
      <c r="H13" s="100"/>
      <c r="I13" s="1">
        <f>'Data Sheet'!P8</f>
        <v>0</v>
      </c>
      <c r="J13" s="100"/>
      <c r="K13" s="1">
        <f>'Data Sheet'!S8</f>
        <v>0</v>
      </c>
      <c r="L13" s="100"/>
      <c r="M13" s="1">
        <f>SUM(C13:K13)</f>
        <v>5330.2175653999993</v>
      </c>
      <c r="N13" s="65"/>
      <c r="O13"/>
      <c r="P13"/>
      <c r="Q13" s="67"/>
      <c r="R13" s="10"/>
      <c r="S13" s="10"/>
      <c r="T13" s="18"/>
    </row>
    <row r="14" spans="1:22" x14ac:dyDescent="0.2">
      <c r="A14" s="64" t="s">
        <v>223</v>
      </c>
      <c r="B14" s="36"/>
      <c r="C14" s="327">
        <f>'Data Sheet'!G17+'Data Sheet'!G25+'Data Sheet'!G33+'Data Sheet'!G41+'Data Sheet'!G49+'Data Sheet'!G57</f>
        <v>0</v>
      </c>
      <c r="D14" s="100"/>
      <c r="E14" s="1">
        <f>'Data Sheet'!J17+'Data Sheet'!J25+'Data Sheet'!J33+'Data Sheet'!J41+'Data Sheet'!J49+'Data Sheet'!J57</f>
        <v>0</v>
      </c>
      <c r="F14" s="100"/>
      <c r="G14" s="1">
        <f>'Data Sheet'!M17+'Data Sheet'!M25+'Data Sheet'!M33+'Data Sheet'!M41+'Data Sheet'!M49+'Data Sheet'!M57</f>
        <v>0</v>
      </c>
      <c r="H14" s="100"/>
      <c r="I14" s="1">
        <f>'Data Sheet'!P17+'Data Sheet'!P25+'Data Sheet'!P33+'Data Sheet'!P41+'Data Sheet'!P49+'Data Sheet'!P57</f>
        <v>0</v>
      </c>
      <c r="J14" s="100"/>
      <c r="K14" s="1">
        <f>'Data Sheet'!R17+'Data Sheet'!R25+'Data Sheet'!R33+'Data Sheet'!R41+'Data Sheet'!R49+'Data Sheet'!R57</f>
        <v>0</v>
      </c>
      <c r="L14" s="100"/>
      <c r="M14" s="1">
        <f>SUM(C14:K14)</f>
        <v>0</v>
      </c>
      <c r="N14" s="65"/>
      <c r="O14"/>
      <c r="P14"/>
      <c r="Q14" s="66">
        <f>480/3</f>
        <v>160</v>
      </c>
      <c r="R14" s="10"/>
      <c r="S14" s="10"/>
    </row>
    <row r="15" spans="1:22" x14ac:dyDescent="0.2">
      <c r="A15" s="64" t="str">
        <f>A6</f>
        <v>Post Docs</v>
      </c>
      <c r="B15" s="36"/>
      <c r="C15" s="327">
        <f>'Data Sheet'!G62+'Data Sheet'!G65+'Data Sheet'!G68+'Data Sheet'!G71+'Data Sheet'!G74+'Data Sheet'!G77</f>
        <v>0</v>
      </c>
      <c r="D15" s="100"/>
      <c r="E15" s="1">
        <f>'Data Sheet'!J62+'Data Sheet'!J65+'Data Sheet'!J68+'Data Sheet'!J71+'Data Sheet'!J74+'Data Sheet'!J77</f>
        <v>0</v>
      </c>
      <c r="F15" s="100"/>
      <c r="G15" s="1">
        <f>'Data Sheet'!M62+'Data Sheet'!M65+'Data Sheet'!M68+'Data Sheet'!M71+'Data Sheet'!M74+'Data Sheet'!M77</f>
        <v>0</v>
      </c>
      <c r="H15" s="100"/>
      <c r="I15" s="1">
        <f>'Data Sheet'!P62+'Data Sheet'!P65+'Data Sheet'!P68+'Data Sheet'!P71+'Data Sheet'!P74+'Data Sheet'!P77</f>
        <v>0</v>
      </c>
      <c r="J15" s="100"/>
      <c r="K15" s="1">
        <f>'Data Sheet'!R62+'Data Sheet'!R65+'Data Sheet'!R68+'Data Sheet'!R71+'Data Sheet'!R74+'Data Sheet'!R77</f>
        <v>0</v>
      </c>
      <c r="L15" s="100"/>
      <c r="M15" s="1">
        <f>SUM(C15:K15)</f>
        <v>0</v>
      </c>
      <c r="N15" s="65"/>
      <c r="O15"/>
      <c r="P15"/>
      <c r="Q15" s="66"/>
      <c r="R15" s="10"/>
      <c r="S15" s="10"/>
      <c r="T15" s="23"/>
    </row>
    <row r="16" spans="1:22" x14ac:dyDescent="0.2">
      <c r="A16" s="64" t="str">
        <f>A7</f>
        <v>Grads</v>
      </c>
      <c r="B16" s="36"/>
      <c r="C16" s="327">
        <f>'Data Sheet'!G83+'Data Sheet'!G85+'Data Sheet'!G89+'Data Sheet'!G91+'Data Sheet'!G95+'Data Sheet'!G97+'Data Sheet'!G101+'Data Sheet'!G103+'Data Sheet'!G107+'Data Sheet'!G109+'Data Sheet'!G113+'Data Sheet'!G115</f>
        <v>432.18</v>
      </c>
      <c r="D16" s="100"/>
      <c r="E16" s="1">
        <f>'Data Sheet'!J83+'Data Sheet'!J85+'Data Sheet'!J89+'Data Sheet'!J91+'Data Sheet'!J95+'Data Sheet'!J97+'Data Sheet'!J101+'Data Sheet'!J103+'Data Sheet'!J107+'Data Sheet'!J109+'Data Sheet'!J113+'Data Sheet'!J115</f>
        <v>876.92849999999999</v>
      </c>
      <c r="F16" s="100"/>
      <c r="G16" s="1">
        <f>'Data Sheet'!M83+'Data Sheet'!M85+'Data Sheet'!M89+'Data Sheet'!M91+'Data Sheet'!M95+'Data Sheet'!M97+'Data Sheet'!M101+'Data Sheet'!M103+'Data Sheet'!M107+'Data Sheet'!M109+'Data Sheet'!M113+'Data Sheet'!M115</f>
        <v>454.05911249999997</v>
      </c>
      <c r="H16" s="100"/>
      <c r="I16" s="1">
        <f>'Data Sheet'!P83+'Data Sheet'!P85+'Data Sheet'!P89+'Data Sheet'!P91+'Data Sheet'!P95+'Data Sheet'!P97+'Data Sheet'!P101+'Data Sheet'!P103+'Data Sheet'!P107+'Data Sheet'!P109+'Data Sheet'!P113+'Data Sheet'!P115</f>
        <v>0</v>
      </c>
      <c r="J16" s="100"/>
      <c r="K16" s="1">
        <f>'Data Sheet'!S83+'Data Sheet'!S85+'Data Sheet'!S89+'Data Sheet'!S91+'Data Sheet'!S95+'Data Sheet'!S97+'Data Sheet'!S101+'Data Sheet'!S103+'Data Sheet'!S107+'Data Sheet'!S109+'Data Sheet'!S113+'Data Sheet'!S115</f>
        <v>0</v>
      </c>
      <c r="L16" s="100"/>
      <c r="M16" s="1">
        <f>SUM(C16:K16)</f>
        <v>1763.1676124999999</v>
      </c>
      <c r="N16" s="65"/>
      <c r="O16"/>
      <c r="P16"/>
      <c r="Q16" s="66"/>
      <c r="R16" s="10"/>
      <c r="S16" s="10"/>
    </row>
    <row r="17" spans="1:21" x14ac:dyDescent="0.2">
      <c r="A17" s="64" t="str">
        <f>A8</f>
        <v>Undergrad</v>
      </c>
      <c r="B17" s="36"/>
      <c r="C17" s="327">
        <f>'Data Sheet'!G122+'Data Sheet'!G124+'Data Sheet'!G128+'Data Sheet'!G130+'Data Sheet'!G134+'Data Sheet'!G136+'Data Sheet'!G140+'Data Sheet'!G142+'Data Sheet'!G146+'Data Sheet'!G148+'Data Sheet'!G152+'Data Sheet'!G154</f>
        <v>79.800000000000011</v>
      </c>
      <c r="D17" s="100"/>
      <c r="E17" s="1">
        <f>'Data Sheet'!J122+'Data Sheet'!J124+'Data Sheet'!J128+'Data Sheet'!J130+'Data Sheet'!J134+'Data Sheet'!J136+'Data Sheet'!J140+'Data Sheet'!J142+'Data Sheet'!J146+'Data Sheet'!J148+'Data Sheet'!J152+'Data Sheet'!J154</f>
        <v>81.47999999999999</v>
      </c>
      <c r="F17" s="100"/>
      <c r="G17" s="1">
        <f>'Data Sheet'!M122+'Data Sheet'!M124+'Data Sheet'!M128+'Data Sheet'!M130+'Data Sheet'!M134+'Data Sheet'!M136+'Data Sheet'!M140+'Data Sheet'!M142+'Data Sheet'!M146+'Data Sheet'!M148+'Data Sheet'!M152+'Data Sheet'!M154</f>
        <v>83.201999999999998</v>
      </c>
      <c r="H17" s="100"/>
      <c r="I17" s="1">
        <f>'Data Sheet'!P122+'Data Sheet'!P124+'Data Sheet'!P128+'Data Sheet'!P130+'Data Sheet'!P134+'Data Sheet'!P136+'Data Sheet'!P140+'Data Sheet'!P142+'Data Sheet'!P146+'Data Sheet'!P148+'Data Sheet'!P152+'Data Sheet'!P154</f>
        <v>0</v>
      </c>
      <c r="J17" s="100"/>
      <c r="K17" s="1">
        <f>'Data Sheet'!S122+'Data Sheet'!S124+'Data Sheet'!S128+'Data Sheet'!S130+'Data Sheet'!S134+'Data Sheet'!S136+'Data Sheet'!S140+'Data Sheet'!S142+'Data Sheet'!S146+'Data Sheet'!S148+'Data Sheet'!S152+'Data Sheet'!S154</f>
        <v>0</v>
      </c>
      <c r="L17" s="100"/>
      <c r="M17" s="1">
        <f t="shared" ref="M17:M18" si="1">SUM(C17:K17)</f>
        <v>244.482</v>
      </c>
      <c r="N17" s="65"/>
      <c r="O17" s="65"/>
      <c r="P17" s="69"/>
      <c r="Q17" s="69"/>
      <c r="R17" s="10"/>
      <c r="S17" s="10"/>
    </row>
    <row r="18" spans="1:21" x14ac:dyDescent="0.2">
      <c r="A18" s="64" t="s">
        <v>165</v>
      </c>
      <c r="B18" s="36"/>
      <c r="C18" s="327">
        <f>'Data Sheet'!G161+'Data Sheet'!G165+'Data Sheet'!G169+'Data Sheet'!G173+'Data Sheet'!G177+'Data Sheet'!G181</f>
        <v>0</v>
      </c>
      <c r="D18" s="100"/>
      <c r="E18" s="1">
        <f>'Data Sheet'!J161+'Data Sheet'!J165+'Data Sheet'!J169+'Data Sheet'!J173+'Data Sheet'!J177+'Data Sheet'!J181</f>
        <v>0</v>
      </c>
      <c r="F18" s="100"/>
      <c r="G18" s="1">
        <f>'Data Sheet'!M161+'Data Sheet'!M165+'Data Sheet'!M169+'Data Sheet'!M173+'Data Sheet'!M177+'Data Sheet'!M181</f>
        <v>0</v>
      </c>
      <c r="H18" s="100"/>
      <c r="I18" s="1">
        <f>'Data Sheet'!P161+'Data Sheet'!P165+'Data Sheet'!P169+'Data Sheet'!P173+'Data Sheet'!P177+'Data Sheet'!P181</f>
        <v>0</v>
      </c>
      <c r="J18" s="100"/>
      <c r="K18" s="1">
        <f>'Data Sheet'!R161+'Data Sheet'!R165+'Data Sheet'!R169+'Data Sheet'!R173+'Data Sheet'!R177+'Data Sheet'!R181</f>
        <v>0</v>
      </c>
      <c r="L18" s="100"/>
      <c r="M18" s="1">
        <f t="shared" si="1"/>
        <v>0</v>
      </c>
      <c r="N18" s="10"/>
      <c r="O18" s="10"/>
      <c r="P18" s="6"/>
      <c r="Q18" s="6"/>
      <c r="R18" s="4"/>
      <c r="S18" s="6"/>
    </row>
    <row r="19" spans="1:21" x14ac:dyDescent="0.2">
      <c r="A19" s="157" t="s">
        <v>127</v>
      </c>
      <c r="B19" s="41"/>
      <c r="C19" s="315">
        <f>SUM(C13:C18)</f>
        <v>2245.0318400000001</v>
      </c>
      <c r="D19" s="101"/>
      <c r="E19" s="315">
        <f t="shared" ref="E19" si="2">SUM(E13:E18)</f>
        <v>2734.7866359999998</v>
      </c>
      <c r="F19" s="101"/>
      <c r="G19" s="315">
        <f>SUM(G13:G18)</f>
        <v>2358.0487018999993</v>
      </c>
      <c r="H19" s="316"/>
      <c r="I19" s="13">
        <f>SUM(I13:I18)-0.3</f>
        <v>-0.3</v>
      </c>
      <c r="J19" s="101"/>
      <c r="K19" s="13">
        <f t="shared" ref="K19" si="3">SUM(K13:K18)</f>
        <v>0</v>
      </c>
      <c r="L19" s="316"/>
      <c r="M19" s="13">
        <f>SUM(M13:M18)</f>
        <v>7337.8671778999997</v>
      </c>
      <c r="N19" s="5">
        <f>SUM(C19:K19)</f>
        <v>7337.5671778999995</v>
      </c>
      <c r="O19" s="10"/>
      <c r="P19" s="16"/>
      <c r="Q19" s="16"/>
      <c r="R19" s="10"/>
      <c r="S19" s="10"/>
      <c r="T19" s="18"/>
      <c r="U19" s="18"/>
    </row>
    <row r="20" spans="1:21" x14ac:dyDescent="0.2">
      <c r="A20" s="157"/>
      <c r="C20" s="329"/>
      <c r="D20" s="318"/>
      <c r="E20" s="313"/>
      <c r="F20" s="318"/>
      <c r="G20" s="313"/>
      <c r="H20" s="103"/>
      <c r="I20" s="313"/>
      <c r="J20" s="318"/>
      <c r="K20" s="313"/>
      <c r="L20" s="103"/>
      <c r="M20" s="63"/>
      <c r="R20" s="24"/>
      <c r="S20" s="25"/>
      <c r="T20" s="18"/>
      <c r="U20" s="18"/>
    </row>
    <row r="21" spans="1:21" ht="19" thickBot="1" x14ac:dyDescent="0.25">
      <c r="A21" s="157" t="s">
        <v>98</v>
      </c>
      <c r="C21" s="19">
        <f t="shared" ref="C21:I21" si="4">C10+C19</f>
        <v>32270.151839999999</v>
      </c>
      <c r="D21" s="104"/>
      <c r="E21" s="19">
        <f t="shared" si="4"/>
        <v>54159.534635999997</v>
      </c>
      <c r="F21" s="104"/>
      <c r="G21" s="19">
        <f>G10+G19</f>
        <v>33872.815401899999</v>
      </c>
      <c r="H21" s="104"/>
      <c r="I21" s="19">
        <f t="shared" si="4"/>
        <v>-0.3</v>
      </c>
      <c r="J21" s="104"/>
      <c r="K21" s="19">
        <f>K10+K19</f>
        <v>0.2</v>
      </c>
      <c r="L21" s="104"/>
      <c r="M21" s="19">
        <f>M10+M19</f>
        <v>120302.70187790001</v>
      </c>
      <c r="N21" s="5"/>
      <c r="P21" s="16"/>
      <c r="Q21" s="16"/>
      <c r="R21" s="26"/>
      <c r="S21" s="8"/>
      <c r="T21" s="18"/>
      <c r="U21" s="18"/>
    </row>
    <row r="22" spans="1:21" x14ac:dyDescent="0.2">
      <c r="B22" s="7"/>
      <c r="C22" s="322"/>
      <c r="D22" s="319"/>
      <c r="E22" s="28"/>
      <c r="F22" s="319"/>
      <c r="G22" s="28"/>
      <c r="H22" s="102"/>
      <c r="I22" s="28"/>
      <c r="J22" s="319"/>
      <c r="K22" s="28"/>
      <c r="L22" s="102"/>
      <c r="M22" s="22"/>
      <c r="R22" s="26"/>
      <c r="S22" s="8"/>
      <c r="T22" s="18"/>
      <c r="U22" s="18"/>
    </row>
    <row r="23" spans="1:21" x14ac:dyDescent="0.2">
      <c r="A23" s="2" t="s">
        <v>99</v>
      </c>
      <c r="B23" s="8"/>
      <c r="C23" s="331">
        <f>Sheet1!A42</f>
        <v>3955</v>
      </c>
      <c r="D23" s="277"/>
      <c r="E23" s="59">
        <f>Sheet1!B42</f>
        <v>15570</v>
      </c>
      <c r="F23" s="277"/>
      <c r="G23" s="59">
        <f>Sheet1!C42</f>
        <v>8720</v>
      </c>
      <c r="H23" s="277"/>
      <c r="I23" s="59">
        <f>Sheet1!D42</f>
        <v>0</v>
      </c>
      <c r="J23" s="277"/>
      <c r="K23" s="59">
        <f>Sheet1!E42</f>
        <v>0</v>
      </c>
      <c r="L23" s="100"/>
      <c r="M23" s="1">
        <f>SUM(C23:K23)</f>
        <v>28245</v>
      </c>
      <c r="N23" s="63"/>
      <c r="O23" s="314">
        <f>M23+M24</f>
        <v>28245</v>
      </c>
      <c r="P23" s="67"/>
      <c r="Q23" s="16"/>
      <c r="R23" s="26"/>
      <c r="S23" s="8"/>
      <c r="T23" s="18"/>
      <c r="U23" s="18"/>
    </row>
    <row r="24" spans="1:21" x14ac:dyDescent="0.2">
      <c r="A24" s="2" t="s">
        <v>100</v>
      </c>
      <c r="B24" s="8"/>
      <c r="C24" s="331" t="s">
        <v>226</v>
      </c>
      <c r="D24" s="277"/>
      <c r="E24" s="59" t="s">
        <v>226</v>
      </c>
      <c r="F24" s="277"/>
      <c r="G24" s="59">
        <f>Sheet1!D29</f>
        <v>0</v>
      </c>
      <c r="H24" s="277"/>
      <c r="I24" s="59">
        <v>0</v>
      </c>
      <c r="J24" s="277"/>
      <c r="K24" s="59">
        <v>0</v>
      </c>
      <c r="L24" s="100"/>
      <c r="M24" s="1">
        <f t="shared" ref="M23:M27" si="5">SUM(C24:K24)</f>
        <v>0</v>
      </c>
      <c r="N24" s="64"/>
      <c r="O24" s="64"/>
      <c r="P24" s="64"/>
      <c r="R24" s="26"/>
      <c r="S24" s="8"/>
      <c r="T24" s="18"/>
      <c r="U24" s="18"/>
    </row>
    <row r="25" spans="1:21" x14ac:dyDescent="0.2">
      <c r="A25" s="2" t="s">
        <v>136</v>
      </c>
      <c r="B25" s="8"/>
      <c r="C25" s="331">
        <v>800</v>
      </c>
      <c r="D25" s="277"/>
      <c r="E25" s="59">
        <v>500</v>
      </c>
      <c r="F25" s="277"/>
      <c r="G25" s="59">
        <v>500</v>
      </c>
      <c r="H25" s="277"/>
      <c r="I25" s="59"/>
      <c r="J25" s="277"/>
      <c r="K25" s="59"/>
      <c r="L25" s="100"/>
      <c r="M25" s="1">
        <f t="shared" si="5"/>
        <v>1800</v>
      </c>
      <c r="N25" s="67" t="s">
        <v>252</v>
      </c>
      <c r="O25" s="64"/>
      <c r="Q25" s="16"/>
      <c r="R25" s="26"/>
      <c r="S25" s="8"/>
      <c r="T25" s="18"/>
      <c r="U25" s="18"/>
    </row>
    <row r="26" spans="1:21" x14ac:dyDescent="0.2">
      <c r="A26" s="2" t="s">
        <v>137</v>
      </c>
      <c r="B26" s="8"/>
      <c r="C26" s="331">
        <v>0</v>
      </c>
      <c r="D26" s="277"/>
      <c r="E26" s="59">
        <v>1000</v>
      </c>
      <c r="F26" s="277"/>
      <c r="G26" s="59">
        <v>1000</v>
      </c>
      <c r="H26" s="277"/>
      <c r="I26" s="59"/>
      <c r="J26" s="277"/>
      <c r="K26" s="59"/>
      <c r="L26" s="100"/>
      <c r="M26" s="1">
        <f t="shared" si="5"/>
        <v>2000</v>
      </c>
      <c r="N26" s="64"/>
      <c r="O26" s="64"/>
      <c r="P26" s="64"/>
      <c r="R26" s="26"/>
      <c r="S26" s="8"/>
      <c r="T26" s="18"/>
      <c r="U26" s="18"/>
    </row>
    <row r="27" spans="1:21" x14ac:dyDescent="0.2">
      <c r="A27" s="41" t="s">
        <v>244</v>
      </c>
      <c r="B27" s="8"/>
      <c r="C27" s="331">
        <f>20*325</f>
        <v>6500</v>
      </c>
      <c r="D27" s="277"/>
      <c r="E27" s="59">
        <f>10*325</f>
        <v>3250</v>
      </c>
      <c r="F27" s="277"/>
      <c r="G27" s="59"/>
      <c r="H27" s="277"/>
      <c r="I27" s="59"/>
      <c r="J27" s="277"/>
      <c r="K27" s="59"/>
      <c r="L27" s="100"/>
      <c r="M27" s="1">
        <f t="shared" si="5"/>
        <v>9750</v>
      </c>
      <c r="N27" s="64" t="s">
        <v>253</v>
      </c>
      <c r="O27" s="70"/>
      <c r="P27" s="64"/>
      <c r="R27" s="7"/>
      <c r="T27" s="27"/>
      <c r="U27" s="27"/>
    </row>
    <row r="28" spans="1:21" x14ac:dyDescent="0.2">
      <c r="A28" s="2" t="s">
        <v>254</v>
      </c>
      <c r="B28" s="8"/>
      <c r="C28" s="331">
        <f>5*1900</f>
        <v>9500</v>
      </c>
      <c r="D28" s="277"/>
      <c r="E28" s="59">
        <f>5*1900</f>
        <v>9500</v>
      </c>
      <c r="F28" s="277"/>
      <c r="G28" s="59">
        <v>0</v>
      </c>
      <c r="H28" s="277"/>
      <c r="I28" s="59"/>
      <c r="J28" s="277"/>
      <c r="K28" s="59">
        <v>0</v>
      </c>
      <c r="L28" s="100"/>
      <c r="M28" s="1">
        <f t="shared" ref="M28:M31" si="6">SUM(C28:K28)</f>
        <v>19000</v>
      </c>
      <c r="N28" s="325" t="s">
        <v>255</v>
      </c>
      <c r="O28" s="326"/>
      <c r="P28" s="64"/>
      <c r="R28" s="7"/>
      <c r="T28" s="27"/>
      <c r="U28" s="27"/>
    </row>
    <row r="29" spans="1:21" x14ac:dyDescent="0.2">
      <c r="A29" s="2" t="s">
        <v>247</v>
      </c>
      <c r="B29" s="8"/>
      <c r="C29" s="331">
        <v>2040</v>
      </c>
      <c r="D29" s="277"/>
      <c r="E29" s="59">
        <v>2040</v>
      </c>
      <c r="F29" s="277"/>
      <c r="G29" s="59">
        <v>2040</v>
      </c>
      <c r="H29" s="277"/>
      <c r="I29" s="59"/>
      <c r="J29" s="277"/>
      <c r="K29" s="59"/>
      <c r="L29" s="100"/>
      <c r="M29" s="1">
        <f>SUM(C29:G29)</f>
        <v>6120</v>
      </c>
      <c r="N29" s="325"/>
      <c r="O29" s="326"/>
      <c r="P29" s="64"/>
      <c r="R29" s="7"/>
      <c r="T29" s="27"/>
      <c r="U29" s="27"/>
    </row>
    <row r="30" spans="1:21" x14ac:dyDescent="0.2">
      <c r="A30" s="2" t="s">
        <v>246</v>
      </c>
      <c r="B30" s="8"/>
      <c r="C30" s="331">
        <f>15*175</f>
        <v>2625</v>
      </c>
      <c r="D30" s="277"/>
      <c r="E30" s="59"/>
      <c r="F30" s="277"/>
      <c r="G30" s="59"/>
      <c r="H30" s="277"/>
      <c r="I30" s="59"/>
      <c r="J30" s="277"/>
      <c r="K30" s="59"/>
      <c r="L30" s="100"/>
      <c r="M30" s="1">
        <f>C30</f>
        <v>2625</v>
      </c>
      <c r="N30" s="325" t="s">
        <v>256</v>
      </c>
      <c r="O30" s="326"/>
      <c r="P30" s="64"/>
      <c r="R30" s="7"/>
      <c r="T30" s="27"/>
      <c r="U30" s="27"/>
    </row>
    <row r="31" spans="1:21" x14ac:dyDescent="0.2">
      <c r="A31" s="2" t="s">
        <v>245</v>
      </c>
      <c r="B31" s="8"/>
      <c r="C31" s="331"/>
      <c r="D31" s="277"/>
      <c r="E31" s="59"/>
      <c r="F31" s="277"/>
      <c r="G31" s="59">
        <f>5*900</f>
        <v>4500</v>
      </c>
      <c r="H31" s="277"/>
      <c r="I31" s="59"/>
      <c r="J31" s="277"/>
      <c r="K31" s="59"/>
      <c r="L31" s="100"/>
      <c r="M31" s="1">
        <f t="shared" si="6"/>
        <v>4500</v>
      </c>
      <c r="N31" s="325" t="s">
        <v>257</v>
      </c>
      <c r="O31" s="326"/>
      <c r="P31" s="64"/>
    </row>
    <row r="32" spans="1:21" x14ac:dyDescent="0.2">
      <c r="A32" s="2" t="s">
        <v>235</v>
      </c>
      <c r="B32" s="8"/>
      <c r="C32" s="331">
        <v>150</v>
      </c>
      <c r="D32" s="277"/>
      <c r="E32" s="59">
        <v>150</v>
      </c>
      <c r="F32" s="277"/>
      <c r="G32" s="59">
        <v>150</v>
      </c>
      <c r="H32" s="278"/>
      <c r="I32" s="59"/>
      <c r="J32" s="277"/>
      <c r="K32" s="59"/>
      <c r="L32" s="152"/>
      <c r="M32" s="37">
        <f>SUM(C32:K32)</f>
        <v>450</v>
      </c>
      <c r="N32" s="325"/>
      <c r="O32" s="314"/>
      <c r="P32" s="64"/>
    </row>
    <row r="33" spans="1:21" x14ac:dyDescent="0.2">
      <c r="A33" s="7" t="s">
        <v>130</v>
      </c>
      <c r="B33" s="8"/>
      <c r="C33" s="315">
        <f>SUM(C23:C32)</f>
        <v>25570</v>
      </c>
      <c r="D33" s="101"/>
      <c r="E33" s="13">
        <f>SUM(E23:E32)</f>
        <v>32010</v>
      </c>
      <c r="F33" s="101"/>
      <c r="G33" s="13">
        <f>SUM(G23:G32)</f>
        <v>16910</v>
      </c>
      <c r="H33" s="101"/>
      <c r="I33" s="13">
        <f>SUM(I23:I32)</f>
        <v>0</v>
      </c>
      <c r="J33" s="101"/>
      <c r="K33" s="13">
        <f>SUM(K23:K32)</f>
        <v>0</v>
      </c>
      <c r="L33" s="101"/>
      <c r="M33" s="13">
        <f>SUM(M23:M32)</f>
        <v>74490</v>
      </c>
      <c r="N33" s="3"/>
      <c r="O33" s="64"/>
      <c r="P33" s="64"/>
    </row>
    <row r="34" spans="1:21" x14ac:dyDescent="0.2">
      <c r="A34" s="7" t="s">
        <v>234</v>
      </c>
      <c r="B34" s="2" t="s">
        <v>233</v>
      </c>
      <c r="C34" s="327">
        <f>SUM(C27:C32)+C41-C29</f>
        <v>31690.9</v>
      </c>
      <c r="D34" s="100"/>
      <c r="E34" s="1">
        <f>SUM(E27:E32)+E41-E29</f>
        <v>40023.39</v>
      </c>
      <c r="F34" s="100"/>
      <c r="G34" s="1">
        <f>SUM(G27:G32)+G41-G29</f>
        <v>18889.779750000002</v>
      </c>
      <c r="H34" s="100"/>
      <c r="I34" s="1">
        <f>I27+I31+I32+I41+I28</f>
        <v>0</v>
      </c>
      <c r="J34" s="100"/>
      <c r="K34" s="1">
        <f>K27+K31+K32+K41</f>
        <v>0</v>
      </c>
      <c r="L34" s="100"/>
      <c r="M34" s="1">
        <f>M27+M31+M32+M41</f>
        <v>68979.069749999995</v>
      </c>
      <c r="N34" s="64"/>
      <c r="O34" s="64"/>
      <c r="P34" s="64"/>
    </row>
    <row r="35" spans="1:21" ht="19" thickBot="1" x14ac:dyDescent="0.25">
      <c r="A35" s="7" t="s">
        <v>97</v>
      </c>
      <c r="B35" s="7"/>
      <c r="C35" s="330">
        <f>C21+C33</f>
        <v>57840.151839999999</v>
      </c>
      <c r="D35" s="317"/>
      <c r="E35" s="330">
        <f>E21+E33</f>
        <v>86169.534635999997</v>
      </c>
      <c r="F35" s="104"/>
      <c r="G35" s="19">
        <f>G21+G33</f>
        <v>50782.815401899999</v>
      </c>
      <c r="H35" s="104"/>
      <c r="I35" s="19">
        <f>I21+I33</f>
        <v>-0.3</v>
      </c>
      <c r="J35" s="104"/>
      <c r="K35" s="19">
        <f>K21+K33</f>
        <v>0.2</v>
      </c>
      <c r="L35" s="104"/>
      <c r="M35" s="19">
        <f>SUM(C35:K35)</f>
        <v>194792.40187790003</v>
      </c>
      <c r="N35" s="3"/>
      <c r="O35" s="64"/>
    </row>
    <row r="36" spans="1:21" ht="19" thickTop="1" x14ac:dyDescent="0.2">
      <c r="B36" s="7"/>
      <c r="C36" s="332"/>
      <c r="D36" s="105"/>
      <c r="E36" s="3"/>
      <c r="F36" s="105"/>
      <c r="G36" s="3"/>
      <c r="H36" s="105"/>
      <c r="I36" s="3"/>
      <c r="J36" s="105"/>
      <c r="K36" s="3"/>
      <c r="L36" s="105"/>
      <c r="M36" s="3"/>
      <c r="P36" s="28"/>
      <c r="Q36" s="28"/>
    </row>
    <row r="37" spans="1:21" x14ac:dyDescent="0.2">
      <c r="A37" s="7" t="s">
        <v>129</v>
      </c>
      <c r="B37" s="60" t="s">
        <v>151</v>
      </c>
      <c r="C37" s="321">
        <f>C35*B38+0.1</f>
        <v>27474.172123999997</v>
      </c>
      <c r="D37" s="320"/>
      <c r="E37" s="321">
        <f>IF(B37="Other",E35*$B$38,E35*$B$37)</f>
        <v>40930.528952099994</v>
      </c>
      <c r="F37" s="320"/>
      <c r="G37" s="321">
        <f>IF(B37="Other",G35*$B$38,G35*$B$37)</f>
        <v>24121.8373159025</v>
      </c>
      <c r="H37" s="106"/>
      <c r="I37" s="321">
        <f>IF(B37="Other",I35*$B$38,I35*$B$37)</f>
        <v>-0.14249999999999999</v>
      </c>
      <c r="J37" s="320"/>
      <c r="K37" s="321">
        <f>IF(B37="Other",K35*$B$38,K35*$B$37)</f>
        <v>9.5000000000000001E-2</v>
      </c>
      <c r="L37" s="106"/>
      <c r="M37" s="71">
        <f>SUM(C37:K37)</f>
        <v>92526.49089200249</v>
      </c>
      <c r="N37" s="29"/>
    </row>
    <row r="38" spans="1:21" x14ac:dyDescent="0.2">
      <c r="A38" s="173" t="str">
        <f>IF(B37="Other","Other Rate","-")</f>
        <v>Other Rate</v>
      </c>
      <c r="B38" s="36">
        <v>0.47499999999999998</v>
      </c>
      <c r="C38" s="322"/>
      <c r="E38" s="28"/>
      <c r="G38" s="2"/>
      <c r="H38" s="153"/>
      <c r="I38" s="28"/>
      <c r="J38" s="319"/>
      <c r="K38" s="28"/>
      <c r="L38" s="153"/>
      <c r="M38" s="64"/>
      <c r="N38" s="12"/>
    </row>
    <row r="39" spans="1:21" x14ac:dyDescent="0.2">
      <c r="A39" s="2" t="s">
        <v>133</v>
      </c>
      <c r="B39" s="171"/>
      <c r="C39" s="333"/>
      <c r="D39" s="277"/>
      <c r="E39" s="61">
        <v>0</v>
      </c>
      <c r="F39" s="279"/>
      <c r="G39" s="61">
        <v>0</v>
      </c>
      <c r="H39" s="279"/>
      <c r="I39" s="61">
        <v>0</v>
      </c>
      <c r="J39" s="279"/>
      <c r="K39" s="61">
        <v>0</v>
      </c>
      <c r="L39" s="154"/>
      <c r="M39" s="1">
        <f t="shared" ref="M39:M49" si="7">SUM(C39:K39)</f>
        <v>0</v>
      </c>
      <c r="N39" s="12"/>
      <c r="P39" s="12"/>
      <c r="R39" s="7"/>
    </row>
    <row r="40" spans="1:21" x14ac:dyDescent="0.2">
      <c r="A40" s="2" t="s">
        <v>140</v>
      </c>
      <c r="B40" s="172"/>
      <c r="C40" s="331">
        <v>0</v>
      </c>
      <c r="D40" s="277"/>
      <c r="E40" s="59">
        <v>0</v>
      </c>
      <c r="F40" s="277"/>
      <c r="G40" s="59">
        <v>0</v>
      </c>
      <c r="H40" s="277"/>
      <c r="I40" s="59">
        <v>0</v>
      </c>
      <c r="J40" s="277"/>
      <c r="K40" s="59">
        <v>0</v>
      </c>
      <c r="L40" s="100"/>
      <c r="M40" s="1">
        <f t="shared" si="7"/>
        <v>0</v>
      </c>
      <c r="N40" s="10"/>
    </row>
    <row r="41" spans="1:21" x14ac:dyDescent="0.2">
      <c r="A41" s="30" t="s">
        <v>141</v>
      </c>
      <c r="B41" s="79">
        <v>0.05</v>
      </c>
      <c r="C41" s="331">
        <f>(4938+951)*(1+B41)*2+549</f>
        <v>12915.9</v>
      </c>
      <c r="D41" s="277"/>
      <c r="E41" s="61">
        <f>C41*(1+B41)*2</f>
        <v>27123.39</v>
      </c>
      <c r="F41" s="279"/>
      <c r="G41" s="61">
        <f>(E41*(1+B41)/2)</f>
        <v>14239.77975</v>
      </c>
      <c r="H41" s="277"/>
      <c r="I41" s="61"/>
      <c r="J41" s="277"/>
      <c r="K41" s="61">
        <f>(I41*(1+B41))</f>
        <v>0</v>
      </c>
      <c r="L41" s="154"/>
      <c r="M41" s="1">
        <f>SUM(C41:K41)</f>
        <v>54279.069750000002</v>
      </c>
      <c r="N41" s="10"/>
      <c r="O41" s="28" t="s">
        <v>262</v>
      </c>
      <c r="P41" s="11"/>
    </row>
    <row r="42" spans="1:21" x14ac:dyDescent="0.2">
      <c r="A42" s="9" t="s">
        <v>144</v>
      </c>
      <c r="B42" s="36"/>
      <c r="C42" s="331">
        <v>0</v>
      </c>
      <c r="D42" s="277"/>
      <c r="E42" s="61">
        <v>0</v>
      </c>
      <c r="F42" s="279"/>
      <c r="G42" s="61">
        <v>0</v>
      </c>
      <c r="H42" s="279"/>
      <c r="I42" s="61">
        <v>0</v>
      </c>
      <c r="J42" s="279"/>
      <c r="K42" s="61">
        <v>0</v>
      </c>
      <c r="L42" s="154"/>
      <c r="M42" s="1">
        <f t="shared" si="7"/>
        <v>0</v>
      </c>
      <c r="N42" s="10"/>
      <c r="P42" s="322"/>
      <c r="Q42" s="28"/>
      <c r="S42" s="10"/>
      <c r="T42" s="10"/>
      <c r="U42" s="10"/>
    </row>
    <row r="43" spans="1:21" x14ac:dyDescent="0.2">
      <c r="A43" s="2" t="s">
        <v>145</v>
      </c>
      <c r="B43" s="36"/>
      <c r="C43" s="331">
        <v>0</v>
      </c>
      <c r="D43" s="277"/>
      <c r="E43" s="61">
        <v>0</v>
      </c>
      <c r="F43" s="279"/>
      <c r="G43" s="61">
        <v>0</v>
      </c>
      <c r="H43" s="279"/>
      <c r="I43" s="61">
        <v>0</v>
      </c>
      <c r="J43" s="279"/>
      <c r="K43" s="61">
        <v>0</v>
      </c>
      <c r="L43" s="154"/>
      <c r="M43" s="1">
        <f t="shared" si="7"/>
        <v>0</v>
      </c>
      <c r="N43" s="10"/>
      <c r="O43"/>
      <c r="P43" s="15"/>
      <c r="Q43" s="12"/>
      <c r="R43" s="12"/>
      <c r="T43" s="12"/>
      <c r="U43" s="12"/>
    </row>
    <row r="44" spans="1:21" x14ac:dyDescent="0.2">
      <c r="A44" s="2" t="s">
        <v>146</v>
      </c>
      <c r="B44" s="36"/>
      <c r="C44" s="331">
        <v>0</v>
      </c>
      <c r="D44" s="277"/>
      <c r="E44" s="61">
        <v>0</v>
      </c>
      <c r="F44" s="279"/>
      <c r="G44" s="61">
        <v>0</v>
      </c>
      <c r="H44" s="279"/>
      <c r="I44" s="61">
        <v>0</v>
      </c>
      <c r="J44" s="279"/>
      <c r="K44" s="61">
        <v>0</v>
      </c>
      <c r="L44" s="154"/>
      <c r="M44" s="1">
        <f t="shared" si="7"/>
        <v>0</v>
      </c>
      <c r="N44" s="10"/>
      <c r="O44"/>
      <c r="P44"/>
      <c r="Q44" s="10"/>
      <c r="R44" s="10"/>
      <c r="T44" s="10"/>
      <c r="U44" s="10"/>
    </row>
    <row r="45" spans="1:21" s="7" customFormat="1" x14ac:dyDescent="0.2">
      <c r="A45" s="2" t="s">
        <v>124</v>
      </c>
      <c r="B45" s="36"/>
      <c r="C45" s="331">
        <v>1000</v>
      </c>
      <c r="D45" s="277"/>
      <c r="E45" s="61">
        <v>1000</v>
      </c>
      <c r="F45" s="279"/>
      <c r="G45" s="61">
        <v>1000</v>
      </c>
      <c r="H45" s="279"/>
      <c r="I45" s="61"/>
      <c r="J45" s="279"/>
      <c r="K45" s="61"/>
      <c r="L45" s="154"/>
      <c r="M45" s="1">
        <f t="shared" si="7"/>
        <v>3000</v>
      </c>
      <c r="N45" s="10"/>
      <c r="O45"/>
      <c r="P45"/>
      <c r="Q45" s="10"/>
      <c r="R45" s="10"/>
      <c r="S45" s="11"/>
      <c r="T45" s="12"/>
      <c r="U45" s="12"/>
    </row>
    <row r="46" spans="1:21" s="7" customFormat="1" x14ac:dyDescent="0.2">
      <c r="A46" s="2" t="s">
        <v>147</v>
      </c>
      <c r="B46" s="36"/>
      <c r="C46" s="331">
        <v>0</v>
      </c>
      <c r="D46" s="277"/>
      <c r="E46" s="61">
        <v>0</v>
      </c>
      <c r="F46" s="279"/>
      <c r="G46" s="61">
        <v>0</v>
      </c>
      <c r="H46" s="279"/>
      <c r="I46" s="61">
        <v>0</v>
      </c>
      <c r="J46" s="279"/>
      <c r="K46" s="61">
        <v>0</v>
      </c>
      <c r="L46" s="154"/>
      <c r="M46" s="1">
        <f t="shared" si="7"/>
        <v>0</v>
      </c>
      <c r="N46" s="10"/>
      <c r="O46"/>
      <c r="P46"/>
      <c r="Q46" s="10"/>
      <c r="R46" s="10"/>
      <c r="S46" s="11"/>
      <c r="T46" s="12"/>
      <c r="U46" s="12"/>
    </row>
    <row r="47" spans="1:21" s="7" customFormat="1" x14ac:dyDescent="0.2">
      <c r="A47" s="41" t="s">
        <v>166</v>
      </c>
      <c r="B47" s="36"/>
      <c r="C47" s="331">
        <v>0</v>
      </c>
      <c r="D47" s="277"/>
      <c r="E47" s="61">
        <v>0</v>
      </c>
      <c r="F47" s="279"/>
      <c r="G47" s="61">
        <v>0</v>
      </c>
      <c r="H47" s="279"/>
      <c r="I47" s="61">
        <v>0</v>
      </c>
      <c r="J47" s="279"/>
      <c r="K47" s="61">
        <v>0</v>
      </c>
      <c r="L47" s="154"/>
      <c r="M47" s="1">
        <f t="shared" si="7"/>
        <v>0</v>
      </c>
      <c r="N47" s="10"/>
      <c r="O47" t="s">
        <v>231</v>
      </c>
      <c r="P47"/>
      <c r="Q47" s="10"/>
      <c r="R47" s="10"/>
      <c r="S47" s="11"/>
      <c r="T47" s="12"/>
      <c r="U47" s="12"/>
    </row>
    <row r="48" spans="1:21" s="7" customFormat="1" x14ac:dyDescent="0.2">
      <c r="A48" s="41" t="s">
        <v>167</v>
      </c>
      <c r="B48" s="36"/>
      <c r="C48" s="331">
        <v>0</v>
      </c>
      <c r="D48" s="277"/>
      <c r="E48" s="61">
        <v>0</v>
      </c>
      <c r="F48" s="279"/>
      <c r="G48" s="61">
        <v>0</v>
      </c>
      <c r="H48" s="279"/>
      <c r="I48" s="61">
        <v>0</v>
      </c>
      <c r="J48" s="279"/>
      <c r="K48" s="61">
        <v>0</v>
      </c>
      <c r="L48" s="154"/>
      <c r="M48" s="1">
        <f t="shared" si="7"/>
        <v>0</v>
      </c>
      <c r="N48" s="10"/>
      <c r="O48" s="324">
        <f>M27+M31+M32+M41+M28</f>
        <v>87979.069749999995</v>
      </c>
      <c r="P48"/>
      <c r="Q48" s="10"/>
      <c r="R48" s="10"/>
      <c r="S48" s="11"/>
      <c r="T48" s="12"/>
      <c r="U48" s="12"/>
    </row>
    <row r="49" spans="1:21" s="7" customFormat="1" x14ac:dyDescent="0.2">
      <c r="A49" s="41" t="s">
        <v>168</v>
      </c>
      <c r="B49" s="36"/>
      <c r="C49" s="331">
        <v>0</v>
      </c>
      <c r="D49" s="277"/>
      <c r="E49" s="61">
        <v>0</v>
      </c>
      <c r="F49" s="279"/>
      <c r="G49" s="61">
        <v>0</v>
      </c>
      <c r="H49" s="279"/>
      <c r="I49" s="61">
        <v>0</v>
      </c>
      <c r="J49" s="279"/>
      <c r="K49" s="61">
        <v>0</v>
      </c>
      <c r="L49" s="154"/>
      <c r="M49" s="1">
        <f t="shared" si="7"/>
        <v>0</v>
      </c>
      <c r="N49" s="10"/>
      <c r="O49"/>
      <c r="P49"/>
      <c r="Q49" s="10"/>
      <c r="R49" s="10"/>
      <c r="S49" s="11"/>
      <c r="T49" s="12"/>
      <c r="U49" s="12"/>
    </row>
    <row r="50" spans="1:21" s="7" customFormat="1" x14ac:dyDescent="0.2">
      <c r="A50" s="7" t="s">
        <v>142</v>
      </c>
      <c r="B50" s="36"/>
      <c r="C50" s="334">
        <f>C35+SUM(C39:C49)</f>
        <v>71756.05184</v>
      </c>
      <c r="D50" s="107"/>
      <c r="E50" s="72">
        <f>E35+SUM(E39:E49)</f>
        <v>114292.924636</v>
      </c>
      <c r="F50" s="107"/>
      <c r="G50" s="72">
        <f>G35+SUM(G39:G49)</f>
        <v>66022.595151899994</v>
      </c>
      <c r="H50" s="107"/>
      <c r="I50" s="72">
        <f>I35+SUM(I39:I49)</f>
        <v>-0.3</v>
      </c>
      <c r="J50" s="107"/>
      <c r="K50" s="72">
        <f>K35+SUM(K39:K49)</f>
        <v>0.2</v>
      </c>
      <c r="L50" s="107"/>
      <c r="M50" s="13">
        <f>SUM(C50:K50)</f>
        <v>252071.4716279</v>
      </c>
      <c r="N50" s="5"/>
      <c r="O50" t="s">
        <v>232</v>
      </c>
      <c r="P50"/>
      <c r="R50" s="10"/>
      <c r="S50" s="11"/>
      <c r="T50" s="12"/>
      <c r="U50" s="12"/>
    </row>
    <row r="51" spans="1:21" s="7" customFormat="1" ht="19" thickBot="1" x14ac:dyDescent="0.25">
      <c r="A51" s="7" t="s">
        <v>143</v>
      </c>
      <c r="B51" s="36"/>
      <c r="C51" s="73">
        <f>C50+C37</f>
        <v>99230.223964000004</v>
      </c>
      <c r="D51" s="335"/>
      <c r="E51" s="73">
        <f>E50+E37</f>
        <v>155223.45358809998</v>
      </c>
      <c r="F51" s="335"/>
      <c r="G51" s="73">
        <f>G50+G37</f>
        <v>90144.432467802486</v>
      </c>
      <c r="H51" s="335"/>
      <c r="I51" s="73">
        <f>I50+I37</f>
        <v>-0.4425</v>
      </c>
      <c r="J51" s="335"/>
      <c r="K51" s="73">
        <f>K50+K37</f>
        <v>0.29500000000000004</v>
      </c>
      <c r="L51" s="335"/>
      <c r="M51" s="20">
        <f>SUM(C51:K51)</f>
        <v>344597.96251990244</v>
      </c>
      <c r="O51" s="324">
        <f>M35+M39+M41+M45</f>
        <v>252071.47162790003</v>
      </c>
      <c r="P51"/>
      <c r="R51" s="10"/>
      <c r="S51" s="11"/>
      <c r="T51" s="12"/>
      <c r="U51" s="12"/>
    </row>
    <row r="52" spans="1:21" s="7" customFormat="1" ht="19" thickTop="1" x14ac:dyDescent="0.2">
      <c r="A52" s="2"/>
      <c r="C52" s="2"/>
      <c r="D52" s="64"/>
      <c r="E52" s="15"/>
      <c r="F52" s="336"/>
      <c r="G52" s="15"/>
      <c r="H52" s="336"/>
      <c r="I52" s="15"/>
      <c r="J52" s="336"/>
      <c r="K52" s="15"/>
      <c r="L52" s="336"/>
      <c r="M52" s="336"/>
      <c r="N52" s="2"/>
      <c r="O52"/>
      <c r="P52"/>
      <c r="R52" s="10"/>
      <c r="S52" s="11"/>
      <c r="T52" s="12"/>
      <c r="U52" s="12"/>
    </row>
    <row r="53" spans="1:21" ht="20" x14ac:dyDescent="0.2">
      <c r="B53" s="337"/>
      <c r="C53" s="7"/>
      <c r="D53" s="157"/>
      <c r="E53" s="15"/>
      <c r="F53" s="336"/>
      <c r="G53" s="15"/>
      <c r="H53" s="336"/>
      <c r="I53" s="15"/>
      <c r="J53" s="336"/>
      <c r="K53" s="15"/>
      <c r="L53" s="336"/>
      <c r="M53" s="336"/>
      <c r="N53" s="5"/>
      <c r="O53" s="7"/>
      <c r="P53"/>
      <c r="Q53" s="10"/>
      <c r="R53" s="10"/>
      <c r="T53" s="10"/>
      <c r="U53" s="10"/>
    </row>
    <row r="54" spans="1:21" s="7" customFormat="1" ht="20" hidden="1" x14ac:dyDescent="0.2">
      <c r="A54" s="31"/>
      <c r="B54" s="40">
        <v>0.45300000000000001</v>
      </c>
      <c r="C54" s="32"/>
      <c r="D54" s="158"/>
      <c r="E54" s="6"/>
      <c r="F54" s="69"/>
      <c r="G54" s="6"/>
      <c r="H54" s="69"/>
      <c r="I54" s="6"/>
      <c r="J54" s="69"/>
      <c r="K54" s="6"/>
      <c r="L54" s="69"/>
      <c r="M54" s="6"/>
      <c r="N54" s="2"/>
      <c r="O54" s="2"/>
      <c r="R54" s="10"/>
      <c r="S54" s="10"/>
      <c r="T54" s="12"/>
      <c r="U54" s="12"/>
    </row>
    <row r="55" spans="1:21" ht="20" hidden="1" x14ac:dyDescent="0.2">
      <c r="B55" s="40">
        <v>0.26</v>
      </c>
      <c r="C55" s="22"/>
      <c r="D55" s="62"/>
      <c r="E55" s="22"/>
      <c r="F55" s="62"/>
      <c r="G55" s="32"/>
      <c r="H55" s="158"/>
      <c r="I55" s="32"/>
      <c r="J55" s="158"/>
      <c r="K55" s="32"/>
      <c r="L55" s="158"/>
      <c r="M55" s="32"/>
    </row>
    <row r="56" spans="1:21" ht="20" hidden="1" x14ac:dyDescent="0.2">
      <c r="B56" s="40">
        <v>0.56000000000000005</v>
      </c>
      <c r="C56" s="33"/>
      <c r="D56" s="155"/>
      <c r="E56" s="33"/>
      <c r="F56" s="155"/>
      <c r="H56" s="157"/>
      <c r="J56" s="157"/>
      <c r="L56" s="157"/>
      <c r="M56" s="33"/>
    </row>
    <row r="57" spans="1:21" ht="20" hidden="1" x14ac:dyDescent="0.2">
      <c r="B57" s="40">
        <v>0.26</v>
      </c>
      <c r="C57" s="34"/>
      <c r="D57" s="156"/>
      <c r="E57" s="34"/>
      <c r="F57" s="156"/>
      <c r="H57" s="157"/>
      <c r="J57" s="157"/>
      <c r="L57" s="157"/>
    </row>
    <row r="58" spans="1:21" ht="20" hidden="1" x14ac:dyDescent="0.2">
      <c r="B58" s="40">
        <v>0.34</v>
      </c>
      <c r="D58" s="64"/>
      <c r="F58" s="64"/>
      <c r="H58" s="157"/>
      <c r="J58" s="157"/>
      <c r="L58" s="157"/>
    </row>
    <row r="59" spans="1:21" ht="20" hidden="1" x14ac:dyDescent="0.2">
      <c r="B59" s="40">
        <v>0.34</v>
      </c>
      <c r="D59" s="64"/>
      <c r="F59" s="64"/>
      <c r="H59" s="157"/>
      <c r="J59" s="157"/>
      <c r="L59" s="157"/>
    </row>
    <row r="60" spans="1:21" ht="20" hidden="1" x14ac:dyDescent="0.2">
      <c r="B60" s="40">
        <v>0.26</v>
      </c>
      <c r="D60" s="64"/>
      <c r="F60" s="64"/>
      <c r="H60" s="157"/>
      <c r="J60" s="157"/>
      <c r="L60" s="157"/>
    </row>
    <row r="61" spans="1:21" ht="20" hidden="1" x14ac:dyDescent="0.2">
      <c r="B61" s="40">
        <v>0.2</v>
      </c>
      <c r="D61" s="64"/>
      <c r="F61" s="64"/>
      <c r="H61" s="157"/>
      <c r="J61" s="157"/>
      <c r="L61" s="157"/>
    </row>
    <row r="62" spans="1:21" ht="20" hidden="1" x14ac:dyDescent="0.2">
      <c r="B62" s="40" t="s">
        <v>151</v>
      </c>
      <c r="D62" s="64"/>
      <c r="F62" s="64"/>
      <c r="H62" s="157"/>
      <c r="J62" s="157"/>
      <c r="L62" s="157"/>
    </row>
    <row r="63" spans="1:21" ht="21" hidden="1" customHeight="1" x14ac:dyDescent="0.2">
      <c r="B63" s="35"/>
      <c r="D63" s="64"/>
      <c r="F63" s="64"/>
      <c r="H63" s="157"/>
      <c r="J63" s="157"/>
      <c r="L63" s="157"/>
      <c r="M63"/>
      <c r="N63"/>
      <c r="O63"/>
    </row>
    <row r="64" spans="1:21" x14ac:dyDescent="0.2">
      <c r="D64" s="64"/>
      <c r="F64" s="64"/>
      <c r="H64" s="157"/>
      <c r="J64" s="157"/>
      <c r="L64" s="157"/>
      <c r="M64"/>
      <c r="N64"/>
      <c r="O64"/>
      <c r="P64"/>
    </row>
    <row r="65" spans="4:16" x14ac:dyDescent="0.2">
      <c r="D65" s="64"/>
      <c r="F65" s="64"/>
      <c r="H65" s="157"/>
      <c r="J65" s="157"/>
      <c r="L65" s="157"/>
      <c r="M65"/>
      <c r="N65"/>
      <c r="O65" s="323">
        <v>99152</v>
      </c>
      <c r="P65"/>
    </row>
    <row r="66" spans="4:16" x14ac:dyDescent="0.2">
      <c r="D66" s="64"/>
      <c r="F66" s="64"/>
      <c r="H66" s="157"/>
      <c r="J66" s="157"/>
      <c r="L66" s="157"/>
      <c r="M66"/>
      <c r="N66"/>
      <c r="O66">
        <v>54148</v>
      </c>
      <c r="P66"/>
    </row>
    <row r="67" spans="4:16" x14ac:dyDescent="0.2">
      <c r="D67" s="64"/>
      <c r="F67" s="64"/>
      <c r="H67" s="157"/>
      <c r="J67" s="157"/>
      <c r="L67" s="157"/>
      <c r="M67"/>
      <c r="N67"/>
      <c r="O67" s="324">
        <f>M51+O65+O66</f>
        <v>497897.96251990244</v>
      </c>
      <c r="P67"/>
    </row>
    <row r="68" spans="4:16" x14ac:dyDescent="0.2">
      <c r="D68" s="64"/>
      <c r="F68" s="64"/>
      <c r="H68" s="157"/>
      <c r="J68" s="157"/>
      <c r="L68" s="157"/>
      <c r="M68"/>
      <c r="N68"/>
      <c r="O68"/>
      <c r="P68"/>
    </row>
    <row r="69" spans="4:16" x14ac:dyDescent="0.2">
      <c r="D69" s="64"/>
      <c r="F69" s="64"/>
      <c r="H69" s="157"/>
      <c r="J69" s="157"/>
      <c r="L69" s="157"/>
      <c r="M69"/>
      <c r="N69"/>
      <c r="O69"/>
      <c r="P69"/>
    </row>
    <row r="70" spans="4:16" x14ac:dyDescent="0.2">
      <c r="D70" s="64"/>
      <c r="F70" s="64"/>
      <c r="H70" s="157"/>
      <c r="J70" s="157"/>
      <c r="L70" s="157"/>
      <c r="M70"/>
      <c r="N70"/>
      <c r="O70"/>
      <c r="P70"/>
    </row>
    <row r="71" spans="4:16" x14ac:dyDescent="0.2">
      <c r="D71" s="64"/>
      <c r="E71" s="28"/>
      <c r="F71" s="64"/>
      <c r="H71" s="157"/>
      <c r="J71" s="157"/>
      <c r="L71" s="157"/>
      <c r="M71"/>
      <c r="N71"/>
      <c r="O71"/>
      <c r="P71"/>
    </row>
    <row r="72" spans="4:16" x14ac:dyDescent="0.2">
      <c r="D72" s="64"/>
      <c r="F72" s="64"/>
      <c r="H72" s="157"/>
      <c r="J72" s="157"/>
      <c r="L72" s="157"/>
      <c r="M72"/>
      <c r="N72"/>
      <c r="O72"/>
      <c r="P72"/>
    </row>
    <row r="73" spans="4:16" x14ac:dyDescent="0.2">
      <c r="D73" s="64"/>
      <c r="F73" s="64"/>
      <c r="H73" s="157"/>
      <c r="J73" s="157"/>
      <c r="L73" s="157"/>
      <c r="M73"/>
      <c r="N73"/>
      <c r="O73"/>
      <c r="P73"/>
    </row>
    <row r="74" spans="4:16" x14ac:dyDescent="0.2">
      <c r="D74" s="64"/>
      <c r="F74" s="64"/>
      <c r="H74" s="157"/>
      <c r="J74" s="157"/>
      <c r="L74" s="157"/>
      <c r="M74"/>
      <c r="N74"/>
      <c r="O74"/>
      <c r="P74"/>
    </row>
    <row r="75" spans="4:16" x14ac:dyDescent="0.2">
      <c r="D75" s="64"/>
      <c r="F75" s="64"/>
      <c r="H75" s="157"/>
      <c r="J75" s="157"/>
      <c r="L75" s="157"/>
      <c r="P75"/>
    </row>
    <row r="76" spans="4:16" x14ac:dyDescent="0.2">
      <c r="D76" s="64"/>
      <c r="F76" s="64"/>
      <c r="H76" s="157"/>
      <c r="J76" s="157"/>
      <c r="L76" s="157"/>
      <c r="N76" s="8"/>
    </row>
    <row r="77" spans="4:16" x14ac:dyDescent="0.2">
      <c r="D77" s="64"/>
      <c r="F77" s="64"/>
      <c r="H77" s="157"/>
      <c r="J77" s="157"/>
      <c r="L77" s="157"/>
    </row>
    <row r="78" spans="4:16" x14ac:dyDescent="0.2">
      <c r="D78" s="64"/>
      <c r="F78" s="64"/>
      <c r="H78" s="157"/>
      <c r="J78" s="157"/>
      <c r="L78" s="157"/>
    </row>
    <row r="79" spans="4:16" x14ac:dyDescent="0.2">
      <c r="D79" s="64"/>
      <c r="F79" s="64"/>
      <c r="H79" s="157"/>
      <c r="J79" s="157"/>
      <c r="L79" s="157"/>
    </row>
    <row r="80" spans="4:16" x14ac:dyDescent="0.2">
      <c r="D80" s="64"/>
      <c r="F80" s="64"/>
      <c r="H80" s="157"/>
      <c r="J80" s="157"/>
      <c r="L80" s="157"/>
    </row>
    <row r="81" spans="4:12" x14ac:dyDescent="0.2">
      <c r="D81" s="64"/>
      <c r="F81" s="64"/>
      <c r="H81" s="157"/>
      <c r="J81" s="157"/>
      <c r="L81" s="157"/>
    </row>
    <row r="82" spans="4:12" x14ac:dyDescent="0.2">
      <c r="D82" s="64"/>
      <c r="F82" s="64"/>
      <c r="H82" s="157"/>
      <c r="J82" s="157"/>
      <c r="L82" s="157"/>
    </row>
    <row r="83" spans="4:12" x14ac:dyDescent="0.2">
      <c r="D83" s="64"/>
      <c r="F83" s="64"/>
      <c r="H83" s="157"/>
      <c r="J83" s="157"/>
      <c r="L83" s="157"/>
    </row>
    <row r="84" spans="4:12" x14ac:dyDescent="0.2">
      <c r="D84" s="64"/>
      <c r="F84" s="64"/>
      <c r="H84" s="157"/>
      <c r="J84" s="157"/>
      <c r="L84" s="157"/>
    </row>
    <row r="85" spans="4:12" x14ac:dyDescent="0.2">
      <c r="D85" s="64"/>
      <c r="F85" s="64"/>
      <c r="H85" s="157"/>
      <c r="J85" s="157"/>
      <c r="L85" s="157"/>
    </row>
    <row r="86" spans="4:12" x14ac:dyDescent="0.2">
      <c r="D86" s="64"/>
      <c r="F86" s="64"/>
      <c r="H86" s="157"/>
      <c r="J86" s="157"/>
      <c r="L86" s="157"/>
    </row>
    <row r="87" spans="4:12" x14ac:dyDescent="0.2">
      <c r="D87" s="64"/>
      <c r="F87" s="64"/>
      <c r="H87" s="157"/>
      <c r="J87" s="157"/>
      <c r="L87" s="157"/>
    </row>
    <row r="88" spans="4:12" x14ac:dyDescent="0.2">
      <c r="D88" s="64"/>
      <c r="F88" s="64"/>
      <c r="H88" s="157"/>
      <c r="J88" s="157"/>
      <c r="L88" s="157"/>
    </row>
    <row r="89" spans="4:12" x14ac:dyDescent="0.2">
      <c r="D89" s="64"/>
      <c r="F89" s="64"/>
      <c r="H89" s="157"/>
      <c r="J89" s="157"/>
      <c r="L89" s="157"/>
    </row>
    <row r="90" spans="4:12" x14ac:dyDescent="0.2">
      <c r="D90" s="64"/>
      <c r="F90" s="64"/>
      <c r="H90" s="157"/>
      <c r="J90" s="157"/>
      <c r="L90" s="157"/>
    </row>
  </sheetData>
  <phoneticPr fontId="21" type="noConversion"/>
  <dataValidations count="1">
    <dataValidation type="list" allowBlank="1" showInputMessage="1" sqref="B37" xr:uid="{00000000-0002-0000-0200-000000000000}">
      <formula1>$B$53:$B$63</formula1>
    </dataValidation>
  </dataValidations>
  <hyperlinks>
    <hyperlink ref="A41" r:id="rId1" xr:uid="{00000000-0004-0000-0200-000000000000}"/>
  </hyperlinks>
  <pageMargins left="0.35" right="0.25" top="0.75" bottom="0.75" header="0.3" footer="0.3"/>
  <pageSetup scale="71" orientation="portrait" horizontalDpi="4294967292" verticalDpi="4294967292"/>
  <headerFooter alignWithMargins="0">
    <oddHeader xml:space="preserve">&amp;C&amp;12UI MTDC Template
Last Updated 6/16/09
</oddHeader>
  </headerFooter>
  <rowBreaks count="1" manualBreakCount="1">
    <brk id="52" max="16383" man="1"/>
  </rowBreaks>
  <colBreaks count="1" manualBreakCount="1">
    <brk id="14" max="1048575"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I42"/>
  <sheetViews>
    <sheetView workbookViewId="0">
      <selection activeCell="G19" sqref="G19"/>
    </sheetView>
  </sheetViews>
  <sheetFormatPr baseColWidth="10" defaultRowHeight="13" x14ac:dyDescent="0.15"/>
  <sheetData>
    <row r="1" spans="1:6" x14ac:dyDescent="0.15">
      <c r="A1" t="s">
        <v>212</v>
      </c>
    </row>
    <row r="2" spans="1:6" x14ac:dyDescent="0.15">
      <c r="A2" t="s">
        <v>214</v>
      </c>
      <c r="B2" t="s">
        <v>215</v>
      </c>
      <c r="C2" t="s">
        <v>216</v>
      </c>
      <c r="D2" t="s">
        <v>236</v>
      </c>
      <c r="E2" t="s">
        <v>237</v>
      </c>
    </row>
    <row r="3" spans="1:6" x14ac:dyDescent="0.15">
      <c r="A3" t="s">
        <v>213</v>
      </c>
    </row>
    <row r="4" spans="1:6" x14ac:dyDescent="0.15">
      <c r="A4">
        <f>(70*3*7)</f>
        <v>1470</v>
      </c>
      <c r="B4">
        <f>(70*6*7)+(70*3*7)</f>
        <v>4410</v>
      </c>
      <c r="C4">
        <f>(70*3*7)</f>
        <v>1470</v>
      </c>
    </row>
    <row r="5" spans="1:6" x14ac:dyDescent="0.15">
      <c r="A5" t="s">
        <v>217</v>
      </c>
    </row>
    <row r="6" spans="1:6" x14ac:dyDescent="0.15">
      <c r="A6">
        <f>(30*3*7*3)</f>
        <v>1890</v>
      </c>
      <c r="B6">
        <f>(30*6*7*4)</f>
        <v>5040</v>
      </c>
      <c r="C6">
        <f>(30*3*7*4)</f>
        <v>2520</v>
      </c>
    </row>
    <row r="7" spans="1:6" x14ac:dyDescent="0.15">
      <c r="A7" t="s">
        <v>218</v>
      </c>
    </row>
    <row r="8" spans="1:6" x14ac:dyDescent="0.15">
      <c r="A8">
        <f>(25*3*7)</f>
        <v>525</v>
      </c>
      <c r="B8">
        <f>(25*7*6)</f>
        <v>1050</v>
      </c>
      <c r="C8">
        <f>25*7*3</f>
        <v>525</v>
      </c>
    </row>
    <row r="9" spans="1:6" x14ac:dyDescent="0.15">
      <c r="A9" t="s">
        <v>248</v>
      </c>
    </row>
    <row r="10" spans="1:6" x14ac:dyDescent="0.15">
      <c r="A10">
        <v>70</v>
      </c>
      <c r="B10">
        <v>70</v>
      </c>
      <c r="C10">
        <v>70</v>
      </c>
    </row>
    <row r="11" spans="1:6" x14ac:dyDescent="0.15">
      <c r="A11" t="s">
        <v>132</v>
      </c>
    </row>
    <row r="12" spans="1:6" x14ac:dyDescent="0.15">
      <c r="A12">
        <f>SUM(A4:A10)</f>
        <v>3955</v>
      </c>
      <c r="B12">
        <f>SUM(B4:B10)</f>
        <v>10570</v>
      </c>
      <c r="C12">
        <f>SUM(C4:C10)</f>
        <v>4585</v>
      </c>
      <c r="F12">
        <f>SUM(A12:C12)</f>
        <v>19110</v>
      </c>
    </row>
    <row r="16" spans="1:6" x14ac:dyDescent="0.15">
      <c r="A16" t="s">
        <v>219</v>
      </c>
      <c r="E16" t="s">
        <v>259</v>
      </c>
    </row>
    <row r="17" spans="1:9" x14ac:dyDescent="0.15">
      <c r="A17" t="s">
        <v>214</v>
      </c>
      <c r="B17" t="s">
        <v>215</v>
      </c>
      <c r="C17" t="s">
        <v>216</v>
      </c>
      <c r="D17" t="s">
        <v>263</v>
      </c>
      <c r="E17" t="s">
        <v>237</v>
      </c>
    </row>
    <row r="18" spans="1:9" x14ac:dyDescent="0.15">
      <c r="B18">
        <f>90*5*2</f>
        <v>900</v>
      </c>
      <c r="C18">
        <f>75*3</f>
        <v>225</v>
      </c>
      <c r="D18">
        <f>90*5*2</f>
        <v>900</v>
      </c>
      <c r="G18">
        <f>SUM(B18:D26)</f>
        <v>7415</v>
      </c>
    </row>
    <row r="19" spans="1:9" x14ac:dyDescent="0.15">
      <c r="A19" t="s">
        <v>220</v>
      </c>
    </row>
    <row r="20" spans="1:9" x14ac:dyDescent="0.15">
      <c r="A20" t="s">
        <v>258</v>
      </c>
    </row>
    <row r="21" spans="1:9" x14ac:dyDescent="0.15">
      <c r="B21">
        <f>55*5*2</f>
        <v>550</v>
      </c>
      <c r="C21">
        <f>45*3*2</f>
        <v>270</v>
      </c>
      <c r="D21">
        <f>55*5*2</f>
        <v>550</v>
      </c>
      <c r="I21">
        <f>C21+D21</f>
        <v>820</v>
      </c>
    </row>
    <row r="22" spans="1:9" x14ac:dyDescent="0.15">
      <c r="A22" t="s">
        <v>221</v>
      </c>
    </row>
    <row r="23" spans="1:9" x14ac:dyDescent="0.15">
      <c r="B23">
        <f t="shared" ref="B23:D23" si="0">500*2</f>
        <v>1000</v>
      </c>
      <c r="C23">
        <v>100</v>
      </c>
      <c r="D23">
        <f t="shared" si="0"/>
        <v>1000</v>
      </c>
    </row>
    <row r="24" spans="1:9" x14ac:dyDescent="0.15">
      <c r="A24" t="s">
        <v>222</v>
      </c>
    </row>
    <row r="26" spans="1:9" x14ac:dyDescent="0.15">
      <c r="B26">
        <f>540+290</f>
        <v>830</v>
      </c>
      <c r="C26">
        <f>130*2</f>
        <v>260</v>
      </c>
      <c r="D26">
        <f>540+290</f>
        <v>830</v>
      </c>
      <c r="I26">
        <f>SUM(B26:D26)</f>
        <v>1920</v>
      </c>
    </row>
    <row r="27" spans="1:9" x14ac:dyDescent="0.15">
      <c r="A27" t="s">
        <v>132</v>
      </c>
    </row>
    <row r="28" spans="1:9" x14ac:dyDescent="0.15">
      <c r="A28">
        <f>SUM(A18:A26)</f>
        <v>0</v>
      </c>
      <c r="B28">
        <f>SUM(B18:B26)</f>
        <v>3280</v>
      </c>
      <c r="C28">
        <f>SUM(C18:D26)</f>
        <v>4135</v>
      </c>
      <c r="E28">
        <f t="shared" ref="D28:E28" si="1">SUM(E18:E26)</f>
        <v>0</v>
      </c>
      <c r="F28">
        <f>SUM(A28:E28)</f>
        <v>7415</v>
      </c>
      <c r="G28">
        <f>F28/2</f>
        <v>3707.5</v>
      </c>
    </row>
    <row r="29" spans="1:9" x14ac:dyDescent="0.15">
      <c r="A29">
        <f>A28+B28+C28</f>
        <v>7415</v>
      </c>
    </row>
    <row r="31" spans="1:9" x14ac:dyDescent="0.15">
      <c r="A31" t="s">
        <v>243</v>
      </c>
    </row>
    <row r="32" spans="1:9" x14ac:dyDescent="0.15">
      <c r="A32" t="s">
        <v>214</v>
      </c>
      <c r="B32" t="s">
        <v>215</v>
      </c>
      <c r="C32" t="s">
        <v>216</v>
      </c>
      <c r="D32" t="s">
        <v>236</v>
      </c>
      <c r="E32" t="s">
        <v>237</v>
      </c>
      <c r="F32" t="s">
        <v>132</v>
      </c>
    </row>
    <row r="33" spans="1:7" x14ac:dyDescent="0.15">
      <c r="A33" t="s">
        <v>238</v>
      </c>
    </row>
    <row r="34" spans="1:7" x14ac:dyDescent="0.15">
      <c r="B34">
        <v>500</v>
      </c>
      <c r="F34">
        <f>SUM(A34:E34)</f>
        <v>500</v>
      </c>
    </row>
    <row r="35" spans="1:7" x14ac:dyDescent="0.15">
      <c r="A35" t="s">
        <v>239</v>
      </c>
    </row>
    <row r="36" spans="1:7" x14ac:dyDescent="0.15">
      <c r="A36" s="323"/>
      <c r="B36" s="323">
        <f>30*14</f>
        <v>420</v>
      </c>
      <c r="D36" s="323"/>
      <c r="E36" s="323"/>
      <c r="F36" s="323">
        <f>SUM(A36:E36)</f>
        <v>420</v>
      </c>
    </row>
    <row r="37" spans="1:7" x14ac:dyDescent="0.15">
      <c r="A37" s="323" t="s">
        <v>240</v>
      </c>
    </row>
    <row r="38" spans="1:7" x14ac:dyDescent="0.15">
      <c r="B38">
        <f>800</f>
        <v>800</v>
      </c>
      <c r="F38">
        <f>SUM(A38:E38)</f>
        <v>800</v>
      </c>
    </row>
    <row r="39" spans="1:7" x14ac:dyDescent="0.15">
      <c r="A39" t="s">
        <v>132</v>
      </c>
    </row>
    <row r="40" spans="1:7" x14ac:dyDescent="0.15">
      <c r="A40" s="323">
        <f>SUM(A34+A36+A38)</f>
        <v>0</v>
      </c>
      <c r="B40" s="323">
        <f>SUM(B34+B36+B38)</f>
        <v>1720</v>
      </c>
      <c r="D40" s="323"/>
      <c r="E40" s="323">
        <f>SUM(E34:E38)</f>
        <v>0</v>
      </c>
      <c r="F40">
        <f>SUM(F34:F38)</f>
        <v>1720</v>
      </c>
    </row>
    <row r="41" spans="1:7" x14ac:dyDescent="0.15">
      <c r="G41">
        <f>SUM(F12+F40+G28)</f>
        <v>24537.5</v>
      </c>
    </row>
    <row r="42" spans="1:7" x14ac:dyDescent="0.15">
      <c r="A42" s="323">
        <f>SUM(A12+A40+A28)</f>
        <v>3955</v>
      </c>
      <c r="B42" s="323">
        <f>SUM(B12+B28+B40)</f>
        <v>15570</v>
      </c>
      <c r="C42" s="323">
        <f>SUM(C12+C28+C40)</f>
        <v>8720</v>
      </c>
      <c r="D42" s="323"/>
      <c r="E42" s="323"/>
      <c r="F42" s="32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Data Sheet</vt:lpstr>
      <vt:lpstr>UI MTDC</vt:lpstr>
      <vt:lpstr>Sheet1</vt:lpstr>
      <vt:lpstr>Indirect_Rate</vt:lpstr>
      <vt:lpstr>'UI MTDC'!Select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Stanley, Jessica (jessicastanley@uidaho.edu)</cp:lastModifiedBy>
  <cp:lastPrinted>2016-06-16T20:59:44Z</cp:lastPrinted>
  <dcterms:created xsi:type="dcterms:W3CDTF">2008-07-11T20:30:05Z</dcterms:created>
  <dcterms:modified xsi:type="dcterms:W3CDTF">2021-02-10T23:03:11Z</dcterms:modified>
</cp:coreProperties>
</file>