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abradleyeitel/Desktop/MCA proposal/"/>
    </mc:Choice>
  </mc:AlternateContent>
  <xr:revisionPtr revIDLastSave="0" documentId="13_ncr:1_{65897801-3626-B349-A4DE-A181FA6E29E6}" xr6:coauthVersionLast="46" xr6:coauthVersionMax="46" xr10:uidLastSave="{00000000-0000-0000-0000-000000000000}"/>
  <bookViews>
    <workbookView xWindow="29860" yWindow="460" windowWidth="37220" windowHeight="20920" xr2:uid="{00000000-000D-0000-FFFF-FFFF00000000}"/>
  </bookViews>
  <sheets>
    <sheet name="Organized by category" sheetId="2" r:id="rId1"/>
    <sheet name="Year 1" sheetId="3" r:id="rId2"/>
  </sheets>
  <definedNames>
    <definedName name="_xlnm.Print_Area" localSheetId="0">'Organized by category'!$A$1:$O$55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2" l="1"/>
  <c r="E56" i="2"/>
  <c r="C54" i="2"/>
  <c r="D54" i="2" s="1"/>
  <c r="E9" i="2"/>
  <c r="D9" i="2"/>
  <c r="C9" i="2"/>
  <c r="E19" i="2"/>
  <c r="D19" i="2"/>
  <c r="C19" i="2"/>
  <c r="E17" i="2"/>
  <c r="K10" i="2"/>
  <c r="D19" i="3"/>
  <c r="C19" i="3"/>
  <c r="D17" i="3"/>
  <c r="C17" i="3"/>
  <c r="D36" i="2"/>
  <c r="D57" i="2" s="1"/>
  <c r="D58" i="2" s="1"/>
  <c r="C36" i="2"/>
  <c r="C7" i="3"/>
  <c r="D7" i="3"/>
  <c r="D5" i="3"/>
  <c r="C5" i="3"/>
  <c r="D3" i="3"/>
  <c r="D34" i="2"/>
  <c r="E34" i="2" s="1"/>
  <c r="C34" i="2"/>
  <c r="D33" i="2"/>
  <c r="C33" i="2"/>
  <c r="E33" i="2" s="1"/>
  <c r="E32" i="2"/>
  <c r="E46" i="2"/>
  <c r="E49" i="2"/>
  <c r="C28" i="2"/>
  <c r="C5" i="2"/>
  <c r="C4" i="2"/>
  <c r="I5" i="2"/>
  <c r="C8" i="2" s="1"/>
  <c r="E36" i="2" l="1"/>
  <c r="H63" i="2" s="1"/>
  <c r="C57" i="2"/>
  <c r="H54" i="2"/>
  <c r="D28" i="2"/>
  <c r="D12" i="3"/>
  <c r="C12" i="3"/>
  <c r="D11" i="3"/>
  <c r="C11" i="3"/>
  <c r="E57" i="2" l="1"/>
  <c r="C58" i="2"/>
  <c r="E58" i="2" s="1"/>
  <c r="D55" i="2"/>
  <c r="C56" i="2"/>
  <c r="D8" i="2"/>
  <c r="D27" i="2"/>
  <c r="C27" i="2"/>
  <c r="C55" i="2" l="1"/>
  <c r="E54" i="2"/>
  <c r="D17" i="2"/>
  <c r="E8" i="2"/>
  <c r="C17" i="2"/>
  <c r="E26" i="2"/>
  <c r="E28" i="2"/>
  <c r="E27" i="2"/>
  <c r="C43" i="2" l="1"/>
  <c r="D43" i="2" l="1"/>
  <c r="C13" i="2" l="1"/>
  <c r="D56" i="2" l="1"/>
  <c r="E13" i="2" l="1"/>
  <c r="C14" i="2"/>
  <c r="C3" i="3"/>
  <c r="E16" i="2"/>
  <c r="H62" i="2" l="1"/>
  <c r="C59" i="2"/>
  <c r="D23" i="2" l="1"/>
  <c r="E23" i="2"/>
  <c r="C23" i="2"/>
  <c r="E13" i="3" l="1"/>
  <c r="E43" i="2"/>
  <c r="C9" i="3" l="1"/>
  <c r="D9" i="3"/>
  <c r="D5" i="2"/>
  <c r="D14" i="2" l="1"/>
  <c r="H61" i="2"/>
  <c r="E4" i="2"/>
  <c r="H64" i="2" l="1"/>
  <c r="I64" i="2" s="1"/>
  <c r="D59" i="2"/>
  <c r="E59" i="2" s="1"/>
  <c r="E5" i="2" l="1"/>
  <c r="E14" i="2" l="1"/>
  <c r="C24" i="3" l="1"/>
  <c r="C25" i="3" s="1"/>
  <c r="C26" i="3"/>
  <c r="C27" i="3" l="1"/>
  <c r="C28" i="3" l="1"/>
  <c r="C60" i="2"/>
  <c r="C29" i="3" l="1"/>
  <c r="D24" i="3"/>
  <c r="D26" i="3"/>
  <c r="D27" i="3" l="1"/>
  <c r="D25" i="3"/>
  <c r="D60" i="2" l="1"/>
  <c r="E60" i="2" s="1"/>
  <c r="D28" i="3" l="1"/>
  <c r="D29" i="3" s="1"/>
</calcChain>
</file>

<file path=xl/sharedStrings.xml><?xml version="1.0" encoding="utf-8"?>
<sst xmlns="http://schemas.openxmlformats.org/spreadsheetml/2006/main" count="117" uniqueCount="98">
  <si>
    <t>Year 1</t>
  </si>
  <si>
    <t>Year 2</t>
  </si>
  <si>
    <t>Karla Eitel</t>
  </si>
  <si>
    <t>Total Direct Costs</t>
  </si>
  <si>
    <t>IDCs</t>
  </si>
  <si>
    <t>TOTAL (IDCs + TDC)</t>
  </si>
  <si>
    <t>PI</t>
  </si>
  <si>
    <t>Senior Personnel</t>
  </si>
  <si>
    <t>Graduate Assistantships</t>
  </si>
  <si>
    <t>Total</t>
  </si>
  <si>
    <t>Summer</t>
  </si>
  <si>
    <t>Master's Students</t>
  </si>
  <si>
    <t>AY</t>
  </si>
  <si>
    <t>SALARIES TOTAL</t>
  </si>
  <si>
    <t>FRINGE TOTAL</t>
  </si>
  <si>
    <t>TRAVEL TOTAL</t>
  </si>
  <si>
    <t>Airfare at $750 per person</t>
  </si>
  <si>
    <t>(i) PERSONNEL SALARIES AND WAGES:</t>
  </si>
  <si>
    <t>(ii) FRINGE BENEFITS:</t>
  </si>
  <si>
    <t>(iii) EQUIPMENT</t>
  </si>
  <si>
    <t>(iv) TRAVEL (Staff):</t>
  </si>
  <si>
    <t>Equipment Total</t>
  </si>
  <si>
    <t>Student tuition / fees</t>
  </si>
  <si>
    <t>Participant Support TOTAL</t>
  </si>
  <si>
    <t>(v) PARTICIPANT SUPPORT:</t>
  </si>
  <si>
    <t>Personnel</t>
  </si>
  <si>
    <t>Hourly rate</t>
  </si>
  <si>
    <t>Me</t>
  </si>
  <si>
    <t xml:space="preserve">Master's </t>
  </si>
  <si>
    <t>3% increase every year</t>
  </si>
  <si>
    <t>Fringe Rates</t>
  </si>
  <si>
    <t>Faculty</t>
  </si>
  <si>
    <t>Staff</t>
  </si>
  <si>
    <t>Student</t>
  </si>
  <si>
    <t>IH</t>
  </si>
  <si>
    <t>Stipends</t>
  </si>
  <si>
    <t>Travel</t>
  </si>
  <si>
    <t>(vi) OTHER DIRECT COSTS :</t>
  </si>
  <si>
    <t>Students</t>
  </si>
  <si>
    <t>Other Direct Costs TOTAL</t>
  </si>
  <si>
    <t>Modified TDCs (TDC-Participant Support-Tuition and Fees)</t>
  </si>
  <si>
    <t xml:space="preserve">A. </t>
  </si>
  <si>
    <t xml:space="preserve">B. </t>
  </si>
  <si>
    <t>Other Personnel</t>
  </si>
  <si>
    <t>K. Eitel</t>
  </si>
  <si>
    <t>Grad students</t>
  </si>
  <si>
    <t xml:space="preserve">C. </t>
  </si>
  <si>
    <t>Fringe Benefits</t>
  </si>
  <si>
    <t xml:space="preserve">D. </t>
  </si>
  <si>
    <t>Equipment</t>
  </si>
  <si>
    <t xml:space="preserve">E. </t>
  </si>
  <si>
    <t>   1.  Stipends</t>
  </si>
  <si>
    <t>   2.  Travel</t>
  </si>
  <si>
    <t>   3.  Subsistence</t>
  </si>
  <si>
    <t>   4.  Other</t>
  </si>
  <si>
    <t>Number of Participants  </t>
  </si>
  <si>
    <t xml:space="preserve">Participant Support </t>
  </si>
  <si>
    <t>F.</t>
  </si>
  <si>
    <t xml:space="preserve">G. </t>
  </si>
  <si>
    <t>   2.  Publication Costs/Documentation/distrib</t>
  </si>
  <si>
    <t>   3.  Consultant Services</t>
  </si>
  <si>
    <t>   4.  Computer (ADPE) Services</t>
  </si>
  <si>
    <t>   5.  Subcontracts</t>
  </si>
  <si>
    <t>   6.  Other</t>
  </si>
  <si>
    <t>Other Direct Costs</t>
  </si>
  <si>
    <t>1. Materials and Supplies</t>
  </si>
  <si>
    <t>Total Direct</t>
  </si>
  <si>
    <t>MDTC</t>
  </si>
  <si>
    <t>IDC</t>
  </si>
  <si>
    <t>Other Pers.</t>
  </si>
  <si>
    <t>Fringe</t>
  </si>
  <si>
    <t>Materials</t>
  </si>
  <si>
    <t>Other (Grad student fees)</t>
  </si>
  <si>
    <t>Honoraria</t>
  </si>
  <si>
    <t>Grad student fees</t>
  </si>
  <si>
    <t>Site visit -- DC</t>
  </si>
  <si>
    <t>Hotel for 2 nights at $250 per night</t>
  </si>
  <si>
    <t>Per diem at $76/day for 3 days</t>
  </si>
  <si>
    <t>MNR student</t>
  </si>
  <si>
    <t>SHIP</t>
  </si>
  <si>
    <t>Per semester</t>
  </si>
  <si>
    <t>Fees</t>
  </si>
  <si>
    <t># per year</t>
  </si>
  <si>
    <t># of hours</t>
  </si>
  <si>
    <t>MNR</t>
  </si>
  <si>
    <t>4.5 Months AY</t>
  </si>
  <si>
    <t>1 month Summer</t>
  </si>
  <si>
    <t>Other costs</t>
  </si>
  <si>
    <t>Must not exceed $100K</t>
  </si>
  <si>
    <t>Student salary</t>
  </si>
  <si>
    <t>(a) Materials and Supplies (including Costs of Computing Devices)</t>
  </si>
  <si>
    <t>(b) Publication/Documentation/ Dissemination</t>
  </si>
  <si>
    <t>(c) Consultant Services (also referred to as Professional Service Costs)</t>
  </si>
  <si>
    <t>(d) Computer Services</t>
  </si>
  <si>
    <t>(e) Subawards</t>
  </si>
  <si>
    <t>(f) Other</t>
  </si>
  <si>
    <t>MNR-EESC Student</t>
  </si>
  <si>
    <t>Visits to 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</si>
</sst>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_);_([$$-409]* \(#,##0\);_([$$-409]* &quot;-&quot;??_);_(@_)"/>
    <numFmt numFmtId="166" formatCode="_([$$-409]* #,##0.00_);_([$$-409]* \(#,##0.00\);_([$$-409]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0"/>
      <name val="Arial Narrow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3" fillId="5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41" fontId="3" fillId="0" borderId="0" xfId="0" applyNumberFormat="1" applyFont="1"/>
    <xf numFmtId="44" fontId="0" fillId="0" borderId="0" xfId="0" applyNumberForma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Border="1" applyAlignment="1">
      <alignment horizontal="right"/>
    </xf>
    <xf numFmtId="0" fontId="2" fillId="2" borderId="3" xfId="0" applyFont="1" applyFill="1" applyBorder="1"/>
    <xf numFmtId="0" fontId="0" fillId="2" borderId="4" xfId="0" applyFont="1" applyFill="1" applyBorder="1" applyAlignment="1">
      <alignment horizontal="right"/>
    </xf>
    <xf numFmtId="0" fontId="0" fillId="2" borderId="4" xfId="0" applyFont="1" applyFill="1" applyBorder="1"/>
    <xf numFmtId="0" fontId="0" fillId="2" borderId="3" xfId="0" applyFont="1" applyFill="1" applyBorder="1"/>
    <xf numFmtId="0" fontId="0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Border="1" applyAlignment="1">
      <alignment horizontal="left"/>
    </xf>
    <xf numFmtId="0" fontId="0" fillId="2" borderId="8" xfId="0" applyFont="1" applyFill="1" applyBorder="1"/>
    <xf numFmtId="0" fontId="0" fillId="2" borderId="9" xfId="0" applyFont="1" applyFill="1" applyBorder="1" applyAlignment="1">
      <alignment horizontal="left"/>
    </xf>
    <xf numFmtId="0" fontId="4" fillId="3" borderId="1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4" fillId="3" borderId="3" xfId="0" applyFont="1" applyFill="1" applyBorder="1"/>
    <xf numFmtId="0" fontId="10" fillId="3" borderId="3" xfId="0" applyFont="1" applyFill="1" applyBorder="1"/>
    <xf numFmtId="0" fontId="0" fillId="4" borderId="4" xfId="0" applyFont="1" applyFill="1" applyBorder="1" applyAlignment="1">
      <alignment horizontal="left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41" fontId="4" fillId="0" borderId="0" xfId="0" applyNumberFormat="1" applyFont="1"/>
    <xf numFmtId="44" fontId="0" fillId="0" borderId="0" xfId="0" applyNumberFormat="1" applyFont="1"/>
    <xf numFmtId="0" fontId="10" fillId="0" borderId="0" xfId="0" applyFont="1" applyFill="1" applyBorder="1"/>
    <xf numFmtId="0" fontId="0" fillId="4" borderId="6" xfId="0" applyFont="1" applyFill="1" applyBorder="1"/>
    <xf numFmtId="0" fontId="5" fillId="0" borderId="0" xfId="0" applyFont="1" applyBorder="1" applyAlignment="1">
      <alignment horizontal="left"/>
    </xf>
    <xf numFmtId="0" fontId="4" fillId="0" borderId="0" xfId="0" applyFont="1" applyFill="1" applyBorder="1"/>
    <xf numFmtId="0" fontId="11" fillId="0" borderId="0" xfId="0" applyFont="1"/>
    <xf numFmtId="0" fontId="2" fillId="0" borderId="0" xfId="0" applyFont="1" applyAlignment="1">
      <alignment horizontal="left"/>
    </xf>
    <xf numFmtId="0" fontId="0" fillId="4" borderId="0" xfId="0" applyFont="1" applyFill="1" applyBorder="1"/>
    <xf numFmtId="0" fontId="2" fillId="0" borderId="0" xfId="0" applyFont="1" applyBorder="1" applyAlignment="1">
      <alignment horizontal="right"/>
    </xf>
    <xf numFmtId="0" fontId="12" fillId="0" borderId="0" xfId="0" applyFont="1"/>
    <xf numFmtId="0" fontId="2" fillId="0" borderId="0" xfId="0" applyFont="1"/>
    <xf numFmtId="0" fontId="12" fillId="0" borderId="0" xfId="0" applyFont="1" applyAlignment="1">
      <alignment horizontal="right"/>
    </xf>
    <xf numFmtId="165" fontId="0" fillId="0" borderId="0" xfId="0" applyNumberFormat="1" applyFont="1" applyBorder="1"/>
    <xf numFmtId="165" fontId="0" fillId="0" borderId="2" xfId="0" applyNumberFormat="1" applyFont="1" applyBorder="1"/>
    <xf numFmtId="165" fontId="6" fillId="0" borderId="0" xfId="0" applyNumberFormat="1" applyFont="1" applyBorder="1"/>
    <xf numFmtId="165" fontId="0" fillId="0" borderId="0" xfId="0" applyNumberFormat="1" applyFont="1"/>
    <xf numFmtId="165" fontId="6" fillId="0" borderId="0" xfId="1" applyNumberFormat="1" applyFont="1" applyBorder="1"/>
    <xf numFmtId="165" fontId="0" fillId="2" borderId="4" xfId="0" applyNumberFormat="1" applyFont="1" applyFill="1" applyBorder="1"/>
    <xf numFmtId="165" fontId="0" fillId="2" borderId="5" xfId="0" applyNumberFormat="1" applyFont="1" applyFill="1" applyBorder="1"/>
    <xf numFmtId="165" fontId="0" fillId="4" borderId="4" xfId="0" applyNumberFormat="1" applyFont="1" applyFill="1" applyBorder="1"/>
    <xf numFmtId="165" fontId="0" fillId="4" borderId="5" xfId="0" applyNumberFormat="1" applyFont="1" applyFill="1" applyBorder="1"/>
    <xf numFmtId="165" fontId="0" fillId="2" borderId="6" xfId="1" applyNumberFormat="1" applyFont="1" applyFill="1" applyBorder="1"/>
    <xf numFmtId="165" fontId="0" fillId="2" borderId="7" xfId="1" applyNumberFormat="1" applyFont="1" applyFill="1" applyBorder="1"/>
    <xf numFmtId="165" fontId="0" fillId="4" borderId="4" xfId="1" applyNumberFormat="1" applyFont="1" applyFill="1" applyBorder="1"/>
    <xf numFmtId="165" fontId="0" fillId="4" borderId="5" xfId="1" applyNumberFormat="1" applyFont="1" applyFill="1" applyBorder="1"/>
    <xf numFmtId="165" fontId="0" fillId="0" borderId="0" xfId="1" applyNumberFormat="1" applyFont="1" applyFill="1" applyBorder="1"/>
    <xf numFmtId="165" fontId="0" fillId="2" borderId="0" xfId="1" applyNumberFormat="1" applyFont="1" applyFill="1" applyBorder="1"/>
    <xf numFmtId="165" fontId="0" fillId="0" borderId="0" xfId="0" applyNumberFormat="1" applyBorder="1"/>
    <xf numFmtId="165" fontId="7" fillId="0" borderId="0" xfId="1" applyNumberFormat="1" applyFont="1"/>
    <xf numFmtId="165" fontId="0" fillId="4" borderId="0" xfId="0" applyNumberFormat="1" applyFont="1" applyFill="1" applyBorder="1"/>
    <xf numFmtId="165" fontId="0" fillId="0" borderId="2" xfId="0" applyNumberFormat="1" applyBorder="1"/>
    <xf numFmtId="165" fontId="0" fillId="0" borderId="0" xfId="0" applyNumberFormat="1" applyFont="1" applyFill="1" applyBorder="1"/>
    <xf numFmtId="165" fontId="0" fillId="0" borderId="0" xfId="1" applyNumberFormat="1" applyFont="1"/>
    <xf numFmtId="165" fontId="0" fillId="2" borderId="4" xfId="1" applyNumberFormat="1" applyFont="1" applyFill="1" applyBorder="1"/>
    <xf numFmtId="164" fontId="0" fillId="0" borderId="0" xfId="0" applyNumberFormat="1"/>
    <xf numFmtId="164" fontId="12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166" fontId="0" fillId="0" borderId="0" xfId="0" applyNumberFormat="1" applyFont="1"/>
    <xf numFmtId="0" fontId="13" fillId="5" borderId="0" xfId="2"/>
    <xf numFmtId="164" fontId="13" fillId="5" borderId="0" xfId="2" applyNumberFormat="1"/>
    <xf numFmtId="164" fontId="0" fillId="0" borderId="0" xfId="1" applyNumberFormat="1" applyFont="1"/>
    <xf numFmtId="165" fontId="6" fillId="0" borderId="0" xfId="0" applyNumberFormat="1" applyFont="1" applyFill="1" applyBorder="1"/>
    <xf numFmtId="166" fontId="6" fillId="0" borderId="0" xfId="0" applyNumberFormat="1" applyFont="1" applyFill="1" applyBorder="1"/>
    <xf numFmtId="0" fontId="11" fillId="0" borderId="0" xfId="0" applyFont="1" applyFill="1"/>
    <xf numFmtId="0" fontId="0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14" fillId="0" borderId="0" xfId="3"/>
    <xf numFmtId="0" fontId="9" fillId="0" borderId="0" xfId="0" applyFont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4" xfId="0" applyFont="1" applyFill="1" applyBorder="1" applyAlignment="1">
      <alignment horizontal="right"/>
    </xf>
    <xf numFmtId="165" fontId="0" fillId="6" borderId="4" xfId="0" applyNumberFormat="1" applyFont="1" applyFill="1" applyBorder="1"/>
    <xf numFmtId="44" fontId="0" fillId="0" borderId="0" xfId="1" applyFont="1"/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sf.gov/pubs/policydocs/pappg20_1/pappg_2.jsp" TargetMode="External"/><Relationship Id="rId2" Type="http://schemas.openxmlformats.org/officeDocument/2006/relationships/hyperlink" Target="https://www.nsf.gov/pubs/policydocs/pappg20_1/pappg_2.jsp" TargetMode="External"/><Relationship Id="rId1" Type="http://schemas.openxmlformats.org/officeDocument/2006/relationships/hyperlink" Target="https://www.nsf.gov/pubs/policydocs/pappg20_1/pappg_2.jsp" TargetMode="External"/><Relationship Id="rId6" Type="http://schemas.openxmlformats.org/officeDocument/2006/relationships/hyperlink" Target="https://www.nsf.gov/pubs/policydocs/pappg20_1/pappg_2.jsp" TargetMode="External"/><Relationship Id="rId5" Type="http://schemas.openxmlformats.org/officeDocument/2006/relationships/hyperlink" Target="https://www.nsf.gov/pubs/policydocs/pappg20_1/pappg_2.jsp" TargetMode="External"/><Relationship Id="rId4" Type="http://schemas.openxmlformats.org/officeDocument/2006/relationships/hyperlink" Target="https://www.nsf.gov/pubs/policydocs/pappg20_1/pappg_2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1"/>
  <sheetViews>
    <sheetView tabSelected="1" workbookViewId="0">
      <selection activeCell="D33" sqref="D33"/>
    </sheetView>
  </sheetViews>
  <sheetFormatPr baseColWidth="10" defaultColWidth="10.83203125" defaultRowHeight="16" x14ac:dyDescent="0.2"/>
  <cols>
    <col min="1" max="1" width="35" style="6" customWidth="1"/>
    <col min="2" max="2" width="30" style="6" customWidth="1"/>
    <col min="3" max="3" width="12.5" style="6" bestFit="1" customWidth="1"/>
    <col min="4" max="4" width="13.5" style="6" bestFit="1" customWidth="1"/>
    <col min="5" max="5" width="22" style="6" customWidth="1"/>
    <col min="6" max="6" width="16.6640625" style="6" customWidth="1"/>
    <col min="7" max="7" width="14.5" style="6" customWidth="1"/>
    <col min="8" max="8" width="16.1640625" style="6" customWidth="1"/>
    <col min="9" max="9" width="12.6640625" style="6" customWidth="1"/>
    <col min="10" max="10" width="13.6640625" style="6" customWidth="1"/>
    <col min="11" max="13" width="11.1640625" style="6" bestFit="1" customWidth="1"/>
    <col min="14" max="15" width="11" style="6" bestFit="1" customWidth="1"/>
    <col min="16" max="16384" width="10.83203125" style="6"/>
  </cols>
  <sheetData>
    <row r="1" spans="1:11" ht="17" thickBot="1" x14ac:dyDescent="0.25">
      <c r="C1" s="6" t="s">
        <v>0</v>
      </c>
      <c r="D1" s="6" t="s">
        <v>1</v>
      </c>
      <c r="E1" s="6" t="s">
        <v>9</v>
      </c>
      <c r="G1"/>
      <c r="H1"/>
      <c r="I1"/>
      <c r="J1"/>
      <c r="K1"/>
    </row>
    <row r="2" spans="1:11" ht="17" thickBot="1" x14ac:dyDescent="0.25">
      <c r="A2" s="24" t="s">
        <v>17</v>
      </c>
      <c r="B2" s="37"/>
      <c r="C2" s="25"/>
      <c r="D2" s="25"/>
      <c r="E2" s="26"/>
      <c r="F2" s="6">
        <v>173.3</v>
      </c>
      <c r="G2"/>
      <c r="H2"/>
      <c r="I2"/>
      <c r="J2"/>
      <c r="K2"/>
    </row>
    <row r="3" spans="1:11" x14ac:dyDescent="0.2">
      <c r="A3" s="6" t="s">
        <v>6</v>
      </c>
      <c r="B3" s="38" t="s">
        <v>2</v>
      </c>
      <c r="C3" s="66"/>
      <c r="D3" s="47"/>
      <c r="E3" s="48"/>
      <c r="F3" s="35"/>
      <c r="G3" s="6" t="s">
        <v>83</v>
      </c>
      <c r="K3"/>
    </row>
    <row r="4" spans="1:11" x14ac:dyDescent="0.2">
      <c r="B4" s="18" t="s">
        <v>85</v>
      </c>
      <c r="C4" s="77">
        <f>$H$8*4.5*173.3</f>
        <v>43468.839000000007</v>
      </c>
      <c r="E4" s="48">
        <f>SUM(C4:C4)</f>
        <v>43468.839000000007</v>
      </c>
      <c r="G4" s="6" t="s">
        <v>12</v>
      </c>
      <c r="H4" s="6" t="s">
        <v>10</v>
      </c>
      <c r="K4"/>
    </row>
    <row r="5" spans="1:11" x14ac:dyDescent="0.2">
      <c r="B5" s="18" t="s">
        <v>86</v>
      </c>
      <c r="C5" s="77">
        <f>160*H8</f>
        <v>8918.4</v>
      </c>
      <c r="D5" s="47">
        <f>C5*1.03</f>
        <v>9185.9519999999993</v>
      </c>
      <c r="E5" s="48">
        <f>SUM(C5:D5)</f>
        <v>18104.351999999999</v>
      </c>
      <c r="F5" s="78"/>
      <c r="G5" s="6">
        <v>780</v>
      </c>
      <c r="H5" s="6">
        <v>260</v>
      </c>
      <c r="I5" s="6">
        <f>G5+H5</f>
        <v>1040</v>
      </c>
    </row>
    <row r="6" spans="1:11" x14ac:dyDescent="0.2">
      <c r="B6" s="38"/>
      <c r="C6" s="66"/>
      <c r="D6" s="47"/>
      <c r="E6" s="48"/>
      <c r="F6" s="50"/>
    </row>
    <row r="7" spans="1:11" x14ac:dyDescent="0.2">
      <c r="A7" s="6" t="s">
        <v>8</v>
      </c>
      <c r="B7" s="10" t="s">
        <v>11</v>
      </c>
      <c r="E7" s="50"/>
      <c r="G7" s="6" t="s">
        <v>25</v>
      </c>
      <c r="H7" s="6" t="s">
        <v>26</v>
      </c>
      <c r="I7" s="6" t="s">
        <v>29</v>
      </c>
    </row>
    <row r="8" spans="1:11" ht="17" thickBot="1" x14ac:dyDescent="0.25">
      <c r="B8" s="18" t="s">
        <v>84</v>
      </c>
      <c r="C8" s="49">
        <f>I5*H9*K54</f>
        <v>18272.8</v>
      </c>
      <c r="D8" s="73">
        <f>C8*1.03</f>
        <v>18820.984</v>
      </c>
      <c r="E8" s="48">
        <f>SUM(C8:D8)</f>
        <v>37093.784</v>
      </c>
      <c r="G8" s="79" t="s">
        <v>27</v>
      </c>
      <c r="H8" s="80">
        <v>55.74</v>
      </c>
    </row>
    <row r="9" spans="1:11" ht="17" thickBot="1" x14ac:dyDescent="0.25">
      <c r="A9" s="13" t="s">
        <v>13</v>
      </c>
      <c r="B9" s="14"/>
      <c r="C9" s="52">
        <f>SUM(C4:C8)</f>
        <v>70660.039000000004</v>
      </c>
      <c r="D9" s="52">
        <f>SUM(D4:D8)</f>
        <v>28006.936000000002</v>
      </c>
      <c r="E9" s="53">
        <f>SUM(C9:D9)</f>
        <v>98666.975000000006</v>
      </c>
      <c r="F9" s="50"/>
      <c r="G9" s="40" t="s">
        <v>28</v>
      </c>
      <c r="H9" s="6">
        <v>17.57</v>
      </c>
    </row>
    <row r="10" spans="1:11" ht="17" thickBot="1" x14ac:dyDescent="0.25">
      <c r="B10" s="12"/>
      <c r="C10" s="51"/>
      <c r="D10" s="49"/>
      <c r="E10" s="48"/>
      <c r="K10" s="6">
        <f>86954/1560</f>
        <v>55.73974358974359</v>
      </c>
    </row>
    <row r="11" spans="1:11" ht="17" thickBot="1" x14ac:dyDescent="0.25">
      <c r="A11" s="24" t="s">
        <v>18</v>
      </c>
      <c r="B11" s="25"/>
      <c r="C11" s="54"/>
      <c r="D11" s="54"/>
      <c r="E11" s="55"/>
    </row>
    <row r="12" spans="1:11" x14ac:dyDescent="0.2">
      <c r="B12" s="17" t="s">
        <v>2</v>
      </c>
      <c r="C12" s="47"/>
      <c r="D12" s="47"/>
      <c r="E12" s="47"/>
    </row>
    <row r="13" spans="1:11" x14ac:dyDescent="0.2">
      <c r="B13" s="12" t="s">
        <v>12</v>
      </c>
      <c r="C13" s="47">
        <f>C4*$H$15</f>
        <v>13344.933573000002</v>
      </c>
      <c r="E13" s="47">
        <f>SUM(C13:C13)</f>
        <v>13344.933573000002</v>
      </c>
    </row>
    <row r="14" spans="1:11" x14ac:dyDescent="0.2">
      <c r="B14" s="8" t="s">
        <v>10</v>
      </c>
      <c r="C14" s="47">
        <f>C5*$H$15</f>
        <v>2737.9487999999997</v>
      </c>
      <c r="D14" s="47">
        <f>D5*$H$15</f>
        <v>2820.0872639999998</v>
      </c>
      <c r="E14" s="47">
        <f>SUM(C14:D14)</f>
        <v>5558.0360639999999</v>
      </c>
      <c r="G14" s="6" t="s">
        <v>30</v>
      </c>
    </row>
    <row r="15" spans="1:11" x14ac:dyDescent="0.2">
      <c r="B15" s="17"/>
      <c r="C15" s="47"/>
      <c r="D15" s="47"/>
      <c r="E15" s="47"/>
      <c r="G15" s="80" t="s">
        <v>31</v>
      </c>
      <c r="H15" s="80">
        <v>0.307</v>
      </c>
    </row>
    <row r="16" spans="1:11" x14ac:dyDescent="0.2">
      <c r="A16" s="6" t="s">
        <v>38</v>
      </c>
      <c r="B16" s="9" t="s">
        <v>11</v>
      </c>
      <c r="C16" s="47"/>
      <c r="D16" s="47"/>
      <c r="E16" s="47">
        <f>SUM(C16:D16)</f>
        <v>0</v>
      </c>
      <c r="G16" s="80" t="s">
        <v>32</v>
      </c>
      <c r="H16" s="80">
        <v>0.41799999999999998</v>
      </c>
    </row>
    <row r="17" spans="1:8" x14ac:dyDescent="0.2">
      <c r="B17" s="18" t="s">
        <v>84</v>
      </c>
      <c r="C17" s="47">
        <f>C8*$H$17</f>
        <v>383.72880000000004</v>
      </c>
      <c r="D17" s="50">
        <f>D8*H17</f>
        <v>395.24066400000004</v>
      </c>
      <c r="E17" s="47">
        <f>SUM(C17:D17)</f>
        <v>778.96946400000002</v>
      </c>
      <c r="G17" s="80" t="s">
        <v>33</v>
      </c>
      <c r="H17" s="80">
        <v>2.1000000000000001E-2</v>
      </c>
    </row>
    <row r="18" spans="1:8" ht="17" thickBot="1" x14ac:dyDescent="0.25">
      <c r="G18" s="80" t="s">
        <v>34</v>
      </c>
      <c r="H18" s="80">
        <v>7.9000000000000001E-2</v>
      </c>
    </row>
    <row r="19" spans="1:8" x14ac:dyDescent="0.2">
      <c r="A19" s="22" t="s">
        <v>14</v>
      </c>
      <c r="B19" s="23"/>
      <c r="C19" s="56">
        <f>SUM(C12:C18)</f>
        <v>16466.611173000001</v>
      </c>
      <c r="D19" s="56">
        <f>SUM(D12:D18)</f>
        <v>3215.3279279999997</v>
      </c>
      <c r="E19" s="57">
        <f>SUM(C19:D19)</f>
        <v>19681.939101</v>
      </c>
      <c r="G19" s="80"/>
      <c r="H19" s="80"/>
    </row>
    <row r="20" spans="1:8" ht="17" customHeight="1" thickBot="1" x14ac:dyDescent="0.25">
      <c r="G20"/>
    </row>
    <row r="21" spans="1:8" s="11" customFormat="1" ht="17" thickBot="1" x14ac:dyDescent="0.25">
      <c r="A21" s="28" t="s">
        <v>19</v>
      </c>
      <c r="B21" s="29"/>
      <c r="C21" s="58"/>
      <c r="D21" s="58"/>
      <c r="E21" s="59"/>
    </row>
    <row r="22" spans="1:8" s="11" customFormat="1" x14ac:dyDescent="0.2">
      <c r="A22" s="36"/>
      <c r="B22" s="9"/>
      <c r="C22" s="60"/>
      <c r="D22" s="60"/>
      <c r="E22" s="60"/>
    </row>
    <row r="23" spans="1:8" s="11" customFormat="1" ht="17" thickBot="1" x14ac:dyDescent="0.25">
      <c r="A23" s="30" t="s">
        <v>21</v>
      </c>
      <c r="B23" s="31"/>
      <c r="C23" s="61">
        <f>SUM(C22)</f>
        <v>0</v>
      </c>
      <c r="D23" s="61">
        <f t="shared" ref="D23:E23" si="0">SUM(D22)</f>
        <v>0</v>
      </c>
      <c r="E23" s="61">
        <f t="shared" si="0"/>
        <v>0</v>
      </c>
    </row>
    <row r="24" spans="1:8" ht="17" thickBot="1" x14ac:dyDescent="0.25">
      <c r="A24" s="27" t="s">
        <v>20</v>
      </c>
      <c r="B24" s="25"/>
      <c r="C24" s="54"/>
      <c r="D24" s="54"/>
      <c r="E24" s="55"/>
    </row>
    <row r="25" spans="1:8" x14ac:dyDescent="0.2">
      <c r="B25" s="21" t="s">
        <v>75</v>
      </c>
      <c r="C25" s="62"/>
      <c r="D25" s="62"/>
      <c r="E25" s="62"/>
    </row>
    <row r="26" spans="1:8" x14ac:dyDescent="0.2">
      <c r="B26" s="20" t="s">
        <v>16</v>
      </c>
      <c r="C26" s="63">
        <v>600</v>
      </c>
      <c r="D26" s="63">
        <v>600</v>
      </c>
      <c r="E26" s="62">
        <f>SUM(C26:D26)</f>
        <v>1200</v>
      </c>
    </row>
    <row r="27" spans="1:8" x14ac:dyDescent="0.2">
      <c r="B27" s="20" t="s">
        <v>76</v>
      </c>
      <c r="C27" s="63">
        <f>2*250</f>
        <v>500</v>
      </c>
      <c r="D27" s="63">
        <f t="shared" ref="D27" si="1">2*250</f>
        <v>500</v>
      </c>
      <c r="E27" s="62">
        <f>SUM(C27:D27)</f>
        <v>1000</v>
      </c>
    </row>
    <row r="28" spans="1:8" x14ac:dyDescent="0.2">
      <c r="B28" s="20" t="s">
        <v>77</v>
      </c>
      <c r="C28" s="63">
        <f>76*3</f>
        <v>228</v>
      </c>
      <c r="D28" s="63">
        <f>C28</f>
        <v>228</v>
      </c>
      <c r="E28" s="62">
        <f>SUM(C28:D28)</f>
        <v>456</v>
      </c>
    </row>
    <row r="29" spans="1:8" x14ac:dyDescent="0.2">
      <c r="B29" s="20"/>
      <c r="C29" s="63"/>
      <c r="D29" s="63"/>
      <c r="E29" s="62"/>
    </row>
    <row r="31" spans="1:8" x14ac:dyDescent="0.2">
      <c r="B31" s="21" t="s">
        <v>97</v>
      </c>
      <c r="C31" s="62"/>
      <c r="D31" s="62"/>
      <c r="E31" s="62"/>
    </row>
    <row r="32" spans="1:8" x14ac:dyDescent="0.2">
      <c r="B32" s="20" t="s">
        <v>16</v>
      </c>
      <c r="C32" s="63">
        <v>600</v>
      </c>
      <c r="D32" s="63">
        <v>600</v>
      </c>
      <c r="E32" s="62">
        <f>SUM(C32:D32)</f>
        <v>1200</v>
      </c>
    </row>
    <row r="33" spans="1:14" x14ac:dyDescent="0.2">
      <c r="B33" s="20" t="s">
        <v>76</v>
      </c>
      <c r="C33" s="63">
        <f>2*250</f>
        <v>500</v>
      </c>
      <c r="D33" s="63">
        <f t="shared" ref="D33" si="2">2*250</f>
        <v>500</v>
      </c>
      <c r="E33" s="62">
        <f>SUM(C33:D33)</f>
        <v>1000</v>
      </c>
    </row>
    <row r="34" spans="1:14" x14ac:dyDescent="0.2">
      <c r="B34" s="20" t="s">
        <v>77</v>
      </c>
      <c r="C34" s="63">
        <f>76*3</f>
        <v>228</v>
      </c>
      <c r="D34" s="63">
        <f>C34</f>
        <v>228</v>
      </c>
      <c r="E34" s="62">
        <f>SUM(C34:D34)</f>
        <v>456</v>
      </c>
      <c r="J34" s="80"/>
      <c r="K34" s="80"/>
      <c r="L34" s="80"/>
    </row>
    <row r="35" spans="1:14" ht="17" thickBot="1" x14ac:dyDescent="0.25">
      <c r="B35" s="20"/>
      <c r="C35" s="63"/>
      <c r="D35" s="63"/>
      <c r="E35" s="62"/>
      <c r="G35" s="80"/>
      <c r="H35" s="80"/>
      <c r="I35" s="80"/>
      <c r="J35" s="80"/>
      <c r="K35" s="80"/>
      <c r="L35" s="80"/>
    </row>
    <row r="36" spans="1:14" ht="17" thickBot="1" x14ac:dyDescent="0.25">
      <c r="A36" s="16" t="s">
        <v>15</v>
      </c>
      <c r="B36" s="15"/>
      <c r="C36" s="52">
        <f>SUM(C26:C35)</f>
        <v>2656</v>
      </c>
      <c r="D36" s="52">
        <f>SUM(D26:D35)</f>
        <v>2656</v>
      </c>
      <c r="E36" s="52">
        <f>SUM(C36:D36)</f>
        <v>5312</v>
      </c>
      <c r="G36" s="81"/>
      <c r="H36" s="82"/>
      <c r="I36" s="82"/>
      <c r="J36" s="82"/>
      <c r="K36" s="80"/>
      <c r="L36" s="80"/>
    </row>
    <row r="37" spans="1:14" ht="17" thickBot="1" x14ac:dyDescent="0.25">
      <c r="A37" s="27" t="s">
        <v>24</v>
      </c>
      <c r="B37" s="25"/>
      <c r="C37" s="54"/>
      <c r="D37" s="54"/>
      <c r="E37" s="55"/>
    </row>
    <row r="38" spans="1:14" x14ac:dyDescent="0.2">
      <c r="A38" s="39"/>
      <c r="B38" s="41"/>
      <c r="C38" s="50"/>
      <c r="D38" s="50"/>
      <c r="E38" s="62"/>
    </row>
    <row r="39" spans="1:14" x14ac:dyDescent="0.2">
      <c r="A39" s="39"/>
      <c r="B39" s="7"/>
      <c r="C39" s="50"/>
      <c r="D39" s="50"/>
      <c r="E39" s="62"/>
    </row>
    <row r="40" spans="1:14" x14ac:dyDescent="0.2">
      <c r="B40" s="7"/>
      <c r="C40" s="50"/>
      <c r="D40" s="50"/>
      <c r="E40" s="62"/>
    </row>
    <row r="41" spans="1:14" x14ac:dyDescent="0.2">
      <c r="B41" s="7"/>
      <c r="C41" s="50"/>
      <c r="D41" s="50"/>
      <c r="E41" s="62"/>
      <c r="L41" s="2"/>
      <c r="M41" s="2"/>
      <c r="N41" s="4"/>
    </row>
    <row r="42" spans="1:14" ht="17" thickBot="1" x14ac:dyDescent="0.25">
      <c r="B42" s="7"/>
      <c r="C42" s="50"/>
      <c r="D42" s="50"/>
      <c r="E42" s="62"/>
      <c r="L42" s="2"/>
      <c r="M42" s="2"/>
      <c r="N42" s="4"/>
    </row>
    <row r="43" spans="1:14" ht="17" thickBot="1" x14ac:dyDescent="0.25">
      <c r="A43" s="16" t="s">
        <v>23</v>
      </c>
      <c r="B43" s="15"/>
      <c r="C43" s="52">
        <f>SUM(C38:C42)</f>
        <v>0</v>
      </c>
      <c r="D43" s="52">
        <f>SUM(D38:D42)</f>
        <v>0</v>
      </c>
      <c r="E43" s="53">
        <f>SUM(C43:D43)</f>
        <v>0</v>
      </c>
      <c r="N43" s="34"/>
    </row>
    <row r="44" spans="1:14" x14ac:dyDescent="0.2">
      <c r="A44" s="24" t="s">
        <v>37</v>
      </c>
      <c r="B44" s="42"/>
      <c r="C44" s="64"/>
      <c r="D44" s="64"/>
      <c r="E44" s="64"/>
      <c r="G44" s="35"/>
      <c r="N44" s="4"/>
    </row>
    <row r="45" spans="1:14" x14ac:dyDescent="0.2">
      <c r="A45" s="83" t="s">
        <v>90</v>
      </c>
      <c r="H45" s="2"/>
      <c r="I45" s="2"/>
      <c r="J45" s="2"/>
      <c r="K45" s="2"/>
      <c r="L45" s="2"/>
      <c r="M45" s="2"/>
      <c r="N45" s="4"/>
    </row>
    <row r="46" spans="1:14" x14ac:dyDescent="0.2">
      <c r="A46" s="39"/>
      <c r="B46" s="11"/>
      <c r="C46" s="66"/>
      <c r="D46" s="66"/>
      <c r="E46" s="66">
        <f>SUM(C46:D46)</f>
        <v>0</v>
      </c>
      <c r="G46" s="80"/>
      <c r="H46" s="80"/>
      <c r="I46" s="80"/>
      <c r="J46" s="80"/>
      <c r="K46" s="80"/>
      <c r="L46" s="80"/>
      <c r="M46" s="2"/>
      <c r="N46" s="4"/>
    </row>
    <row r="47" spans="1:14" x14ac:dyDescent="0.2">
      <c r="G47" s="80"/>
      <c r="H47" s="80"/>
      <c r="I47" s="80"/>
      <c r="J47" s="80"/>
      <c r="K47" s="80"/>
      <c r="L47" s="80"/>
      <c r="M47" s="19"/>
      <c r="N47" s="4"/>
    </row>
    <row r="48" spans="1:14" x14ac:dyDescent="0.2">
      <c r="A48" s="83" t="s">
        <v>91</v>
      </c>
      <c r="G48"/>
      <c r="H48" s="2"/>
      <c r="I48" s="2"/>
      <c r="J48" s="2"/>
      <c r="K48" s="2"/>
      <c r="L48" s="2"/>
      <c r="M48" s="19"/>
      <c r="N48" s="4"/>
    </row>
    <row r="49" spans="1:14" x14ac:dyDescent="0.2">
      <c r="A49" s="83" t="s">
        <v>92</v>
      </c>
      <c r="C49" s="60">
        <v>4000</v>
      </c>
      <c r="D49" s="60">
        <v>4000</v>
      </c>
      <c r="E49" s="60">
        <f>SUM(C49:D49)</f>
        <v>8000</v>
      </c>
      <c r="G49"/>
      <c r="H49" s="3"/>
      <c r="I49" s="2"/>
      <c r="J49" s="2"/>
      <c r="K49" s="2"/>
      <c r="L49" s="2"/>
      <c r="M49" s="19"/>
      <c r="N49" s="4"/>
    </row>
    <row r="50" spans="1:14" x14ac:dyDescent="0.2">
      <c r="A50" s="83" t="s">
        <v>93</v>
      </c>
      <c r="H50" s="3"/>
      <c r="I50" s="2"/>
      <c r="J50" s="2"/>
      <c r="K50" s="2"/>
      <c r="L50" s="2"/>
      <c r="M50" s="2"/>
      <c r="N50" s="4"/>
    </row>
    <row r="51" spans="1:14" x14ac:dyDescent="0.2">
      <c r="A51" s="83" t="s">
        <v>94</v>
      </c>
      <c r="C51" s="66"/>
      <c r="D51" s="66"/>
      <c r="E51" s="66"/>
    </row>
    <row r="52" spans="1:14" x14ac:dyDescent="0.2">
      <c r="A52" s="83" t="s">
        <v>95</v>
      </c>
      <c r="I52"/>
      <c r="J52" s="2"/>
      <c r="K52" s="2"/>
    </row>
    <row r="53" spans="1:14" x14ac:dyDescent="0.2">
      <c r="A53" s="7" t="s">
        <v>22</v>
      </c>
      <c r="C53" s="62"/>
      <c r="D53" s="62"/>
      <c r="E53" s="62"/>
      <c r="G53" s="3"/>
      <c r="H53" s="2" t="s">
        <v>81</v>
      </c>
      <c r="I53" s="2" t="s">
        <v>79</v>
      </c>
      <c r="J53" s="2" t="s">
        <v>80</v>
      </c>
      <c r="K53" s="2" t="s">
        <v>82</v>
      </c>
    </row>
    <row r="54" spans="1:14" ht="17" thickBot="1" x14ac:dyDescent="0.25">
      <c r="A54" s="43"/>
      <c r="B54" s="84" t="s">
        <v>96</v>
      </c>
      <c r="C54" s="88">
        <f>H54</f>
        <v>23639</v>
      </c>
      <c r="D54" s="62">
        <f>C54*1.05</f>
        <v>24820.95</v>
      </c>
      <c r="E54" s="65">
        <f>SUM(C54:D54)</f>
        <v>48459.95</v>
      </c>
      <c r="G54" s="2" t="s">
        <v>78</v>
      </c>
      <c r="H54" s="2">
        <f>2*J54+I54</f>
        <v>23639</v>
      </c>
      <c r="I54" s="2">
        <v>951</v>
      </c>
      <c r="J54" s="2">
        <v>11344</v>
      </c>
      <c r="K54" s="2">
        <v>1</v>
      </c>
    </row>
    <row r="55" spans="1:14" ht="17" thickBot="1" x14ac:dyDescent="0.25">
      <c r="A55" s="85" t="s">
        <v>22</v>
      </c>
      <c r="B55" s="86"/>
      <c r="C55" s="87">
        <f>SUM(C54)</f>
        <v>23639</v>
      </c>
      <c r="D55" s="87">
        <f>SUM(D54)</f>
        <v>24820.95</v>
      </c>
      <c r="E55" s="87">
        <f>SUM(C55:D55)</f>
        <v>48459.95</v>
      </c>
      <c r="K55" s="2"/>
    </row>
    <row r="56" spans="1:14" ht="17" thickBot="1" x14ac:dyDescent="0.25">
      <c r="A56" s="16" t="s">
        <v>39</v>
      </c>
      <c r="B56" s="15"/>
      <c r="C56" s="52">
        <f>SUM(C49:C54)</f>
        <v>27639</v>
      </c>
      <c r="D56" s="52">
        <f>SUM(D49:D54)</f>
        <v>28820.95</v>
      </c>
      <c r="E56" s="52">
        <f>SUM(C56:D56)</f>
        <v>56459.95</v>
      </c>
    </row>
    <row r="57" spans="1:14" x14ac:dyDescent="0.2">
      <c r="A57" s="1" t="s">
        <v>3</v>
      </c>
      <c r="B57"/>
      <c r="C57" s="67">
        <f>C56+C43+C36+C23+C19+C9</f>
        <v>117421.650173</v>
      </c>
      <c r="D57" s="67">
        <f>D56+D43+D36+D23+D19+D9</f>
        <v>62699.213928000005</v>
      </c>
      <c r="E57" s="67">
        <f>SUM(C57:D57)</f>
        <v>180120.86410100001</v>
      </c>
    </row>
    <row r="58" spans="1:14" x14ac:dyDescent="0.2">
      <c r="A58" s="1" t="s">
        <v>40</v>
      </c>
      <c r="B58"/>
      <c r="C58" s="67">
        <f>C57-C43-C55</f>
        <v>93782.650173000002</v>
      </c>
      <c r="D58" s="67">
        <f>D57-D43-D55</f>
        <v>37878.263928</v>
      </c>
      <c r="E58" s="67">
        <f>SUM(C58:D58)</f>
        <v>131660.914101</v>
      </c>
    </row>
    <row r="59" spans="1:14" ht="17" thickBot="1" x14ac:dyDescent="0.25">
      <c r="A59" s="1" t="s">
        <v>4</v>
      </c>
      <c r="B59"/>
      <c r="C59" s="67">
        <f>C58*0.36</f>
        <v>33761.754062280001</v>
      </c>
      <c r="D59" s="67">
        <f>D58*0.36</f>
        <v>13636.17501408</v>
      </c>
      <c r="E59" s="67">
        <f>SUM(C59:D59)</f>
        <v>47397.92907636</v>
      </c>
    </row>
    <row r="60" spans="1:14" ht="17" thickBot="1" x14ac:dyDescent="0.25">
      <c r="A60" s="32" t="s">
        <v>5</v>
      </c>
      <c r="B60" s="33"/>
      <c r="C60" s="68">
        <f>C59+C57</f>
        <v>151183.40423528</v>
      </c>
      <c r="D60" s="68">
        <f t="shared" ref="D60" si="3">D59+D57</f>
        <v>76335.388942079997</v>
      </c>
      <c r="E60" s="68">
        <f>SUM(C60:D60)</f>
        <v>227518.79317736</v>
      </c>
      <c r="G60" s="6" t="s">
        <v>87</v>
      </c>
      <c r="H60" s="6" t="s">
        <v>88</v>
      </c>
    </row>
    <row r="61" spans="1:14" x14ac:dyDescent="0.2">
      <c r="G61" s="6" t="s">
        <v>89</v>
      </c>
      <c r="H61" s="50">
        <f>E8+E17</f>
        <v>37872.753464000001</v>
      </c>
    </row>
    <row r="62" spans="1:14" x14ac:dyDescent="0.2">
      <c r="G62" s="6" t="s">
        <v>87</v>
      </c>
      <c r="H62" s="50">
        <f>E56</f>
        <v>56459.95</v>
      </c>
    </row>
    <row r="63" spans="1:14" x14ac:dyDescent="0.2">
      <c r="G63" s="6" t="s">
        <v>36</v>
      </c>
      <c r="H63" s="50">
        <f>E36</f>
        <v>5312</v>
      </c>
    </row>
    <row r="64" spans="1:14" x14ac:dyDescent="0.2">
      <c r="H64" s="50">
        <f>SUM(H61:H63)</f>
        <v>99644.703463999991</v>
      </c>
      <c r="I64" s="50">
        <f>J64-H64</f>
        <v>355.29653600000893</v>
      </c>
      <c r="J64" s="6">
        <v>100000</v>
      </c>
    </row>
    <row r="69" spans="6:11" x14ac:dyDescent="0.2">
      <c r="F69"/>
      <c r="G69"/>
      <c r="H69"/>
      <c r="I69"/>
      <c r="J69"/>
      <c r="K69"/>
    </row>
    <row r="70" spans="6:11" x14ac:dyDescent="0.2">
      <c r="F70"/>
      <c r="G70"/>
      <c r="H70"/>
      <c r="I70"/>
      <c r="J70"/>
      <c r="K70"/>
    </row>
    <row r="71" spans="6:11" x14ac:dyDescent="0.2">
      <c r="F71"/>
      <c r="G71"/>
      <c r="H71"/>
      <c r="I71"/>
      <c r="J71"/>
      <c r="K71"/>
    </row>
  </sheetData>
  <hyperlinks>
    <hyperlink ref="A45" r:id="rId1" location="IIC2gvia" display="https://www.nsf.gov/pubs/policydocs/pappg20_1/pappg_2.jsp - IIC2gvia" xr:uid="{708646F5-A346-3C4E-B821-F546FD3B22D2}"/>
    <hyperlink ref="A48" r:id="rId2" location="IIC2gvib" display="https://www.nsf.gov/pubs/policydocs/pappg20_1/pappg_2.jsp - IIC2gvib" xr:uid="{3BC0960E-687E-6346-B44A-E53585266DEE}"/>
    <hyperlink ref="A49" r:id="rId3" location="IIC2gvic" display="https://www.nsf.gov/pubs/policydocs/pappg20_1/pappg_2.jsp - IIC2gvic" xr:uid="{82D7F243-D5DB-E341-93B1-2A022DCE22C0}"/>
    <hyperlink ref="A50" r:id="rId4" location="IIC2gvid" display="https://www.nsf.gov/pubs/policydocs/pappg20_1/pappg_2.jsp - IIC2gvid" xr:uid="{E5CD073C-DB63-CE46-BA6F-34ACB97608B2}"/>
    <hyperlink ref="A51" r:id="rId5" location="IIC2gvie" display="https://www.nsf.gov/pubs/policydocs/pappg20_1/pappg_2.jsp - IIC2gvie" xr:uid="{6F3EB175-A261-054A-AD9D-2CF62F495548}"/>
    <hyperlink ref="A52" r:id="rId6" location="IIC2gvif" display="https://www.nsf.gov/pubs/policydocs/pappg20_1/pappg_2.jsp - IIC2gvif" xr:uid="{813C3930-2180-4345-9028-C9018A03097A}"/>
  </hyperlinks>
  <pageMargins left="0.7" right="0.7" top="0.75" bottom="0.75" header="0.3" footer="0.3"/>
  <pageSetup scale="30" fitToHeight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A1A7-B8C9-6749-8713-C4FBC3139218}">
  <dimension ref="A1:G29"/>
  <sheetViews>
    <sheetView zoomScale="150" zoomScaleNormal="150" workbookViewId="0">
      <pane xSplit="2660" ySplit="1100" topLeftCell="A15" activePane="bottomRight"/>
      <selection sqref="A1:XFD1"/>
      <selection pane="topRight" activeCell="E1" sqref="E1:H1048576"/>
      <selection pane="bottomLeft" activeCell="A4" sqref="A4:XFD5"/>
      <selection pane="bottomRight" activeCell="C3" sqref="C3"/>
    </sheetView>
  </sheetViews>
  <sheetFormatPr baseColWidth="10" defaultColWidth="11" defaultRowHeight="58" customHeight="1" x14ac:dyDescent="0.2"/>
  <cols>
    <col min="2" max="2" width="44.83203125" customWidth="1"/>
    <col min="3" max="3" width="14.5" bestFit="1" customWidth="1"/>
    <col min="4" max="6" width="12.5" bestFit="1" customWidth="1"/>
  </cols>
  <sheetData>
    <row r="1" spans="1:5" ht="21" customHeight="1" x14ac:dyDescent="0.2">
      <c r="C1" t="s">
        <v>0</v>
      </c>
      <c r="D1" t="s">
        <v>1</v>
      </c>
    </row>
    <row r="2" spans="1:5" ht="18" customHeight="1" x14ac:dyDescent="0.2">
      <c r="A2" s="45" t="s">
        <v>41</v>
      </c>
      <c r="B2" s="45" t="s">
        <v>7</v>
      </c>
    </row>
    <row r="3" spans="1:5" ht="16" customHeight="1" x14ac:dyDescent="0.2">
      <c r="B3" t="s">
        <v>44</v>
      </c>
      <c r="C3" s="69">
        <f>'Organized by category'!C4+'Organized by category'!C5</f>
        <v>52387.239000000009</v>
      </c>
      <c r="D3" s="69">
        <f>'Organized by category'!D4+'Organized by category'!D5</f>
        <v>9185.9519999999993</v>
      </c>
      <c r="E3" t="s">
        <v>44</v>
      </c>
    </row>
    <row r="4" spans="1:5" ht="24" customHeight="1" x14ac:dyDescent="0.2">
      <c r="A4" s="45" t="s">
        <v>42</v>
      </c>
      <c r="B4" s="45" t="s">
        <v>43</v>
      </c>
      <c r="C4" s="72"/>
      <c r="D4" s="72"/>
    </row>
    <row r="5" spans="1:5" ht="23" customHeight="1" x14ac:dyDescent="0.2">
      <c r="B5" t="s">
        <v>45</v>
      </c>
      <c r="C5" s="69">
        <f>'Organized by category'!C8</f>
        <v>18272.8</v>
      </c>
      <c r="D5" s="69">
        <f>'Organized by category'!D8</f>
        <v>18820.984</v>
      </c>
      <c r="E5" t="s">
        <v>69</v>
      </c>
    </row>
    <row r="6" spans="1:5" ht="21" customHeight="1" x14ac:dyDescent="0.2">
      <c r="C6" s="69"/>
      <c r="D6" s="69"/>
    </row>
    <row r="7" spans="1:5" ht="23" customHeight="1" x14ac:dyDescent="0.2">
      <c r="A7" s="45" t="s">
        <v>46</v>
      </c>
      <c r="B7" s="45" t="s">
        <v>47</v>
      </c>
      <c r="C7" s="69">
        <f>'Organized by category'!C19</f>
        <v>16466.611173000001</v>
      </c>
      <c r="D7" s="69">
        <f>'Organized by category'!D19</f>
        <v>3215.3279279999997</v>
      </c>
      <c r="E7" t="s">
        <v>70</v>
      </c>
    </row>
    <row r="8" spans="1:5" ht="22" customHeight="1" x14ac:dyDescent="0.2">
      <c r="A8" s="45" t="s">
        <v>48</v>
      </c>
      <c r="B8" s="45" t="s">
        <v>49</v>
      </c>
      <c r="C8" s="69"/>
      <c r="D8" s="69"/>
    </row>
    <row r="9" spans="1:5" ht="23" customHeight="1" x14ac:dyDescent="0.2">
      <c r="A9" s="45" t="s">
        <v>50</v>
      </c>
      <c r="B9" s="45" t="s">
        <v>36</v>
      </c>
      <c r="C9" s="69">
        <f>'Organized by category'!C36</f>
        <v>2656</v>
      </c>
      <c r="D9" s="69">
        <f>'Organized by category'!D36</f>
        <v>2656</v>
      </c>
      <c r="E9" t="s">
        <v>36</v>
      </c>
    </row>
    <row r="10" spans="1:5" ht="20" customHeight="1" x14ac:dyDescent="0.2">
      <c r="A10" s="45" t="s">
        <v>57</v>
      </c>
      <c r="B10" s="45" t="s">
        <v>56</v>
      </c>
      <c r="C10" s="69"/>
      <c r="D10" s="69"/>
    </row>
    <row r="11" spans="1:5" ht="23" customHeight="1" x14ac:dyDescent="0.2">
      <c r="B11" s="44" t="s">
        <v>51</v>
      </c>
      <c r="C11" s="70">
        <f>'Organized by category'!C39</f>
        <v>0</v>
      </c>
      <c r="D11" s="70">
        <f>'Organized by category'!D39</f>
        <v>0</v>
      </c>
      <c r="E11" s="5" t="s">
        <v>35</v>
      </c>
    </row>
    <row r="12" spans="1:5" ht="22" customHeight="1" x14ac:dyDescent="0.2">
      <c r="B12" s="44" t="s">
        <v>52</v>
      </c>
      <c r="C12" s="69">
        <f>'Organized by category'!C40</f>
        <v>0</v>
      </c>
      <c r="D12" s="69">
        <f>'Organized by category'!D40</f>
        <v>0</v>
      </c>
      <c r="E12" s="5" t="s">
        <v>36</v>
      </c>
    </row>
    <row r="13" spans="1:5" ht="21" customHeight="1" x14ac:dyDescent="0.2">
      <c r="B13" s="44" t="s">
        <v>53</v>
      </c>
      <c r="C13" s="70"/>
      <c r="D13" s="70"/>
      <c r="E13" s="5" t="e">
        <f>#REF!+#REF!</f>
        <v>#REF!</v>
      </c>
    </row>
    <row r="14" spans="1:5" ht="23" customHeight="1" x14ac:dyDescent="0.2">
      <c r="B14" s="44" t="s">
        <v>54</v>
      </c>
      <c r="C14" s="70"/>
      <c r="D14" s="70"/>
    </row>
    <row r="15" spans="1:5" ht="21" customHeight="1" x14ac:dyDescent="0.2">
      <c r="B15" s="44" t="s">
        <v>55</v>
      </c>
      <c r="C15" s="71">
        <v>0</v>
      </c>
      <c r="D15" s="71">
        <v>40</v>
      </c>
    </row>
    <row r="16" spans="1:5" ht="23" customHeight="1" x14ac:dyDescent="0.2">
      <c r="A16" t="s">
        <v>58</v>
      </c>
      <c r="B16" s="44" t="s">
        <v>64</v>
      </c>
      <c r="C16" s="69"/>
      <c r="D16" s="69"/>
    </row>
    <row r="17" spans="2:7" ht="25" customHeight="1" x14ac:dyDescent="0.2">
      <c r="B17" s="44" t="s">
        <v>65</v>
      </c>
      <c r="C17" s="70">
        <f>'Organized by category'!C46</f>
        <v>0</v>
      </c>
      <c r="D17" s="70">
        <f>'Organized by category'!D46</f>
        <v>0</v>
      </c>
      <c r="E17" t="s">
        <v>71</v>
      </c>
    </row>
    <row r="18" spans="2:7" ht="19" customHeight="1" x14ac:dyDescent="0.2">
      <c r="B18" s="44" t="s">
        <v>59</v>
      </c>
      <c r="C18" s="70">
        <v>0</v>
      </c>
      <c r="D18" s="69">
        <v>0</v>
      </c>
    </row>
    <row r="19" spans="2:7" ht="23" customHeight="1" x14ac:dyDescent="0.2">
      <c r="B19" s="44" t="s">
        <v>60</v>
      </c>
      <c r="C19" s="70">
        <f>'Organized by category'!C49</f>
        <v>4000</v>
      </c>
      <c r="D19" s="70">
        <f>'Organized by category'!D49</f>
        <v>4000</v>
      </c>
    </row>
    <row r="20" spans="2:7" ht="21" customHeight="1" x14ac:dyDescent="0.2">
      <c r="B20" s="44" t="s">
        <v>61</v>
      </c>
      <c r="C20" s="70">
        <v>0</v>
      </c>
      <c r="D20" s="69">
        <v>0</v>
      </c>
    </row>
    <row r="21" spans="2:7" ht="22" customHeight="1" x14ac:dyDescent="0.2">
      <c r="B21" s="44" t="s">
        <v>62</v>
      </c>
      <c r="C21" s="70">
        <v>0</v>
      </c>
      <c r="D21" s="69">
        <v>0</v>
      </c>
    </row>
    <row r="22" spans="2:7" ht="19" customHeight="1" x14ac:dyDescent="0.2">
      <c r="B22" s="44" t="s">
        <v>63</v>
      </c>
      <c r="C22" s="69"/>
      <c r="D22" s="69"/>
    </row>
    <row r="23" spans="2:7" ht="23" customHeight="1" x14ac:dyDescent="0.2">
      <c r="B23" s="46" t="s">
        <v>73</v>
      </c>
      <c r="C23" s="69"/>
      <c r="D23" s="69"/>
    </row>
    <row r="24" spans="2:7" ht="20" customHeight="1" x14ac:dyDescent="0.2">
      <c r="B24" s="46" t="s">
        <v>74</v>
      </c>
      <c r="C24" s="69">
        <f>'Organized by category'!C55</f>
        <v>23639</v>
      </c>
      <c r="D24" s="69">
        <f>'Organized by category'!D55</f>
        <v>24820.95</v>
      </c>
      <c r="E24" t="s">
        <v>72</v>
      </c>
    </row>
    <row r="25" spans="2:7" ht="21" customHeight="1" x14ac:dyDescent="0.2">
      <c r="B25" s="74"/>
      <c r="C25" s="75">
        <f>SUM(C23:C24)</f>
        <v>23639</v>
      </c>
      <c r="D25" s="75">
        <f t="shared" ref="D25" si="0">SUM(D23:D24)</f>
        <v>24820.95</v>
      </c>
      <c r="E25" s="74"/>
      <c r="F25" s="74"/>
      <c r="G25" s="74"/>
    </row>
    <row r="26" spans="2:7" ht="23" customHeight="1" x14ac:dyDescent="0.2">
      <c r="B26" s="1" t="s">
        <v>66</v>
      </c>
      <c r="C26" s="76">
        <f>'Organized by category'!C57</f>
        <v>117421.650173</v>
      </c>
      <c r="D26" s="76">
        <f>'Organized by category'!D57</f>
        <v>62699.213928000005</v>
      </c>
      <c r="E26" t="s">
        <v>66</v>
      </c>
      <c r="F26" s="69"/>
    </row>
    <row r="27" spans="2:7" ht="22" customHeight="1" x14ac:dyDescent="0.2">
      <c r="B27" s="1" t="s">
        <v>67</v>
      </c>
      <c r="C27" s="76">
        <f>'Organized by category'!C58</f>
        <v>93782.650173000002</v>
      </c>
      <c r="D27" s="76">
        <f>'Organized by category'!D58</f>
        <v>37878.263928</v>
      </c>
      <c r="E27" t="s">
        <v>67</v>
      </c>
      <c r="F27" s="69"/>
    </row>
    <row r="28" spans="2:7" ht="17" customHeight="1" x14ac:dyDescent="0.2">
      <c r="B28" s="1" t="s">
        <v>68</v>
      </c>
      <c r="C28" s="69">
        <f>'Organized by category'!C59</f>
        <v>33761.754062280001</v>
      </c>
      <c r="D28" s="69">
        <f>'Organized by category'!D59</f>
        <v>13636.17501408</v>
      </c>
      <c r="E28" t="s">
        <v>68</v>
      </c>
      <c r="F28" s="69"/>
    </row>
    <row r="29" spans="2:7" ht="20" customHeight="1" x14ac:dyDescent="0.2">
      <c r="C29" s="69">
        <f>SUM(C28+C26)</f>
        <v>151183.40423528</v>
      </c>
      <c r="D29" s="69">
        <f t="shared" ref="D29" si="1">SUM(D28+D26)</f>
        <v>76335.388942079997</v>
      </c>
      <c r="F2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Organized by category</vt:lpstr>
      <vt:lpstr>Year 1</vt:lpstr>
      <vt:lpstr>'Organized by category'!Print_Area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Eitel</dc:creator>
  <cp:lastModifiedBy>Karla Eitel</cp:lastModifiedBy>
  <cp:lastPrinted>2019-03-19T19:05:06Z</cp:lastPrinted>
  <dcterms:created xsi:type="dcterms:W3CDTF">2019-03-06T02:12:37Z</dcterms:created>
  <dcterms:modified xsi:type="dcterms:W3CDTF">2021-02-01T13:33:53Z</dcterms:modified>
</cp:coreProperties>
</file>