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t\Downloads\"/>
    </mc:Choice>
  </mc:AlternateContent>
  <xr:revisionPtr revIDLastSave="0" documentId="8_{3C29BB38-A15F-4E39-B33E-AE7F8A632B5A}" xr6:coauthVersionLast="47" xr6:coauthVersionMax="47" xr10:uidLastSave="{00000000-0000-0000-0000-000000000000}"/>
  <bookViews>
    <workbookView xWindow="-28920" yWindow="3180" windowWidth="29040" windowHeight="15840" xr2:uid="{EBDCFBE5-8C13-4135-AEA7-8F330E6BE82B}"/>
  </bookViews>
  <sheets>
    <sheet name="Budget $4.5M" sheetId="1" r:id="rId1"/>
    <sheet name="Historical Tuition and Fe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H46" i="1"/>
  <c r="G46" i="1"/>
  <c r="F46" i="1"/>
  <c r="E46" i="1"/>
  <c r="D32" i="1" l="1"/>
  <c r="D33" i="1" s="1"/>
  <c r="G35" i="1"/>
  <c r="G36" i="1" s="1"/>
  <c r="F35" i="1"/>
  <c r="F36" i="1" s="1"/>
  <c r="E35" i="1"/>
  <c r="E36" i="1" s="1"/>
  <c r="D35" i="1"/>
  <c r="D36" i="1" s="1"/>
  <c r="H17" i="1"/>
  <c r="H18" i="1"/>
  <c r="B4" i="1"/>
  <c r="Q50" i="1" s="1"/>
  <c r="E2" i="1"/>
  <c r="F2" i="1" s="1"/>
  <c r="G2" i="1" s="1"/>
  <c r="B5" i="1"/>
  <c r="D12" i="1" s="1"/>
  <c r="E1" i="1"/>
  <c r="F1" i="1" s="1"/>
  <c r="G1" i="1" s="1"/>
  <c r="B6" i="1"/>
  <c r="Q51" i="1" s="1"/>
  <c r="B7" i="1"/>
  <c r="H20" i="1"/>
  <c r="H21" i="1"/>
  <c r="G17" i="1"/>
  <c r="G18" i="1"/>
  <c r="G20" i="1"/>
  <c r="G21" i="1"/>
  <c r="F17" i="1"/>
  <c r="F18" i="1"/>
  <c r="F20" i="1"/>
  <c r="F21" i="1"/>
  <c r="E17" i="1"/>
  <c r="E18" i="1"/>
  <c r="E20" i="1"/>
  <c r="E21" i="1"/>
  <c r="D13" i="1"/>
  <c r="D17" i="1"/>
  <c r="D18" i="1"/>
  <c r="D20" i="1"/>
  <c r="D21" i="1"/>
  <c r="E31" i="1"/>
  <c r="F31" i="1" s="1"/>
  <c r="C38" i="1"/>
  <c r="C39" i="1"/>
  <c r="D39" i="1" s="1"/>
  <c r="B40" i="1"/>
  <c r="C40" i="1"/>
  <c r="H36" i="1"/>
  <c r="AB7" i="1"/>
  <c r="AB6" i="1"/>
  <c r="AB5" i="1"/>
  <c r="AB4" i="1"/>
  <c r="U44" i="1"/>
  <c r="T44" i="1"/>
  <c r="S44" i="1"/>
  <c r="R44" i="1"/>
  <c r="Q44" i="1"/>
  <c r="E8" i="1"/>
  <c r="F8" i="1"/>
  <c r="G8" i="1"/>
  <c r="H8" i="1"/>
  <c r="D8" i="1"/>
  <c r="AA9" i="1"/>
  <c r="Z9" i="1"/>
  <c r="Y9" i="1"/>
  <c r="H45" i="1"/>
  <c r="G45" i="1"/>
  <c r="F45" i="1"/>
  <c r="E45" i="1"/>
  <c r="D45" i="1"/>
  <c r="H11" i="2"/>
  <c r="H10" i="2"/>
  <c r="H9" i="2"/>
  <c r="H8" i="2"/>
  <c r="C11" i="2"/>
  <c r="C10" i="2"/>
  <c r="C9" i="2"/>
  <c r="C8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I28" i="1"/>
  <c r="I29" i="1"/>
  <c r="D24" i="1" l="1"/>
  <c r="E32" i="1"/>
  <c r="E33" i="1" s="1"/>
  <c r="AA10" i="1"/>
  <c r="E11" i="1"/>
  <c r="D14" i="1"/>
  <c r="E24" i="1"/>
  <c r="G31" i="1"/>
  <c r="H31" i="1" s="1"/>
  <c r="F38" i="1"/>
  <c r="H24" i="1"/>
  <c r="I21" i="1"/>
  <c r="F40" i="1"/>
  <c r="I20" i="1"/>
  <c r="E13" i="1"/>
  <c r="G24" i="1"/>
  <c r="E14" i="1"/>
  <c r="D11" i="1"/>
  <c r="D40" i="1"/>
  <c r="I35" i="1"/>
  <c r="I18" i="1"/>
  <c r="E40" i="1"/>
  <c r="F24" i="1"/>
  <c r="I36" i="1"/>
  <c r="F32" i="1"/>
  <c r="F33" i="1" s="1"/>
  <c r="E12" i="1"/>
  <c r="F11" i="1"/>
  <c r="I17" i="1"/>
  <c r="I45" i="1"/>
  <c r="G11" i="1"/>
  <c r="G14" i="1"/>
  <c r="H2" i="1"/>
  <c r="H1" i="1"/>
  <c r="H13" i="1" s="1"/>
  <c r="G13" i="1"/>
  <c r="D38" i="1"/>
  <c r="D42" i="1"/>
  <c r="F39" i="1"/>
  <c r="E38" i="1"/>
  <c r="E39" i="1"/>
  <c r="F14" i="1"/>
  <c r="F13" i="1"/>
  <c r="G12" i="1"/>
  <c r="F12" i="1"/>
  <c r="D23" i="1" l="1"/>
  <c r="D25" i="1" s="1"/>
  <c r="E23" i="1"/>
  <c r="E25" i="1" s="1"/>
  <c r="G38" i="1"/>
  <c r="G39" i="1"/>
  <c r="H40" i="1"/>
  <c r="H38" i="1"/>
  <c r="F41" i="1"/>
  <c r="F42" i="1" s="1"/>
  <c r="G32" i="1"/>
  <c r="G33" i="1" s="1"/>
  <c r="G40" i="1"/>
  <c r="E41" i="1"/>
  <c r="E42" i="1" s="1"/>
  <c r="F23" i="1"/>
  <c r="F25" i="1" s="1"/>
  <c r="H32" i="1"/>
  <c r="H33" i="1" s="1"/>
  <c r="H39" i="1"/>
  <c r="I13" i="1"/>
  <c r="G23" i="1"/>
  <c r="G25" i="1" s="1"/>
  <c r="H12" i="1"/>
  <c r="I12" i="1" s="1"/>
  <c r="D44" i="1"/>
  <c r="D46" i="1" s="1"/>
  <c r="H14" i="1"/>
  <c r="I14" i="1" s="1"/>
  <c r="H11" i="1"/>
  <c r="H23" i="1" l="1"/>
  <c r="H25" i="1" s="1"/>
  <c r="H41" i="1"/>
  <c r="H42" i="1" s="1"/>
  <c r="I40" i="1"/>
  <c r="G41" i="1"/>
  <c r="G42" i="1" s="1"/>
  <c r="I42" i="1" s="1"/>
  <c r="I38" i="1"/>
  <c r="F44" i="1"/>
  <c r="F47" i="1" s="1"/>
  <c r="F48" i="1" s="1"/>
  <c r="F50" i="1" s="1"/>
  <c r="I33" i="1"/>
  <c r="I32" i="1"/>
  <c r="L33" i="1" s="1"/>
  <c r="I39" i="1"/>
  <c r="E44" i="1"/>
  <c r="E47" i="1" s="1"/>
  <c r="E48" i="1" s="1"/>
  <c r="E50" i="1" s="1"/>
  <c r="D47" i="1"/>
  <c r="I11" i="1"/>
  <c r="I23" i="1" l="1"/>
  <c r="H44" i="1"/>
  <c r="H47" i="1" s="1"/>
  <c r="H48" i="1" s="1"/>
  <c r="H50" i="1" s="1"/>
  <c r="I41" i="1"/>
  <c r="G44" i="1"/>
  <c r="G47" i="1" s="1"/>
  <c r="G48" i="1" s="1"/>
  <c r="G50" i="1" s="1"/>
  <c r="L32" i="1"/>
  <c r="D48" i="1"/>
  <c r="I44" i="1" l="1"/>
  <c r="I47" i="1"/>
  <c r="I48" i="1"/>
  <c r="D50" i="1"/>
  <c r="I50" i="1" s="1"/>
  <c r="L48" i="1" l="1"/>
  <c r="I46" i="1"/>
</calcChain>
</file>

<file path=xl/sharedStrings.xml><?xml version="1.0" encoding="utf-8"?>
<sst xmlns="http://schemas.openxmlformats.org/spreadsheetml/2006/main" count="174" uniqueCount="103">
  <si>
    <t>AY 22-23</t>
  </si>
  <si>
    <t>AY 23-24</t>
  </si>
  <si>
    <t>AY 24-25</t>
  </si>
  <si>
    <t>AY 25-26</t>
  </si>
  <si>
    <t>Ugrad In-State</t>
  </si>
  <si>
    <t>Grad In State</t>
  </si>
  <si>
    <t>Student</t>
  </si>
  <si>
    <t>Ugrad Fees</t>
  </si>
  <si>
    <t>Grad Fees</t>
  </si>
  <si>
    <t>Ugrad Stipend</t>
  </si>
  <si>
    <t>Grad Stipend</t>
  </si>
  <si>
    <t>Ugrad Prof Dev</t>
  </si>
  <si>
    <t>Grad Prof Dev</t>
  </si>
  <si>
    <t>Subtotal</t>
  </si>
  <si>
    <t>Total</t>
  </si>
  <si>
    <t>Travel</t>
  </si>
  <si>
    <t>Arvilla</t>
  </si>
  <si>
    <t>Base</t>
  </si>
  <si>
    <t>% Time</t>
  </si>
  <si>
    <t>Arvilla Fringe</t>
  </si>
  <si>
    <t>Jim</t>
  </si>
  <si>
    <t>Cindy</t>
  </si>
  <si>
    <t>Michael</t>
  </si>
  <si>
    <t>F&amp;A</t>
  </si>
  <si>
    <t>Support Subtotal</t>
  </si>
  <si>
    <t>Faculty Fringe</t>
  </si>
  <si>
    <t>UgInSt1</t>
  </si>
  <si>
    <t>UgWue1</t>
  </si>
  <si>
    <t>GrInSt1</t>
  </si>
  <si>
    <t>UgInSt2</t>
  </si>
  <si>
    <t>UgInSt3</t>
  </si>
  <si>
    <t>UgInSt4</t>
  </si>
  <si>
    <t>UgInSt5</t>
  </si>
  <si>
    <t>UgInSt6</t>
  </si>
  <si>
    <t>ü</t>
  </si>
  <si>
    <t>UgInSt7</t>
  </si>
  <si>
    <t>UgInSt8</t>
  </si>
  <si>
    <r>
      <t>ü</t>
    </r>
    <r>
      <rPr>
        <sz val="11"/>
        <color theme="1"/>
        <rFont val="Calibri"/>
        <family val="2"/>
        <scheme val="minor"/>
      </rPr>
      <t xml:space="preserve"> As Grad</t>
    </r>
  </si>
  <si>
    <t>UgWue2</t>
  </si>
  <si>
    <t>UgWue3</t>
  </si>
  <si>
    <t>UgWue4</t>
  </si>
  <si>
    <t>asdf</t>
  </si>
  <si>
    <t>GrInSt2</t>
  </si>
  <si>
    <t>GrInSt3</t>
  </si>
  <si>
    <t>GrInSt4</t>
  </si>
  <si>
    <t>GrOutSt1</t>
  </si>
  <si>
    <t>GrOutSt2</t>
  </si>
  <si>
    <t>GrOutSt3</t>
  </si>
  <si>
    <t>GrOutSt4</t>
  </si>
  <si>
    <t>GrOutSt5</t>
  </si>
  <si>
    <t>GrOutSt6</t>
  </si>
  <si>
    <t>OE</t>
  </si>
  <si>
    <t>Assumes $500/year course fees</t>
  </si>
  <si>
    <t>AY 16-17</t>
  </si>
  <si>
    <t>AY 17-18</t>
  </si>
  <si>
    <t>AY 18-19</t>
  </si>
  <si>
    <t>AY 19-20</t>
  </si>
  <si>
    <t>AY 20-21</t>
  </si>
  <si>
    <t>Ugrad</t>
  </si>
  <si>
    <t>Grad</t>
  </si>
  <si>
    <t>Non-res</t>
  </si>
  <si>
    <t>AY 15-16</t>
  </si>
  <si>
    <t>In State increase over base</t>
  </si>
  <si>
    <t>Out of state Increase Over Base</t>
  </si>
  <si>
    <t>Grad Extra Out of State</t>
  </si>
  <si>
    <t>UGrad WUE</t>
  </si>
  <si>
    <t>Average Over previous 4 years</t>
  </si>
  <si>
    <t>Max Allowed</t>
  </si>
  <si>
    <t>UGRad Wue Fees</t>
  </si>
  <si>
    <t>Grad Out of State Fees</t>
  </si>
  <si>
    <t>AY 26-27</t>
  </si>
  <si>
    <t xml:space="preserve">Faculty </t>
  </si>
  <si>
    <t>Participant Support Subtotal</t>
  </si>
  <si>
    <t>Assumes Haney Promotion increment ($6K/year increase)</t>
  </si>
  <si>
    <t>Cohort</t>
  </si>
  <si>
    <r>
      <t>ü</t>
    </r>
    <r>
      <rPr>
        <sz val="11"/>
        <color rgb="FFFF0000"/>
        <rFont val="Calibri"/>
        <family val="2"/>
        <scheme val="minor"/>
      </rPr>
      <t xml:space="preserve"> As Grad</t>
    </r>
  </si>
  <si>
    <r>
      <t>ü</t>
    </r>
    <r>
      <rPr>
        <sz val="11"/>
        <color rgb="FF0070C0"/>
        <rFont val="Calibri"/>
        <family val="2"/>
        <scheme val="minor"/>
      </rPr>
      <t xml:space="preserve"> As Grad</t>
    </r>
  </si>
  <si>
    <r>
      <t>ü</t>
    </r>
    <r>
      <rPr>
        <sz val="11"/>
        <color rgb="FF00B050"/>
        <rFont val="Calibri"/>
        <family val="2"/>
        <scheme val="minor"/>
      </rPr>
      <t xml:space="preserve"> As Grad</t>
    </r>
  </si>
  <si>
    <t>Ugrads</t>
  </si>
  <si>
    <t>MS</t>
  </si>
  <si>
    <t>PhD</t>
  </si>
  <si>
    <t>One</t>
  </si>
  <si>
    <t>Two</t>
  </si>
  <si>
    <t>Three</t>
  </si>
  <si>
    <t>Four</t>
  </si>
  <si>
    <t>PhD OutSt1</t>
  </si>
  <si>
    <t>PhD OutSt2</t>
  </si>
  <si>
    <t>Assume the following each year
- 2 New Ugrad in-state
- 1 New Ugrad out-of-state WUE
- 1 new Grad in-state
- 2 new Grads out-of-state
- 1 new PhD every other yeat
- We assume 8 of 12 undergrads transition to grad program, (see schedule to right)
- 4 cadres over 5 years</t>
  </si>
  <si>
    <t>Cohort Size</t>
  </si>
  <si>
    <t>$24/hr</t>
  </si>
  <si>
    <t>IH Summer (720 hours)</t>
  </si>
  <si>
    <t>Stipends</t>
  </si>
  <si>
    <t>Other</t>
  </si>
  <si>
    <t>Total fringe</t>
  </si>
  <si>
    <t>Admin Suppotrt</t>
  </si>
  <si>
    <t>Salary Increase Over Base</t>
  </si>
  <si>
    <t>UgInSt9</t>
  </si>
  <si>
    <t>UgInSt10</t>
  </si>
  <si>
    <t>UgInSt11</t>
  </si>
  <si>
    <t>UgInSt12</t>
  </si>
  <si>
    <t>Other Personnel</t>
  </si>
  <si>
    <t>Total Direct</t>
  </si>
  <si>
    <t>Total Direx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</si>
</sst>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color rgb="FFFF0000"/>
      <name val="Wingdings"/>
      <charset val="2"/>
    </font>
    <font>
      <sz val="11"/>
      <color rgb="FF0070C0"/>
      <name val="Calibri"/>
      <family val="2"/>
      <scheme val="minor"/>
    </font>
    <font>
      <sz val="11"/>
      <color rgb="FF0070C0"/>
      <name val="Wingdings"/>
      <charset val="2"/>
    </font>
    <font>
      <sz val="11"/>
      <color rgb="FF00B050"/>
      <name val="Calibri"/>
      <family val="2"/>
      <scheme val="minor"/>
    </font>
    <font>
      <sz val="11"/>
      <color rgb="FF00B050"/>
      <name val="Wingdings"/>
      <charset val="2"/>
    </font>
    <font>
      <sz val="11"/>
      <color rgb="FF7030A0"/>
      <name val="Wingdings"/>
      <charset val="2"/>
    </font>
    <font>
      <sz val="11"/>
      <color rgb="FF7030A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4" borderId="1" applyNumberFormat="0" applyAlignment="0" applyProtection="0"/>
  </cellStyleXfs>
  <cellXfs count="63">
    <xf numFmtId="0" fontId="0" fillId="0" borderId="0" xfId="0"/>
    <xf numFmtId="0" fontId="0" fillId="0" borderId="0" xfId="0" applyFont="1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11" xfId="1" applyNumberFormat="1" applyFont="1" applyBorder="1"/>
    <xf numFmtId="0" fontId="3" fillId="0" borderId="11" xfId="0" applyFont="1" applyBorder="1"/>
    <xf numFmtId="0" fontId="5" fillId="0" borderId="0" xfId="0" applyFont="1" applyAlignment="1">
      <alignment horizontal="right"/>
    </xf>
    <xf numFmtId="164" fontId="5" fillId="0" borderId="0" xfId="1" applyNumberFormat="1" applyFont="1"/>
    <xf numFmtId="164" fontId="6" fillId="0" borderId="11" xfId="1" applyNumberFormat="1" applyFont="1" applyBorder="1"/>
    <xf numFmtId="0" fontId="7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4" fontId="7" fillId="0" borderId="13" xfId="1" applyNumberFormat="1" applyFont="1" applyBorder="1" applyAlignment="1">
      <alignment horizontal="center"/>
    </xf>
    <xf numFmtId="0" fontId="3" fillId="0" borderId="0" xfId="0" applyFont="1"/>
    <xf numFmtId="0" fontId="9" fillId="0" borderId="0" xfId="4" applyAlignment="1">
      <alignment horizontal="right"/>
    </xf>
    <xf numFmtId="0" fontId="9" fillId="0" borderId="0" xfId="4"/>
    <xf numFmtId="9" fontId="9" fillId="0" borderId="0" xfId="4" applyNumberFormat="1" applyAlignment="1">
      <alignment horizontal="center"/>
    </xf>
    <xf numFmtId="0" fontId="9" fillId="0" borderId="0" xfId="4" applyAlignment="1">
      <alignment horizontal="center"/>
    </xf>
    <xf numFmtId="10" fontId="0" fillId="0" borderId="0" xfId="5" applyNumberFormat="1" applyFont="1"/>
    <xf numFmtId="0" fontId="11" fillId="2" borderId="1" xfId="2" applyFont="1" applyAlignment="1">
      <alignment horizontal="right"/>
    </xf>
    <xf numFmtId="0" fontId="11" fillId="2" borderId="1" xfId="2" applyFont="1"/>
    <xf numFmtId="164" fontId="11" fillId="2" borderId="1" xfId="2" applyNumberFormat="1" applyFont="1"/>
    <xf numFmtId="0" fontId="5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/>
    <xf numFmtId="0" fontId="18" fillId="0" borderId="0" xfId="0" applyFont="1"/>
    <xf numFmtId="165" fontId="0" fillId="0" borderId="0" xfId="5" applyNumberFormat="1" applyFont="1"/>
    <xf numFmtId="0" fontId="19" fillId="4" borderId="1" xfId="6"/>
    <xf numFmtId="164" fontId="19" fillId="4" borderId="1" xfId="6" applyNumberFormat="1"/>
    <xf numFmtId="164" fontId="5" fillId="3" borderId="2" xfId="3" applyNumberFormat="1" applyFont="1"/>
    <xf numFmtId="164" fontId="3" fillId="3" borderId="2" xfId="3" applyNumberFormat="1" applyFont="1"/>
    <xf numFmtId="0" fontId="0" fillId="3" borderId="2" xfId="3" applyFont="1"/>
    <xf numFmtId="164" fontId="0" fillId="3" borderId="2" xfId="3" applyNumberFormat="1" applyFont="1"/>
    <xf numFmtId="0" fontId="9" fillId="0" borderId="0" xfId="4" applyAlignment="1">
      <alignment horizontal="center"/>
    </xf>
    <xf numFmtId="0" fontId="0" fillId="3" borderId="3" xfId="3" applyFont="1" applyBorder="1" applyAlignment="1">
      <alignment horizontal="left" vertical="top" wrapText="1"/>
    </xf>
    <xf numFmtId="0" fontId="0" fillId="3" borderId="4" xfId="3" applyFont="1" applyBorder="1" applyAlignment="1">
      <alignment horizontal="left" vertical="top" wrapText="1"/>
    </xf>
    <xf numFmtId="0" fontId="0" fillId="3" borderId="5" xfId="3" applyFont="1" applyBorder="1" applyAlignment="1">
      <alignment horizontal="left" vertical="top" wrapText="1"/>
    </xf>
    <xf numFmtId="0" fontId="0" fillId="3" borderId="6" xfId="3" applyFont="1" applyBorder="1" applyAlignment="1">
      <alignment horizontal="left" vertical="top" wrapText="1"/>
    </xf>
    <xf numFmtId="0" fontId="0" fillId="3" borderId="0" xfId="3" applyFont="1" applyBorder="1" applyAlignment="1">
      <alignment horizontal="left" vertical="top" wrapText="1"/>
    </xf>
    <xf numFmtId="0" fontId="0" fillId="3" borderId="7" xfId="3" applyFont="1" applyBorder="1" applyAlignment="1">
      <alignment horizontal="left" vertical="top" wrapText="1"/>
    </xf>
    <xf numFmtId="0" fontId="0" fillId="3" borderId="8" xfId="3" applyFont="1" applyBorder="1" applyAlignment="1">
      <alignment horizontal="left" vertical="top" wrapText="1"/>
    </xf>
    <xf numFmtId="0" fontId="0" fillId="3" borderId="9" xfId="3" applyFont="1" applyBorder="1" applyAlignment="1">
      <alignment horizontal="left" vertical="top" wrapText="1"/>
    </xf>
    <xf numFmtId="0" fontId="0" fillId="3" borderId="10" xfId="3" applyFont="1" applyBorder="1" applyAlignment="1">
      <alignment horizontal="left" vertical="top" wrapText="1"/>
    </xf>
    <xf numFmtId="0" fontId="0" fillId="3" borderId="14" xfId="3" applyFont="1" applyBorder="1" applyAlignment="1">
      <alignment horizontal="left" vertical="top"/>
    </xf>
    <xf numFmtId="0" fontId="0" fillId="3" borderId="15" xfId="3" applyFont="1" applyBorder="1" applyAlignment="1">
      <alignment horizontal="left" vertical="top"/>
    </xf>
    <xf numFmtId="0" fontId="0" fillId="3" borderId="16" xfId="3" applyFont="1" applyBorder="1" applyAlignment="1">
      <alignment horizontal="left" vertical="top"/>
    </xf>
    <xf numFmtId="0" fontId="0" fillId="3" borderId="3" xfId="3" applyFont="1" applyBorder="1" applyAlignment="1">
      <alignment horizontal="center" wrapText="1"/>
    </xf>
    <xf numFmtId="0" fontId="0" fillId="3" borderId="4" xfId="3" applyFont="1" applyBorder="1" applyAlignment="1">
      <alignment horizontal="center" wrapText="1"/>
    </xf>
    <xf numFmtId="0" fontId="0" fillId="3" borderId="5" xfId="3" applyFont="1" applyBorder="1" applyAlignment="1">
      <alignment horizontal="center" wrapText="1"/>
    </xf>
    <xf numFmtId="0" fontId="0" fillId="3" borderId="8" xfId="3" applyFont="1" applyBorder="1" applyAlignment="1">
      <alignment horizontal="center" wrapText="1"/>
    </xf>
    <xf numFmtId="0" fontId="0" fillId="3" borderId="9" xfId="3" applyFont="1" applyBorder="1" applyAlignment="1">
      <alignment horizontal="center" wrapText="1"/>
    </xf>
    <xf numFmtId="0" fontId="0" fillId="3" borderId="10" xfId="3" applyFont="1" applyBorder="1" applyAlignment="1">
      <alignment horizontal="center" wrapText="1"/>
    </xf>
  </cellXfs>
  <cellStyles count="7">
    <cellStyle name="Calculation" xfId="2" builtinId="22"/>
    <cellStyle name="Currency" xfId="1" builtinId="4"/>
    <cellStyle name="Explanatory Text" xfId="4" builtinId="53"/>
    <cellStyle name="Input" xfId="6" builtinId="20"/>
    <cellStyle name="Normal" xfId="0" builtinId="0"/>
    <cellStyle name="Note" xfId="3" builtinId="1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5833-0E94-4B76-95EC-283DF75352AE}">
  <dimension ref="A1:AB53"/>
  <sheetViews>
    <sheetView tabSelected="1" topLeftCell="A22" workbookViewId="0">
      <selection activeCell="D41" sqref="D41"/>
    </sheetView>
  </sheetViews>
  <sheetFormatPr defaultRowHeight="15" x14ac:dyDescent="0.25"/>
  <cols>
    <col min="1" max="1" width="23" customWidth="1"/>
    <col min="2" max="2" width="11.5703125" bestFit="1" customWidth="1"/>
    <col min="3" max="3" width="10.28515625" customWidth="1"/>
    <col min="4" max="5" width="13.7109375" bestFit="1" customWidth="1"/>
    <col min="6" max="7" width="16" bestFit="1" customWidth="1"/>
    <col min="8" max="8" width="13.7109375" bestFit="1" customWidth="1"/>
    <col min="9" max="9" width="16" bestFit="1" customWidth="1"/>
    <col min="12" max="12" width="11" bestFit="1" customWidth="1"/>
    <col min="17" max="17" width="9.7109375" customWidth="1"/>
    <col min="18" max="18" width="9.42578125" customWidth="1"/>
    <col min="19" max="21" width="10.7109375" bestFit="1" customWidth="1"/>
  </cols>
  <sheetData>
    <row r="1" spans="1:28" x14ac:dyDescent="0.25">
      <c r="A1" s="44" t="s">
        <v>62</v>
      </c>
      <c r="B1" s="44"/>
      <c r="C1" s="21"/>
      <c r="D1" s="22">
        <v>1.05</v>
      </c>
      <c r="E1" s="22">
        <f>D1*$D1</f>
        <v>1.1025</v>
      </c>
      <c r="F1" s="22">
        <f t="shared" ref="F1:H1" si="0">E1*$D1</f>
        <v>1.1576250000000001</v>
      </c>
      <c r="G1" s="22">
        <f t="shared" si="0"/>
        <v>1.2155062500000002</v>
      </c>
      <c r="H1" s="22">
        <f t="shared" si="0"/>
        <v>1.2762815625000004</v>
      </c>
    </row>
    <row r="2" spans="1:28" x14ac:dyDescent="0.25">
      <c r="A2" s="44" t="s">
        <v>63</v>
      </c>
      <c r="B2" s="44"/>
      <c r="C2" s="21"/>
      <c r="D2" s="22">
        <v>1.06</v>
      </c>
      <c r="E2" s="22">
        <f>D2*$D2</f>
        <v>1.1236000000000002</v>
      </c>
      <c r="F2" s="22">
        <f>E2*106%</f>
        <v>1.1910160000000003</v>
      </c>
      <c r="G2" s="22">
        <f>F2*106%</f>
        <v>1.2624769600000003</v>
      </c>
      <c r="H2" s="22">
        <f>G2*106%</f>
        <v>1.3382255776000005</v>
      </c>
    </row>
    <row r="3" spans="1:28" x14ac:dyDescent="0.25">
      <c r="D3" s="9" t="s">
        <v>0</v>
      </c>
      <c r="E3" s="9" t="s">
        <v>1</v>
      </c>
      <c r="F3" s="9" t="s">
        <v>2</v>
      </c>
      <c r="G3" s="9" t="s">
        <v>3</v>
      </c>
      <c r="H3" s="9" t="s">
        <v>70</v>
      </c>
      <c r="Q3" s="7" t="s">
        <v>0</v>
      </c>
      <c r="R3" s="7" t="s">
        <v>1</v>
      </c>
      <c r="S3" s="7" t="s">
        <v>2</v>
      </c>
      <c r="T3" s="7" t="s">
        <v>3</v>
      </c>
      <c r="U3" s="7" t="s">
        <v>70</v>
      </c>
      <c r="X3" t="s">
        <v>74</v>
      </c>
      <c r="Y3" t="s">
        <v>78</v>
      </c>
      <c r="Z3" t="s">
        <v>79</v>
      </c>
      <c r="AA3" t="s">
        <v>80</v>
      </c>
      <c r="AB3" t="s">
        <v>88</v>
      </c>
    </row>
    <row r="4" spans="1:28" x14ac:dyDescent="0.25">
      <c r="A4" t="s">
        <v>4</v>
      </c>
      <c r="B4" s="3">
        <f>(4152)*2+500</f>
        <v>8804</v>
      </c>
      <c r="C4" s="3"/>
      <c r="D4">
        <v>3</v>
      </c>
      <c r="E4">
        <v>6</v>
      </c>
      <c r="F4">
        <v>6</v>
      </c>
      <c r="G4">
        <v>6</v>
      </c>
      <c r="H4">
        <v>3</v>
      </c>
      <c r="K4" s="45" t="s">
        <v>87</v>
      </c>
      <c r="L4" s="46"/>
      <c r="M4" s="46"/>
      <c r="N4" s="47"/>
      <c r="P4" t="s">
        <v>6</v>
      </c>
      <c r="X4" s="35" t="s">
        <v>81</v>
      </c>
      <c r="Y4">
        <v>4</v>
      </c>
      <c r="Z4">
        <v>2</v>
      </c>
      <c r="AA4">
        <v>1</v>
      </c>
      <c r="AB4">
        <f>SUM(Y4:AA4)</f>
        <v>7</v>
      </c>
    </row>
    <row r="5" spans="1:28" x14ac:dyDescent="0.25">
      <c r="A5" t="s">
        <v>65</v>
      </c>
      <c r="B5" s="3">
        <f>(4152)*2*1.5+500</f>
        <v>12956</v>
      </c>
      <c r="C5" s="3"/>
      <c r="D5">
        <v>1</v>
      </c>
      <c r="E5">
        <v>2</v>
      </c>
      <c r="F5">
        <v>2</v>
      </c>
      <c r="G5">
        <v>2</v>
      </c>
      <c r="H5">
        <v>1</v>
      </c>
      <c r="K5" s="48"/>
      <c r="L5" s="49"/>
      <c r="M5" s="49"/>
      <c r="N5" s="50"/>
      <c r="P5" t="s">
        <v>26</v>
      </c>
      <c r="Q5" s="29" t="s">
        <v>34</v>
      </c>
      <c r="R5" s="29" t="s">
        <v>34</v>
      </c>
      <c r="S5" s="29" t="s">
        <v>75</v>
      </c>
      <c r="X5" s="30" t="s">
        <v>82</v>
      </c>
      <c r="Y5">
        <v>4</v>
      </c>
      <c r="Z5">
        <v>3</v>
      </c>
      <c r="AB5">
        <f t="shared" ref="AB5:AB7" si="1">SUM(Y5:AA5)</f>
        <v>7</v>
      </c>
    </row>
    <row r="6" spans="1:28" x14ac:dyDescent="0.25">
      <c r="A6" t="s">
        <v>5</v>
      </c>
      <c r="B6" s="3">
        <f>(4938)*2+500</f>
        <v>10376</v>
      </c>
      <c r="C6" s="3"/>
      <c r="D6">
        <v>1</v>
      </c>
      <c r="E6">
        <v>2</v>
      </c>
      <c r="F6">
        <v>5</v>
      </c>
      <c r="G6">
        <v>4</v>
      </c>
      <c r="H6">
        <v>4</v>
      </c>
      <c r="K6" s="48"/>
      <c r="L6" s="49"/>
      <c r="M6" s="49"/>
      <c r="N6" s="50"/>
      <c r="P6" t="s">
        <v>29</v>
      </c>
      <c r="Q6" s="29" t="s">
        <v>34</v>
      </c>
      <c r="R6" s="29" t="s">
        <v>34</v>
      </c>
      <c r="S6" s="8" t="s">
        <v>37</v>
      </c>
      <c r="X6" s="32" t="s">
        <v>83</v>
      </c>
      <c r="Y6">
        <v>4</v>
      </c>
      <c r="Z6">
        <v>2</v>
      </c>
      <c r="AA6">
        <v>1</v>
      </c>
      <c r="AB6">
        <f t="shared" si="1"/>
        <v>7</v>
      </c>
    </row>
    <row r="7" spans="1:28" x14ac:dyDescent="0.25">
      <c r="A7" t="s">
        <v>64</v>
      </c>
      <c r="B7" s="3">
        <f>11113*2</f>
        <v>22226</v>
      </c>
      <c r="C7" s="3"/>
      <c r="D7">
        <v>2</v>
      </c>
      <c r="E7">
        <v>4</v>
      </c>
      <c r="F7">
        <v>5</v>
      </c>
      <c r="G7">
        <v>4</v>
      </c>
      <c r="H7">
        <v>3</v>
      </c>
      <c r="K7" s="48"/>
      <c r="L7" s="49"/>
      <c r="M7" s="49"/>
      <c r="N7" s="50"/>
      <c r="P7" t="s">
        <v>30</v>
      </c>
      <c r="Q7" s="29" t="s">
        <v>34</v>
      </c>
      <c r="R7" s="29" t="s">
        <v>34</v>
      </c>
      <c r="S7" s="8"/>
      <c r="X7" s="36" t="s">
        <v>84</v>
      </c>
      <c r="Y7">
        <v>4</v>
      </c>
      <c r="Z7">
        <v>3</v>
      </c>
      <c r="AB7">
        <f t="shared" si="1"/>
        <v>7</v>
      </c>
    </row>
    <row r="8" spans="1:28" x14ac:dyDescent="0.25">
      <c r="B8" s="19" t="s">
        <v>14</v>
      </c>
      <c r="D8" s="19">
        <f>SUM(D4:D7)</f>
        <v>7</v>
      </c>
      <c r="E8" s="19">
        <f>SUM(E4:E7)</f>
        <v>14</v>
      </c>
      <c r="F8" s="19">
        <f>SUM(F4:F7)</f>
        <v>18</v>
      </c>
      <c r="G8" s="19">
        <f>SUM(G4:G7)</f>
        <v>16</v>
      </c>
      <c r="H8" s="19">
        <f>SUM(H4:H7)</f>
        <v>11</v>
      </c>
      <c r="K8" s="48"/>
      <c r="L8" s="49"/>
      <c r="M8" s="49"/>
      <c r="N8" s="50"/>
      <c r="P8" t="s">
        <v>31</v>
      </c>
      <c r="R8" s="31" t="s">
        <v>34</v>
      </c>
      <c r="S8" s="31" t="s">
        <v>34</v>
      </c>
      <c r="T8" s="31" t="s">
        <v>76</v>
      </c>
    </row>
    <row r="9" spans="1:28" x14ac:dyDescent="0.25">
      <c r="A9" s="19"/>
      <c r="B9" s="54" t="s">
        <v>52</v>
      </c>
      <c r="C9" s="55"/>
      <c r="D9" s="56"/>
      <c r="K9" s="48"/>
      <c r="L9" s="49"/>
      <c r="M9" s="49"/>
      <c r="N9" s="50"/>
      <c r="P9" t="s">
        <v>32</v>
      </c>
      <c r="R9" s="31" t="s">
        <v>34</v>
      </c>
      <c r="S9" s="31" t="s">
        <v>34</v>
      </c>
      <c r="T9" s="8"/>
      <c r="X9" s="19" t="s">
        <v>14</v>
      </c>
      <c r="Y9">
        <f>SUM(Y4:Y7)</f>
        <v>16</v>
      </c>
      <c r="Z9">
        <f>SUM(Z4:Z7)</f>
        <v>10</v>
      </c>
      <c r="AA9">
        <f>SUM(AA4:AA7)</f>
        <v>2</v>
      </c>
    </row>
    <row r="10" spans="1:28" x14ac:dyDescent="0.25">
      <c r="I10" s="9" t="s">
        <v>14</v>
      </c>
      <c r="K10" s="48"/>
      <c r="L10" s="49"/>
      <c r="M10" s="49"/>
      <c r="N10" s="50"/>
      <c r="P10" t="s">
        <v>33</v>
      </c>
      <c r="R10" s="31" t="s">
        <v>34</v>
      </c>
      <c r="S10" s="31" t="s">
        <v>34</v>
      </c>
      <c r="T10" s="8"/>
      <c r="AA10" s="37">
        <f>AA9/SUM(Y9:AA9)</f>
        <v>7.1428571428571425E-2</v>
      </c>
    </row>
    <row r="11" spans="1:28" x14ac:dyDescent="0.25">
      <c r="A11" t="s">
        <v>7</v>
      </c>
      <c r="B11" s="3"/>
      <c r="C11" s="3"/>
      <c r="D11" s="3">
        <f>D4*$B4*D$2</f>
        <v>27996.720000000001</v>
      </c>
      <c r="E11" s="3">
        <f>E4*$B4*E$2</f>
        <v>59353.046400000007</v>
      </c>
      <c r="F11" s="3">
        <f>F4*$B4*F$2</f>
        <v>62914.229184000018</v>
      </c>
      <c r="G11" s="3">
        <f>G4*$B4*G$2</f>
        <v>66689.082935040016</v>
      </c>
      <c r="H11" s="3">
        <f>H4*$B4*H$2</f>
        <v>35345.213955571213</v>
      </c>
      <c r="I11" s="10">
        <f>SUM(D11:H11)</f>
        <v>252298.29247461123</v>
      </c>
      <c r="K11" s="48"/>
      <c r="L11" s="49"/>
      <c r="M11" s="49"/>
      <c r="N11" s="50"/>
      <c r="P11" t="s">
        <v>35</v>
      </c>
      <c r="S11" s="33" t="s">
        <v>34</v>
      </c>
      <c r="T11" s="33" t="s">
        <v>34</v>
      </c>
      <c r="U11" s="33" t="s">
        <v>77</v>
      </c>
    </row>
    <row r="12" spans="1:28" x14ac:dyDescent="0.25">
      <c r="A12" t="s">
        <v>68</v>
      </c>
      <c r="B12" s="3"/>
      <c r="C12" s="3"/>
      <c r="D12" s="3">
        <f>D5*$B5*D1</f>
        <v>13603.800000000001</v>
      </c>
      <c r="E12" s="3">
        <f>E5*$B5*E1</f>
        <v>28567.98</v>
      </c>
      <c r="F12" s="3">
        <f>F5*$B5*F1</f>
        <v>29996.379000000004</v>
      </c>
      <c r="G12" s="3">
        <f>G5*$B5*G1</f>
        <v>31496.197950000005</v>
      </c>
      <c r="H12" s="3">
        <f>H5*$B5*H1</f>
        <v>16535.503923750006</v>
      </c>
      <c r="I12" s="10">
        <f>SUM(D12:H12)</f>
        <v>120199.86087375</v>
      </c>
      <c r="K12" s="48"/>
      <c r="L12" s="49"/>
      <c r="M12" s="49"/>
      <c r="N12" s="50"/>
      <c r="P12" t="s">
        <v>36</v>
      </c>
      <c r="S12" s="33" t="s">
        <v>34</v>
      </c>
      <c r="T12" s="33" t="s">
        <v>34</v>
      </c>
      <c r="U12" s="33" t="s">
        <v>77</v>
      </c>
    </row>
    <row r="13" spans="1:28" x14ac:dyDescent="0.25">
      <c r="A13" t="s">
        <v>8</v>
      </c>
      <c r="B13" s="3"/>
      <c r="C13" s="3"/>
      <c r="D13" s="3">
        <f>D6*$B6*D1</f>
        <v>10894.800000000001</v>
      </c>
      <c r="E13" s="3">
        <f>E6*$B6*E1</f>
        <v>22879.08</v>
      </c>
      <c r="F13" s="3">
        <f>F6*$B6*F1</f>
        <v>60057.585000000006</v>
      </c>
      <c r="G13" s="3">
        <f>G6*$B6*G1</f>
        <v>50448.371400000011</v>
      </c>
      <c r="H13" s="3">
        <f>H6*$B6*H1</f>
        <v>52970.789970000013</v>
      </c>
      <c r="I13" s="10">
        <f>SUM(D13:H13)</f>
        <v>197250.62637000004</v>
      </c>
      <c r="K13" s="48"/>
      <c r="L13" s="49"/>
      <c r="M13" s="49"/>
      <c r="N13" s="50"/>
      <c r="P13" t="s">
        <v>96</v>
      </c>
      <c r="S13" s="33" t="s">
        <v>34</v>
      </c>
      <c r="T13" s="33" t="s">
        <v>34</v>
      </c>
      <c r="U13" s="33"/>
    </row>
    <row r="14" spans="1:28" x14ac:dyDescent="0.25">
      <c r="A14" t="s">
        <v>69</v>
      </c>
      <c r="B14" s="3"/>
      <c r="C14" s="3"/>
      <c r="D14" s="3">
        <f>D7*($B7*D2+$B6*D1)</f>
        <v>68908.72</v>
      </c>
      <c r="E14" s="3">
        <f>E7*($B7*E2+$B6*E1)</f>
        <v>145650.69440000004</v>
      </c>
      <c r="F14" s="3">
        <f>F7*($B7*F2+$B6*F1)</f>
        <v>192415.19308000003</v>
      </c>
      <c r="G14" s="3">
        <f>G7*($B7*G2+$B6*G1)</f>
        <v>162687.62305184003</v>
      </c>
      <c r="H14" s="3">
        <f>H7*($B7*H2+$B6*H1)</f>
        <v>128958.29754071284</v>
      </c>
      <c r="I14" s="10">
        <f>SUM(D14:H14)</f>
        <v>698620.52807255299</v>
      </c>
      <c r="K14" s="48"/>
      <c r="L14" s="49"/>
      <c r="M14" s="49"/>
      <c r="N14" s="50"/>
      <c r="P14" t="s">
        <v>97</v>
      </c>
      <c r="T14" s="34" t="s">
        <v>34</v>
      </c>
      <c r="U14" s="34" t="s">
        <v>34</v>
      </c>
    </row>
    <row r="15" spans="1:28" x14ac:dyDescent="0.25">
      <c r="B15" s="3"/>
      <c r="C15" s="3">
        <v>24</v>
      </c>
      <c r="D15" s="3"/>
      <c r="E15" s="3"/>
      <c r="F15" s="3"/>
      <c r="G15" s="3"/>
      <c r="H15" s="3"/>
      <c r="I15" s="10"/>
      <c r="K15" s="48"/>
      <c r="L15" s="49"/>
      <c r="M15" s="49"/>
      <c r="N15" s="50"/>
      <c r="P15" t="s">
        <v>98</v>
      </c>
      <c r="T15" s="34" t="s">
        <v>34</v>
      </c>
      <c r="U15" s="34" t="s">
        <v>34</v>
      </c>
    </row>
    <row r="16" spans="1:28" x14ac:dyDescent="0.25">
      <c r="B16" s="3"/>
      <c r="C16" s="3"/>
      <c r="D16" s="3"/>
      <c r="E16" s="3"/>
      <c r="F16" s="3"/>
      <c r="G16" s="3"/>
      <c r="H16" s="3"/>
      <c r="I16" s="10"/>
      <c r="K16" s="48"/>
      <c r="L16" s="49"/>
      <c r="M16" s="49"/>
      <c r="N16" s="50"/>
      <c r="P16" t="s">
        <v>99</v>
      </c>
      <c r="T16" s="34" t="s">
        <v>34</v>
      </c>
      <c r="U16" s="34" t="s">
        <v>34</v>
      </c>
    </row>
    <row r="17" spans="1:25" x14ac:dyDescent="0.25">
      <c r="A17" s="1" t="s">
        <v>9</v>
      </c>
      <c r="B17" s="3">
        <v>25000</v>
      </c>
      <c r="C17" s="3"/>
      <c r="D17" s="3">
        <f>(D4+D5)*$B17</f>
        <v>100000</v>
      </c>
      <c r="E17" s="3">
        <f>(E4+E5)*$B17</f>
        <v>200000</v>
      </c>
      <c r="F17" s="3">
        <f>(F4+F5)*$B17</f>
        <v>200000</v>
      </c>
      <c r="G17" s="3">
        <f>(G4+G5)*$B17</f>
        <v>200000</v>
      </c>
      <c r="H17" s="3">
        <f>(H4+H5)*$B17</f>
        <v>100000</v>
      </c>
      <c r="I17" s="10">
        <f>SUM(D17:H17)</f>
        <v>800000</v>
      </c>
      <c r="K17" s="51"/>
      <c r="L17" s="52"/>
      <c r="M17" s="52"/>
      <c r="N17" s="53"/>
      <c r="T17" s="34"/>
      <c r="U17" s="34"/>
    </row>
    <row r="18" spans="1:25" x14ac:dyDescent="0.25">
      <c r="A18" t="s">
        <v>10</v>
      </c>
      <c r="B18" s="3">
        <v>34000</v>
      </c>
      <c r="C18" s="3"/>
      <c r="D18" s="3">
        <f>(D6+D7)*$B18</f>
        <v>102000</v>
      </c>
      <c r="E18" s="3">
        <f>(E6+E7)*$B18</f>
        <v>204000</v>
      </c>
      <c r="F18" s="3">
        <f>(F6+F7)*$B18</f>
        <v>340000</v>
      </c>
      <c r="G18" s="3">
        <f>(G6+G7)*$B18</f>
        <v>272000</v>
      </c>
      <c r="H18" s="3">
        <f>(H6+H7)*$B18</f>
        <v>238000</v>
      </c>
      <c r="I18" s="10">
        <f>SUM(D18:H18)</f>
        <v>1156000</v>
      </c>
      <c r="P18" t="s">
        <v>27</v>
      </c>
      <c r="Q18" s="29" t="s">
        <v>34</v>
      </c>
      <c r="R18" s="29" t="s">
        <v>34</v>
      </c>
      <c r="S18" s="29" t="s">
        <v>75</v>
      </c>
    </row>
    <row r="19" spans="1:25" x14ac:dyDescent="0.25">
      <c r="B19" s="3"/>
      <c r="C19" s="3"/>
      <c r="D19" s="3"/>
      <c r="E19" s="3"/>
      <c r="F19" s="3"/>
      <c r="G19" s="3"/>
      <c r="H19" s="3"/>
      <c r="I19" s="10"/>
      <c r="P19" t="s">
        <v>38</v>
      </c>
      <c r="R19" s="31" t="s">
        <v>34</v>
      </c>
      <c r="S19" s="31" t="s">
        <v>34</v>
      </c>
      <c r="T19" s="31" t="s">
        <v>76</v>
      </c>
      <c r="Y19" s="30"/>
    </row>
    <row r="20" spans="1:25" x14ac:dyDescent="0.25">
      <c r="A20" t="s">
        <v>11</v>
      </c>
      <c r="B20" s="3">
        <v>6000</v>
      </c>
      <c r="C20" s="3"/>
      <c r="D20" s="3">
        <f>(D4+D5)*$B20</f>
        <v>24000</v>
      </c>
      <c r="E20" s="3">
        <f>(E4+E5)*$B20</f>
        <v>48000</v>
      </c>
      <c r="F20" s="3">
        <f>(F4+F5)*$B20</f>
        <v>48000</v>
      </c>
      <c r="G20" s="3">
        <f>(G4+G5)*$B20</f>
        <v>48000</v>
      </c>
      <c r="H20" s="3">
        <f>(H4+H5)*$B20</f>
        <v>24000</v>
      </c>
      <c r="I20" s="10">
        <f>SUM(D20:H20)</f>
        <v>192000</v>
      </c>
      <c r="P20" t="s">
        <v>39</v>
      </c>
      <c r="S20" s="33" t="s">
        <v>34</v>
      </c>
      <c r="T20" s="33" t="s">
        <v>34</v>
      </c>
      <c r="U20" s="33" t="s">
        <v>77</v>
      </c>
    </row>
    <row r="21" spans="1:25" x14ac:dyDescent="0.25">
      <c r="A21" t="s">
        <v>12</v>
      </c>
      <c r="B21" s="3">
        <v>6000</v>
      </c>
      <c r="C21" s="3"/>
      <c r="D21" s="3">
        <f>(D6+D7)*$B21</f>
        <v>18000</v>
      </c>
      <c r="E21" s="3">
        <f>(E6+E7)*$B21</f>
        <v>36000</v>
      </c>
      <c r="F21" s="3">
        <f>(F6+F7)*$B21</f>
        <v>60000</v>
      </c>
      <c r="G21" s="3">
        <f>(G6+G7)*$B21</f>
        <v>48000</v>
      </c>
      <c r="H21" s="3">
        <f>(H6+H7)*$B21</f>
        <v>42000</v>
      </c>
      <c r="I21" s="10">
        <f>SUM(D21:H21)</f>
        <v>204000</v>
      </c>
      <c r="P21" t="s">
        <v>40</v>
      </c>
      <c r="T21" s="34" t="s">
        <v>34</v>
      </c>
      <c r="U21" s="34" t="s">
        <v>34</v>
      </c>
    </row>
    <row r="22" spans="1:25" x14ac:dyDescent="0.25">
      <c r="B22" s="3"/>
      <c r="C22" s="3"/>
      <c r="D22" s="3"/>
      <c r="E22" s="3"/>
      <c r="F22" s="3"/>
      <c r="G22" s="3"/>
      <c r="H22" s="3"/>
      <c r="I22" s="10"/>
      <c r="W22" s="32"/>
    </row>
    <row r="23" spans="1:25" x14ac:dyDescent="0.25">
      <c r="A23" s="28" t="s">
        <v>72</v>
      </c>
      <c r="B23" s="3"/>
      <c r="C23" s="3"/>
      <c r="D23" s="13">
        <f>SUM(D11:D22)</f>
        <v>365404.04000000004</v>
      </c>
      <c r="E23" s="13">
        <f>SUM(E11:E22)</f>
        <v>744450.80080000008</v>
      </c>
      <c r="F23" s="13">
        <f>SUM(F11:F22)</f>
        <v>993383.38626400009</v>
      </c>
      <c r="G23" s="13">
        <f>SUM(G11:G22)</f>
        <v>879321.27533688</v>
      </c>
      <c r="H23" s="13">
        <f>SUM(H11:H22)</f>
        <v>637809.8053900341</v>
      </c>
      <c r="I23" s="14">
        <f>SUM(D23:H23)</f>
        <v>3620369.3077909146</v>
      </c>
      <c r="P23" t="s">
        <v>28</v>
      </c>
      <c r="Q23" s="29" t="s">
        <v>34</v>
      </c>
      <c r="R23" s="29" t="s">
        <v>34</v>
      </c>
      <c r="S23" s="8"/>
    </row>
    <row r="24" spans="1:25" x14ac:dyDescent="0.25">
      <c r="A24" s="12" t="s">
        <v>91</v>
      </c>
      <c r="B24" s="3"/>
      <c r="C24" s="3"/>
      <c r="D24" s="40">
        <f>D17+D18</f>
        <v>202000</v>
      </c>
      <c r="E24" s="40">
        <f t="shared" ref="E24:H24" si="2">E17+E18</f>
        <v>404000</v>
      </c>
      <c r="F24" s="40">
        <f t="shared" si="2"/>
        <v>540000</v>
      </c>
      <c r="G24" s="40">
        <f t="shared" si="2"/>
        <v>472000</v>
      </c>
      <c r="H24" s="40">
        <f t="shared" si="2"/>
        <v>338000</v>
      </c>
      <c r="I24" s="14"/>
      <c r="P24" t="s">
        <v>42</v>
      </c>
      <c r="Q24" s="8"/>
      <c r="R24" s="31" t="s">
        <v>34</v>
      </c>
      <c r="S24" s="31" t="s">
        <v>34</v>
      </c>
    </row>
    <row r="25" spans="1:25" x14ac:dyDescent="0.25">
      <c r="A25" s="12" t="s">
        <v>92</v>
      </c>
      <c r="D25" s="40">
        <f>D23-D24</f>
        <v>163404.04000000004</v>
      </c>
      <c r="E25" s="40">
        <f t="shared" ref="E25:H25" si="3">E23-E24</f>
        <v>340450.80080000008</v>
      </c>
      <c r="F25" s="40">
        <f t="shared" si="3"/>
        <v>453383.38626400009</v>
      </c>
      <c r="G25" s="40">
        <f t="shared" si="3"/>
        <v>407321.27533688</v>
      </c>
      <c r="H25" s="40">
        <f t="shared" si="3"/>
        <v>299809.8053900341</v>
      </c>
      <c r="I25" s="11"/>
      <c r="P25" t="s">
        <v>43</v>
      </c>
      <c r="S25" s="33" t="s">
        <v>34</v>
      </c>
      <c r="T25" s="33" t="s">
        <v>34</v>
      </c>
    </row>
    <row r="26" spans="1:25" x14ac:dyDescent="0.25">
      <c r="I26" s="11"/>
      <c r="P26" t="s">
        <v>44</v>
      </c>
      <c r="R26" s="8"/>
      <c r="S26" s="8"/>
      <c r="T26" s="34" t="s">
        <v>34</v>
      </c>
      <c r="U26" s="34" t="s">
        <v>34</v>
      </c>
    </row>
    <row r="27" spans="1:25" x14ac:dyDescent="0.25">
      <c r="A27" s="38" t="s">
        <v>94</v>
      </c>
      <c r="B27" s="38"/>
      <c r="C27" s="38"/>
      <c r="D27" s="38"/>
      <c r="E27" s="38"/>
      <c r="F27" s="38"/>
      <c r="G27" s="38"/>
      <c r="H27" s="38"/>
      <c r="I27" s="39"/>
      <c r="S27" s="8"/>
      <c r="T27" s="8"/>
    </row>
    <row r="28" spans="1:25" x14ac:dyDescent="0.25">
      <c r="A28" t="s">
        <v>15</v>
      </c>
      <c r="D28" s="3">
        <v>6000</v>
      </c>
      <c r="E28" s="3">
        <v>12000</v>
      </c>
      <c r="F28" s="3">
        <v>12000</v>
      </c>
      <c r="G28" s="3">
        <v>12000</v>
      </c>
      <c r="H28" s="3">
        <v>12000</v>
      </c>
      <c r="I28" s="10">
        <f t="shared" ref="I28:I29" si="4">SUM(D28:H28)</f>
        <v>54000</v>
      </c>
      <c r="S28" s="8"/>
      <c r="T28" s="8"/>
    </row>
    <row r="29" spans="1:25" x14ac:dyDescent="0.25">
      <c r="A29" t="s">
        <v>51</v>
      </c>
      <c r="D29" s="3">
        <v>7000</v>
      </c>
      <c r="E29" s="3">
        <v>11000</v>
      </c>
      <c r="F29" s="3">
        <v>11000</v>
      </c>
      <c r="G29" s="3">
        <v>11000</v>
      </c>
      <c r="H29" s="3">
        <v>11000</v>
      </c>
      <c r="I29" s="10">
        <f t="shared" si="4"/>
        <v>51000</v>
      </c>
      <c r="P29" t="s">
        <v>45</v>
      </c>
      <c r="Q29" s="29" t="s">
        <v>34</v>
      </c>
      <c r="R29" s="29" t="s">
        <v>34</v>
      </c>
      <c r="S29" s="8"/>
    </row>
    <row r="30" spans="1:25" x14ac:dyDescent="0.25">
      <c r="I30" s="11"/>
      <c r="P30" t="s">
        <v>46</v>
      </c>
      <c r="R30" s="31" t="s">
        <v>34</v>
      </c>
      <c r="S30" s="31" t="s">
        <v>34</v>
      </c>
      <c r="T30" s="8"/>
    </row>
    <row r="31" spans="1:25" x14ac:dyDescent="0.25">
      <c r="A31" s="20" t="s">
        <v>95</v>
      </c>
      <c r="B31" s="23" t="s">
        <v>17</v>
      </c>
      <c r="C31" s="23" t="s">
        <v>18</v>
      </c>
      <c r="D31" s="22">
        <v>1.03</v>
      </c>
      <c r="E31" s="22">
        <f>D31*$D31</f>
        <v>1.0609</v>
      </c>
      <c r="F31" s="22">
        <f>E31*$E31</f>
        <v>1.1255088099999999</v>
      </c>
      <c r="G31" s="22">
        <f>F31*$E31</f>
        <v>1.1940522965289999</v>
      </c>
      <c r="H31" s="22">
        <f>G31*$E31</f>
        <v>1.2667700813876159</v>
      </c>
      <c r="I31" s="11"/>
      <c r="P31" t="s">
        <v>47</v>
      </c>
      <c r="R31" s="31" t="s">
        <v>34</v>
      </c>
      <c r="S31" s="31" t="s">
        <v>34</v>
      </c>
    </row>
    <row r="32" spans="1:25" x14ac:dyDescent="0.25">
      <c r="A32" t="s">
        <v>16</v>
      </c>
      <c r="B32">
        <v>54433.599999999999</v>
      </c>
      <c r="C32" s="2">
        <v>0.35</v>
      </c>
      <c r="D32" s="3">
        <f>$B32*$C32*D$31</f>
        <v>19623.3128</v>
      </c>
      <c r="E32" s="3">
        <f>$B32*$C32*E$31</f>
        <v>20212.012183999996</v>
      </c>
      <c r="F32" s="3">
        <f>$B32*$C32*F$31</f>
        <v>21442.923726005596</v>
      </c>
      <c r="G32" s="3">
        <f>$B32*$C32*G$31</f>
        <v>22748.797780919336</v>
      </c>
      <c r="H32" s="3">
        <f>$B32*$C32*H$31</f>
        <v>24134.199565777322</v>
      </c>
      <c r="I32" s="10">
        <f t="shared" ref="I32:I36" si="5">SUM(D32:H32)</f>
        <v>108161.24605670225</v>
      </c>
      <c r="K32" t="s">
        <v>71</v>
      </c>
      <c r="L32" s="4">
        <f>SUM(I38:I40)</f>
        <v>188724.04002450511</v>
      </c>
      <c r="P32" t="s">
        <v>48</v>
      </c>
      <c r="S32" s="33" t="s">
        <v>34</v>
      </c>
      <c r="T32" s="33" t="s">
        <v>34</v>
      </c>
      <c r="U32" s="8"/>
    </row>
    <row r="33" spans="1:22" x14ac:dyDescent="0.25">
      <c r="A33" t="s">
        <v>19</v>
      </c>
      <c r="C33" s="5">
        <v>0.40799999999999997</v>
      </c>
      <c r="D33" s="4">
        <f>D32*$C33</f>
        <v>8006.3116223999996</v>
      </c>
      <c r="E33" s="4">
        <f t="shared" ref="E33:H33" si="6">E32*$C33</f>
        <v>8246.5009710719969</v>
      </c>
      <c r="F33" s="4">
        <f t="shared" si="6"/>
        <v>8748.7128802102834</v>
      </c>
      <c r="G33" s="4">
        <f t="shared" si="6"/>
        <v>9281.5094946150894</v>
      </c>
      <c r="H33" s="4">
        <f t="shared" si="6"/>
        <v>9846.753422837146</v>
      </c>
      <c r="I33" s="10">
        <f t="shared" si="5"/>
        <v>44129.78839113452</v>
      </c>
      <c r="K33" t="s">
        <v>100</v>
      </c>
      <c r="L33" s="4">
        <f>I32+I35</f>
        <v>161921.24605670225</v>
      </c>
      <c r="P33" t="s">
        <v>49</v>
      </c>
      <c r="T33" s="34" t="s">
        <v>34</v>
      </c>
      <c r="U33" s="34" t="s">
        <v>34</v>
      </c>
    </row>
    <row r="34" spans="1:22" x14ac:dyDescent="0.25">
      <c r="C34" s="5"/>
      <c r="D34" s="4"/>
      <c r="E34" s="4"/>
      <c r="F34" s="4"/>
      <c r="G34" s="4"/>
      <c r="H34" s="4"/>
      <c r="I34" s="10"/>
      <c r="P34" t="s">
        <v>50</v>
      </c>
      <c r="T34" s="34" t="s">
        <v>34</v>
      </c>
      <c r="U34" s="34" t="s">
        <v>34</v>
      </c>
    </row>
    <row r="35" spans="1:22" x14ac:dyDescent="0.25">
      <c r="A35" t="s">
        <v>90</v>
      </c>
      <c r="B35" t="s">
        <v>89</v>
      </c>
      <c r="C35" s="5"/>
      <c r="D35" s="4">
        <f>560*24</f>
        <v>13440</v>
      </c>
      <c r="E35" s="4">
        <f>560*24</f>
        <v>13440</v>
      </c>
      <c r="F35" s="4">
        <f t="shared" ref="F35:G35" si="7">560*24</f>
        <v>13440</v>
      </c>
      <c r="G35" s="4">
        <f t="shared" si="7"/>
        <v>13440</v>
      </c>
      <c r="H35" s="4"/>
      <c r="I35" s="10">
        <f t="shared" si="5"/>
        <v>53760</v>
      </c>
      <c r="T35" s="34"/>
      <c r="U35" s="34"/>
    </row>
    <row r="36" spans="1:22" x14ac:dyDescent="0.25">
      <c r="B36" s="5">
        <v>8.5999999999999993E-2</v>
      </c>
      <c r="C36" s="5"/>
      <c r="D36" s="4">
        <f>D35*$B$36</f>
        <v>1155.8399999999999</v>
      </c>
      <c r="E36" s="4">
        <f>E35*$B$36</f>
        <v>1155.8399999999999</v>
      </c>
      <c r="F36" s="4">
        <f>F35*$B$36</f>
        <v>1155.8399999999999</v>
      </c>
      <c r="G36" s="4">
        <f>G35*$B$36</f>
        <v>1155.8399999999999</v>
      </c>
      <c r="H36" s="4">
        <f>H35*$B$36</f>
        <v>0</v>
      </c>
      <c r="I36" s="10">
        <f t="shared" si="5"/>
        <v>4623.3599999999997</v>
      </c>
      <c r="T36" s="34"/>
      <c r="U36" s="34"/>
    </row>
    <row r="37" spans="1:22" x14ac:dyDescent="0.25">
      <c r="I37" s="11"/>
    </row>
    <row r="38" spans="1:22" x14ac:dyDescent="0.25">
      <c r="A38" t="s">
        <v>20</v>
      </c>
      <c r="B38">
        <v>143176.79999999999</v>
      </c>
      <c r="C38" s="5">
        <f>1/9</f>
        <v>0.1111111111111111</v>
      </c>
      <c r="D38" s="3">
        <f>$B38*$C38*D$31/2</f>
        <v>8192.8946666666652</v>
      </c>
      <c r="E38" s="3">
        <f t="shared" ref="E38:G40" si="8">$B38*$C38*E$31</f>
        <v>16877.363013333332</v>
      </c>
      <c r="F38" s="3">
        <f t="shared" si="8"/>
        <v>17905.194420845328</v>
      </c>
      <c r="G38" s="3">
        <f t="shared" si="8"/>
        <v>18995.62076107481</v>
      </c>
      <c r="H38" s="3">
        <f>$B38*$C38*H$31*0.75</f>
        <v>15114.3405490682</v>
      </c>
      <c r="I38" s="10">
        <f t="shared" ref="I38:I48" si="9">SUM(D38:H38)</f>
        <v>77085.413410988331</v>
      </c>
      <c r="P38" t="s">
        <v>85</v>
      </c>
      <c r="Q38" s="29" t="s">
        <v>34</v>
      </c>
      <c r="R38" s="29" t="s">
        <v>34</v>
      </c>
      <c r="S38" s="29" t="s">
        <v>34</v>
      </c>
    </row>
    <row r="39" spans="1:22" x14ac:dyDescent="0.25">
      <c r="A39" t="s">
        <v>21</v>
      </c>
      <c r="B39">
        <v>97484.4</v>
      </c>
      <c r="C39" s="5">
        <f>1/9</f>
        <v>0.1111111111111111</v>
      </c>
      <c r="D39" s="3">
        <f>$B39*$C39*D$31/2</f>
        <v>5578.2739999999994</v>
      </c>
      <c r="E39" s="3">
        <f t="shared" si="8"/>
        <v>11491.244439999999</v>
      </c>
      <c r="F39" s="3">
        <f t="shared" si="8"/>
        <v>12191.061226395997</v>
      </c>
      <c r="G39" s="3">
        <f t="shared" si="8"/>
        <v>12933.496855083513</v>
      </c>
      <c r="H39" s="3">
        <f>$B39*$C39*H$31*0.75</f>
        <v>10290.860110168574</v>
      </c>
      <c r="I39" s="10">
        <f t="shared" si="9"/>
        <v>52484.936631648088</v>
      </c>
      <c r="Q39" s="29"/>
      <c r="R39" s="29"/>
      <c r="S39" s="29"/>
    </row>
    <row r="40" spans="1:22" x14ac:dyDescent="0.25">
      <c r="A40" t="s">
        <v>22</v>
      </c>
      <c r="B40">
        <f>109870.8</f>
        <v>109870.8</v>
      </c>
      <c r="C40" s="5">
        <f>1/9</f>
        <v>0.1111111111111111</v>
      </c>
      <c r="D40" s="3">
        <f>$B40*$C40*D$31/2</f>
        <v>6287.0513333333338</v>
      </c>
      <c r="E40" s="3">
        <f t="shared" si="8"/>
        <v>12951.325746666666</v>
      </c>
      <c r="F40" s="3">
        <f t="shared" si="8"/>
        <v>13740.061484638665</v>
      </c>
      <c r="G40" s="3">
        <f t="shared" si="8"/>
        <v>14576.831229053161</v>
      </c>
      <c r="H40" s="3">
        <f>$B40*$C40*H$31*0.75</f>
        <v>11598.420188176873</v>
      </c>
      <c r="I40" s="10">
        <f t="shared" si="9"/>
        <v>59153.689981868702</v>
      </c>
      <c r="Q40" s="29"/>
      <c r="R40" s="29"/>
      <c r="S40" s="29"/>
      <c r="V40" s="34"/>
    </row>
    <row r="41" spans="1:22" x14ac:dyDescent="0.25">
      <c r="A41" t="s">
        <v>25</v>
      </c>
      <c r="C41" s="6">
        <v>0.29399999999999998</v>
      </c>
      <c r="D41" s="3">
        <f>SUM(D38:D40)*$C41</f>
        <v>5897.1166799999992</v>
      </c>
      <c r="E41" s="3">
        <f>SUM(E38:E40)*$C41</f>
        <v>12148.060360799998</v>
      </c>
      <c r="F41" s="3">
        <f>SUM(F38:F40)*$C41</f>
        <v>12887.877236772718</v>
      </c>
      <c r="G41" s="3">
        <f>SUM(G38:G40)*$C41</f>
        <v>13672.748960492176</v>
      </c>
      <c r="H41" s="3">
        <f>SUM(H38:H40)*$C41</f>
        <v>10879.064529139612</v>
      </c>
      <c r="I41" s="10">
        <f t="shared" si="9"/>
        <v>55484.867767204509</v>
      </c>
      <c r="Q41" s="29"/>
      <c r="R41" s="29"/>
      <c r="S41" s="29"/>
    </row>
    <row r="42" spans="1:22" x14ac:dyDescent="0.25">
      <c r="A42" t="s">
        <v>93</v>
      </c>
      <c r="C42" s="6"/>
      <c r="D42" s="40">
        <f>D41+D36+D33</f>
        <v>15059.2683024</v>
      </c>
      <c r="E42" s="40">
        <f t="shared" ref="E42:H42" si="10">E41+E36+E33</f>
        <v>21550.401331871995</v>
      </c>
      <c r="F42" s="40">
        <f t="shared" si="10"/>
        <v>22792.430116983</v>
      </c>
      <c r="G42" s="40">
        <f t="shared" si="10"/>
        <v>24110.098455107265</v>
      </c>
      <c r="H42" s="40">
        <f t="shared" si="10"/>
        <v>20725.817951976758</v>
      </c>
      <c r="I42" s="41">
        <f>SUM(D42:H42)</f>
        <v>104238.01615833901</v>
      </c>
      <c r="K42" s="57" t="s">
        <v>73</v>
      </c>
      <c r="L42" s="58"/>
      <c r="M42" s="58"/>
      <c r="N42" s="58"/>
      <c r="O42" s="59"/>
      <c r="P42" t="s">
        <v>86</v>
      </c>
      <c r="R42" s="31"/>
      <c r="S42" s="33" t="s">
        <v>34</v>
      </c>
      <c r="T42" s="33" t="s">
        <v>34</v>
      </c>
      <c r="U42" s="33" t="s">
        <v>34</v>
      </c>
    </row>
    <row r="43" spans="1:22" x14ac:dyDescent="0.25">
      <c r="I43" s="11"/>
      <c r="K43" s="60"/>
      <c r="L43" s="61"/>
      <c r="M43" s="61"/>
      <c r="N43" s="61"/>
      <c r="O43" s="62"/>
      <c r="S43" s="33"/>
      <c r="T43" s="33"/>
      <c r="U43" s="33"/>
    </row>
    <row r="44" spans="1:22" x14ac:dyDescent="0.25">
      <c r="A44" s="12" t="s">
        <v>13</v>
      </c>
      <c r="D44" s="4">
        <f>SUM(D32:D41,D28:D29)</f>
        <v>81180.801102400001</v>
      </c>
      <c r="E44" s="4">
        <f>SUM(E32:E41,E28:E29)</f>
        <v>119522.34671587199</v>
      </c>
      <c r="F44" s="4">
        <f>SUM(F32:F41,F28:F29)</f>
        <v>124511.67097486858</v>
      </c>
      <c r="G44" s="4">
        <f>SUM(G32:G41,G28:G29)</f>
        <v>129804.84508123808</v>
      </c>
      <c r="H44" s="4">
        <f>SUM(H32:H41,H28:H29)</f>
        <v>104863.63836516772</v>
      </c>
      <c r="I44" s="10">
        <f t="shared" si="9"/>
        <v>559883.30223954632</v>
      </c>
      <c r="Q44">
        <f>COUNTA(Q5:Q42)</f>
        <v>7</v>
      </c>
      <c r="R44">
        <f>COUNTA(R5:R42)</f>
        <v>14</v>
      </c>
      <c r="S44">
        <f>COUNTA(S5:S42)</f>
        <v>18</v>
      </c>
      <c r="T44">
        <f>COUNTA(T5:T42)</f>
        <v>16</v>
      </c>
      <c r="U44">
        <f>COUNTA(U5:U42)</f>
        <v>11</v>
      </c>
    </row>
    <row r="45" spans="1:22" x14ac:dyDescent="0.25">
      <c r="A45" s="25" t="s">
        <v>67</v>
      </c>
      <c r="B45" s="26"/>
      <c r="C45" s="26"/>
      <c r="D45" s="27">
        <f>SUM(D4:D7)*10000</f>
        <v>70000</v>
      </c>
      <c r="E45" s="27">
        <f>SUM(E4:E7)*10000</f>
        <v>140000</v>
      </c>
      <c r="F45" s="27">
        <f>SUM(F4:F7)*10000</f>
        <v>180000</v>
      </c>
      <c r="G45" s="27">
        <f>SUM(G4:G7)*10000</f>
        <v>160000</v>
      </c>
      <c r="H45" s="27">
        <f>SUM(H4:H7)*10000</f>
        <v>110000</v>
      </c>
      <c r="I45" s="27">
        <f t="shared" si="9"/>
        <v>660000</v>
      </c>
    </row>
    <row r="46" spans="1:22" x14ac:dyDescent="0.25">
      <c r="A46" s="42" t="s">
        <v>101</v>
      </c>
      <c r="B46" s="42"/>
      <c r="C46" s="42"/>
      <c r="D46" s="43">
        <f>D44+D23</f>
        <v>446584.84110240004</v>
      </c>
      <c r="E46" s="43">
        <f t="shared" ref="E46:I46" si="11">E44+E23</f>
        <v>863973.14751587203</v>
      </c>
      <c r="F46" s="43">
        <f t="shared" si="11"/>
        <v>1117895.0572388687</v>
      </c>
      <c r="G46" s="43">
        <f t="shared" si="11"/>
        <v>1009126.1204181181</v>
      </c>
      <c r="H46" s="43">
        <f t="shared" si="11"/>
        <v>742673.44375520176</v>
      </c>
      <c r="I46" s="43">
        <f t="shared" si="11"/>
        <v>4180252.6100304611</v>
      </c>
    </row>
    <row r="47" spans="1:22" x14ac:dyDescent="0.25">
      <c r="A47" t="s">
        <v>23</v>
      </c>
      <c r="B47" s="5"/>
      <c r="C47" s="5">
        <v>0.5</v>
      </c>
      <c r="D47" s="4">
        <f t="shared" ref="D47:H47" si="12">D44*$C47</f>
        <v>40590.4005512</v>
      </c>
      <c r="E47" s="4">
        <f t="shared" si="12"/>
        <v>59761.173357935993</v>
      </c>
      <c r="F47" s="4">
        <f t="shared" si="12"/>
        <v>62255.835487434291</v>
      </c>
      <c r="G47" s="4">
        <f t="shared" si="12"/>
        <v>64902.422540619038</v>
      </c>
      <c r="H47" s="4">
        <f t="shared" si="12"/>
        <v>52431.819182583858</v>
      </c>
      <c r="I47" s="10">
        <f t="shared" si="9"/>
        <v>279941.65111977316</v>
      </c>
    </row>
    <row r="48" spans="1:22" x14ac:dyDescent="0.25">
      <c r="A48" t="s">
        <v>24</v>
      </c>
      <c r="D48" s="4">
        <f>D47+D44</f>
        <v>121771.2016536</v>
      </c>
      <c r="E48" s="4">
        <f t="shared" ref="E48:H48" si="13">E47+E44</f>
        <v>179283.52007380797</v>
      </c>
      <c r="F48" s="4">
        <f t="shared" si="13"/>
        <v>186767.50646230287</v>
      </c>
      <c r="G48" s="4">
        <f t="shared" si="13"/>
        <v>194707.26762185711</v>
      </c>
      <c r="H48" s="4">
        <f t="shared" si="13"/>
        <v>157295.45754775158</v>
      </c>
      <c r="I48" s="10">
        <f t="shared" si="9"/>
        <v>839824.9533593196</v>
      </c>
      <c r="K48" t="s">
        <v>101</v>
      </c>
      <c r="L48" s="4">
        <f>I23+I44</f>
        <v>4180252.6100304611</v>
      </c>
    </row>
    <row r="49" spans="1:17" x14ac:dyDescent="0.25">
      <c r="I49" s="11"/>
    </row>
    <row r="50" spans="1:17" ht="18.75" x14ac:dyDescent="0.3">
      <c r="A50" s="15" t="s">
        <v>14</v>
      </c>
      <c r="B50" s="16"/>
      <c r="C50" s="15"/>
      <c r="D50" s="17">
        <f>D48+D23</f>
        <v>487175.24165360001</v>
      </c>
      <c r="E50" s="17">
        <f>E48+E23</f>
        <v>923734.32087380812</v>
      </c>
      <c r="F50" s="17">
        <f>F48+F23</f>
        <v>1180150.8927263031</v>
      </c>
      <c r="G50" s="17">
        <f>G48+G23</f>
        <v>1074028.5429587371</v>
      </c>
      <c r="H50" s="17">
        <f>H48+H23</f>
        <v>795105.26293778571</v>
      </c>
      <c r="I50" s="18">
        <f t="shared" ref="I50" si="14">SUM(D50:H50)</f>
        <v>4460194.2611502344</v>
      </c>
      <c r="Q50" s="4">
        <f>4*2*(B4+B17+B20)</f>
        <v>318432</v>
      </c>
    </row>
    <row r="51" spans="1:17" x14ac:dyDescent="0.25">
      <c r="Q51" s="4">
        <f>2*2*(B6+B7+B18+B21)</f>
        <v>290408</v>
      </c>
    </row>
    <row r="53" spans="1:17" x14ac:dyDescent="0.25">
      <c r="C53" t="s">
        <v>102</v>
      </c>
    </row>
  </sheetData>
  <mergeCells count="5">
    <mergeCell ref="A1:B1"/>
    <mergeCell ref="K4:N17"/>
    <mergeCell ref="B9:D9"/>
    <mergeCell ref="A2:B2"/>
    <mergeCell ref="K42:O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77F7-9D9B-43D4-86E8-D54FACDD111F}">
  <dimension ref="A1:J53"/>
  <sheetViews>
    <sheetView workbookViewId="0">
      <selection activeCell="D48" sqref="D48"/>
    </sheetView>
  </sheetViews>
  <sheetFormatPr defaultRowHeight="15" x14ac:dyDescent="0.25"/>
  <sheetData>
    <row r="1" spans="1:10" x14ac:dyDescent="0.25">
      <c r="B1" s="7" t="s">
        <v>61</v>
      </c>
      <c r="C1" s="7" t="s">
        <v>53</v>
      </c>
      <c r="D1" s="7" t="s">
        <v>54</v>
      </c>
      <c r="E1" s="7" t="s">
        <v>55</v>
      </c>
      <c r="F1" s="7" t="s">
        <v>56</v>
      </c>
      <c r="G1" s="7" t="s">
        <v>57</v>
      </c>
    </row>
    <row r="2" spans="1:10" x14ac:dyDescent="0.25">
      <c r="A2" t="s">
        <v>58</v>
      </c>
      <c r="B2">
        <v>3510</v>
      </c>
      <c r="C2">
        <v>3616</v>
      </c>
      <c r="D2">
        <v>3744</v>
      </c>
      <c r="E2">
        <v>3932</v>
      </c>
      <c r="F2">
        <v>4152</v>
      </c>
      <c r="G2">
        <v>4152</v>
      </c>
    </row>
    <row r="3" spans="1:10" x14ac:dyDescent="0.25">
      <c r="A3" t="s">
        <v>60</v>
      </c>
      <c r="B3">
        <v>10512</v>
      </c>
      <c r="C3">
        <v>11020</v>
      </c>
      <c r="D3">
        <v>11906</v>
      </c>
      <c r="E3">
        <v>12750</v>
      </c>
      <c r="F3">
        <v>13770</v>
      </c>
      <c r="G3">
        <v>13770</v>
      </c>
    </row>
    <row r="4" spans="1:10" x14ac:dyDescent="0.25">
      <c r="A4" t="s">
        <v>59</v>
      </c>
      <c r="B4">
        <v>4111</v>
      </c>
      <c r="C4">
        <v>4265</v>
      </c>
      <c r="D4">
        <v>4432</v>
      </c>
      <c r="E4">
        <v>4676</v>
      </c>
      <c r="F4">
        <v>4938</v>
      </c>
      <c r="G4">
        <v>4938</v>
      </c>
    </row>
    <row r="5" spans="1:10" x14ac:dyDescent="0.25">
      <c r="A5" t="s">
        <v>60</v>
      </c>
      <c r="B5">
        <v>11113</v>
      </c>
      <c r="C5">
        <v>11669</v>
      </c>
      <c r="D5">
        <v>12594</v>
      </c>
      <c r="E5">
        <v>13494</v>
      </c>
      <c r="F5">
        <v>14556</v>
      </c>
      <c r="G5">
        <v>14556</v>
      </c>
    </row>
    <row r="7" spans="1:10" x14ac:dyDescent="0.25">
      <c r="H7" t="s">
        <v>66</v>
      </c>
    </row>
    <row r="8" spans="1:10" x14ac:dyDescent="0.25">
      <c r="C8" s="24">
        <f t="shared" ref="C8:G11" si="0">C2/B2</f>
        <v>1.0301994301994302</v>
      </c>
      <c r="D8" s="24">
        <f t="shared" si="0"/>
        <v>1.0353982300884956</v>
      </c>
      <c r="E8" s="24">
        <f t="shared" si="0"/>
        <v>1.0502136752136753</v>
      </c>
      <c r="F8" s="24">
        <f t="shared" si="0"/>
        <v>1.0559511698880977</v>
      </c>
      <c r="G8" s="24">
        <f t="shared" si="0"/>
        <v>1</v>
      </c>
      <c r="H8" s="5">
        <f>AVERAGE(C8:F8)</f>
        <v>1.0429406263474248</v>
      </c>
      <c r="J8" s="5"/>
    </row>
    <row r="9" spans="1:10" x14ac:dyDescent="0.25">
      <c r="C9" s="24">
        <f t="shared" si="0"/>
        <v>1.0483257229832572</v>
      </c>
      <c r="D9" s="24">
        <f t="shared" si="0"/>
        <v>1.0803992740471868</v>
      </c>
      <c r="E9" s="24">
        <f t="shared" si="0"/>
        <v>1.0708886275827314</v>
      </c>
      <c r="F9" s="24">
        <f t="shared" si="0"/>
        <v>1.08</v>
      </c>
      <c r="G9" s="24">
        <f t="shared" si="0"/>
        <v>1</v>
      </c>
      <c r="H9" s="5">
        <f>AVERAGE(C9:F9)</f>
        <v>1.0699034061532939</v>
      </c>
      <c r="J9" s="5"/>
    </row>
    <row r="10" spans="1:10" x14ac:dyDescent="0.25">
      <c r="C10" s="24">
        <f t="shared" si="0"/>
        <v>1.0374604719046461</v>
      </c>
      <c r="D10" s="24">
        <f t="shared" si="0"/>
        <v>1.0391559202813598</v>
      </c>
      <c r="E10" s="24">
        <f t="shared" si="0"/>
        <v>1.0550541516245486</v>
      </c>
      <c r="F10" s="24">
        <f t="shared" si="0"/>
        <v>1.0560307955517536</v>
      </c>
      <c r="G10" s="24">
        <f t="shared" si="0"/>
        <v>1</v>
      </c>
      <c r="H10" s="5">
        <f>AVERAGE(C10:F10)</f>
        <v>1.0469253348405769</v>
      </c>
      <c r="J10" s="5"/>
    </row>
    <row r="11" spans="1:10" x14ac:dyDescent="0.25">
      <c r="C11" s="24">
        <f t="shared" si="0"/>
        <v>1.0500314946459102</v>
      </c>
      <c r="D11" s="24">
        <f t="shared" si="0"/>
        <v>1.0792698603136515</v>
      </c>
      <c r="E11" s="24">
        <f t="shared" si="0"/>
        <v>1.0714626012386852</v>
      </c>
      <c r="F11" s="24">
        <f t="shared" si="0"/>
        <v>1.0787016451756337</v>
      </c>
      <c r="G11" s="24">
        <f t="shared" si="0"/>
        <v>1</v>
      </c>
      <c r="H11" s="5">
        <f>AVERAGE(C11:F11)</f>
        <v>1.0698664003434701</v>
      </c>
      <c r="J11" s="5"/>
    </row>
    <row r="53" spans="6:6" x14ac:dyDescent="0.25">
      <c r="F53" t="s">
        <v>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760E5FD0473D4CB63D0154B06E516F" ma:contentTypeVersion="12" ma:contentTypeDescription="Create a new document." ma:contentTypeScope="" ma:versionID="09edf825b5912388e7ca2ea6d1de1557">
  <xsd:schema xmlns:xsd="http://www.w3.org/2001/XMLSchema" xmlns:xs="http://www.w3.org/2001/XMLSchema" xmlns:p="http://schemas.microsoft.com/office/2006/metadata/properties" xmlns:ns3="7fe36b7c-cba8-4215-9209-ceaf5296f0ff" xmlns:ns4="ff1ac381-a94a-4da3-8726-f5a4c8832f39" targetNamespace="http://schemas.microsoft.com/office/2006/metadata/properties" ma:root="true" ma:fieldsID="dc34467f3000ac1b9c3f8caf7263c8bd" ns3:_="" ns4:_="">
    <xsd:import namespace="7fe36b7c-cba8-4215-9209-ceaf5296f0ff"/>
    <xsd:import namespace="ff1ac381-a94a-4da3-8726-f5a4c8832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36b7c-cba8-4215-9209-ceaf5296f0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ac381-a94a-4da3-8726-f5a4c8832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B895F-3193-4B8C-A7E7-C3F480619E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CE1D02-991C-4819-BCBF-9425A965878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fe36b7c-cba8-4215-9209-ceaf5296f0ff"/>
    <ds:schemaRef ds:uri="ff1ac381-a94a-4da3-8726-f5a4c8832f39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ADEA04-EE6E-4EEB-8BCB-B3DCEBEBC2A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$4.5M</vt:lpstr>
      <vt:lpstr>Historical Tuition and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Alves-Foss</dc:creator>
  <cp:lastModifiedBy>Eric Everett</cp:lastModifiedBy>
  <dcterms:created xsi:type="dcterms:W3CDTF">2020-07-02T17:26:41Z</dcterms:created>
  <dcterms:modified xsi:type="dcterms:W3CDTF">2021-07-26T21:31:41Z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0x01010024760E5FD0473D4CB63D0154B06E516F</vt:lpwstr>
  </property>
</Properties>
</file>