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codeName="ThisWorkbook"/>
  <xr:revisionPtr revIDLastSave="0" documentId="13_ncr:1_{A7309FC1-D266-4756-9319-B8ECC2CA9230}" xr6:coauthVersionLast="47" xr6:coauthVersionMax="47" xr10:uidLastSave="{00000000-0000-0000-0000-000000000000}"/>
  <bookViews>
    <workbookView xWindow="31020" yWindow="1980" windowWidth="23565" windowHeight="13230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UIMTDC!$B$1:$J$81</definedName>
    <definedName name="Show.Acct.Update.Warning" hidden="1">#REF!</definedName>
    <definedName name="Show.MDB.Update.Warning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E51" i="1"/>
  <c r="I38" i="1"/>
  <c r="G38" i="1"/>
  <c r="I37" i="1"/>
  <c r="G37" i="1"/>
  <c r="I36" i="1"/>
  <c r="G36" i="1"/>
  <c r="I35" i="1"/>
  <c r="G35" i="1"/>
  <c r="E14" i="1"/>
  <c r="F14" i="1"/>
  <c r="G14" i="1"/>
  <c r="H14" i="1"/>
  <c r="E15" i="1"/>
  <c r="J45" i="1"/>
  <c r="I14" i="1" l="1"/>
  <c r="I44" i="1" l="1"/>
  <c r="H44" i="1"/>
  <c r="G44" i="1"/>
  <c r="F44" i="1"/>
  <c r="E44" i="1"/>
  <c r="E43" i="1"/>
  <c r="J47" i="1"/>
  <c r="J50" i="1"/>
  <c r="J49" i="1"/>
  <c r="F15" i="1"/>
  <c r="G15" i="1" s="1"/>
  <c r="H15" i="1" s="1"/>
  <c r="I15" i="1" s="1"/>
  <c r="F5" i="1"/>
  <c r="G5" i="1" s="1"/>
  <c r="E5" i="1"/>
  <c r="E35" i="1"/>
  <c r="F35" i="1" s="1"/>
  <c r="H5" i="1" l="1"/>
  <c r="I5" i="1" s="1"/>
  <c r="D26" i="1"/>
  <c r="D21" i="1"/>
  <c r="I13" i="1"/>
  <c r="H13" i="1"/>
  <c r="G13" i="1"/>
  <c r="F13" i="1"/>
  <c r="E13" i="1"/>
  <c r="J44" i="1" l="1"/>
  <c r="H43" i="1"/>
  <c r="B27" i="1"/>
  <c r="B28" i="1"/>
  <c r="B29" i="1"/>
  <c r="B30" i="1"/>
  <c r="B26" i="1"/>
  <c r="B22" i="1"/>
  <c r="B23" i="1"/>
  <c r="B24" i="1"/>
  <c r="B25" i="1"/>
  <c r="B21" i="1"/>
  <c r="N74" i="1"/>
  <c r="E71" i="1" s="1"/>
  <c r="F71" i="1" s="1"/>
  <c r="G71" i="1" s="1"/>
  <c r="H71" i="1" s="1"/>
  <c r="I71" i="1" s="1"/>
  <c r="I75" i="1" s="1"/>
  <c r="M91" i="1"/>
  <c r="E61" i="1"/>
  <c r="F61" i="1"/>
  <c r="J74" i="1"/>
  <c r="J73" i="1"/>
  <c r="J72" i="1"/>
  <c r="I68" i="1"/>
  <c r="H68" i="1"/>
  <c r="G68" i="1"/>
  <c r="F68" i="1"/>
  <c r="E68" i="1"/>
  <c r="J68" i="1" s="1"/>
  <c r="J67" i="1"/>
  <c r="J66" i="1"/>
  <c r="J65" i="1"/>
  <c r="J64" i="1"/>
  <c r="I61" i="1"/>
  <c r="H61" i="1"/>
  <c r="G61" i="1"/>
  <c r="J60" i="1"/>
  <c r="J51" i="1"/>
  <c r="J48" i="1"/>
  <c r="J46" i="1"/>
  <c r="I40" i="1"/>
  <c r="H40" i="1"/>
  <c r="G40" i="1"/>
  <c r="F40" i="1"/>
  <c r="E40" i="1"/>
  <c r="J39" i="1"/>
  <c r="J38" i="1"/>
  <c r="J37" i="1"/>
  <c r="J36" i="1"/>
  <c r="J35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18" i="1"/>
  <c r="H18" i="1"/>
  <c r="G18" i="1"/>
  <c r="F18" i="1"/>
  <c r="E18" i="1"/>
  <c r="J17" i="1"/>
  <c r="J16" i="1"/>
  <c r="J15" i="1"/>
  <c r="J14" i="1"/>
  <c r="J13" i="1"/>
  <c r="I10" i="1"/>
  <c r="H10" i="1"/>
  <c r="G10" i="1"/>
  <c r="F10" i="1"/>
  <c r="E10" i="1"/>
  <c r="J8" i="1"/>
  <c r="J7" i="1"/>
  <c r="J6" i="1"/>
  <c r="J5" i="1"/>
  <c r="J24" i="1" l="1"/>
  <c r="J23" i="1"/>
  <c r="J25" i="1"/>
  <c r="J29" i="1"/>
  <c r="J71" i="1"/>
  <c r="J61" i="1"/>
  <c r="J30" i="1"/>
  <c r="E75" i="1"/>
  <c r="F75" i="1"/>
  <c r="J22" i="1"/>
  <c r="J28" i="1"/>
  <c r="G75" i="1"/>
  <c r="H75" i="1"/>
  <c r="J75" i="1"/>
  <c r="J27" i="1"/>
  <c r="E31" i="1"/>
  <c r="E32" i="1" s="1"/>
  <c r="H52" i="1"/>
  <c r="I43" i="1"/>
  <c r="I52" i="1" s="1"/>
  <c r="F43" i="1"/>
  <c r="J10" i="1"/>
  <c r="H31" i="1"/>
  <c r="H32" i="1" s="1"/>
  <c r="J21" i="1"/>
  <c r="I31" i="1"/>
  <c r="I32" i="1" s="1"/>
  <c r="G31" i="1"/>
  <c r="J26" i="1"/>
  <c r="F31" i="1"/>
  <c r="F32" i="1" s="1"/>
  <c r="J18" i="1"/>
  <c r="E52" i="1"/>
  <c r="J40" i="1"/>
  <c r="H54" i="1" l="1"/>
  <c r="H79" i="1" s="1"/>
  <c r="E54" i="1"/>
  <c r="F52" i="1"/>
  <c r="G43" i="1"/>
  <c r="G52" i="1" s="1"/>
  <c r="I54" i="1"/>
  <c r="J31" i="1"/>
  <c r="J32" i="1" s="1"/>
  <c r="G32" i="1"/>
  <c r="I77" i="1" l="1"/>
  <c r="I79" i="1"/>
  <c r="E77" i="1"/>
  <c r="H77" i="1"/>
  <c r="H81" i="1" s="1"/>
  <c r="J52" i="1"/>
  <c r="G54" i="1"/>
  <c r="G79" i="1" s="1"/>
  <c r="J43" i="1"/>
  <c r="F54" i="1"/>
  <c r="F79" i="1" s="1"/>
  <c r="I81" i="1" l="1"/>
  <c r="E81" i="1"/>
  <c r="J54" i="1"/>
  <c r="F77" i="1"/>
  <c r="G77" i="1"/>
  <c r="J79" i="1" l="1"/>
  <c r="G81" i="1"/>
  <c r="F81" i="1"/>
  <c r="J77" i="1"/>
  <c r="J81" i="1" l="1"/>
</calcChain>
</file>

<file path=xl/sharedStrings.xml><?xml version="1.0" encoding="utf-8"?>
<sst xmlns="http://schemas.openxmlformats.org/spreadsheetml/2006/main" count="78" uniqueCount="75">
  <si>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</si>
  <si>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</si>
  <si>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</si>
  <si>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</si>
  <si>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</si>
  <si>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</si>
  <si>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</si>
  <si>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</si>
  <si>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</si>
  <si>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</si>
  <si>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>Travel</t>
  </si>
  <si>
    <t>Year 3</t>
  </si>
  <si>
    <t>Senior Salaries</t>
  </si>
  <si>
    <t>Total Student/IH Salaries</t>
  </si>
  <si>
    <t>Tuition</t>
  </si>
  <si>
    <t>Total Travel</t>
  </si>
  <si>
    <t>Equipment &gt;$5,000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</si>
  <si>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</si>
  <si>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</si>
  <si>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</si>
  <si>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</si>
  <si>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</si>
  <si>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Senior 2</t>
  </si>
  <si>
    <t>Senior 3</t>
  </si>
  <si>
    <t>Senior 4</t>
  </si>
  <si>
    <t>Senior 5</t>
  </si>
  <si>
    <t>Salary Base</t>
  </si>
  <si>
    <t>Year 4</t>
  </si>
  <si>
    <t>Faculty</t>
  </si>
  <si>
    <t>Staff</t>
  </si>
  <si>
    <t>Students</t>
  </si>
  <si>
    <t>Year 5</t>
  </si>
  <si>
    <t>(Excludes non-PERSI Eligible IH)</t>
  </si>
  <si>
    <t xml:space="preserve">IH </t>
  </si>
  <si>
    <t>(non-PERSI Eligible)</t>
  </si>
  <si>
    <t>Total Other Direct Costs</t>
  </si>
  <si>
    <t>Total Modified Direct Costs</t>
  </si>
  <si>
    <t>Total Budget (Direct + Indirect Costs)</t>
  </si>
  <si>
    <t>Enter Only Costs Excluded From F&amp;A Below This Point</t>
  </si>
  <si>
    <t>Full-Time Graduate</t>
  </si>
  <si>
    <t>Part Time Graduate per credit</t>
  </si>
  <si>
    <t>Student Health Insurance</t>
  </si>
  <si>
    <t>Annual Cost</t>
  </si>
  <si>
    <t>Student/TH Salaries</t>
  </si>
  <si>
    <t>Student/TH 4</t>
  </si>
  <si>
    <t>Student/TH 5</t>
  </si>
  <si>
    <t>2020-2021 Tuition/Fees per Semester</t>
  </si>
  <si>
    <t>Anticipated FY22 UI Fringe Rates</t>
  </si>
  <si>
    <t>F&amp;A Rates (Indirect Costs)</t>
  </si>
  <si>
    <t>FY22</t>
  </si>
  <si>
    <t>FY23</t>
  </si>
  <si>
    <t>Minimum budget $400,000</t>
  </si>
  <si>
    <t>12 mos</t>
  </si>
  <si>
    <t>Publication Costs</t>
  </si>
  <si>
    <t>Rowley CAREER Budget</t>
  </si>
  <si>
    <t>Paul Rowley - PI</t>
  </si>
  <si>
    <t>1 month</t>
  </si>
  <si>
    <t>RA</t>
  </si>
  <si>
    <t>Undergraduate</t>
  </si>
  <si>
    <t>Technician</t>
  </si>
  <si>
    <t>Lab Supplies</t>
  </si>
  <si>
    <t>Outreach/Educational Supplies</t>
  </si>
  <si>
    <t>Twist library (Kre1p)</t>
  </si>
  <si>
    <t>Illumina Replicon Sequencing</t>
  </si>
  <si>
    <t>40X-2500X LED Digital Monocular Compound Microscope</t>
  </si>
  <si>
    <t>50%Yrs 2-5</t>
  </si>
  <si>
    <t>Gateway reagents 100 rxn mix</t>
  </si>
  <si>
    <t>Accommodation $240/day</t>
  </si>
  <si>
    <t>Per Diem $61/day</t>
  </si>
  <si>
    <t>Economy Airfare</t>
  </si>
  <si>
    <t>Conference Registration</t>
  </si>
  <si>
    <t>Outreach Incentives</t>
  </si>
  <si>
    <t>48.5% 3mos Yr 1</t>
  </si>
  <si>
    <t>50% 9mos Yr 1</t>
  </si>
  <si>
    <t>3/1/2022 - 2/28/2027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</si>
</sst>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&quot;$&quot;#,##0;[Red]&quot;$&quot;#,##0"/>
  </numFmts>
  <fonts count="5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2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3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37" fontId="5" fillId="16" borderId="1" applyBorder="0" applyProtection="0">
      <alignment vertical="center"/>
    </xf>
    <xf numFmtId="0" fontId="22" fillId="17" borderId="0" applyNumberFormat="0" applyBorder="0" applyAlignment="0" applyProtection="0"/>
    <xf numFmtId="5" fontId="6" fillId="0" borderId="2">
      <protection locked="0"/>
    </xf>
    <xf numFmtId="0" fontId="7" fillId="18" borderId="0" applyBorder="0">
      <alignment horizontal="left" vertical="center" indent="1"/>
    </xf>
    <xf numFmtId="0" fontId="23" fillId="4" borderId="3" applyNumberFormat="0" applyAlignment="0" applyProtection="0"/>
    <xf numFmtId="0" fontId="24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8" fillId="0" borderId="5"/>
    <xf numFmtId="4" fontId="6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6" fillId="6" borderId="0" applyNumberFormat="0" applyBorder="0" applyAlignment="0" applyProtection="0"/>
    <xf numFmtId="4" fontId="6" fillId="21" borderId="5"/>
    <xf numFmtId="43" fontId="9" fillId="0" borderId="6"/>
    <xf numFmtId="37" fontId="10" fillId="22" borderId="2" applyBorder="0">
      <alignment horizontal="left" vertical="center" indent="1"/>
    </xf>
    <xf numFmtId="37" fontId="11" fillId="23" borderId="7" applyFill="0">
      <alignment vertical="center"/>
    </xf>
    <xf numFmtId="0" fontId="11" fillId="24" borderId="8" applyNumberFormat="0">
      <alignment horizontal="left" vertical="top" indent="1"/>
    </xf>
    <xf numFmtId="0" fontId="11" fillId="16" borderId="0" applyBorder="0">
      <alignment horizontal="left" vertical="center" indent="1"/>
    </xf>
    <xf numFmtId="0" fontId="11" fillId="0" borderId="8" applyNumberFormat="0" applyFill="0">
      <alignment horizontal="centerContinuous" vertical="top"/>
    </xf>
    <xf numFmtId="0" fontId="12" fillId="0" borderId="0" applyNumberFormat="0" applyFont="0" applyFill="0" applyAlignment="0" applyProtection="0"/>
    <xf numFmtId="0" fontId="13" fillId="0" borderId="0" applyNumberFormat="0" applyFon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43" fontId="9" fillId="0" borderId="10"/>
    <xf numFmtId="0" fontId="29" fillId="0" borderId="11" applyNumberFormat="0" applyFill="0" applyAlignment="0" applyProtection="0"/>
    <xf numFmtId="44" fontId="9" fillId="0" borderId="12"/>
    <xf numFmtId="0" fontId="30" fillId="7" borderId="0" applyNumberFormat="0" applyBorder="0" applyAlignment="0" applyProtection="0"/>
    <xf numFmtId="0" fontId="14" fillId="23" borderId="0">
      <alignment horizontal="left" wrapText="1" indent="1"/>
    </xf>
    <xf numFmtId="37" fontId="5" fillId="16" borderId="13" applyBorder="0">
      <alignment horizontal="left" vertical="center" indent="2"/>
    </xf>
    <xf numFmtId="0" fontId="15" fillId="0" borderId="0"/>
    <xf numFmtId="0" fontId="1" fillId="7" borderId="14" applyNumberFormat="0" applyFont="0" applyAlignment="0" applyProtection="0"/>
    <xf numFmtId="0" fontId="31" fillId="4" borderId="15" applyNumberFormat="0" applyAlignment="0" applyProtection="0"/>
    <xf numFmtId="169" fontId="16" fillId="25" borderId="16"/>
    <xf numFmtId="168" fontId="16" fillId="0" borderId="16" applyFont="0" applyFill="0" applyBorder="0" applyAlignment="0" applyProtection="0">
      <protection locked="0"/>
    </xf>
    <xf numFmtId="2" fontId="1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0">
      <alignment horizontal="right"/>
    </xf>
    <xf numFmtId="0" fontId="19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4" fontId="48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 applyProtection="1"/>
    <xf numFmtId="0" fontId="3" fillId="0" borderId="0" xfId="0" applyFont="1" applyFill="1" applyProtection="1"/>
    <xf numFmtId="38" fontId="34" fillId="0" borderId="0" xfId="0" applyNumberFormat="1" applyFont="1" applyFill="1" applyProtection="1"/>
    <xf numFmtId="0" fontId="1" fillId="0" borderId="0" xfId="0" applyFont="1" applyProtection="1"/>
    <xf numFmtId="0" fontId="36" fillId="28" borderId="0" xfId="0" applyFont="1" applyFill="1" applyProtection="1"/>
    <xf numFmtId="0" fontId="36" fillId="28" borderId="0" xfId="0" applyFont="1" applyFill="1" applyAlignment="1" applyProtection="1">
      <alignment horizontal="center"/>
    </xf>
    <xf numFmtId="3" fontId="38" fillId="0" borderId="0" xfId="53" applyNumberFormat="1" applyFont="1" applyAlignment="1" applyProtection="1">
      <alignment horizontal="right" vertical="center"/>
    </xf>
    <xf numFmtId="3" fontId="39" fillId="0" borderId="0" xfId="53" applyNumberFormat="1" applyFont="1" applyAlignment="1" applyProtection="1">
      <alignment horizontal="right" vertical="center"/>
    </xf>
    <xf numFmtId="0" fontId="40" fillId="0" borderId="0" xfId="53" applyFont="1" applyAlignment="1" applyProtection="1">
      <alignment horizontal="center" vertical="center"/>
    </xf>
    <xf numFmtId="170" fontId="41" fillId="0" borderId="0" xfId="36" applyNumberFormat="1" applyFont="1" applyFill="1" applyAlignment="1" applyProtection="1">
      <alignment horizontal="centerContinuous"/>
      <protection locked="0"/>
    </xf>
    <xf numFmtId="0" fontId="3" fillId="0" borderId="0" xfId="0" applyFont="1" applyFill="1" applyAlignment="1" applyProtection="1">
      <alignment horizontal="centerContinuous"/>
    </xf>
    <xf numFmtId="172" fontId="36" fillId="0" borderId="0" xfId="0" applyNumberFormat="1" applyFont="1" applyFill="1" applyBorder="1" applyAlignment="1" applyProtection="1">
      <alignment horizontal="right"/>
    </xf>
    <xf numFmtId="0" fontId="3" fillId="27" borderId="19" xfId="0" applyFont="1" applyFill="1" applyBorder="1" applyProtection="1"/>
    <xf numFmtId="0" fontId="41" fillId="27" borderId="19" xfId="0" applyFont="1" applyFill="1" applyBorder="1" applyAlignment="1" applyProtection="1">
      <alignment horizontal="center"/>
    </xf>
    <xf numFmtId="0" fontId="41" fillId="27" borderId="19" xfId="0" applyFont="1" applyFill="1" applyBorder="1" applyAlignment="1" applyProtection="1">
      <alignment horizontal="centerContinuous"/>
    </xf>
    <xf numFmtId="0" fontId="41" fillId="28" borderId="18" xfId="0" applyFont="1" applyFill="1" applyBorder="1" applyProtection="1"/>
    <xf numFmtId="0" fontId="3" fillId="28" borderId="18" xfId="0" applyFont="1" applyFill="1" applyBorder="1" applyProtection="1"/>
    <xf numFmtId="0" fontId="41" fillId="28" borderId="18" xfId="0" applyFont="1" applyFill="1" applyBorder="1" applyAlignment="1" applyProtection="1">
      <alignment horizontal="center"/>
    </xf>
    <xf numFmtId="3" fontId="41" fillId="28" borderId="18" xfId="0" applyNumberFormat="1" applyFont="1" applyFill="1" applyBorder="1" applyAlignment="1" applyProtection="1">
      <alignment horizontal="center"/>
      <protection locked="0"/>
    </xf>
    <xf numFmtId="3" fontId="36" fillId="28" borderId="18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Protection="1">
      <protection locked="0"/>
    </xf>
    <xf numFmtId="3" fontId="3" fillId="0" borderId="0" xfId="0" applyNumberFormat="1" applyFont="1" applyFill="1" applyProtection="1"/>
    <xf numFmtId="3" fontId="1" fillId="0" borderId="0" xfId="0" applyNumberFormat="1" applyFont="1" applyProtection="1"/>
    <xf numFmtId="0" fontId="3" fillId="0" borderId="0" xfId="0" applyNumberFormat="1" applyFont="1" applyFill="1" applyAlignment="1" applyProtection="1">
      <alignment horizontal="right"/>
      <protection locked="0"/>
    </xf>
    <xf numFmtId="0" fontId="3" fillId="28" borderId="0" xfId="0" applyFont="1" applyFill="1" applyProtection="1"/>
    <xf numFmtId="0" fontId="3" fillId="28" borderId="0" xfId="0" applyNumberFormat="1" applyFont="1" applyFill="1" applyProtection="1">
      <protection locked="0"/>
    </xf>
    <xf numFmtId="3" fontId="3" fillId="28" borderId="0" xfId="0" applyNumberFormat="1" applyFont="1" applyFill="1" applyProtection="1"/>
    <xf numFmtId="38" fontId="3" fillId="0" borderId="0" xfId="0" applyNumberFormat="1" applyFont="1" applyFill="1" applyProtection="1"/>
    <xf numFmtId="0" fontId="42" fillId="28" borderId="0" xfId="0" applyFont="1" applyFill="1" applyProtection="1"/>
    <xf numFmtId="0" fontId="42" fillId="28" borderId="0" xfId="0" applyNumberFormat="1" applyFont="1" applyFill="1" applyProtection="1">
      <protection locked="0"/>
    </xf>
    <xf numFmtId="38" fontId="41" fillId="28" borderId="0" xfId="0" applyNumberFormat="1" applyFont="1" applyFill="1" applyAlignment="1" applyProtection="1">
      <alignment horizontal="center"/>
    </xf>
    <xf numFmtId="0" fontId="41" fillId="28" borderId="0" xfId="0" applyFont="1" applyFill="1" applyProtection="1"/>
    <xf numFmtId="0" fontId="41" fillId="28" borderId="0" xfId="0" applyNumberFormat="1" applyFont="1" applyFill="1" applyAlignment="1" applyProtection="1">
      <alignment horizontal="center"/>
      <protection locked="0"/>
    </xf>
    <xf numFmtId="38" fontId="3" fillId="28" borderId="0" xfId="0" applyNumberFormat="1" applyFont="1" applyFill="1" applyProtection="1"/>
    <xf numFmtId="173" fontId="3" fillId="0" borderId="0" xfId="0" applyNumberFormat="1" applyFont="1" applyFill="1" applyProtection="1">
      <protection locked="0"/>
    </xf>
    <xf numFmtId="0" fontId="3" fillId="28" borderId="0" xfId="0" applyNumberFormat="1" applyFont="1" applyFill="1" applyBorder="1" applyProtection="1"/>
    <xf numFmtId="6" fontId="3" fillId="28" borderId="0" xfId="0" applyNumberFormat="1" applyFont="1" applyFill="1" applyBorder="1" applyProtection="1"/>
    <xf numFmtId="38" fontId="3" fillId="28" borderId="0" xfId="0" applyNumberFormat="1" applyFont="1" applyFill="1" applyBorder="1" applyProtection="1"/>
    <xf numFmtId="0" fontId="3" fillId="28" borderId="0" xfId="0" applyNumberFormat="1" applyFont="1" applyFill="1" applyProtection="1"/>
    <xf numFmtId="0" fontId="3" fillId="0" borderId="0" xfId="0" applyNumberFormat="1" applyFont="1" applyFill="1" applyProtection="1"/>
    <xf numFmtId="0" fontId="41" fillId="0" borderId="0" xfId="0" applyFont="1" applyFill="1" applyProtection="1"/>
    <xf numFmtId="0" fontId="41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3" fillId="0" borderId="0" xfId="53" applyFont="1" applyAlignment="1" applyProtection="1">
      <alignment horizontal="center" vertical="center"/>
    </xf>
    <xf numFmtId="0" fontId="44" fillId="28" borderId="0" xfId="53" applyFont="1" applyFill="1" applyAlignment="1" applyProtection="1">
      <alignment horizontal="left" vertical="center"/>
    </xf>
    <xf numFmtId="0" fontId="43" fillId="28" borderId="0" xfId="53" applyFont="1" applyFill="1" applyAlignment="1" applyProtection="1">
      <alignment horizontal="center" vertical="center"/>
    </xf>
    <xf numFmtId="3" fontId="41" fillId="28" borderId="12" xfId="0" applyNumberFormat="1" applyFont="1" applyFill="1" applyBorder="1" applyProtection="1"/>
    <xf numFmtId="6" fontId="3" fillId="28" borderId="0" xfId="0" applyNumberFormat="1" applyFont="1" applyFill="1" applyProtection="1"/>
    <xf numFmtId="0" fontId="36" fillId="30" borderId="0" xfId="0" applyFont="1" applyFill="1" applyBorder="1" applyProtection="1"/>
    <xf numFmtId="0" fontId="1" fillId="30" borderId="0" xfId="0" applyFont="1" applyFill="1" applyBorder="1" applyProtection="1"/>
    <xf numFmtId="173" fontId="36" fillId="30" borderId="0" xfId="0" applyNumberFormat="1" applyFont="1" applyFill="1" applyBorder="1" applyProtection="1"/>
    <xf numFmtId="173" fontId="36" fillId="30" borderId="25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6" fillId="30" borderId="24" xfId="0" applyFont="1" applyFill="1" applyBorder="1" applyProtection="1"/>
    <xf numFmtId="0" fontId="36" fillId="30" borderId="25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1" borderId="21" xfId="0" applyFont="1" applyFill="1" applyBorder="1" applyProtection="1"/>
    <xf numFmtId="0" fontId="1" fillId="31" borderId="22" xfId="0" applyFont="1" applyFill="1" applyBorder="1" applyProtection="1"/>
    <xf numFmtId="0" fontId="1" fillId="31" borderId="23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5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5" fillId="0" borderId="0" xfId="0" applyNumberFormat="1" applyFont="1" applyFill="1" applyBorder="1" applyAlignment="1" applyProtection="1"/>
    <xf numFmtId="174" fontId="45" fillId="0" borderId="0" xfId="0" applyNumberFormat="1" applyFont="1" applyFill="1" applyBorder="1" applyAlignment="1"/>
    <xf numFmtId="0" fontId="47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6" fontId="3" fillId="0" borderId="0" xfId="0" applyNumberFormat="1" applyFont="1" applyFill="1" applyProtection="1">
      <protection locked="0"/>
    </xf>
    <xf numFmtId="0" fontId="1" fillId="0" borderId="0" xfId="0" applyFont="1" applyFill="1" applyBorder="1" applyProtection="1"/>
    <xf numFmtId="38" fontId="3" fillId="0" borderId="0" xfId="0" applyNumberFormat="1" applyFont="1" applyFill="1" applyBorder="1" applyProtection="1"/>
    <xf numFmtId="38" fontId="3" fillId="0" borderId="0" xfId="0" applyNumberFormat="1" applyFont="1" applyFill="1" applyBorder="1" applyProtection="1">
      <protection locked="0"/>
    </xf>
    <xf numFmtId="0" fontId="43" fillId="0" borderId="0" xfId="53" applyFont="1" applyFill="1" applyAlignment="1" applyProtection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3" fontId="44" fillId="28" borderId="0" xfId="53" applyNumberFormat="1" applyFont="1" applyFill="1" applyAlignment="1" applyProtection="1">
      <alignment horizontal="right" vertical="center"/>
    </xf>
    <xf numFmtId="3" fontId="41" fillId="28" borderId="0" xfId="0" applyNumberFormat="1" applyFont="1" applyFill="1" applyProtection="1"/>
    <xf numFmtId="3" fontId="44" fillId="0" borderId="0" xfId="53" applyNumberFormat="1" applyFont="1" applyFill="1" applyAlignment="1" applyProtection="1">
      <alignment horizontal="right" vertical="center"/>
    </xf>
    <xf numFmtId="3" fontId="41" fillId="0" borderId="0" xfId="0" applyNumberFormat="1" applyFont="1" applyFill="1" applyProtection="1"/>
    <xf numFmtId="3" fontId="41" fillId="28" borderId="0" xfId="0" applyNumberFormat="1" applyFont="1" applyFill="1" applyBorder="1" applyProtection="1"/>
    <xf numFmtId="38" fontId="41" fillId="28" borderId="20" xfId="0" applyNumberFormat="1" applyFont="1" applyFill="1" applyBorder="1" applyProtection="1"/>
    <xf numFmtId="38" fontId="41" fillId="28" borderId="20" xfId="0" applyNumberFormat="1" applyFont="1" applyFill="1" applyBorder="1" applyProtection="1">
      <protection locked="0"/>
    </xf>
    <xf numFmtId="10" fontId="36" fillId="30" borderId="25" xfId="0" applyNumberFormat="1" applyFont="1" applyFill="1" applyBorder="1" applyProtection="1"/>
    <xf numFmtId="173" fontId="36" fillId="0" borderId="0" xfId="0" applyNumberFormat="1" applyFont="1" applyFill="1" applyBorder="1" applyProtection="1"/>
    <xf numFmtId="0" fontId="36" fillId="0" borderId="0" xfId="0" applyFont="1" applyFill="1" applyBorder="1" applyProtection="1"/>
    <xf numFmtId="0" fontId="0" fillId="0" borderId="0" xfId="0" applyBorder="1"/>
    <xf numFmtId="0" fontId="46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173" fontId="1" fillId="30" borderId="0" xfId="0" applyNumberFormat="1" applyFont="1" applyFill="1" applyProtection="1"/>
    <xf numFmtId="0" fontId="4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Border="1" applyProtection="1"/>
    <xf numFmtId="0" fontId="45" fillId="0" borderId="0" xfId="0" applyFont="1" applyBorder="1" applyAlignment="1">
      <alignment horizontal="center" vertical="center" wrapText="1"/>
    </xf>
    <xf numFmtId="0" fontId="1" fillId="33" borderId="21" xfId="0" applyFont="1" applyFill="1" applyBorder="1" applyProtection="1"/>
    <xf numFmtId="0" fontId="1" fillId="33" borderId="22" xfId="0" applyFont="1" applyFill="1" applyBorder="1" applyProtection="1"/>
    <xf numFmtId="0" fontId="1" fillId="33" borderId="23" xfId="0" applyFont="1" applyFill="1" applyBorder="1" applyProtection="1"/>
    <xf numFmtId="0" fontId="1" fillId="33" borderId="24" xfId="0" applyFont="1" applyFill="1" applyBorder="1" applyProtection="1"/>
    <xf numFmtId="0" fontId="36" fillId="33" borderId="0" xfId="0" applyFont="1" applyFill="1" applyBorder="1" applyAlignment="1" applyProtection="1"/>
    <xf numFmtId="0" fontId="0" fillId="33" borderId="0" xfId="0" applyFill="1" applyBorder="1" applyAlignment="1"/>
    <xf numFmtId="0" fontId="0" fillId="33" borderId="25" xfId="0" applyFill="1" applyBorder="1" applyAlignment="1"/>
    <xf numFmtId="0" fontId="0" fillId="33" borderId="24" xfId="0" applyFill="1" applyBorder="1" applyAlignment="1"/>
    <xf numFmtId="0" fontId="1" fillId="33" borderId="26" xfId="0" applyFont="1" applyFill="1" applyBorder="1" applyProtection="1"/>
    <xf numFmtId="0" fontId="1" fillId="33" borderId="27" xfId="0" applyFont="1" applyFill="1" applyBorder="1" applyProtection="1"/>
    <xf numFmtId="0" fontId="1" fillId="33" borderId="28" xfId="0" applyFont="1" applyFill="1" applyBorder="1" applyProtection="1"/>
    <xf numFmtId="0" fontId="36" fillId="33" borderId="0" xfId="0" applyFont="1" applyFill="1" applyBorder="1" applyAlignment="1"/>
    <xf numFmtId="172" fontId="36" fillId="33" borderId="0" xfId="0" applyNumberFormat="1" applyFont="1" applyFill="1" applyBorder="1" applyAlignment="1"/>
    <xf numFmtId="0" fontId="36" fillId="0" borderId="0" xfId="0" applyFont="1" applyFill="1" applyBorder="1" applyAlignment="1" applyProtection="1"/>
    <xf numFmtId="0" fontId="1" fillId="34" borderId="32" xfId="0" applyFont="1" applyFill="1" applyBorder="1"/>
    <xf numFmtId="0" fontId="1" fillId="34" borderId="6" xfId="0" applyFont="1" applyFill="1" applyBorder="1"/>
    <xf numFmtId="0" fontId="1" fillId="34" borderId="33" xfId="0" applyFont="1" applyFill="1" applyBorder="1"/>
    <xf numFmtId="0" fontId="0" fillId="34" borderId="34" xfId="0" applyFill="1" applyBorder="1"/>
    <xf numFmtId="0" fontId="36" fillId="34" borderId="0" xfId="0" applyFont="1" applyFill="1" applyAlignment="1">
      <alignment horizontal="center" vertical="center" wrapText="1"/>
    </xf>
    <xf numFmtId="0" fontId="36" fillId="34" borderId="0" xfId="0" applyFont="1" applyFill="1"/>
    <xf numFmtId="0" fontId="0" fillId="34" borderId="35" xfId="0" applyFill="1" applyBorder="1"/>
    <xf numFmtId="0" fontId="36" fillId="34" borderId="0" xfId="0" applyFont="1" applyFill="1" applyAlignment="1">
      <alignment vertical="center" wrapText="1"/>
    </xf>
    <xf numFmtId="10" fontId="36" fillId="34" borderId="0" xfId="0" applyNumberFormat="1" applyFont="1" applyFill="1"/>
    <xf numFmtId="0" fontId="45" fillId="34" borderId="0" xfId="0" applyFont="1" applyFill="1" applyAlignment="1">
      <alignment horizontal="left" vertical="center"/>
    </xf>
    <xf numFmtId="9" fontId="36" fillId="34" borderId="0" xfId="0" applyNumberFormat="1" applyFont="1" applyFill="1"/>
    <xf numFmtId="0" fontId="0" fillId="34" borderId="36" xfId="0" applyFill="1" applyBorder="1"/>
    <xf numFmtId="0" fontId="45" fillId="34" borderId="8" xfId="0" applyFont="1" applyFill="1" applyBorder="1" applyAlignment="1">
      <alignment horizontal="center"/>
    </xf>
    <xf numFmtId="0" fontId="45" fillId="34" borderId="8" xfId="0" applyFont="1" applyFill="1" applyBorder="1" applyAlignment="1">
      <alignment horizontal="center" vertical="center"/>
    </xf>
    <xf numFmtId="0" fontId="0" fillId="34" borderId="37" xfId="0" applyFill="1" applyBorder="1"/>
    <xf numFmtId="10" fontId="3" fillId="28" borderId="29" xfId="0" applyNumberFormat="1" applyFont="1" applyFill="1" applyBorder="1" applyProtection="1"/>
    <xf numFmtId="42" fontId="3" fillId="0" borderId="0" xfId="76" applyNumberFormat="1" applyFont="1" applyFill="1" applyProtection="1">
      <protection locked="0"/>
    </xf>
    <xf numFmtId="0" fontId="38" fillId="0" borderId="0" xfId="53" applyFont="1" applyFill="1" applyAlignment="1" applyProtection="1">
      <alignment horizontal="center" vertical="center"/>
    </xf>
    <xf numFmtId="9" fontId="38" fillId="0" borderId="0" xfId="53" applyNumberFormat="1" applyFont="1" applyAlignment="1" applyProtection="1">
      <alignment horizontal="center" vertical="center"/>
    </xf>
    <xf numFmtId="0" fontId="38" fillId="0" borderId="0" xfId="53" applyFont="1" applyAlignment="1" applyProtection="1">
      <alignment horizontal="left" vertical="center"/>
    </xf>
    <xf numFmtId="6" fontId="3" fillId="0" borderId="0" xfId="0" applyNumberFormat="1" applyFont="1" applyFill="1" applyProtection="1"/>
    <xf numFmtId="0" fontId="49" fillId="0" borderId="0" xfId="0" applyFont="1" applyFill="1" applyProtection="1"/>
    <xf numFmtId="0" fontId="41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/>
    <xf numFmtId="0" fontId="36" fillId="0" borderId="0" xfId="0" applyFont="1" applyFill="1" applyBorder="1" applyAlignment="1" applyProtection="1">
      <alignment horizontal="right"/>
    </xf>
    <xf numFmtId="0" fontId="36" fillId="0" borderId="0" xfId="0" applyFont="1" applyFill="1" applyBorder="1" applyAlignment="1">
      <alignment horizontal="right"/>
    </xf>
    <xf numFmtId="0" fontId="36" fillId="30" borderId="24" xfId="0" applyFont="1" applyFill="1" applyBorder="1" applyAlignment="1" applyProtection="1">
      <alignment horizontal="left"/>
    </xf>
    <xf numFmtId="0" fontId="36" fillId="30" borderId="0" xfId="0" applyFont="1" applyFill="1" applyBorder="1" applyAlignment="1">
      <alignment horizontal="left"/>
    </xf>
    <xf numFmtId="172" fontId="36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28" borderId="0" xfId="0" applyFont="1" applyFill="1" applyAlignment="1" applyProtection="1">
      <alignment horizontal="center" vertical="center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" xfId="76" builtinId="4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Good" xfId="41" builtinId="26" customBuiltin="1"/>
    <cellStyle name="GRAY" xfId="42" xr:uid="{00000000-0005-0000-0000-000029000000}"/>
    <cellStyle name="Gross Margin" xfId="43" xr:uid="{00000000-0005-0000-0000-00002A000000}"/>
    <cellStyle name="header" xfId="44" xr:uid="{00000000-0005-0000-0000-00002B000000}"/>
    <cellStyle name="Header Total" xfId="45" xr:uid="{00000000-0005-0000-0000-00002C000000}"/>
    <cellStyle name="Header1" xfId="46" xr:uid="{00000000-0005-0000-0000-00002D000000}"/>
    <cellStyle name="Header2" xfId="47" xr:uid="{00000000-0005-0000-0000-00002E000000}"/>
    <cellStyle name="Header3" xfId="48" xr:uid="{00000000-0005-0000-0000-00002F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6000000}"/>
    <cellStyle name="Linked Cell" xfId="56" builtinId="24" customBuiltin="1"/>
    <cellStyle name="Major Total" xfId="57" xr:uid="{00000000-0005-0000-0000-000038000000}"/>
    <cellStyle name="Neutral" xfId="58" builtinId="28" customBuiltin="1"/>
    <cellStyle name="NonPrint_TemTitle" xfId="59" xr:uid="{00000000-0005-0000-0000-00003A000000}"/>
    <cellStyle name="Normal" xfId="0" builtinId="0"/>
    <cellStyle name="Normal 2" xfId="60" xr:uid="{00000000-0005-0000-0000-00003C000000}"/>
    <cellStyle name="NormalRed" xfId="61" xr:uid="{00000000-0005-0000-0000-00003D000000}"/>
    <cellStyle name="Note" xfId="62" builtinId="10" customBuiltin="1"/>
    <cellStyle name="Output" xfId="63" builtinId="21" customBuiltin="1"/>
    <cellStyle name="Percent.0" xfId="64" xr:uid="{00000000-0005-0000-0000-000040000000}"/>
    <cellStyle name="Percent.00" xfId="65" xr:uid="{00000000-0005-0000-0000-000041000000}"/>
    <cellStyle name="RED POSTED" xfId="66" xr:uid="{00000000-0005-0000-0000-000042000000}"/>
    <cellStyle name="Standard_Anpassen der Amortisation" xfId="67" xr:uid="{00000000-0005-0000-0000-000043000000}"/>
    <cellStyle name="Text_simple" xfId="68" xr:uid="{00000000-0005-0000-0000-000044000000}"/>
    <cellStyle name="Title" xfId="69" builtinId="15" customBuiltin="1"/>
    <cellStyle name="TmsRmn10BlueItalic" xfId="70" xr:uid="{00000000-0005-0000-0000-000046000000}"/>
    <cellStyle name="TmsRmn10Bold" xfId="71" xr:uid="{00000000-0005-0000-0000-000047000000}"/>
    <cellStyle name="Total" xfId="72" builtinId="25" customBuiltin="1"/>
    <cellStyle name="Währung [0]_Compiling Utility Macros" xfId="73" xr:uid="{00000000-0005-0000-0000-000049000000}"/>
    <cellStyle name="Währung_Compiling Utility Macros" xfId="74" xr:uid="{00000000-0005-0000-0000-00004A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Q109"/>
  <sheetViews>
    <sheetView tabSelected="1" zoomScaleNormal="100" workbookViewId="0">
      <selection activeCell="B2" sqref="B2"/>
    </sheetView>
  </sheetViews>
  <sheetFormatPr defaultColWidth="9.140625" defaultRowHeight="12.75" x14ac:dyDescent="0.2"/>
  <cols>
    <col min="1" max="1" width="1.7109375" style="1" customWidth="1"/>
    <col min="2" max="2" width="24.28515625" style="1" customWidth="1"/>
    <col min="3" max="3" width="7.85546875" style="1" customWidth="1"/>
    <col min="4" max="4" width="17.7109375" style="1" customWidth="1"/>
    <col min="5" max="10" width="15.7109375" style="1" customWidth="1"/>
    <col min="11" max="11" width="4.7109375" style="1" customWidth="1"/>
    <col min="12" max="12" width="9.140625" style="1" customWidth="1"/>
    <col min="13" max="13" width="34.28515625" style="1" customWidth="1"/>
    <col min="14" max="14" width="12.42578125" style="1" customWidth="1"/>
    <col min="15" max="15" width="6.85546875" style="1" customWidth="1"/>
    <col min="16" max="16" width="7" style="1" hidden="1" customWidth="1"/>
    <col min="17" max="17" width="10.140625" style="1" customWidth="1"/>
    <col min="18" max="16384" width="9.140625" style="1"/>
  </cols>
  <sheetData>
    <row r="1" spans="2:17" ht="15" customHeight="1" x14ac:dyDescent="0.25">
      <c r="B1" s="150" t="s">
        <v>54</v>
      </c>
      <c r="C1" s="150"/>
      <c r="D1" s="150"/>
      <c r="E1" s="150"/>
      <c r="F1" s="150"/>
      <c r="G1" s="150"/>
      <c r="H1" s="150"/>
      <c r="I1" s="150"/>
      <c r="J1" s="150"/>
      <c r="L1" s="141"/>
      <c r="M1" s="142"/>
      <c r="N1" s="142"/>
      <c r="O1" s="142"/>
      <c r="P1" s="143"/>
      <c r="Q1" s="143"/>
    </row>
    <row r="2" spans="2:17" s="4" customFormat="1" ht="12.95" customHeight="1" x14ac:dyDescent="0.2">
      <c r="B2" s="10" t="s">
        <v>74</v>
      </c>
      <c r="C2" s="11"/>
      <c r="D2" s="11"/>
      <c r="E2" s="11"/>
      <c r="F2" s="11"/>
      <c r="G2" s="11"/>
      <c r="H2" s="11"/>
      <c r="I2" s="11"/>
      <c r="J2" s="11"/>
      <c r="L2" s="144"/>
      <c r="M2" s="145"/>
      <c r="N2" s="145"/>
      <c r="O2" s="12"/>
      <c r="P2" s="148"/>
      <c r="Q2" s="149"/>
    </row>
    <row r="3" spans="2:17" s="4" customFormat="1" ht="12.95" customHeight="1" x14ac:dyDescent="0.2">
      <c r="B3" s="13"/>
      <c r="C3" s="13"/>
      <c r="D3" s="14"/>
      <c r="E3" s="15"/>
      <c r="F3" s="15"/>
      <c r="G3" s="15"/>
      <c r="H3" s="15"/>
      <c r="I3" s="15"/>
      <c r="J3" s="15"/>
      <c r="P3" s="50"/>
      <c r="Q3" s="89"/>
    </row>
    <row r="4" spans="2:17" s="4" customFormat="1" ht="12.95" customHeight="1" x14ac:dyDescent="0.2">
      <c r="B4" s="16" t="s">
        <v>12</v>
      </c>
      <c r="C4" s="17"/>
      <c r="D4" s="18" t="s">
        <v>26</v>
      </c>
      <c r="E4" s="19" t="s">
        <v>1</v>
      </c>
      <c r="F4" s="20" t="s">
        <v>2</v>
      </c>
      <c r="G4" s="20" t="s">
        <v>11</v>
      </c>
      <c r="H4" s="20" t="s">
        <v>27</v>
      </c>
      <c r="I4" s="20" t="s">
        <v>31</v>
      </c>
      <c r="J4" s="19" t="s">
        <v>3</v>
      </c>
      <c r="P4" s="49"/>
      <c r="Q4" s="76"/>
    </row>
    <row r="5" spans="2:17" s="4" customFormat="1" ht="12.95" customHeight="1" x14ac:dyDescent="0.2">
      <c r="B5" s="2" t="s">
        <v>55</v>
      </c>
      <c r="C5" s="2" t="s">
        <v>56</v>
      </c>
      <c r="D5" s="21">
        <v>74646</v>
      </c>
      <c r="E5" s="22">
        <f>D5/9*1</f>
        <v>8294</v>
      </c>
      <c r="F5" s="22">
        <f>(D5*1.03)/9*1</f>
        <v>8542.82</v>
      </c>
      <c r="G5" s="22">
        <f>F5*1.03</f>
        <v>8799.1046000000006</v>
      </c>
      <c r="H5" s="22">
        <f>G5*1.03</f>
        <v>9063.077738</v>
      </c>
      <c r="I5" s="22">
        <f>H5*1.03</f>
        <v>9334.9700701399997</v>
      </c>
      <c r="J5" s="22">
        <f>SUM(E5:I5)</f>
        <v>44033.972408139998</v>
      </c>
      <c r="K5" s="23"/>
      <c r="P5" s="49"/>
      <c r="Q5" s="76"/>
    </row>
    <row r="6" spans="2:17" s="4" customFormat="1" ht="12.95" customHeight="1" x14ac:dyDescent="0.2">
      <c r="B6" s="2" t="s">
        <v>22</v>
      </c>
      <c r="C6" s="2"/>
      <c r="D6" s="21"/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f t="shared" ref="J6:J8" si="0">SUM(E6:I6)</f>
        <v>0</v>
      </c>
      <c r="K6" s="23"/>
      <c r="P6" s="49"/>
      <c r="Q6" s="90"/>
    </row>
    <row r="7" spans="2:17" s="4" customFormat="1" ht="12.95" customHeight="1" x14ac:dyDescent="0.2">
      <c r="B7" s="2" t="s">
        <v>23</v>
      </c>
      <c r="C7" s="2"/>
      <c r="D7" s="21"/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f t="shared" si="0"/>
        <v>0</v>
      </c>
      <c r="K7" s="23"/>
      <c r="P7" s="49"/>
      <c r="Q7" s="90"/>
    </row>
    <row r="8" spans="2:17" s="4" customFormat="1" ht="12.95" customHeight="1" x14ac:dyDescent="0.2">
      <c r="B8" s="2" t="s">
        <v>24</v>
      </c>
      <c r="C8" s="2"/>
      <c r="D8" s="21"/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f t="shared" si="0"/>
        <v>0</v>
      </c>
      <c r="K8" s="23"/>
      <c r="P8" s="49"/>
      <c r="Q8" s="76"/>
    </row>
    <row r="9" spans="2:17" s="4" customFormat="1" ht="12.95" customHeight="1" x14ac:dyDescent="0.2">
      <c r="B9" s="2" t="s">
        <v>25</v>
      </c>
      <c r="C9" s="2"/>
      <c r="D9" s="24"/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P9" s="49"/>
      <c r="Q9" s="76"/>
    </row>
    <row r="10" spans="2:17" s="4" customFormat="1" ht="12.95" customHeight="1" x14ac:dyDescent="0.2">
      <c r="B10" s="25" t="s">
        <v>6</v>
      </c>
      <c r="C10" s="25"/>
      <c r="D10" s="26"/>
      <c r="E10" s="27">
        <f>SUM(E5:E9)</f>
        <v>8294</v>
      </c>
      <c r="F10" s="27">
        <f>SUM(F5:F9)</f>
        <v>8542.82</v>
      </c>
      <c r="G10" s="27">
        <f>SUM(G5:G9)</f>
        <v>8799.1046000000006</v>
      </c>
      <c r="H10" s="27">
        <f>SUM(H5:H9)</f>
        <v>9063.077738</v>
      </c>
      <c r="I10" s="27">
        <f>SUM(I5:I9)</f>
        <v>9334.9700701399997</v>
      </c>
      <c r="J10" s="27">
        <f>SUM(E10:I10)</f>
        <v>44033.972408139998</v>
      </c>
      <c r="P10" s="49"/>
      <c r="Q10" s="76"/>
    </row>
    <row r="11" spans="2:17" s="4" customFormat="1" ht="12.95" customHeight="1" x14ac:dyDescent="0.2">
      <c r="B11" s="2"/>
      <c r="C11" s="2"/>
      <c r="D11" s="21"/>
      <c r="E11" s="28"/>
      <c r="F11" s="28"/>
      <c r="G11" s="28"/>
      <c r="H11" s="28"/>
      <c r="I11" s="28"/>
      <c r="J11" s="28"/>
      <c r="P11" s="50"/>
      <c r="Q11" s="76"/>
    </row>
    <row r="12" spans="2:17" s="4" customFormat="1" ht="12.95" customHeight="1" x14ac:dyDescent="0.2">
      <c r="B12" s="29" t="s">
        <v>43</v>
      </c>
      <c r="C12" s="29"/>
      <c r="D12" s="30"/>
      <c r="E12" s="31"/>
      <c r="F12" s="31"/>
      <c r="G12" s="31"/>
      <c r="H12" s="31"/>
      <c r="I12" s="31"/>
      <c r="J12" s="31"/>
      <c r="P12" s="50"/>
      <c r="Q12" s="76"/>
    </row>
    <row r="13" spans="2:17" s="4" customFormat="1" ht="12.95" customHeight="1" x14ac:dyDescent="0.2">
      <c r="B13" s="2" t="s">
        <v>57</v>
      </c>
      <c r="C13" s="2" t="s">
        <v>52</v>
      </c>
      <c r="D13" s="132">
        <v>25000</v>
      </c>
      <c r="E13" s="22">
        <f>D13</f>
        <v>25000</v>
      </c>
      <c r="F13" s="22">
        <f>D13</f>
        <v>25000</v>
      </c>
      <c r="G13" s="22">
        <f>D13</f>
        <v>25000</v>
      </c>
      <c r="H13" s="22">
        <f>D13</f>
        <v>25000</v>
      </c>
      <c r="I13" s="22">
        <f>D13</f>
        <v>25000</v>
      </c>
      <c r="J13" s="22">
        <f>SUM(E13:I13)</f>
        <v>125000</v>
      </c>
      <c r="P13" s="50"/>
      <c r="Q13" s="76"/>
    </row>
    <row r="14" spans="2:17" s="4" customFormat="1" ht="12.95" customHeight="1" x14ac:dyDescent="0.2">
      <c r="B14" s="2" t="s">
        <v>58</v>
      </c>
      <c r="C14" s="2" t="s">
        <v>52</v>
      </c>
      <c r="D14" s="21">
        <v>13520</v>
      </c>
      <c r="E14" s="22">
        <f>D14/2</f>
        <v>6760</v>
      </c>
      <c r="F14" s="22">
        <f>D14/2</f>
        <v>6760</v>
      </c>
      <c r="G14" s="22">
        <f>D14/2</f>
        <v>6760</v>
      </c>
      <c r="H14" s="22">
        <f>D14/2</f>
        <v>6760</v>
      </c>
      <c r="I14" s="22">
        <f>D14/2</f>
        <v>6760</v>
      </c>
      <c r="J14" s="22">
        <f t="shared" ref="J14:J17" si="1">SUM(E14:I14)</f>
        <v>33800</v>
      </c>
      <c r="P14" s="50"/>
      <c r="Q14" s="76"/>
    </row>
    <row r="15" spans="2:17" s="4" customFormat="1" ht="12.95" customHeight="1" thickBot="1" x14ac:dyDescent="0.25">
      <c r="B15" s="2" t="s">
        <v>59</v>
      </c>
      <c r="C15" s="2" t="s">
        <v>52</v>
      </c>
      <c r="D15" s="21">
        <v>36000</v>
      </c>
      <c r="E15" s="22">
        <f>D15</f>
        <v>36000</v>
      </c>
      <c r="F15" s="22">
        <f>E15*1.03</f>
        <v>37080</v>
      </c>
      <c r="G15" s="22">
        <f>F15*1.03</f>
        <v>38192.400000000001</v>
      </c>
      <c r="H15" s="22">
        <f>G15*1.03</f>
        <v>39338.172000000006</v>
      </c>
      <c r="I15" s="22">
        <f>H15*1.03</f>
        <v>40518.317160000006</v>
      </c>
      <c r="J15" s="22">
        <f t="shared" si="1"/>
        <v>191128.88915999999</v>
      </c>
      <c r="P15" s="58"/>
      <c r="Q15" s="76"/>
    </row>
    <row r="16" spans="2:17" s="4" customFormat="1" ht="12.95" customHeight="1" thickTop="1" x14ac:dyDescent="0.2">
      <c r="B16" s="2" t="s">
        <v>44</v>
      </c>
      <c r="C16" s="2"/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f t="shared" si="1"/>
        <v>0</v>
      </c>
    </row>
    <row r="17" spans="2:17" s="4" customFormat="1" ht="12.95" customHeight="1" x14ac:dyDescent="0.2">
      <c r="B17" s="2" t="s">
        <v>45</v>
      </c>
      <c r="C17" s="2"/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f t="shared" si="1"/>
        <v>0</v>
      </c>
      <c r="L17" s="76"/>
      <c r="M17" s="76"/>
      <c r="N17" s="76"/>
      <c r="O17" s="76"/>
      <c r="P17" s="76"/>
      <c r="Q17" s="76"/>
    </row>
    <row r="18" spans="2:17" s="4" customFormat="1" ht="12.95" customHeight="1" x14ac:dyDescent="0.2">
      <c r="B18" s="25" t="s">
        <v>13</v>
      </c>
      <c r="C18" s="25"/>
      <c r="D18" s="26"/>
      <c r="E18" s="27">
        <f>SUM(E13:E17)</f>
        <v>67760</v>
      </c>
      <c r="F18" s="27">
        <f>SUM(F13:F17)</f>
        <v>68840</v>
      </c>
      <c r="G18" s="27">
        <f>SUM(G13:G17)</f>
        <v>69952.399999999994</v>
      </c>
      <c r="H18" s="27">
        <f>SUM(H13:H17)</f>
        <v>71098.172000000006</v>
      </c>
      <c r="I18" s="27">
        <f>SUM(I13:I17)</f>
        <v>72278.317160000006</v>
      </c>
      <c r="J18" s="27">
        <f>SUM(E18:I18)</f>
        <v>349928.88916000002</v>
      </c>
      <c r="L18" s="76"/>
      <c r="M18" s="115"/>
      <c r="N18" s="65"/>
      <c r="O18" s="65"/>
      <c r="P18" s="76"/>
      <c r="Q18" s="76"/>
    </row>
    <row r="19" spans="2:17" s="4" customFormat="1" ht="12.95" customHeight="1" thickBot="1" x14ac:dyDescent="0.25">
      <c r="B19" s="2"/>
      <c r="C19" s="2"/>
      <c r="D19" s="21"/>
      <c r="E19" s="28"/>
      <c r="F19" s="28"/>
      <c r="G19" s="28"/>
      <c r="H19" s="28"/>
      <c r="I19" s="28"/>
      <c r="J19" s="28"/>
      <c r="L19" s="76"/>
      <c r="M19" s="65"/>
      <c r="N19" s="65"/>
      <c r="O19" s="65"/>
      <c r="P19" s="76"/>
      <c r="Q19" s="76"/>
    </row>
    <row r="20" spans="2:17" s="4" customFormat="1" ht="12.95" customHeight="1" thickTop="1" x14ac:dyDescent="0.2">
      <c r="B20" s="32" t="s">
        <v>0</v>
      </c>
      <c r="C20" s="25"/>
      <c r="D20" s="33" t="s">
        <v>4</v>
      </c>
      <c r="E20" s="34"/>
      <c r="F20" s="34"/>
      <c r="G20" s="34"/>
      <c r="H20" s="34"/>
      <c r="I20" s="34"/>
      <c r="J20" s="34"/>
      <c r="L20" s="60"/>
      <c r="M20" s="61"/>
      <c r="N20" s="61"/>
      <c r="O20" s="62"/>
      <c r="P20" s="76"/>
      <c r="Q20" s="76"/>
    </row>
    <row r="21" spans="2:17" s="4" customFormat="1" ht="12.95" customHeight="1" x14ac:dyDescent="0.2">
      <c r="B21" s="2" t="str">
        <f>B5</f>
        <v>Paul Rowley - PI</v>
      </c>
      <c r="C21" s="2"/>
      <c r="D21" s="35">
        <f>N24</f>
        <v>0.29399999999999998</v>
      </c>
      <c r="E21" s="28">
        <f>SUM(D21*E5)</f>
        <v>2438.4359999999997</v>
      </c>
      <c r="F21" s="28">
        <f t="shared" ref="F21:F25" si="2">SUM(D21*F5)</f>
        <v>2511.5890799999997</v>
      </c>
      <c r="G21" s="28">
        <f>SUM(D21*G5)</f>
        <v>2586.9367523999999</v>
      </c>
      <c r="H21" s="28">
        <f>SUM(D21*H5)</f>
        <v>2664.5448549719999</v>
      </c>
      <c r="I21" s="28">
        <f>SUM(D21*I5)</f>
        <v>2744.4812006211596</v>
      </c>
      <c r="J21" s="28">
        <f>SUM(E21:I21)</f>
        <v>12945.987887993158</v>
      </c>
      <c r="L21" s="146"/>
      <c r="M21" s="147"/>
      <c r="N21" s="147"/>
      <c r="O21" s="52"/>
      <c r="P21" s="76"/>
      <c r="Q21" s="76"/>
    </row>
    <row r="22" spans="2:17" s="4" customFormat="1" ht="12.95" customHeight="1" x14ac:dyDescent="0.2">
      <c r="B22" s="2" t="str">
        <f t="shared" ref="B22:B25" si="3">B6</f>
        <v>Senior 2</v>
      </c>
      <c r="C22" s="2"/>
      <c r="D22" s="35">
        <v>0</v>
      </c>
      <c r="E22" s="28">
        <f t="shared" ref="E22:E25" si="4">SUM(D22*E6)</f>
        <v>0</v>
      </c>
      <c r="F22" s="28">
        <f t="shared" si="2"/>
        <v>0</v>
      </c>
      <c r="G22" s="28">
        <f>SUM(D22*G6)</f>
        <v>0</v>
      </c>
      <c r="H22" s="28">
        <f>SUM(D22*H6)</f>
        <v>0</v>
      </c>
      <c r="I22" s="28">
        <f>SUM(D22*I6)</f>
        <v>0</v>
      </c>
      <c r="J22" s="28">
        <f t="shared" ref="J22:J29" si="5">SUM(E22:I22)</f>
        <v>0</v>
      </c>
      <c r="L22" s="53"/>
      <c r="M22" s="49" t="s">
        <v>47</v>
      </c>
      <c r="N22" s="49"/>
      <c r="O22" s="56"/>
      <c r="P22" s="76"/>
      <c r="Q22" s="76"/>
    </row>
    <row r="23" spans="2:17" s="4" customFormat="1" ht="12.95" customHeight="1" x14ac:dyDescent="0.2">
      <c r="B23" s="2" t="str">
        <f t="shared" si="3"/>
        <v>Senior 3</v>
      </c>
      <c r="C23" s="2"/>
      <c r="D23" s="35">
        <v>0</v>
      </c>
      <c r="E23" s="28">
        <f t="shared" si="4"/>
        <v>0</v>
      </c>
      <c r="F23" s="28">
        <f t="shared" si="2"/>
        <v>0</v>
      </c>
      <c r="G23" s="28">
        <f>SUM(D23*G7)</f>
        <v>0</v>
      </c>
      <c r="H23" s="28">
        <f>SUM(D23*H7)</f>
        <v>0</v>
      </c>
      <c r="I23" s="28">
        <f>SUM(D23*I7)</f>
        <v>0</v>
      </c>
      <c r="J23" s="28">
        <f t="shared" si="5"/>
        <v>0</v>
      </c>
      <c r="L23" s="53"/>
      <c r="M23" s="49"/>
      <c r="N23" s="49"/>
      <c r="O23" s="56"/>
      <c r="P23" s="76"/>
      <c r="Q23" s="76"/>
    </row>
    <row r="24" spans="2:17" s="4" customFormat="1" ht="12.95" customHeight="1" x14ac:dyDescent="0.2">
      <c r="B24" s="2" t="str">
        <f t="shared" si="3"/>
        <v>Senior 4</v>
      </c>
      <c r="C24" s="2"/>
      <c r="D24" s="35">
        <v>0</v>
      </c>
      <c r="E24" s="28">
        <f t="shared" si="4"/>
        <v>0</v>
      </c>
      <c r="F24" s="28">
        <f t="shared" si="2"/>
        <v>0</v>
      </c>
      <c r="G24" s="28">
        <f>SUM(D24*G8)</f>
        <v>0</v>
      </c>
      <c r="H24" s="28">
        <f>SUM(D24*H8)</f>
        <v>0</v>
      </c>
      <c r="I24" s="28">
        <f>SUM(D24*I8)</f>
        <v>0</v>
      </c>
      <c r="J24" s="28">
        <f t="shared" si="5"/>
        <v>0</v>
      </c>
      <c r="L24" s="55"/>
      <c r="M24" s="49" t="s">
        <v>28</v>
      </c>
      <c r="N24" s="51">
        <v>0.29399999999999998</v>
      </c>
      <c r="O24" s="88"/>
      <c r="P24" s="76"/>
      <c r="Q24" s="76"/>
    </row>
    <row r="25" spans="2:17" s="4" customFormat="1" ht="12.95" customHeight="1" x14ac:dyDescent="0.2">
      <c r="B25" s="2" t="str">
        <f t="shared" si="3"/>
        <v>Senior 5</v>
      </c>
      <c r="C25" s="2"/>
      <c r="D25" s="35">
        <v>0</v>
      </c>
      <c r="E25" s="28">
        <f t="shared" si="4"/>
        <v>0</v>
      </c>
      <c r="F25" s="28">
        <f t="shared" si="2"/>
        <v>0</v>
      </c>
      <c r="G25" s="28">
        <f>SUM(D25*G9)</f>
        <v>0</v>
      </c>
      <c r="H25" s="28">
        <f>SUM(D25*H9)</f>
        <v>0</v>
      </c>
      <c r="I25" s="28">
        <f>SUM(D25*I9)</f>
        <v>0</v>
      </c>
      <c r="J25" s="28">
        <f t="shared" si="5"/>
        <v>0</v>
      </c>
      <c r="L25" s="55"/>
      <c r="M25" s="49"/>
      <c r="N25" s="51"/>
      <c r="O25" s="56"/>
      <c r="P25" s="76"/>
      <c r="Q25" s="76"/>
    </row>
    <row r="26" spans="2:17" s="4" customFormat="1" ht="12.95" customHeight="1" x14ac:dyDescent="0.2">
      <c r="B26" s="2" t="str">
        <f>B13</f>
        <v>RA</v>
      </c>
      <c r="C26" s="2"/>
      <c r="D26" s="35">
        <f>N32</f>
        <v>0.03</v>
      </c>
      <c r="E26" s="28">
        <f>SUM(D26*E13)</f>
        <v>750</v>
      </c>
      <c r="F26" s="28">
        <f t="shared" ref="F26:F30" si="6">SUM(D26*F13)</f>
        <v>750</v>
      </c>
      <c r="G26" s="28">
        <f>SUM(D26*G13)</f>
        <v>750</v>
      </c>
      <c r="H26" s="28">
        <f>SUM(D26*H13)</f>
        <v>750</v>
      </c>
      <c r="I26" s="28">
        <f>SUM(D26*I13)</f>
        <v>750</v>
      </c>
      <c r="J26" s="28">
        <f t="shared" si="5"/>
        <v>3750</v>
      </c>
      <c r="L26" s="55"/>
      <c r="M26" s="49" t="s">
        <v>29</v>
      </c>
      <c r="N26" s="51">
        <v>0.40799999999999997</v>
      </c>
      <c r="O26" s="88"/>
      <c r="P26" s="76"/>
      <c r="Q26" s="76"/>
    </row>
    <row r="27" spans="2:17" s="4" customFormat="1" ht="12.95" customHeight="1" x14ac:dyDescent="0.2">
      <c r="B27" s="2" t="str">
        <f t="shared" ref="B27:B30" si="7">B14</f>
        <v>Undergraduate</v>
      </c>
      <c r="C27" s="2"/>
      <c r="D27" s="35">
        <v>0.03</v>
      </c>
      <c r="E27" s="28">
        <f t="shared" ref="E27:E30" si="8">SUM(D27*E14)</f>
        <v>202.79999999999998</v>
      </c>
      <c r="F27" s="28">
        <f t="shared" si="6"/>
        <v>202.79999999999998</v>
      </c>
      <c r="G27" s="28">
        <f>SUM(D27*G14)</f>
        <v>202.79999999999998</v>
      </c>
      <c r="H27" s="28">
        <f>SUM(D27*H14)</f>
        <v>202.79999999999998</v>
      </c>
      <c r="I27" s="28">
        <f>SUM(D27*I14)</f>
        <v>202.79999999999998</v>
      </c>
      <c r="J27" s="28">
        <f t="shared" si="5"/>
        <v>1013.9999999999999</v>
      </c>
      <c r="L27" s="53"/>
      <c r="M27" s="49" t="s">
        <v>32</v>
      </c>
      <c r="N27" s="51"/>
      <c r="O27" s="56"/>
      <c r="P27" s="76"/>
      <c r="Q27" s="76"/>
    </row>
    <row r="28" spans="2:17" s="4" customFormat="1" ht="12.95" customHeight="1" x14ac:dyDescent="0.2">
      <c r="B28" s="2" t="str">
        <f t="shared" si="7"/>
        <v>Technician</v>
      </c>
      <c r="C28" s="2"/>
      <c r="D28" s="35">
        <v>0.40799999999999997</v>
      </c>
      <c r="E28" s="28">
        <f t="shared" si="8"/>
        <v>14687.999999999998</v>
      </c>
      <c r="F28" s="28">
        <f t="shared" si="6"/>
        <v>15128.64</v>
      </c>
      <c r="G28" s="28">
        <f>SUM(D28*G15)</f>
        <v>15582.4992</v>
      </c>
      <c r="H28" s="28">
        <f>SUM(D28*H15)</f>
        <v>16049.974176000002</v>
      </c>
      <c r="I28" s="28">
        <f>SUM(D28*I15)</f>
        <v>16531.47340128</v>
      </c>
      <c r="J28" s="28">
        <f t="shared" si="5"/>
        <v>77980.586777279997</v>
      </c>
      <c r="L28" s="53"/>
      <c r="M28" s="63"/>
      <c r="N28" s="95"/>
      <c r="O28" s="54"/>
      <c r="P28" s="76"/>
      <c r="Q28" s="76"/>
    </row>
    <row r="29" spans="2:17" s="4" customFormat="1" ht="12.95" customHeight="1" x14ac:dyDescent="0.2">
      <c r="B29" s="2" t="str">
        <f t="shared" si="7"/>
        <v>Student/TH 4</v>
      </c>
      <c r="C29" s="2"/>
      <c r="D29" s="35">
        <v>0</v>
      </c>
      <c r="E29" s="28">
        <f t="shared" si="8"/>
        <v>0</v>
      </c>
      <c r="F29" s="28">
        <f t="shared" si="6"/>
        <v>0</v>
      </c>
      <c r="G29" s="28">
        <f>SUM(D29*G16)</f>
        <v>0</v>
      </c>
      <c r="H29" s="28">
        <f>SUM(D29*H16)</f>
        <v>0</v>
      </c>
      <c r="I29" s="28">
        <f>SUM(D29*I16)</f>
        <v>0</v>
      </c>
      <c r="J29" s="28">
        <f t="shared" si="5"/>
        <v>0</v>
      </c>
      <c r="L29" s="53"/>
      <c r="M29" s="49" t="s">
        <v>33</v>
      </c>
      <c r="N29" s="51">
        <v>8.5999999999999993E-2</v>
      </c>
      <c r="O29" s="88"/>
    </row>
    <row r="30" spans="2:17" s="4" customFormat="1" ht="12.95" customHeight="1" x14ac:dyDescent="0.2">
      <c r="B30" s="2" t="str">
        <f t="shared" si="7"/>
        <v>Student/TH 5</v>
      </c>
      <c r="C30" s="2"/>
      <c r="D30" s="35">
        <v>0</v>
      </c>
      <c r="E30" s="28">
        <f t="shared" si="8"/>
        <v>0</v>
      </c>
      <c r="F30" s="28">
        <f t="shared" si="6"/>
        <v>0</v>
      </c>
      <c r="G30" s="28">
        <f>SUM(D30*G17)</f>
        <v>0</v>
      </c>
      <c r="H30" s="28">
        <f>SUM(D30*H17)</f>
        <v>0</v>
      </c>
      <c r="I30" s="28">
        <f>SUM(D30*I17)</f>
        <v>0</v>
      </c>
      <c r="J30" s="28">
        <f>SUM(E30:I30)</f>
        <v>0</v>
      </c>
      <c r="L30" s="53"/>
      <c r="M30" s="49" t="s">
        <v>34</v>
      </c>
      <c r="N30" s="51"/>
      <c r="O30" s="56"/>
    </row>
    <row r="31" spans="2:17" s="4" customFormat="1" ht="12.95" customHeight="1" x14ac:dyDescent="0.2">
      <c r="B31" s="25" t="s">
        <v>7</v>
      </c>
      <c r="C31" s="25"/>
      <c r="D31" s="36"/>
      <c r="E31" s="37">
        <f>SUM(E21:E30)</f>
        <v>18079.235999999997</v>
      </c>
      <c r="F31" s="37">
        <f>SUM(F21:F30)</f>
        <v>18593.02908</v>
      </c>
      <c r="G31" s="37">
        <f>SUM(G21:G30)</f>
        <v>19122.235952399998</v>
      </c>
      <c r="H31" s="37">
        <f>SUM(H21:H30)</f>
        <v>19667.319030972001</v>
      </c>
      <c r="I31" s="37">
        <f>SUM(I21:I30)</f>
        <v>20228.754601901161</v>
      </c>
      <c r="J31" s="38">
        <f>SUM(E31:I31)</f>
        <v>95690.574665273161</v>
      </c>
      <c r="L31" s="53"/>
      <c r="M31" s="49"/>
      <c r="N31" s="51"/>
      <c r="O31" s="56"/>
    </row>
    <row r="32" spans="2:17" s="4" customFormat="1" ht="12.95" customHeight="1" x14ac:dyDescent="0.2">
      <c r="B32" s="25" t="s">
        <v>5</v>
      </c>
      <c r="C32" s="25"/>
      <c r="D32" s="39"/>
      <c r="E32" s="48">
        <f>SUM(E10+E18+E31)</f>
        <v>94133.236000000004</v>
      </c>
      <c r="F32" s="48">
        <f>SUM(F10+F18+F31)</f>
        <v>95975.849080000015</v>
      </c>
      <c r="G32" s="48">
        <f t="shared" ref="G32:I32" si="9">SUM(G10+G18+G31)</f>
        <v>97873.740552400006</v>
      </c>
      <c r="H32" s="48">
        <f t="shared" si="9"/>
        <v>99828.568768972007</v>
      </c>
      <c r="I32" s="48">
        <f t="shared" si="9"/>
        <v>101842.04183204117</v>
      </c>
      <c r="J32" s="34">
        <f>SUM(J10+J18+J31)</f>
        <v>489653.43623341317</v>
      </c>
      <c r="L32" s="53"/>
      <c r="M32" s="49" t="s">
        <v>30</v>
      </c>
      <c r="N32" s="51">
        <v>0.03</v>
      </c>
      <c r="O32" s="88"/>
    </row>
    <row r="33" spans="2:15" s="4" customFormat="1" ht="12.95" customHeight="1" thickBot="1" x14ac:dyDescent="0.25">
      <c r="B33" s="2"/>
      <c r="C33" s="2"/>
      <c r="D33" s="40"/>
      <c r="E33" s="2"/>
      <c r="F33" s="2"/>
      <c r="G33" s="2"/>
      <c r="H33" s="2"/>
      <c r="I33" s="2"/>
      <c r="J33" s="28"/>
      <c r="L33" s="57"/>
      <c r="M33" s="58"/>
      <c r="N33" s="58"/>
      <c r="O33" s="59"/>
    </row>
    <row r="34" spans="2:15" s="4" customFormat="1" ht="12.95" customHeight="1" thickTop="1" x14ac:dyDescent="0.2">
      <c r="B34" s="32" t="s">
        <v>10</v>
      </c>
      <c r="C34" s="25"/>
      <c r="D34" s="39"/>
      <c r="E34" s="25"/>
      <c r="F34" s="25"/>
      <c r="G34" s="25"/>
      <c r="H34" s="25"/>
      <c r="I34" s="25"/>
      <c r="J34" s="34"/>
    </row>
    <row r="35" spans="2:15" s="4" customFormat="1" ht="12.95" customHeight="1" x14ac:dyDescent="0.2">
      <c r="B35" s="2" t="s">
        <v>67</v>
      </c>
      <c r="C35" s="2"/>
      <c r="D35" s="136">
        <v>240</v>
      </c>
      <c r="E35" s="2">
        <f>C35*D35</f>
        <v>0</v>
      </c>
      <c r="F35" s="2">
        <f>E35</f>
        <v>0</v>
      </c>
      <c r="G35" s="136">
        <f>D35*4</f>
        <v>960</v>
      </c>
      <c r="H35" s="2">
        <v>0</v>
      </c>
      <c r="I35" s="136">
        <f>D35*4</f>
        <v>960</v>
      </c>
      <c r="J35" s="28">
        <f>SUM(E35:I35)</f>
        <v>1920</v>
      </c>
    </row>
    <row r="36" spans="2:15" s="4" customFormat="1" ht="12.95" customHeight="1" x14ac:dyDescent="0.2">
      <c r="B36" s="137" t="s">
        <v>68</v>
      </c>
      <c r="C36" s="2"/>
      <c r="D36" s="136">
        <v>61</v>
      </c>
      <c r="E36" s="2">
        <v>0</v>
      </c>
      <c r="F36" s="2">
        <v>0</v>
      </c>
      <c r="G36" s="136">
        <f>D36*6</f>
        <v>366</v>
      </c>
      <c r="H36" s="2">
        <v>0</v>
      </c>
      <c r="I36" s="136">
        <f>D36*6</f>
        <v>366</v>
      </c>
      <c r="J36" s="28">
        <f t="shared" ref="J36:J38" si="10">SUM(E36:I36)</f>
        <v>732</v>
      </c>
    </row>
    <row r="37" spans="2:15" s="4" customFormat="1" ht="12.95" customHeight="1" x14ac:dyDescent="0.2">
      <c r="B37" s="137" t="s">
        <v>69</v>
      </c>
      <c r="C37" s="2"/>
      <c r="D37" s="136">
        <v>390</v>
      </c>
      <c r="E37" s="2">
        <v>0</v>
      </c>
      <c r="F37" s="2">
        <v>0</v>
      </c>
      <c r="G37" s="136">
        <f>D37</f>
        <v>390</v>
      </c>
      <c r="H37" s="2">
        <v>0</v>
      </c>
      <c r="I37" s="136">
        <f>D37</f>
        <v>390</v>
      </c>
      <c r="J37" s="28">
        <f t="shared" si="10"/>
        <v>780</v>
      </c>
    </row>
    <row r="38" spans="2:15" s="4" customFormat="1" ht="12.95" customHeight="1" x14ac:dyDescent="0.2">
      <c r="B38" s="137" t="s">
        <v>70</v>
      </c>
      <c r="C38" s="2"/>
      <c r="D38" s="136">
        <v>525</v>
      </c>
      <c r="E38" s="2">
        <v>0</v>
      </c>
      <c r="F38" s="2">
        <v>0</v>
      </c>
      <c r="G38" s="136">
        <f>D38</f>
        <v>525</v>
      </c>
      <c r="H38" s="2">
        <v>0</v>
      </c>
      <c r="I38" s="136">
        <f>D38</f>
        <v>525</v>
      </c>
      <c r="J38" s="28">
        <f t="shared" si="10"/>
        <v>1050</v>
      </c>
    </row>
    <row r="39" spans="2:15" s="4" customFormat="1" ht="12.95" customHeight="1" x14ac:dyDescent="0.2">
      <c r="B39" s="2"/>
      <c r="C39" s="2"/>
      <c r="D39" s="40"/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8">
        <f>SUM(E39:I39)</f>
        <v>0</v>
      </c>
    </row>
    <row r="40" spans="2:15" s="4" customFormat="1" ht="12.95" customHeight="1" x14ac:dyDescent="0.2">
      <c r="B40" s="25" t="s">
        <v>15</v>
      </c>
      <c r="C40" s="25"/>
      <c r="D40" s="39"/>
      <c r="E40" s="25">
        <f>SUM(E35:E39)</f>
        <v>0</v>
      </c>
      <c r="F40" s="25">
        <f t="shared" ref="F40:I40" si="11">SUM(F35:F39)</f>
        <v>0</v>
      </c>
      <c r="G40" s="25">
        <f t="shared" si="11"/>
        <v>2241</v>
      </c>
      <c r="H40" s="25">
        <f t="shared" si="11"/>
        <v>0</v>
      </c>
      <c r="I40" s="25">
        <f t="shared" si="11"/>
        <v>2241</v>
      </c>
      <c r="J40" s="34">
        <f>SUM(E40:I40)</f>
        <v>4482</v>
      </c>
    </row>
    <row r="41" spans="2:15" s="4" customFormat="1" ht="12.95" customHeight="1" x14ac:dyDescent="0.2">
      <c r="B41" s="2"/>
      <c r="C41" s="2"/>
      <c r="D41" s="40"/>
      <c r="E41" s="2"/>
      <c r="F41" s="2"/>
      <c r="G41" s="2"/>
      <c r="H41" s="2"/>
      <c r="I41" s="2"/>
      <c r="J41" s="28"/>
    </row>
    <row r="42" spans="2:15" s="4" customFormat="1" ht="12.95" customHeight="1" x14ac:dyDescent="0.2">
      <c r="B42" s="32" t="s">
        <v>18</v>
      </c>
      <c r="C42" s="25"/>
      <c r="D42" s="39"/>
      <c r="E42" s="25"/>
      <c r="F42" s="25"/>
      <c r="G42" s="25"/>
      <c r="H42" s="25"/>
      <c r="I42" s="25"/>
      <c r="J42" s="34"/>
    </row>
    <row r="43" spans="2:15" s="4" customFormat="1" ht="12.95" customHeight="1" x14ac:dyDescent="0.2">
      <c r="B43" s="2" t="s">
        <v>60</v>
      </c>
      <c r="C43" s="2"/>
      <c r="D43" s="40">
        <v>8000</v>
      </c>
      <c r="E43" s="2">
        <f>D43</f>
        <v>8000</v>
      </c>
      <c r="F43" s="2">
        <f>E43</f>
        <v>8000</v>
      </c>
      <c r="G43" s="2">
        <f>+F43</f>
        <v>8000</v>
      </c>
      <c r="H43" s="2">
        <f>E43</f>
        <v>8000</v>
      </c>
      <c r="I43" s="2">
        <f>H43</f>
        <v>8000</v>
      </c>
      <c r="J43" s="28">
        <f>SUM(E43:I43)</f>
        <v>40000</v>
      </c>
    </row>
    <row r="44" spans="2:15" s="4" customFormat="1" ht="12.95" customHeight="1" x14ac:dyDescent="0.2">
      <c r="B44" s="2" t="s">
        <v>61</v>
      </c>
      <c r="C44" s="2"/>
      <c r="D44" s="40">
        <v>500</v>
      </c>
      <c r="E44" s="2">
        <f>D44</f>
        <v>500</v>
      </c>
      <c r="F44" s="2">
        <f>D44</f>
        <v>500</v>
      </c>
      <c r="G44" s="2">
        <f>D44</f>
        <v>500</v>
      </c>
      <c r="H44" s="2">
        <f>D44</f>
        <v>500</v>
      </c>
      <c r="I44" s="2">
        <f>D44</f>
        <v>500</v>
      </c>
      <c r="J44" s="28">
        <f t="shared" ref="J44:J51" si="12">SUM(E44:I44)</f>
        <v>2500</v>
      </c>
    </row>
    <row r="45" spans="2:15" s="4" customFormat="1" ht="12.95" customHeight="1" x14ac:dyDescent="0.2">
      <c r="B45" s="2" t="s">
        <v>71</v>
      </c>
      <c r="C45" s="2"/>
      <c r="D45" s="40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8">
        <f t="shared" si="12"/>
        <v>500</v>
      </c>
    </row>
    <row r="46" spans="2:15" s="4" customFormat="1" ht="12.95" customHeight="1" x14ac:dyDescent="0.2">
      <c r="B46" s="2" t="s">
        <v>53</v>
      </c>
      <c r="C46" s="2"/>
      <c r="D46" s="40"/>
      <c r="E46" s="2">
        <v>0</v>
      </c>
      <c r="F46" s="2">
        <v>0</v>
      </c>
      <c r="G46" s="2">
        <v>1000</v>
      </c>
      <c r="H46" s="2">
        <v>1000</v>
      </c>
      <c r="I46" s="2">
        <v>1000</v>
      </c>
      <c r="J46" s="28">
        <f t="shared" si="12"/>
        <v>3000</v>
      </c>
    </row>
    <row r="47" spans="2:15" s="4" customFormat="1" ht="12.95" customHeight="1" x14ac:dyDescent="0.2">
      <c r="B47" s="2" t="s">
        <v>63</v>
      </c>
      <c r="C47" s="2"/>
      <c r="D47" s="40">
        <v>2100</v>
      </c>
      <c r="E47" s="2">
        <v>0</v>
      </c>
      <c r="F47" s="2">
        <v>2100</v>
      </c>
      <c r="G47" s="2">
        <v>2100</v>
      </c>
      <c r="H47" s="2">
        <v>2100</v>
      </c>
      <c r="I47" s="2">
        <v>2100</v>
      </c>
      <c r="J47" s="28">
        <f>SUM(E47:I47)</f>
        <v>8400</v>
      </c>
    </row>
    <row r="48" spans="2:15" s="4" customFormat="1" ht="12.95" customHeight="1" x14ac:dyDescent="0.2">
      <c r="B48" s="2" t="s">
        <v>66</v>
      </c>
      <c r="C48" s="2"/>
      <c r="D48" s="40"/>
      <c r="E48" s="2">
        <v>0</v>
      </c>
      <c r="F48" s="2">
        <v>1242</v>
      </c>
      <c r="G48" s="4">
        <v>0</v>
      </c>
      <c r="H48" s="2">
        <v>0</v>
      </c>
      <c r="I48" s="2">
        <v>0</v>
      </c>
      <c r="J48" s="28">
        <f t="shared" si="12"/>
        <v>1242</v>
      </c>
    </row>
    <row r="49" spans="1:17" s="4" customFormat="1" ht="12.95" customHeight="1" x14ac:dyDescent="0.2">
      <c r="B49" s="2" t="s">
        <v>62</v>
      </c>
      <c r="C49" s="2"/>
      <c r="D49" s="40"/>
      <c r="E49" s="2">
        <v>0</v>
      </c>
      <c r="F49" s="2">
        <v>3250</v>
      </c>
      <c r="G49" s="2">
        <v>0</v>
      </c>
      <c r="H49" s="2">
        <v>0</v>
      </c>
      <c r="I49" s="2">
        <v>0</v>
      </c>
      <c r="J49" s="28">
        <f>SUM(E49:I49)</f>
        <v>3250</v>
      </c>
    </row>
    <row r="50" spans="1:17" s="4" customFormat="1" ht="12.95" customHeight="1" x14ac:dyDescent="0.2">
      <c r="B50" s="2" t="s">
        <v>64</v>
      </c>
      <c r="C50" s="2"/>
      <c r="D50" s="40"/>
      <c r="E50" s="2">
        <v>635</v>
      </c>
      <c r="F50" s="2">
        <v>0</v>
      </c>
      <c r="G50" s="2">
        <v>0</v>
      </c>
      <c r="H50" s="2">
        <v>0</v>
      </c>
      <c r="I50" s="2">
        <v>0</v>
      </c>
      <c r="J50" s="28">
        <f>SUM(E50:I50)</f>
        <v>635</v>
      </c>
    </row>
    <row r="51" spans="1:17" s="4" customFormat="1" ht="12.95" customHeight="1" x14ac:dyDescent="0.2">
      <c r="B51" s="2"/>
      <c r="C51" s="2"/>
      <c r="D51" s="40"/>
      <c r="E51" s="2">
        <f>D51</f>
        <v>0</v>
      </c>
      <c r="F51" s="2">
        <v>0</v>
      </c>
      <c r="G51" s="2">
        <v>0</v>
      </c>
      <c r="H51" s="2">
        <v>0</v>
      </c>
      <c r="I51" s="2">
        <v>0</v>
      </c>
      <c r="J51" s="28">
        <f t="shared" si="12"/>
        <v>0</v>
      </c>
      <c r="P51" s="76"/>
    </row>
    <row r="52" spans="1:17" s="4" customFormat="1" ht="12.95" customHeight="1" x14ac:dyDescent="0.2">
      <c r="B52" s="25" t="s">
        <v>35</v>
      </c>
      <c r="C52" s="25"/>
      <c r="D52" s="39"/>
      <c r="E52" s="25">
        <f>SUM(E43:E51)</f>
        <v>9235</v>
      </c>
      <c r="F52" s="25">
        <f>SUM(F43:F51)</f>
        <v>15192</v>
      </c>
      <c r="G52" s="25">
        <f>SUM(G43:G51)</f>
        <v>11700</v>
      </c>
      <c r="H52" s="25">
        <f>SUM(H43:H51)</f>
        <v>11700</v>
      </c>
      <c r="I52" s="25">
        <f>SUM(I43:I51)</f>
        <v>11700</v>
      </c>
      <c r="J52" s="34">
        <f>SUM(E52:I52)</f>
        <v>59527</v>
      </c>
      <c r="P52" s="67"/>
    </row>
    <row r="53" spans="1:17" s="4" customFormat="1" ht="12.95" customHeight="1" x14ac:dyDescent="0.2">
      <c r="B53" s="74"/>
      <c r="C53" s="2"/>
      <c r="D53" s="40"/>
      <c r="E53" s="75"/>
      <c r="F53" s="75"/>
      <c r="G53" s="75"/>
      <c r="H53" s="75"/>
      <c r="I53" s="75"/>
      <c r="J53" s="75"/>
      <c r="P53" s="72"/>
    </row>
    <row r="54" spans="1:17" s="4" customFormat="1" ht="12.95" customHeight="1" x14ac:dyDescent="0.2">
      <c r="B54" s="32" t="s">
        <v>36</v>
      </c>
      <c r="C54" s="25"/>
      <c r="D54" s="39"/>
      <c r="E54" s="86">
        <f>SUM(E32+E40+E52)</f>
        <v>103368.236</v>
      </c>
      <c r="F54" s="86">
        <f>SUM(F32+F40+F52)</f>
        <v>111167.84908000001</v>
      </c>
      <c r="G54" s="86">
        <f>SUM(G32+G40+G52)</f>
        <v>111814.74055240001</v>
      </c>
      <c r="H54" s="86">
        <f>SUM(H32+H40+H52)</f>
        <v>111528.56876897201</v>
      </c>
      <c r="I54" s="86">
        <f>SUM(I32+I40+I52)</f>
        <v>115783.04183204117</v>
      </c>
      <c r="J54" s="87">
        <f>SUM(E54:I54)</f>
        <v>553662.43623341317</v>
      </c>
      <c r="P54" s="80"/>
    </row>
    <row r="55" spans="1:17" s="4" customFormat="1" ht="12.95" customHeight="1" thickBot="1" x14ac:dyDescent="0.25">
      <c r="A55" s="74"/>
      <c r="B55" s="41"/>
      <c r="C55" s="2"/>
      <c r="D55" s="40"/>
      <c r="E55" s="77"/>
      <c r="F55" s="77"/>
      <c r="G55" s="77"/>
      <c r="H55" s="77"/>
      <c r="I55" s="77"/>
      <c r="J55" s="78"/>
      <c r="K55" s="74"/>
      <c r="L55" s="80"/>
      <c r="M55" s="80"/>
      <c r="N55" s="80"/>
      <c r="O55" s="80"/>
      <c r="P55" s="80"/>
    </row>
    <row r="56" spans="1:17" s="4" customFormat="1" ht="12.95" customHeight="1" thickTop="1" x14ac:dyDescent="0.2">
      <c r="A56" s="74"/>
      <c r="B56" s="138" t="s">
        <v>38</v>
      </c>
      <c r="C56" s="139"/>
      <c r="D56" s="139"/>
      <c r="E56" s="139"/>
      <c r="F56" s="139"/>
      <c r="G56" s="139"/>
      <c r="H56" s="139"/>
      <c r="I56" s="139"/>
      <c r="J56" s="139"/>
      <c r="K56" s="74"/>
      <c r="L56" s="80"/>
      <c r="M56" s="65"/>
      <c r="N56" s="65"/>
      <c r="O56" s="65"/>
      <c r="P56" s="65"/>
    </row>
    <row r="57" spans="1:17" s="4" customFormat="1" ht="12.95" customHeight="1" thickBot="1" x14ac:dyDescent="0.25">
      <c r="B57" s="140"/>
      <c r="C57" s="140"/>
      <c r="D57" s="140"/>
      <c r="E57" s="140"/>
      <c r="F57" s="140"/>
      <c r="G57" s="140"/>
      <c r="H57" s="140"/>
      <c r="I57" s="140"/>
      <c r="J57" s="140"/>
      <c r="L57" s="65"/>
      <c r="M57" s="65"/>
      <c r="N57" s="67"/>
      <c r="O57" s="65"/>
      <c r="P57" s="65"/>
      <c r="Q57" s="100"/>
    </row>
    <row r="58" spans="1:17" s="4" customFormat="1" ht="12.95" customHeight="1" thickTop="1" x14ac:dyDescent="0.2">
      <c r="L58" s="96"/>
      <c r="M58" s="97"/>
      <c r="N58" s="97"/>
      <c r="O58" s="97"/>
      <c r="P58" s="101"/>
      <c r="Q58" s="100"/>
    </row>
    <row r="59" spans="1:17" s="4" customFormat="1" ht="12.95" customHeight="1" x14ac:dyDescent="0.2">
      <c r="B59" s="32" t="s">
        <v>16</v>
      </c>
      <c r="C59" s="25"/>
      <c r="D59" s="39"/>
      <c r="E59" s="25"/>
      <c r="F59" s="25"/>
      <c r="G59" s="25"/>
      <c r="H59" s="25"/>
      <c r="I59" s="25"/>
      <c r="J59" s="34"/>
      <c r="L59" s="97"/>
      <c r="M59" s="97"/>
      <c r="N59" s="97"/>
      <c r="O59" s="97"/>
      <c r="P59" s="101"/>
      <c r="Q59" s="100"/>
    </row>
    <row r="60" spans="1:17" s="4" customFormat="1" ht="12.95" customHeight="1" x14ac:dyDescent="0.2"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f>SUM(E60:I60)</f>
        <v>0</v>
      </c>
      <c r="L60" s="72"/>
      <c r="M60" s="72"/>
      <c r="N60" s="72"/>
      <c r="O60" s="72"/>
      <c r="P60" s="91"/>
      <c r="Q60" s="100"/>
    </row>
    <row r="61" spans="1:17" s="4" customFormat="1" ht="12.95" customHeight="1" x14ac:dyDescent="0.2">
      <c r="B61" s="25" t="s">
        <v>20</v>
      </c>
      <c r="C61" s="25"/>
      <c r="D61" s="39"/>
      <c r="E61" s="27">
        <f>SUM(E60:E60)</f>
        <v>0</v>
      </c>
      <c r="F61" s="27">
        <f>SUM(F60:F60)</f>
        <v>0</v>
      </c>
      <c r="G61" s="27">
        <f>SUM(G60:G60)</f>
        <v>0</v>
      </c>
      <c r="H61" s="27">
        <f>SUM(H60:H60)</f>
        <v>0</v>
      </c>
      <c r="I61" s="27">
        <f>SUM(I60:I60)</f>
        <v>0</v>
      </c>
      <c r="J61" s="27">
        <f>SUM(E61:I61)</f>
        <v>0</v>
      </c>
      <c r="L61" s="98"/>
      <c r="M61" s="99"/>
      <c r="N61" s="99"/>
      <c r="O61" s="99"/>
      <c r="P61" s="92"/>
      <c r="Q61" s="100"/>
    </row>
    <row r="62" spans="1:17" s="4" customFormat="1" ht="12.95" customHeight="1" x14ac:dyDescent="0.2">
      <c r="L62" s="99"/>
      <c r="M62" s="99"/>
      <c r="N62" s="99"/>
      <c r="O62" s="99"/>
      <c r="P62" s="92"/>
      <c r="Q62" s="100"/>
    </row>
    <row r="63" spans="1:17" s="4" customFormat="1" ht="12.95" customHeight="1" x14ac:dyDescent="0.2">
      <c r="B63" s="32" t="s">
        <v>17</v>
      </c>
      <c r="C63" s="25"/>
      <c r="D63" s="39"/>
      <c r="E63" s="25"/>
      <c r="F63" s="25"/>
      <c r="G63" s="25"/>
      <c r="H63" s="25"/>
      <c r="I63" s="25"/>
      <c r="J63" s="34"/>
      <c r="L63" s="72"/>
      <c r="M63" s="72"/>
      <c r="N63" s="72"/>
      <c r="O63" s="72"/>
      <c r="P63" s="64"/>
      <c r="Q63" s="100"/>
    </row>
    <row r="64" spans="1:17" s="4" customFormat="1" ht="12.95" customHeight="1" x14ac:dyDescent="0.2"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28">
        <f t="shared" ref="J64:J67" si="13">SUM(E64:I64)</f>
        <v>0</v>
      </c>
      <c r="L64" s="72"/>
      <c r="M64" s="72"/>
      <c r="N64" s="67"/>
      <c r="O64" s="72"/>
      <c r="P64" s="93"/>
      <c r="Q64" s="100"/>
    </row>
    <row r="65" spans="2:17" s="4" customFormat="1" ht="12.95" customHeight="1" x14ac:dyDescent="0.2"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28">
        <f t="shared" si="13"/>
        <v>0</v>
      </c>
      <c r="L65" s="72"/>
      <c r="M65" s="72"/>
      <c r="N65" s="67"/>
      <c r="O65" s="72"/>
      <c r="P65" s="93"/>
      <c r="Q65" s="100"/>
    </row>
    <row r="66" spans="2:17" s="4" customFormat="1" ht="12.95" customHeight="1" x14ac:dyDescent="0.2"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28">
        <f t="shared" si="13"/>
        <v>0</v>
      </c>
      <c r="L66" s="72"/>
      <c r="M66" s="96"/>
      <c r="N66" s="67"/>
      <c r="O66" s="72"/>
      <c r="P66" s="93"/>
      <c r="Q66" s="100"/>
    </row>
    <row r="67" spans="2:17" s="4" customFormat="1" ht="12.95" customHeight="1" thickBot="1" x14ac:dyDescent="0.25"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28">
        <f t="shared" si="13"/>
        <v>0</v>
      </c>
      <c r="L67" s="72"/>
      <c r="M67" s="97"/>
      <c r="N67" s="67"/>
      <c r="O67" s="72"/>
      <c r="P67" s="93"/>
      <c r="Q67" s="100"/>
    </row>
    <row r="68" spans="2:17" s="4" customFormat="1" ht="12.95" customHeight="1" thickTop="1" x14ac:dyDescent="0.2">
      <c r="B68" s="25" t="s">
        <v>19</v>
      </c>
      <c r="C68" s="25"/>
      <c r="D68" s="39"/>
      <c r="E68" s="25">
        <f>SUM(E64:E67)</f>
        <v>0</v>
      </c>
      <c r="F68" s="25">
        <f>SUM(F64:F67)</f>
        <v>0</v>
      </c>
      <c r="G68" s="25">
        <f>SUM(G64:G67)</f>
        <v>0</v>
      </c>
      <c r="H68" s="25">
        <f>SUM(H64:H67)</f>
        <v>0</v>
      </c>
      <c r="I68" s="25">
        <f>SUM(I64:I67)</f>
        <v>0</v>
      </c>
      <c r="J68" s="34">
        <f>SUM(E68:I68)</f>
        <v>0</v>
      </c>
      <c r="L68" s="102"/>
      <c r="M68" s="103"/>
      <c r="N68" s="103"/>
      <c r="O68" s="104"/>
      <c r="P68" s="93"/>
      <c r="Q68" s="100"/>
    </row>
    <row r="69" spans="2:17" s="4" customFormat="1" ht="12.95" customHeight="1" x14ac:dyDescent="0.2">
      <c r="L69" s="105"/>
      <c r="M69" s="106" t="s">
        <v>46</v>
      </c>
      <c r="N69" s="107"/>
      <c r="O69" s="108"/>
      <c r="P69" s="93"/>
      <c r="Q69" s="100"/>
    </row>
    <row r="70" spans="2:17" s="4" customFormat="1" ht="12.95" customHeight="1" x14ac:dyDescent="0.2">
      <c r="B70" s="5" t="s">
        <v>14</v>
      </c>
      <c r="C70" s="43"/>
      <c r="D70" s="43"/>
      <c r="E70" s="6"/>
      <c r="F70" s="6"/>
      <c r="G70" s="6"/>
      <c r="H70" s="6"/>
      <c r="I70" s="6"/>
      <c r="J70" s="6"/>
      <c r="L70" s="105"/>
      <c r="M70" s="107"/>
      <c r="N70" s="107"/>
      <c r="O70" s="108"/>
      <c r="P70" s="64"/>
      <c r="Q70" s="100"/>
    </row>
    <row r="71" spans="2:17" s="4" customFormat="1" ht="12.95" customHeight="1" x14ac:dyDescent="0.2">
      <c r="B71" s="135" t="s">
        <v>57</v>
      </c>
      <c r="C71" s="44"/>
      <c r="D71" s="44"/>
      <c r="E71" s="7">
        <f>N74</f>
        <v>12327</v>
      </c>
      <c r="F71" s="7">
        <f>E71*1.05</f>
        <v>12943.35</v>
      </c>
      <c r="G71" s="7">
        <f>F71*1.05</f>
        <v>13590.517500000002</v>
      </c>
      <c r="H71" s="7">
        <f>G71*1.05</f>
        <v>14270.043375000003</v>
      </c>
      <c r="I71" s="7">
        <f>H71*1.05</f>
        <v>14983.545543750004</v>
      </c>
      <c r="J71" s="22">
        <f>SUM(E71:I71)</f>
        <v>68114.456418750007</v>
      </c>
      <c r="L71" s="105"/>
      <c r="M71" s="106" t="s">
        <v>39</v>
      </c>
      <c r="N71" s="114">
        <v>4938</v>
      </c>
      <c r="O71" s="108"/>
      <c r="P71" s="64"/>
      <c r="Q71" s="100"/>
    </row>
    <row r="72" spans="2:17" s="4" customFormat="1" ht="12.95" customHeight="1" x14ac:dyDescent="0.2">
      <c r="B72" s="44"/>
      <c r="C72" s="44"/>
      <c r="D72" s="44"/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22">
        <f t="shared" ref="J72:J74" si="14">SUM(E72:I72)</f>
        <v>0</v>
      </c>
      <c r="L72" s="105"/>
      <c r="M72" s="113" t="s">
        <v>40</v>
      </c>
      <c r="N72" s="114">
        <v>549</v>
      </c>
      <c r="O72" s="108"/>
      <c r="P72" s="64"/>
      <c r="Q72" s="100"/>
    </row>
    <row r="73" spans="2:17" s="4" customFormat="1" ht="12.95" customHeight="1" x14ac:dyDescent="0.2">
      <c r="B73" s="44"/>
      <c r="C73" s="44"/>
      <c r="D73" s="44"/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22">
        <f t="shared" si="14"/>
        <v>0</v>
      </c>
      <c r="L73" s="105"/>
      <c r="M73" s="106" t="s">
        <v>41</v>
      </c>
      <c r="N73" s="114">
        <v>951</v>
      </c>
      <c r="O73" s="108"/>
      <c r="P73" s="64"/>
      <c r="Q73" s="100"/>
    </row>
    <row r="74" spans="2:17" s="4" customFormat="1" ht="12.95" customHeight="1" x14ac:dyDescent="0.2">
      <c r="B74" s="44"/>
      <c r="C74" s="44"/>
      <c r="D74" s="44"/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22">
        <f t="shared" si="14"/>
        <v>0</v>
      </c>
      <c r="L74" s="109"/>
      <c r="M74" s="113" t="s">
        <v>42</v>
      </c>
      <c r="N74" s="114">
        <f>N71+N71+N72+N73+N73</f>
        <v>12327</v>
      </c>
      <c r="O74" s="108"/>
      <c r="P74" s="64"/>
      <c r="Q74" s="100"/>
    </row>
    <row r="75" spans="2:17" s="4" customFormat="1" ht="12.95" customHeight="1" thickBot="1" x14ac:dyDescent="0.25">
      <c r="B75" s="25" t="s">
        <v>21</v>
      </c>
      <c r="C75" s="25"/>
      <c r="D75" s="39"/>
      <c r="E75" s="27">
        <f t="shared" ref="E75:J75" si="15">SUM(E71:E74)</f>
        <v>12327</v>
      </c>
      <c r="F75" s="27">
        <f t="shared" si="15"/>
        <v>12943.35</v>
      </c>
      <c r="G75" s="27">
        <f t="shared" si="15"/>
        <v>13590.517500000002</v>
      </c>
      <c r="H75" s="27">
        <f t="shared" si="15"/>
        <v>14270.043375000003</v>
      </c>
      <c r="I75" s="27">
        <f t="shared" si="15"/>
        <v>14983.545543750004</v>
      </c>
      <c r="J75" s="27">
        <f t="shared" si="15"/>
        <v>68114.456418750007</v>
      </c>
      <c r="L75" s="110"/>
      <c r="M75" s="111"/>
      <c r="N75" s="111"/>
      <c r="O75" s="112"/>
      <c r="P75" s="64"/>
      <c r="Q75" s="100"/>
    </row>
    <row r="76" spans="2:17" s="74" customFormat="1" ht="12.95" customHeight="1" thickTop="1" thickBot="1" x14ac:dyDescent="0.25">
      <c r="B76" s="2"/>
      <c r="C76" s="2"/>
      <c r="D76" s="40"/>
      <c r="E76" s="22"/>
      <c r="F76" s="22"/>
      <c r="G76" s="22"/>
      <c r="H76" s="22"/>
      <c r="I76" s="22"/>
      <c r="J76" s="22"/>
      <c r="P76" s="64"/>
      <c r="Q76" s="76"/>
    </row>
    <row r="77" spans="2:17" s="4" customFormat="1" ht="12.95" customHeight="1" x14ac:dyDescent="0.2">
      <c r="B77" s="32" t="s">
        <v>9</v>
      </c>
      <c r="C77" s="46"/>
      <c r="D77" s="46"/>
      <c r="E77" s="81">
        <f>SUM(E54+E61+E68+E75)</f>
        <v>115695.236</v>
      </c>
      <c r="F77" s="81">
        <f>SUM(F54+F61+F68+F75)</f>
        <v>124111.19908000002</v>
      </c>
      <c r="G77" s="81">
        <f>SUM(G54+G61+G68+G75)</f>
        <v>125405.25805240001</v>
      </c>
      <c r="H77" s="81">
        <f>SUM(H54+H61+H68+H75)</f>
        <v>125798.61214397202</v>
      </c>
      <c r="I77" s="81">
        <f>SUM(I54+I61+I68+I75)</f>
        <v>130766.58737579118</v>
      </c>
      <c r="J77" s="82">
        <f>SUM(E77:I77)</f>
        <v>621776.89265216328</v>
      </c>
      <c r="L77" s="116"/>
      <c r="M77" s="117"/>
      <c r="N77" s="117"/>
      <c r="O77" s="118"/>
      <c r="P77" s="64"/>
      <c r="Q77" s="100"/>
    </row>
    <row r="78" spans="2:17" s="4" customFormat="1" ht="12.95" customHeight="1" thickBot="1" x14ac:dyDescent="0.25">
      <c r="B78" s="41"/>
      <c r="C78" s="79"/>
      <c r="D78" s="133" t="s">
        <v>72</v>
      </c>
      <c r="E78" s="83"/>
      <c r="F78" s="83"/>
      <c r="G78" s="83"/>
      <c r="H78" s="83"/>
      <c r="I78" s="83"/>
      <c r="J78" s="84"/>
      <c r="L78" s="119"/>
      <c r="M78" s="120" t="s">
        <v>48</v>
      </c>
      <c r="N78" s="121"/>
      <c r="O78" s="122"/>
      <c r="P78" s="64"/>
      <c r="Q78" s="100"/>
    </row>
    <row r="79" spans="2:17" s="4" customFormat="1" ht="12.95" customHeight="1" thickBot="1" x14ac:dyDescent="0.25">
      <c r="B79" s="32" t="s">
        <v>8</v>
      </c>
      <c r="C79" s="42"/>
      <c r="D79" s="131" t="s">
        <v>73</v>
      </c>
      <c r="E79" s="85">
        <f>(E54/12*3)*48.5%+(E54/12*9)*50%</f>
        <v>51296.487114999996</v>
      </c>
      <c r="F79" s="85">
        <f>F54*50%</f>
        <v>55583.924540000007</v>
      </c>
      <c r="G79" s="85">
        <f>G54*50%</f>
        <v>55907.370276200003</v>
      </c>
      <c r="H79" s="85">
        <f>H54*50%</f>
        <v>55764.284384486004</v>
      </c>
      <c r="I79" s="85">
        <f>I54*50%</f>
        <v>57891.520916020585</v>
      </c>
      <c r="J79" s="85">
        <f>SUM(E79:I79)</f>
        <v>276443.5872317066</v>
      </c>
      <c r="L79" s="119"/>
      <c r="M79" s="123" t="s">
        <v>49</v>
      </c>
      <c r="N79" s="124">
        <v>0.48499999999999999</v>
      </c>
      <c r="O79" s="122"/>
      <c r="P79" s="64"/>
      <c r="Q79" s="100"/>
    </row>
    <row r="80" spans="2:17" s="4" customFormat="1" ht="12.95" customHeight="1" x14ac:dyDescent="0.2">
      <c r="B80" s="44"/>
      <c r="C80" s="44"/>
      <c r="D80" s="134" t="s">
        <v>65</v>
      </c>
      <c r="E80" s="7"/>
      <c r="F80" s="7"/>
      <c r="G80" s="7"/>
      <c r="H80" s="7"/>
      <c r="I80" s="7"/>
      <c r="J80" s="22"/>
      <c r="L80" s="119"/>
      <c r="M80" s="125" t="s">
        <v>50</v>
      </c>
      <c r="N80" s="126">
        <v>0.5</v>
      </c>
      <c r="O80" s="122"/>
      <c r="P80" s="64"/>
      <c r="Q80" s="100"/>
    </row>
    <row r="81" spans="2:17" s="4" customFormat="1" ht="12.95" customHeight="1" thickBot="1" x14ac:dyDescent="0.3">
      <c r="B81" s="45" t="s">
        <v>37</v>
      </c>
      <c r="C81" s="46"/>
      <c r="D81" s="46"/>
      <c r="E81" s="47">
        <f>SUM(E77+E79)</f>
        <v>166991.723115</v>
      </c>
      <c r="F81" s="47">
        <f>SUM(F77+F79)</f>
        <v>179695.12362000003</v>
      </c>
      <c r="G81" s="47">
        <f t="shared" ref="G81:I81" si="16">SUM(G77+G79)</f>
        <v>181312.62832860003</v>
      </c>
      <c r="H81" s="47">
        <f t="shared" si="16"/>
        <v>181562.89652845802</v>
      </c>
      <c r="I81" s="47">
        <f t="shared" si="16"/>
        <v>188658.10829181178</v>
      </c>
      <c r="J81" s="47">
        <f>SUM(E81:I81)</f>
        <v>898220.47988386988</v>
      </c>
      <c r="L81" s="127"/>
      <c r="M81" s="128"/>
      <c r="N81" s="129"/>
      <c r="O81" s="130"/>
      <c r="P81" s="64"/>
      <c r="Q81" s="100"/>
    </row>
    <row r="82" spans="2:17" ht="15" customHeight="1" thickTop="1" x14ac:dyDescent="0.25">
      <c r="B82" s="9"/>
      <c r="C82" s="9"/>
      <c r="D82" s="9"/>
      <c r="E82" s="8"/>
      <c r="F82" s="8"/>
      <c r="G82" s="8"/>
      <c r="H82" s="8"/>
      <c r="I82" s="8"/>
      <c r="J82" s="3"/>
      <c r="L82" s="65"/>
      <c r="M82" s="66"/>
      <c r="N82" s="67"/>
      <c r="O82" s="65"/>
      <c r="P82" s="65"/>
      <c r="Q82" s="94"/>
    </row>
    <row r="83" spans="2:17" ht="15" customHeight="1" x14ac:dyDescent="0.2">
      <c r="L83" s="65"/>
      <c r="M83" s="67" t="s">
        <v>51</v>
      </c>
      <c r="N83" s="65"/>
      <c r="O83" s="65"/>
      <c r="P83" s="65"/>
      <c r="Q83" s="94"/>
    </row>
    <row r="84" spans="2:17" ht="15" x14ac:dyDescent="0.25">
      <c r="B84" s="4"/>
      <c r="L84" s="65"/>
      <c r="M84" s="68"/>
      <c r="N84" s="69"/>
      <c r="O84" s="65"/>
      <c r="P84" s="65"/>
    </row>
    <row r="85" spans="2:17" ht="15" x14ac:dyDescent="0.2">
      <c r="L85" s="65"/>
      <c r="M85" s="67"/>
      <c r="N85" s="67"/>
      <c r="O85" s="65"/>
      <c r="P85" s="65"/>
    </row>
    <row r="86" spans="2:17" ht="15" x14ac:dyDescent="0.2">
      <c r="L86" s="65"/>
      <c r="M86" s="67"/>
      <c r="N86" s="67"/>
      <c r="O86" s="65"/>
      <c r="P86" s="65"/>
    </row>
    <row r="87" spans="2:17" ht="13.5" customHeight="1" x14ac:dyDescent="0.2">
      <c r="B87" s="4"/>
      <c r="L87" s="65"/>
      <c r="M87" s="68"/>
      <c r="N87" s="65"/>
      <c r="O87" s="65"/>
      <c r="P87" s="65"/>
    </row>
    <row r="88" spans="2:17" ht="15" x14ac:dyDescent="0.25">
      <c r="L88" s="65"/>
      <c r="M88" s="68"/>
      <c r="N88" s="70"/>
      <c r="O88" s="65"/>
      <c r="P88" s="65"/>
    </row>
    <row r="89" spans="2:17" ht="14.25" customHeight="1" x14ac:dyDescent="0.2">
      <c r="L89" s="65"/>
      <c r="M89" s="67"/>
      <c r="N89" s="65"/>
      <c r="O89" s="65"/>
      <c r="P89" s="65"/>
    </row>
    <row r="90" spans="2:17" ht="13.5" hidden="1" customHeight="1" x14ac:dyDescent="0.25">
      <c r="L90" s="65"/>
      <c r="M90" s="68"/>
      <c r="N90" s="70"/>
      <c r="O90" s="65"/>
      <c r="P90" s="65"/>
    </row>
    <row r="91" spans="2:17" hidden="1" x14ac:dyDescent="0.2">
      <c r="L91" s="65"/>
      <c r="M91" s="71" t="e">
        <f>AVERAGE(0.453*#REF!+0.46*#REF!+0.475*#REF!)/SUM(#REF!+#REF!+#REF!)</f>
        <v>#REF!</v>
      </c>
      <c r="N91" s="65"/>
      <c r="O91" s="65"/>
      <c r="P91" s="65"/>
    </row>
    <row r="92" spans="2:17" ht="13.5" hidden="1" customHeight="1" x14ac:dyDescent="0.2"/>
    <row r="93" spans="2:17" ht="13.5" customHeight="1" x14ac:dyDescent="0.2"/>
    <row r="94" spans="2:17" ht="13.5" customHeight="1" x14ac:dyDescent="0.2">
      <c r="P94" s="65"/>
    </row>
    <row r="96" spans="2:17" ht="13.5" customHeight="1" x14ac:dyDescent="0.2"/>
    <row r="97" spans="12:16" ht="13.5" customHeight="1" x14ac:dyDescent="0.2"/>
    <row r="109" spans="12:16" x14ac:dyDescent="0.2">
      <c r="L109" s="72"/>
      <c r="M109" s="73"/>
      <c r="N109" s="73"/>
      <c r="O109" s="73"/>
      <c r="P109" s="72"/>
    </row>
  </sheetData>
  <mergeCells count="6">
    <mergeCell ref="B56:J57"/>
    <mergeCell ref="L1:Q1"/>
    <mergeCell ref="L2:N2"/>
    <mergeCell ref="L21:N21"/>
    <mergeCell ref="P2:Q2"/>
    <mergeCell ref="B1:J1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2021-07-19T22:41:12Z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