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t\Downloads\"/>
    </mc:Choice>
  </mc:AlternateContent>
  <xr:revisionPtr revIDLastSave="0" documentId="8_{86894E2F-5975-4489-A241-A9951F7BFA1F}" xr6:coauthVersionLast="47" xr6:coauthVersionMax="47" xr10:uidLastSave="{00000000-0000-0000-0000-000000000000}"/>
  <bookViews>
    <workbookView xWindow="-28920" yWindow="3180" windowWidth="29040" windowHeight="15840" xr2:uid="{00000000-000D-0000-FFFF-FFFF00000000}"/>
  </bookViews>
  <sheets>
    <sheet name="Organized by category" sheetId="2" r:id="rId1"/>
    <sheet name="Fastlane" sheetId="4" r:id="rId2"/>
    <sheet name="Hourly Rates" sheetId="8" r:id="rId3"/>
    <sheet name="Tuition and Fees" sheetId="9" r:id="rId4"/>
    <sheet name="UI Team Travel" sheetId="10" r:id="rId5"/>
    <sheet name="Coeur d'Alene Site Budget" sheetId="12" r:id="rId6"/>
    <sheet name="Nez Perce Site Budget" sheetId="11" r:id="rId7"/>
    <sheet name="San Carlos Apache Site budget" sheetId="13" r:id="rId8"/>
    <sheet name="Sho-Ban Budget" sheetId="7" r:id="rId9"/>
  </sheets>
  <definedNames>
    <definedName name="_xlnm.Print_Area" localSheetId="6">'Nez Perce Site Budget'!$A$1:$G$54</definedName>
    <definedName name="_xlnm.Print_Area" localSheetId="0">'Organized by category'!$A$1:$Q$162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2" l="1"/>
  <c r="C149" i="2"/>
  <c r="D149" i="2"/>
  <c r="E149" i="2"/>
  <c r="F149" i="2"/>
  <c r="G152" i="2"/>
  <c r="C4" i="12"/>
  <c r="F53" i="11"/>
  <c r="E53" i="11"/>
  <c r="D53" i="11"/>
  <c r="G151" i="2"/>
  <c r="E95" i="2"/>
  <c r="E94" i="2"/>
  <c r="F94" i="2" s="1"/>
  <c r="E93" i="2"/>
  <c r="F93" i="2" s="1"/>
  <c r="C95" i="2"/>
  <c r="D95" i="2" s="1"/>
  <c r="C94" i="2"/>
  <c r="D94" i="2" s="1"/>
  <c r="C93" i="2"/>
  <c r="D93" i="2" s="1"/>
  <c r="G49" i="7"/>
  <c r="G48" i="7"/>
  <c r="C47" i="7"/>
  <c r="D47" i="7" s="1"/>
  <c r="G46" i="7"/>
  <c r="G45" i="7"/>
  <c r="C42" i="7"/>
  <c r="D37" i="7"/>
  <c r="E37" i="7" s="1"/>
  <c r="D36" i="7"/>
  <c r="E36" i="7" s="1"/>
  <c r="D35" i="7"/>
  <c r="D42" i="7" s="1"/>
  <c r="E30" i="7"/>
  <c r="F30" i="7" s="1"/>
  <c r="G30" i="7" s="1"/>
  <c r="D30" i="7"/>
  <c r="G29" i="7"/>
  <c r="F29" i="7"/>
  <c r="E29" i="7"/>
  <c r="F28" i="7"/>
  <c r="G28" i="7" s="1"/>
  <c r="E28" i="7"/>
  <c r="D28" i="7"/>
  <c r="F27" i="7"/>
  <c r="G27" i="7" s="1"/>
  <c r="E27" i="7"/>
  <c r="D27" i="7"/>
  <c r="C25" i="7"/>
  <c r="C24" i="7"/>
  <c r="D24" i="7" s="1"/>
  <c r="E24" i="7" s="1"/>
  <c r="F24" i="7" s="1"/>
  <c r="D23" i="7"/>
  <c r="E23" i="7" s="1"/>
  <c r="F23" i="7" s="1"/>
  <c r="C23" i="7"/>
  <c r="G23" i="7" s="1"/>
  <c r="C21" i="7"/>
  <c r="D21" i="7" s="1"/>
  <c r="E21" i="7" s="1"/>
  <c r="F21" i="7" s="1"/>
  <c r="C20" i="7"/>
  <c r="C19" i="7"/>
  <c r="D19" i="7" s="1"/>
  <c r="C12" i="7"/>
  <c r="C9" i="7"/>
  <c r="D8" i="7"/>
  <c r="D12" i="7" s="1"/>
  <c r="C8" i="7"/>
  <c r="C4" i="7"/>
  <c r="C5" i="7" s="1"/>
  <c r="F95" i="2" l="1"/>
  <c r="G95" i="2"/>
  <c r="G93" i="2"/>
  <c r="G94" i="2"/>
  <c r="F36" i="7"/>
  <c r="G36" i="7" s="1"/>
  <c r="E19" i="7"/>
  <c r="F37" i="7"/>
  <c r="G37" i="7" s="1"/>
  <c r="E47" i="7"/>
  <c r="G24" i="7"/>
  <c r="E8" i="7"/>
  <c r="C11" i="7"/>
  <c r="C31" i="7"/>
  <c r="D20" i="7"/>
  <c r="E20" i="7" s="1"/>
  <c r="F20" i="7" s="1"/>
  <c r="G21" i="7"/>
  <c r="D25" i="7"/>
  <c r="E25" i="7" s="1"/>
  <c r="F25" i="7" s="1"/>
  <c r="D9" i="7"/>
  <c r="D4" i="7"/>
  <c r="E35" i="7"/>
  <c r="C13" i="7" l="1"/>
  <c r="C52" i="7" s="1"/>
  <c r="C53" i="7" s="1"/>
  <c r="G20" i="7"/>
  <c r="F47" i="7"/>
  <c r="D31" i="7"/>
  <c r="D51" i="7" s="1"/>
  <c r="G47" i="7"/>
  <c r="E42" i="7"/>
  <c r="F35" i="7"/>
  <c r="F42" i="7" s="1"/>
  <c r="G35" i="7"/>
  <c r="G42" i="7" s="1"/>
  <c r="D5" i="7"/>
  <c r="D52" i="7" s="1"/>
  <c r="D53" i="7" s="1"/>
  <c r="E4" i="7"/>
  <c r="D11" i="7"/>
  <c r="D13" i="7" s="1"/>
  <c r="E9" i="7"/>
  <c r="E12" i="7"/>
  <c r="F8" i="7"/>
  <c r="G25" i="7"/>
  <c r="E31" i="7"/>
  <c r="F19" i="7"/>
  <c r="F31" i="7" l="1"/>
  <c r="G19" i="7"/>
  <c r="G31" i="7" s="1"/>
  <c r="G12" i="7"/>
  <c r="D54" i="7"/>
  <c r="F9" i="7"/>
  <c r="F12" i="7"/>
  <c r="G8" i="7"/>
  <c r="G9" i="7" s="1"/>
  <c r="E11" i="7"/>
  <c r="E5" i="7"/>
  <c r="F4" i="7"/>
  <c r="G4" i="7"/>
  <c r="G5" i="7" s="1"/>
  <c r="C51" i="7"/>
  <c r="C54" i="7" s="1"/>
  <c r="E52" i="7" l="1"/>
  <c r="E53" i="7" s="1"/>
  <c r="E54" i="7" s="1"/>
  <c r="E13" i="7"/>
  <c r="E51" i="7" s="1"/>
  <c r="F5" i="7"/>
  <c r="F11" i="7"/>
  <c r="F13" i="7" s="1"/>
  <c r="F51" i="7" s="1"/>
  <c r="G54" i="7" l="1"/>
  <c r="F52" i="7"/>
  <c r="F53" i="7" s="1"/>
  <c r="F54" i="7" s="1"/>
  <c r="G11" i="7"/>
  <c r="G13" i="7" s="1"/>
  <c r="G51" i="7" l="1"/>
  <c r="G52" i="7"/>
  <c r="G53" i="7" s="1"/>
  <c r="C53" i="11" l="1"/>
  <c r="D37" i="12"/>
  <c r="F29" i="13"/>
  <c r="G29" i="13" s="1"/>
  <c r="E29" i="13"/>
  <c r="F29" i="11"/>
  <c r="E29" i="11"/>
  <c r="G29" i="11" s="1"/>
  <c r="G30" i="12"/>
  <c r="E30" i="12"/>
  <c r="F30" i="12"/>
  <c r="C25" i="12"/>
  <c r="D22" i="2"/>
  <c r="C4" i="13"/>
  <c r="C4" i="11"/>
  <c r="Q12" i="11"/>
  <c r="T11" i="11"/>
  <c r="T10" i="11"/>
  <c r="T12" i="11" s="1"/>
  <c r="T7" i="11"/>
  <c r="C4" i="2"/>
  <c r="F132" i="2"/>
  <c r="D124" i="2"/>
  <c r="D123" i="2"/>
  <c r="D36" i="12"/>
  <c r="C22" i="2"/>
  <c r="C18" i="2"/>
  <c r="D119" i="2"/>
  <c r="D118" i="2"/>
  <c r="D108" i="2"/>
  <c r="D132" i="2" s="1"/>
  <c r="C165" i="2"/>
  <c r="D5" i="9"/>
  <c r="C5" i="9"/>
  <c r="B5" i="9"/>
  <c r="E123" i="2" l="1"/>
  <c r="G123" i="2"/>
  <c r="E119" i="2"/>
  <c r="G119" i="2" s="1"/>
  <c r="E124" i="2"/>
  <c r="G124" i="2"/>
  <c r="E118" i="2"/>
  <c r="G118" i="2"/>
  <c r="R12" i="11"/>
  <c r="C158" i="2" l="1"/>
  <c r="D158" i="2" l="1"/>
  <c r="E158" i="2" l="1"/>
  <c r="F158" i="2" l="1"/>
  <c r="C47" i="13" l="1"/>
  <c r="D47" i="13" s="1"/>
  <c r="G45" i="13"/>
  <c r="D37" i="13"/>
  <c r="D36" i="13"/>
  <c r="D35" i="13"/>
  <c r="E35" i="13" s="1"/>
  <c r="E30" i="13"/>
  <c r="F30" i="13" s="1"/>
  <c r="D30" i="13"/>
  <c r="E28" i="13"/>
  <c r="F28" i="13" s="1"/>
  <c r="D28" i="13"/>
  <c r="E27" i="13"/>
  <c r="F27" i="13" s="1"/>
  <c r="D27" i="13"/>
  <c r="D25" i="13"/>
  <c r="E25" i="13" s="1"/>
  <c r="F25" i="13" s="1"/>
  <c r="C25" i="13"/>
  <c r="C24" i="13"/>
  <c r="C23" i="13"/>
  <c r="D23" i="13" s="1"/>
  <c r="E23" i="13" s="1"/>
  <c r="F23" i="13" s="1"/>
  <c r="C21" i="13"/>
  <c r="C20" i="13"/>
  <c r="C19" i="13"/>
  <c r="D19" i="13" s="1"/>
  <c r="E19" i="13" s="1"/>
  <c r="C12" i="13"/>
  <c r="C8" i="13"/>
  <c r="C9" i="13" s="1"/>
  <c r="C5" i="13"/>
  <c r="D4" i="13"/>
  <c r="D11" i="13" s="1"/>
  <c r="C11" i="13"/>
  <c r="C47" i="11"/>
  <c r="D47" i="11" s="1"/>
  <c r="G45" i="11"/>
  <c r="D37" i="11"/>
  <c r="E37" i="11" s="1"/>
  <c r="D36" i="11"/>
  <c r="E36" i="11" s="1"/>
  <c r="D35" i="11"/>
  <c r="E35" i="11" s="1"/>
  <c r="E30" i="11"/>
  <c r="F30" i="11" s="1"/>
  <c r="D30" i="11"/>
  <c r="E28" i="11"/>
  <c r="F28" i="11" s="1"/>
  <c r="D28" i="11"/>
  <c r="E27" i="11"/>
  <c r="F27" i="11" s="1"/>
  <c r="D27" i="11"/>
  <c r="C25" i="11"/>
  <c r="D25" i="11" s="1"/>
  <c r="E25" i="11" s="1"/>
  <c r="F25" i="11" s="1"/>
  <c r="C24" i="11"/>
  <c r="D24" i="11" s="1"/>
  <c r="E24" i="11" s="1"/>
  <c r="F24" i="11" s="1"/>
  <c r="C23" i="11"/>
  <c r="D23" i="11" s="1"/>
  <c r="E23" i="11" s="1"/>
  <c r="F23" i="11" s="1"/>
  <c r="C21" i="11"/>
  <c r="D21" i="11" s="1"/>
  <c r="E21" i="11" s="1"/>
  <c r="F21" i="11" s="1"/>
  <c r="D20" i="11"/>
  <c r="E20" i="11" s="1"/>
  <c r="F20" i="11" s="1"/>
  <c r="C20" i="11"/>
  <c r="C19" i="11"/>
  <c r="D19" i="11" s="1"/>
  <c r="C8" i="11"/>
  <c r="C9" i="11" s="1"/>
  <c r="Q11" i="11" s="1"/>
  <c r="R11" i="11" s="1"/>
  <c r="C5" i="11"/>
  <c r="D4" i="11"/>
  <c r="D5" i="11" s="1"/>
  <c r="C11" i="11"/>
  <c r="C48" i="12"/>
  <c r="D48" i="12" s="1"/>
  <c r="G46" i="12"/>
  <c r="D38" i="12"/>
  <c r="E38" i="12" s="1"/>
  <c r="E37" i="12"/>
  <c r="E36" i="12"/>
  <c r="E31" i="12"/>
  <c r="F31" i="12" s="1"/>
  <c r="D31" i="12"/>
  <c r="E29" i="12"/>
  <c r="F29" i="12" s="1"/>
  <c r="D29" i="12"/>
  <c r="G29" i="12" s="1"/>
  <c r="E28" i="12"/>
  <c r="F28" i="12" s="1"/>
  <c r="D28" i="12"/>
  <c r="C26" i="12"/>
  <c r="D26" i="12" s="1"/>
  <c r="E26" i="12" s="1"/>
  <c r="F26" i="12" s="1"/>
  <c r="D25" i="12"/>
  <c r="E25" i="12" s="1"/>
  <c r="F25" i="12" s="1"/>
  <c r="C24" i="12"/>
  <c r="D24" i="12" s="1"/>
  <c r="E24" i="12" s="1"/>
  <c r="F24" i="12" s="1"/>
  <c r="C22" i="12"/>
  <c r="D22" i="12" s="1"/>
  <c r="E22" i="12" s="1"/>
  <c r="F22" i="12" s="1"/>
  <c r="C21" i="12"/>
  <c r="D21" i="12" s="1"/>
  <c r="D20" i="12"/>
  <c r="E20" i="12" s="1"/>
  <c r="F20" i="12" s="1"/>
  <c r="C20" i="12"/>
  <c r="C8" i="12"/>
  <c r="C9" i="12" s="1"/>
  <c r="C5" i="12"/>
  <c r="C11" i="12"/>
  <c r="C105" i="2"/>
  <c r="C129" i="2" s="1"/>
  <c r="C75" i="2"/>
  <c r="D113" i="2"/>
  <c r="D131" i="2" s="1"/>
  <c r="D112" i="2"/>
  <c r="F105" i="2"/>
  <c r="E105" i="2"/>
  <c r="D105" i="2"/>
  <c r="C13" i="2"/>
  <c r="C132" i="2"/>
  <c r="G30" i="2"/>
  <c r="D31" i="2"/>
  <c r="D32" i="2"/>
  <c r="E32" i="2" s="1"/>
  <c r="G68" i="2"/>
  <c r="C69" i="2"/>
  <c r="C70" i="2"/>
  <c r="C91" i="2"/>
  <c r="D91" i="2" s="1"/>
  <c r="E91" i="2" s="1"/>
  <c r="F91" i="2" s="1"/>
  <c r="C90" i="2"/>
  <c r="C89" i="2"/>
  <c r="B11" i="10"/>
  <c r="D85" i="2"/>
  <c r="G147" i="2"/>
  <c r="G146" i="2"/>
  <c r="G145" i="2"/>
  <c r="G142" i="2"/>
  <c r="D86" i="2"/>
  <c r="D87" i="2"/>
  <c r="E87" i="2" s="1"/>
  <c r="F87" i="2" s="1"/>
  <c r="E112" i="2" l="1"/>
  <c r="E130" i="2" s="1"/>
  <c r="D130" i="2"/>
  <c r="D24" i="13"/>
  <c r="E24" i="13" s="1"/>
  <c r="F24" i="13" s="1"/>
  <c r="D20" i="13"/>
  <c r="E20" i="13" s="1"/>
  <c r="F20" i="13" s="1"/>
  <c r="E36" i="13"/>
  <c r="F36" i="13" s="1"/>
  <c r="E37" i="13"/>
  <c r="F37" i="13" s="1"/>
  <c r="G25" i="13"/>
  <c r="G28" i="13"/>
  <c r="G20" i="11"/>
  <c r="C102" i="2"/>
  <c r="C13" i="13"/>
  <c r="G27" i="13"/>
  <c r="G30" i="13"/>
  <c r="F35" i="13"/>
  <c r="F42" i="13" s="1"/>
  <c r="C31" i="13"/>
  <c r="E4" i="13"/>
  <c r="D5" i="13"/>
  <c r="F19" i="13"/>
  <c r="G19" i="13" s="1"/>
  <c r="D21" i="13"/>
  <c r="E21" i="13" s="1"/>
  <c r="F21" i="13" s="1"/>
  <c r="G23" i="13"/>
  <c r="C42" i="13"/>
  <c r="E47" i="13"/>
  <c r="D8" i="13"/>
  <c r="G25" i="11"/>
  <c r="G28" i="11"/>
  <c r="F35" i="11"/>
  <c r="F42" i="11" s="1"/>
  <c r="D42" i="11"/>
  <c r="F36" i="11"/>
  <c r="G36" i="11" s="1"/>
  <c r="D31" i="11"/>
  <c r="E19" i="11"/>
  <c r="G27" i="11"/>
  <c r="G30" i="11"/>
  <c r="F37" i="11"/>
  <c r="G37" i="11"/>
  <c r="D11" i="11"/>
  <c r="C12" i="11"/>
  <c r="G21" i="11"/>
  <c r="C31" i="11"/>
  <c r="E4" i="11"/>
  <c r="G23" i="11"/>
  <c r="C42" i="11"/>
  <c r="E47" i="11"/>
  <c r="D8" i="11"/>
  <c r="G24" i="11"/>
  <c r="C12" i="12"/>
  <c r="C13" i="12" s="1"/>
  <c r="C14" i="12" s="1"/>
  <c r="C53" i="12" s="1"/>
  <c r="C54" i="12" s="1"/>
  <c r="G26" i="12"/>
  <c r="D4" i="12"/>
  <c r="D5" i="12" s="1"/>
  <c r="F36" i="12"/>
  <c r="D43" i="12"/>
  <c r="G25" i="12"/>
  <c r="F37" i="12"/>
  <c r="G37" i="12" s="1"/>
  <c r="G20" i="12"/>
  <c r="D32" i="12"/>
  <c r="G28" i="12"/>
  <c r="G31" i="12"/>
  <c r="F38" i="12"/>
  <c r="G38" i="12" s="1"/>
  <c r="G22" i="12"/>
  <c r="C32" i="12"/>
  <c r="C43" i="12"/>
  <c r="E48" i="12"/>
  <c r="E21" i="12"/>
  <c r="F21" i="12" s="1"/>
  <c r="F32" i="12" s="1"/>
  <c r="G24" i="12"/>
  <c r="D8" i="12"/>
  <c r="D40" i="2"/>
  <c r="F112" i="2"/>
  <c r="F130" i="2" s="1"/>
  <c r="F113" i="2"/>
  <c r="F131" i="2" s="1"/>
  <c r="E113" i="2"/>
  <c r="E131" i="2" s="1"/>
  <c r="C131" i="2"/>
  <c r="C130" i="2"/>
  <c r="C134" i="2" s="1"/>
  <c r="D129" i="2"/>
  <c r="E108" i="2"/>
  <c r="E132" i="2" s="1"/>
  <c r="F32" i="2"/>
  <c r="F70" i="2" s="1"/>
  <c r="E70" i="2"/>
  <c r="D69" i="2"/>
  <c r="E31" i="2"/>
  <c r="G32" i="2"/>
  <c r="D70" i="2"/>
  <c r="D90" i="2"/>
  <c r="E90" i="2" s="1"/>
  <c r="F90" i="2" s="1"/>
  <c r="G91" i="2"/>
  <c r="D89" i="2"/>
  <c r="G148" i="2"/>
  <c r="G149" i="2" s="1"/>
  <c r="E86" i="2"/>
  <c r="F86" i="2" s="1"/>
  <c r="G86" i="2" s="1"/>
  <c r="G87" i="2"/>
  <c r="E85" i="2"/>
  <c r="F85" i="2" s="1"/>
  <c r="O3" i="4"/>
  <c r="G11" i="4"/>
  <c r="G12" i="4"/>
  <c r="G14" i="4"/>
  <c r="G16" i="4"/>
  <c r="G17" i="4"/>
  <c r="G19" i="4"/>
  <c r="G20" i="4"/>
  <c r="G21" i="4"/>
  <c r="G25" i="4"/>
  <c r="G26" i="4"/>
  <c r="G27" i="4"/>
  <c r="G28" i="4"/>
  <c r="G34" i="4"/>
  <c r="G36" i="4"/>
  <c r="C32" i="4"/>
  <c r="D32" i="4"/>
  <c r="E32" i="4"/>
  <c r="B32" i="4"/>
  <c r="C30" i="4"/>
  <c r="D30" i="4"/>
  <c r="E30" i="4"/>
  <c r="B30" i="4"/>
  <c r="D11" i="12" l="1"/>
  <c r="E4" i="12"/>
  <c r="E11" i="12" s="1"/>
  <c r="G36" i="12"/>
  <c r="F43" i="12"/>
  <c r="G24" i="13"/>
  <c r="D42" i="13"/>
  <c r="G36" i="13"/>
  <c r="G21" i="13"/>
  <c r="E42" i="13"/>
  <c r="G20" i="13"/>
  <c r="G37" i="13"/>
  <c r="G43" i="12"/>
  <c r="D134" i="2"/>
  <c r="E89" i="2"/>
  <c r="D102" i="2"/>
  <c r="D31" i="13"/>
  <c r="F47" i="13"/>
  <c r="G47" i="13" s="1"/>
  <c r="F31" i="13"/>
  <c r="E5" i="13"/>
  <c r="F4" i="13"/>
  <c r="E11" i="13"/>
  <c r="C51" i="13"/>
  <c r="C52" i="13" s="1"/>
  <c r="C54" i="13" s="1"/>
  <c r="G35" i="13"/>
  <c r="G42" i="13" s="1"/>
  <c r="G31" i="13"/>
  <c r="D9" i="13"/>
  <c r="E8" i="13"/>
  <c r="D12" i="13"/>
  <c r="E31" i="13"/>
  <c r="E31" i="11"/>
  <c r="F19" i="11"/>
  <c r="D9" i="11"/>
  <c r="E8" i="11"/>
  <c r="D12" i="11"/>
  <c r="D13" i="11" s="1"/>
  <c r="D51" i="11" s="1"/>
  <c r="E42" i="11"/>
  <c r="F47" i="11"/>
  <c r="E5" i="11"/>
  <c r="F4" i="11"/>
  <c r="E11" i="11"/>
  <c r="C13" i="11"/>
  <c r="C51" i="11" s="1"/>
  <c r="C52" i="11" s="1"/>
  <c r="G35" i="11"/>
  <c r="G42" i="11" s="1"/>
  <c r="G21" i="12"/>
  <c r="C52" i="12"/>
  <c r="E5" i="12"/>
  <c r="F4" i="12"/>
  <c r="G4" i="12" s="1"/>
  <c r="G5" i="12" s="1"/>
  <c r="F48" i="12"/>
  <c r="G48" i="12" s="1"/>
  <c r="D9" i="12"/>
  <c r="E8" i="12"/>
  <c r="D12" i="12"/>
  <c r="E32" i="12"/>
  <c r="G32" i="12"/>
  <c r="E43" i="12"/>
  <c r="E40" i="2"/>
  <c r="D75" i="2"/>
  <c r="G112" i="2"/>
  <c r="G130" i="2" s="1"/>
  <c r="F129" i="2"/>
  <c r="G70" i="2"/>
  <c r="F31" i="2"/>
  <c r="E69" i="2"/>
  <c r="G90" i="2"/>
  <c r="G85" i="2"/>
  <c r="G32" i="4"/>
  <c r="G30" i="4"/>
  <c r="C54" i="11" l="1"/>
  <c r="C157" i="2" s="1"/>
  <c r="D52" i="11"/>
  <c r="D54" i="11" s="1"/>
  <c r="F89" i="2"/>
  <c r="D13" i="13"/>
  <c r="D51" i="13" s="1"/>
  <c r="D52" i="13" s="1"/>
  <c r="D54" i="13" s="1"/>
  <c r="F5" i="13"/>
  <c r="F11" i="13"/>
  <c r="G11" i="13" s="1"/>
  <c r="G4" i="13"/>
  <c r="G5" i="13" s="1"/>
  <c r="E12" i="13"/>
  <c r="E13" i="13" s="1"/>
  <c r="E51" i="13" s="1"/>
  <c r="E52" i="13" s="1"/>
  <c r="E54" i="13" s="1"/>
  <c r="E159" i="2" s="1"/>
  <c r="E9" i="13"/>
  <c r="F8" i="13"/>
  <c r="C159" i="2"/>
  <c r="F31" i="11"/>
  <c r="G19" i="11"/>
  <c r="G31" i="11" s="1"/>
  <c r="G47" i="11"/>
  <c r="F5" i="11"/>
  <c r="F11" i="11"/>
  <c r="G4" i="11"/>
  <c r="G5" i="11" s="1"/>
  <c r="E12" i="11"/>
  <c r="E13" i="11" s="1"/>
  <c r="E51" i="11" s="1"/>
  <c r="E9" i="11"/>
  <c r="F8" i="11"/>
  <c r="C55" i="12"/>
  <c r="C156" i="2" s="1"/>
  <c r="F5" i="12"/>
  <c r="F11" i="12"/>
  <c r="F8" i="12"/>
  <c r="E12" i="12"/>
  <c r="E13" i="12" s="1"/>
  <c r="E9" i="12"/>
  <c r="D13" i="12"/>
  <c r="F134" i="2"/>
  <c r="F40" i="2"/>
  <c r="E75" i="2"/>
  <c r="G113" i="2"/>
  <c r="G131" i="2" s="1"/>
  <c r="E129" i="2"/>
  <c r="E134" i="2" s="1"/>
  <c r="G134" i="2" s="1"/>
  <c r="G105" i="2"/>
  <c r="G129" i="2" s="1"/>
  <c r="G108" i="2"/>
  <c r="G132" i="2" s="1"/>
  <c r="F69" i="2"/>
  <c r="G69" i="2" s="1"/>
  <c r="G31" i="2"/>
  <c r="B29" i="4"/>
  <c r="C160" i="2" l="1"/>
  <c r="E14" i="12"/>
  <c r="E53" i="12" s="1"/>
  <c r="E54" i="12" s="1"/>
  <c r="D52" i="12"/>
  <c r="D14" i="12"/>
  <c r="D53" i="12" s="1"/>
  <c r="D54" i="12" s="1"/>
  <c r="E52" i="11"/>
  <c r="E54" i="11" s="1"/>
  <c r="E157" i="2" s="1"/>
  <c r="G89" i="2"/>
  <c r="D159" i="2"/>
  <c r="F12" i="13"/>
  <c r="G12" i="13" s="1"/>
  <c r="G13" i="13" s="1"/>
  <c r="G51" i="13" s="1"/>
  <c r="G52" i="13" s="1"/>
  <c r="F9" i="13"/>
  <c r="G8" i="13"/>
  <c r="G9" i="13" s="1"/>
  <c r="F12" i="11"/>
  <c r="F13" i="11" s="1"/>
  <c r="F9" i="11"/>
  <c r="G8" i="11"/>
  <c r="G9" i="11" s="1"/>
  <c r="G11" i="11"/>
  <c r="D157" i="2"/>
  <c r="E52" i="12"/>
  <c r="E55" i="12" s="1"/>
  <c r="E156" i="2" s="1"/>
  <c r="G11" i="12"/>
  <c r="F12" i="12"/>
  <c r="G12" i="12" s="1"/>
  <c r="F9" i="12"/>
  <c r="G8" i="12"/>
  <c r="G9" i="12" s="1"/>
  <c r="F75" i="2"/>
  <c r="G40" i="2"/>
  <c r="C7" i="2"/>
  <c r="C10" i="2"/>
  <c r="D55" i="12" l="1"/>
  <c r="D156" i="2" s="1"/>
  <c r="D160" i="2" s="1"/>
  <c r="F51" i="11"/>
  <c r="F52" i="11" s="1"/>
  <c r="F54" i="11" s="1"/>
  <c r="F13" i="13"/>
  <c r="F51" i="13" s="1"/>
  <c r="F52" i="13" s="1"/>
  <c r="F54" i="13" s="1"/>
  <c r="G12" i="11"/>
  <c r="G13" i="11" s="1"/>
  <c r="G51" i="11" s="1"/>
  <c r="G52" i="11" s="1"/>
  <c r="G53" i="11" s="1"/>
  <c r="G13" i="12"/>
  <c r="F13" i="12"/>
  <c r="G75" i="2"/>
  <c r="E160" i="2"/>
  <c r="C29" i="4"/>
  <c r="G52" i="12" l="1"/>
  <c r="G14" i="12"/>
  <c r="G53" i="12" s="1"/>
  <c r="G54" i="12" s="1"/>
  <c r="F52" i="12"/>
  <c r="F14" i="12"/>
  <c r="F53" i="12" s="1"/>
  <c r="F54" i="12" s="1"/>
  <c r="G54" i="11"/>
  <c r="F157" i="2"/>
  <c r="F159" i="2"/>
  <c r="G54" i="13"/>
  <c r="D4" i="9"/>
  <c r="D3" i="9" s="1"/>
  <c r="C20" i="8"/>
  <c r="B20" i="8"/>
  <c r="E20" i="8" s="1"/>
  <c r="E19" i="8"/>
  <c r="C19" i="8"/>
  <c r="B19" i="8"/>
  <c r="C18" i="8"/>
  <c r="E18" i="8" s="1"/>
  <c r="B18" i="8"/>
  <c r="E3" i="8"/>
  <c r="E5" i="8" s="1"/>
  <c r="F55" i="12" l="1"/>
  <c r="G157" i="2"/>
  <c r="E29" i="4"/>
  <c r="D29" i="4"/>
  <c r="B24" i="4"/>
  <c r="B23" i="4"/>
  <c r="F156" i="2" l="1"/>
  <c r="G55" i="12"/>
  <c r="G158" i="2"/>
  <c r="G29" i="4"/>
  <c r="G159" i="2" l="1"/>
  <c r="G156" i="2"/>
  <c r="G44" i="2"/>
  <c r="G54" i="2"/>
  <c r="G55" i="2"/>
  <c r="G57" i="2"/>
  <c r="G52" i="2"/>
  <c r="G50" i="2"/>
  <c r="G59" i="2"/>
  <c r="G60" i="2"/>
  <c r="G65" i="2"/>
  <c r="G71" i="2"/>
  <c r="G72" i="2"/>
  <c r="F160" i="2" l="1"/>
  <c r="I5" i="2"/>
  <c r="I4" i="2"/>
  <c r="G160" i="2" l="1"/>
  <c r="D13" i="2"/>
  <c r="C51" i="2"/>
  <c r="D51" i="2" l="1"/>
  <c r="E13" i="2"/>
  <c r="E51" i="2" l="1"/>
  <c r="F13" i="2"/>
  <c r="F51" i="2" l="1"/>
  <c r="G51" i="2" s="1"/>
  <c r="C38" i="2"/>
  <c r="C73" i="2" s="1"/>
  <c r="B9" i="4" l="1"/>
  <c r="G3" i="2"/>
  <c r="G17" i="2"/>
  <c r="G21" i="2"/>
  <c r="G9" i="2"/>
  <c r="G13" i="2"/>
  <c r="B31" i="4" l="1"/>
  <c r="F99" i="2" l="1"/>
  <c r="E99" i="2" s="1"/>
  <c r="F98" i="2"/>
  <c r="E98" i="2" s="1"/>
  <c r="F97" i="2"/>
  <c r="F100" i="2"/>
  <c r="E97" i="2" l="1"/>
  <c r="G97" i="2" s="1"/>
  <c r="F102" i="2"/>
  <c r="G98" i="2"/>
  <c r="G99" i="2"/>
  <c r="E100" i="2"/>
  <c r="G100" i="2" s="1"/>
  <c r="E102" i="2" l="1"/>
  <c r="G102" i="2" s="1"/>
  <c r="C53" i="2"/>
  <c r="D10" i="2"/>
  <c r="E10" i="2" l="1"/>
  <c r="D53" i="2"/>
  <c r="B18" i="4" l="1"/>
  <c r="E53" i="2"/>
  <c r="F10" i="2"/>
  <c r="B22" i="4" l="1"/>
  <c r="G10" i="2"/>
  <c r="F53" i="2"/>
  <c r="G53" i="2" s="1"/>
  <c r="C22" i="4" l="1"/>
  <c r="D38" i="2"/>
  <c r="D73" i="2" s="1"/>
  <c r="C5" i="2"/>
  <c r="C45" i="2" s="1"/>
  <c r="C9" i="4" l="1"/>
  <c r="D22" i="4"/>
  <c r="E38" i="2"/>
  <c r="D5" i="2"/>
  <c r="E5" i="2" s="1"/>
  <c r="F5" i="2" s="1"/>
  <c r="D9" i="4" l="1"/>
  <c r="E22" i="4"/>
  <c r="G22" i="4" s="1"/>
  <c r="C18" i="4"/>
  <c r="F38" i="2"/>
  <c r="F73" i="2" s="1"/>
  <c r="E73" i="2"/>
  <c r="G5" i="2"/>
  <c r="C23" i="4"/>
  <c r="C24" i="4"/>
  <c r="C8" i="2"/>
  <c r="E9" i="4" l="1"/>
  <c r="G9" i="4" s="1"/>
  <c r="G38" i="2"/>
  <c r="G73" i="2"/>
  <c r="C31" i="4"/>
  <c r="C46" i="2"/>
  <c r="D31" i="4" l="1"/>
  <c r="E31" i="4" l="1"/>
  <c r="G31" i="4" s="1"/>
  <c r="D24" i="4" l="1"/>
  <c r="D23" i="4"/>
  <c r="E24" i="4" l="1"/>
  <c r="G24" i="4" s="1"/>
  <c r="C28" i="2"/>
  <c r="C29" i="2"/>
  <c r="C41" i="2" l="1"/>
  <c r="E23" i="4"/>
  <c r="G23" i="4" s="1"/>
  <c r="C67" i="2"/>
  <c r="C66" i="2"/>
  <c r="B10" i="4" l="1"/>
  <c r="C166" i="2"/>
  <c r="C168" i="2" s="1"/>
  <c r="D165" i="2"/>
  <c r="E165" i="2" s="1"/>
  <c r="F165" i="2" s="1"/>
  <c r="D67" i="2"/>
  <c r="E67" i="2" s="1"/>
  <c r="F67" i="2" s="1"/>
  <c r="D66" i="2"/>
  <c r="E66" i="2" l="1"/>
  <c r="B35" i="4"/>
  <c r="G165" i="2"/>
  <c r="G67" i="2"/>
  <c r="D166" i="2"/>
  <c r="D168" i="2" s="1"/>
  <c r="F66" i="2" l="1"/>
  <c r="C35" i="4"/>
  <c r="E166" i="2"/>
  <c r="E168" i="2" s="1"/>
  <c r="G66" i="2" l="1"/>
  <c r="D35" i="4"/>
  <c r="F166" i="2"/>
  <c r="F168" i="2" s="1"/>
  <c r="E35" i="4" l="1"/>
  <c r="G35" i="4" s="1"/>
  <c r="G166" i="2"/>
  <c r="G168" i="2" s="1"/>
  <c r="D7" i="2" l="1"/>
  <c r="E7" i="2" l="1"/>
  <c r="C48" i="2"/>
  <c r="D48" i="2"/>
  <c r="E48" i="2" l="1"/>
  <c r="F7" i="2"/>
  <c r="G7" i="2" l="1"/>
  <c r="F48" i="2"/>
  <c r="G48" i="2" l="1"/>
  <c r="C49" i="2"/>
  <c r="C56" i="2"/>
  <c r="C58" i="2"/>
  <c r="C77" i="2" l="1"/>
  <c r="D18" i="4"/>
  <c r="E18" i="4"/>
  <c r="E18" i="2"/>
  <c r="D58" i="2"/>
  <c r="E22" i="2"/>
  <c r="D56" i="2"/>
  <c r="G18" i="4" l="1"/>
  <c r="B13" i="4"/>
  <c r="E58" i="2"/>
  <c r="F22" i="2"/>
  <c r="F18" i="2"/>
  <c r="E56" i="2"/>
  <c r="G18" i="2" l="1"/>
  <c r="G22" i="2"/>
  <c r="F58" i="2"/>
  <c r="G58" i="2" s="1"/>
  <c r="F56" i="2"/>
  <c r="G56" i="2" s="1"/>
  <c r="D82" i="2" l="1"/>
  <c r="E82" i="2"/>
  <c r="F82" i="2"/>
  <c r="G82" i="2"/>
  <c r="C82" i="2"/>
  <c r="C171" i="2" s="1"/>
  <c r="C172" i="2" s="1"/>
  <c r="B15" i="4" l="1"/>
  <c r="E15" i="4"/>
  <c r="D15" i="4"/>
  <c r="C15" i="4"/>
  <c r="D28" i="2"/>
  <c r="D29" i="2"/>
  <c r="D4" i="2"/>
  <c r="D8" i="2"/>
  <c r="D41" i="2" l="1"/>
  <c r="C10" i="4"/>
  <c r="G15" i="4"/>
  <c r="D49" i="2"/>
  <c r="D46" i="2"/>
  <c r="E29" i="2"/>
  <c r="E8" i="2"/>
  <c r="E4" i="2"/>
  <c r="E28" i="2"/>
  <c r="E41" i="2" l="1"/>
  <c r="D10" i="4"/>
  <c r="F8" i="2"/>
  <c r="F28" i="2"/>
  <c r="F29" i="2"/>
  <c r="G29" i="2" s="1"/>
  <c r="E49" i="2"/>
  <c r="D45" i="2"/>
  <c r="D77" i="2" s="1"/>
  <c r="E46" i="2"/>
  <c r="E45" i="2"/>
  <c r="F4" i="2"/>
  <c r="F41" i="2" s="1"/>
  <c r="D171" i="2" l="1"/>
  <c r="E77" i="2"/>
  <c r="E171" i="2" s="1"/>
  <c r="E172" i="2" s="1"/>
  <c r="E10" i="4"/>
  <c r="G10" i="4" s="1"/>
  <c r="C13" i="4"/>
  <c r="G4" i="2"/>
  <c r="G28" i="2"/>
  <c r="G8" i="2"/>
  <c r="F49" i="2"/>
  <c r="F46" i="2"/>
  <c r="G46" i="2" s="1"/>
  <c r="G41" i="2" l="1"/>
  <c r="D172" i="2"/>
  <c r="D173" i="2" s="1"/>
  <c r="G49" i="2"/>
  <c r="D13" i="4"/>
  <c r="F45" i="2"/>
  <c r="G45" i="2" l="1"/>
  <c r="F77" i="2"/>
  <c r="E173" i="2"/>
  <c r="F171" i="2" l="1"/>
  <c r="G77" i="2"/>
  <c r="E13" i="4"/>
  <c r="F172" i="2" l="1"/>
  <c r="G171" i="2"/>
  <c r="B33" i="4"/>
  <c r="G13" i="4"/>
  <c r="F173" i="2" l="1"/>
  <c r="B37" i="4"/>
  <c r="D33" i="4" l="1"/>
  <c r="D37" i="4" s="1"/>
  <c r="E33" i="4"/>
  <c r="E37" i="4" s="1"/>
  <c r="F174" i="2" l="1"/>
  <c r="E174" i="2"/>
  <c r="C33" i="4"/>
  <c r="C37" i="4" l="1"/>
  <c r="G37" i="4" s="1"/>
  <c r="G33" i="4"/>
  <c r="C173" i="2"/>
  <c r="C174" i="2" s="1"/>
  <c r="E39" i="4"/>
  <c r="E40" i="4" s="1"/>
  <c r="G172" i="2" l="1"/>
  <c r="B39" i="4"/>
  <c r="B40" i="4" s="1"/>
  <c r="D39" i="4"/>
  <c r="D40" i="4" s="1"/>
  <c r="C40" i="4" l="1"/>
  <c r="G40" i="4" s="1"/>
  <c r="D174" i="2" l="1"/>
  <c r="G174" i="2" s="1"/>
  <c r="G178" i="2" s="1"/>
  <c r="G173" i="2"/>
  <c r="C39" i="4"/>
  <c r="G3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tc={25FAEB0A-B583-044D-9601-F5B27CBC222F}</author>
  </authors>
  <commentList>
    <comment ref="B3" authorId="0" shapeId="0" xr:uid="{25FAEB0A-B583-044D-9601-F5B27CBC222F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 number of weeks</t>
      </text>
    </comment>
  </commentList>
</comments>
</file>

<file path=xl/sharedStrings.xml><?xml version="1.0" encoding="utf-8"?>
<sst xmlns="http://schemas.openxmlformats.org/spreadsheetml/2006/main" count="583" uniqueCount="207">
  <si>
    <t>Year 1</t>
  </si>
  <si>
    <t>Year 2</t>
  </si>
  <si>
    <t>Year 3</t>
  </si>
  <si>
    <t>Year 4</t>
  </si>
  <si>
    <t># of students</t>
  </si>
  <si>
    <t>Vanessa A-S</t>
  </si>
  <si>
    <t>Karla Eitel</t>
  </si>
  <si>
    <t>PhD 1</t>
  </si>
  <si>
    <t>20/hours/ week academic</t>
  </si>
  <si>
    <t>40 hours/week summer</t>
  </si>
  <si>
    <t>PI</t>
  </si>
  <si>
    <t>Co-PI</t>
  </si>
  <si>
    <t>Graduate Assistantships</t>
  </si>
  <si>
    <t>Total</t>
  </si>
  <si>
    <t>Summer</t>
  </si>
  <si>
    <t>Master's Students</t>
  </si>
  <si>
    <t>AY</t>
  </si>
  <si>
    <t>FRINGE TOTAL</t>
  </si>
  <si>
    <t>Student tuition / fees</t>
  </si>
  <si>
    <t>PhD 2</t>
  </si>
  <si>
    <t>Vanessa Anthony-Stevens</t>
  </si>
  <si>
    <t>Personnel</t>
  </si>
  <si>
    <t>Hourly rate</t>
  </si>
  <si>
    <t xml:space="preserve">Master's </t>
  </si>
  <si>
    <t>PhD</t>
  </si>
  <si>
    <t>3% increase every year</t>
  </si>
  <si>
    <t>Fringe Rates</t>
  </si>
  <si>
    <t>Faculty</t>
  </si>
  <si>
    <t>Staff</t>
  </si>
  <si>
    <t>Student</t>
  </si>
  <si>
    <t>IH</t>
  </si>
  <si>
    <t>per diem</t>
  </si>
  <si>
    <t># of days</t>
  </si>
  <si>
    <t>hotel</t>
  </si>
  <si>
    <t>vehicle</t>
  </si>
  <si>
    <t>Research</t>
  </si>
  <si>
    <t>PI/Co-Pis</t>
  </si>
  <si>
    <t>Students</t>
  </si>
  <si>
    <t>TOTAL</t>
  </si>
  <si>
    <t>Fall</t>
  </si>
  <si>
    <t>Chris Hamilton</t>
  </si>
  <si>
    <t>Chloe Wardropper</t>
  </si>
  <si>
    <t>Salary</t>
  </si>
  <si>
    <t>20 hrs/week school year</t>
  </si>
  <si>
    <t>40hrs/week summer</t>
  </si>
  <si>
    <t>Rate</t>
  </si>
  <si>
    <t xml:space="preserve">IKEEP </t>
  </si>
  <si>
    <t>MNR</t>
  </si>
  <si>
    <t>Tuition and Fees</t>
  </si>
  <si>
    <t>spring</t>
  </si>
  <si>
    <t>Lodging</t>
  </si>
  <si>
    <t>MNR Students</t>
  </si>
  <si>
    <t>IKEEP Students</t>
  </si>
  <si>
    <t>food / day</t>
  </si>
  <si>
    <t>lodging / day</t>
  </si>
  <si>
    <t>SHIP</t>
  </si>
  <si>
    <t>Stipends</t>
  </si>
  <si>
    <t>Program Coordinator</t>
  </si>
  <si>
    <t>4 weeks summer</t>
  </si>
  <si>
    <t>4 weeks Summer</t>
  </si>
  <si>
    <t>Travel</t>
  </si>
  <si>
    <t>mileage</t>
  </si>
  <si>
    <t>rate</t>
  </si>
  <si>
    <t>airfare</t>
  </si>
  <si>
    <t>Travel to annual DRK12 meeting</t>
  </si>
  <si>
    <t># of people</t>
  </si>
  <si>
    <t>hotel ($200 per night)</t>
  </si>
  <si>
    <t>Off Campus</t>
  </si>
  <si>
    <t>AgForestry</t>
  </si>
  <si>
    <t>13.5% AY</t>
  </si>
  <si>
    <t>Angela Como-Jacobson (.25 FTE)</t>
  </si>
  <si>
    <t># of participants</t>
  </si>
  <si>
    <t>Program Coordination</t>
  </si>
  <si>
    <t>Food</t>
  </si>
  <si>
    <t>miles</t>
  </si>
  <si>
    <t>mileage rate</t>
  </si>
  <si>
    <t>Advisory Council</t>
  </si>
  <si>
    <t>Calculated at 26% (Off Campus)</t>
  </si>
  <si>
    <t>Brant Miller</t>
  </si>
  <si>
    <t>Dissemination</t>
  </si>
  <si>
    <t>conference registration</t>
  </si>
  <si>
    <t>registration</t>
  </si>
  <si>
    <t>hotel ($150 per night)</t>
  </si>
  <si>
    <t>per diem ($57 per day)</t>
  </si>
  <si>
    <t>Senior Personnel</t>
  </si>
  <si>
    <t>Philip Stevens</t>
  </si>
  <si>
    <t>Aaron Thomas (External Advisory Committee)</t>
  </si>
  <si>
    <t>Sharon Nelson-Barber (External Advisory Chair)</t>
  </si>
  <si>
    <t>A. Senior Personnel</t>
  </si>
  <si>
    <t>B. Other Personnel</t>
  </si>
  <si>
    <t>Other professionals</t>
  </si>
  <si>
    <t>C. Fringe Benefits</t>
  </si>
  <si>
    <t>Fringe</t>
  </si>
  <si>
    <t>D. Equipment</t>
  </si>
  <si>
    <t>E. Travel</t>
  </si>
  <si>
    <t>Travel Domestic</t>
  </si>
  <si>
    <t>F. Participant Support Costs</t>
  </si>
  <si>
    <t>Subsistence</t>
  </si>
  <si>
    <t>Other</t>
  </si>
  <si>
    <t>   2.  Publication Costs/Documentation/distrib</t>
  </si>
  <si>
    <t>   3.  Consultant Services</t>
  </si>
  <si>
    <t>   4.  Computer (ADPE) Services</t>
  </si>
  <si>
    <t>   5.  Subcontracts</t>
  </si>
  <si>
    <t>   6.  Other</t>
  </si>
  <si>
    <t>1. Materials and Supplies</t>
  </si>
  <si>
    <t>G. Other Direct Costs</t>
  </si>
  <si>
    <t>H. Total Direct Costs</t>
  </si>
  <si>
    <t>I. Indirect Costs</t>
  </si>
  <si>
    <t>J. Total Direct and Indirect Costs</t>
  </si>
  <si>
    <t>Graduate Students</t>
  </si>
  <si>
    <t>PI/Co-PI Team</t>
  </si>
  <si>
    <t>Grad students</t>
  </si>
  <si>
    <t>Program Coordinators</t>
  </si>
  <si>
    <t>Stipend amount</t>
  </si>
  <si>
    <t>Participant Travel</t>
  </si>
  <si>
    <t>Publication fees</t>
  </si>
  <si>
    <t>One month AY</t>
  </si>
  <si>
    <t>MTDC</t>
  </si>
  <si>
    <t>Faculty salary</t>
  </si>
  <si>
    <t>2 PhDs</t>
  </si>
  <si>
    <t>Travel?</t>
  </si>
  <si>
    <t>Site budgets</t>
  </si>
  <si>
    <t>UI budget</t>
  </si>
  <si>
    <t>Coordinator time</t>
  </si>
  <si>
    <t>Youth program support</t>
  </si>
  <si>
    <t>Consultants (curriculum)</t>
  </si>
  <si>
    <t>Teachers stipends</t>
  </si>
  <si>
    <t>PD credits</t>
  </si>
  <si>
    <t>MNR students?</t>
  </si>
  <si>
    <t># of credits</t>
  </si>
  <si>
    <t>Credit amount</t>
  </si>
  <si>
    <t>Consulting amount</t>
  </si>
  <si>
    <t>Teacher participation in summer STEM enrichment</t>
  </si>
  <si>
    <t>Student participation in summer STEM enrichment</t>
  </si>
  <si>
    <t xml:space="preserve">2. Publication Costs / Documentation </t>
  </si>
  <si>
    <t>3. Consultant Services</t>
  </si>
  <si>
    <t>4. Computer Services</t>
  </si>
  <si>
    <t>5. Subcontracts</t>
  </si>
  <si>
    <t>A. PERSONNEL SALARIES AND WAGES:</t>
  </si>
  <si>
    <t>C FRINGE BENEFITS:</t>
  </si>
  <si>
    <t>D. EQUIPMENT</t>
  </si>
  <si>
    <t>E.TRAVEL (Staff):</t>
  </si>
  <si>
    <t>F. PARTICIPANT SUPPORT:</t>
  </si>
  <si>
    <t>G.OTHER DIRECT COSTS :</t>
  </si>
  <si>
    <t>NPT</t>
  </si>
  <si>
    <t>CdA</t>
  </si>
  <si>
    <t>SCA</t>
  </si>
  <si>
    <t>G. Other Direct Costs TOTAL</t>
  </si>
  <si>
    <t>E. TRAVEL TOTAL</t>
  </si>
  <si>
    <t>F. Participant Support TOTAL</t>
  </si>
  <si>
    <t>D.Equipment Total</t>
  </si>
  <si>
    <t>A. SALARIES TOTAL</t>
  </si>
  <si>
    <t>Coordinator</t>
  </si>
  <si>
    <t>TBD</t>
  </si>
  <si>
    <t>Salaries</t>
  </si>
  <si>
    <t>PhdD 1</t>
  </si>
  <si>
    <t>F. Participant Support</t>
  </si>
  <si>
    <t>Annual DRK12 meeting</t>
  </si>
  <si>
    <t>Annaul team gathering</t>
  </si>
  <si>
    <t>Annual Team Gathering  @ MFC</t>
  </si>
  <si>
    <t>Logding</t>
  </si>
  <si>
    <t>Mileage</t>
  </si>
  <si>
    <t>Annual gathering</t>
  </si>
  <si>
    <t>Travel to annual team gathering</t>
  </si>
  <si>
    <t>Teacher Certificate Program</t>
  </si>
  <si>
    <t>Teacher annual gathering</t>
  </si>
  <si>
    <t>Teacher workshops</t>
  </si>
  <si>
    <t>Student summer programs</t>
  </si>
  <si>
    <t>Other (credits)</t>
  </si>
  <si>
    <t>Student stipends</t>
  </si>
  <si>
    <t>TOTAL Participant Support</t>
  </si>
  <si>
    <t>.5 FTE</t>
  </si>
  <si>
    <t>Total allowed</t>
  </si>
  <si>
    <t>Room left in budget</t>
  </si>
  <si>
    <t># of teachers</t>
  </si>
  <si>
    <t>Beth Kochevar</t>
  </si>
  <si>
    <t>Angela Como-Jacobson</t>
  </si>
  <si>
    <t xml:space="preserve">Year 1 </t>
  </si>
  <si>
    <t>Cohort 1</t>
  </si>
  <si>
    <t>Cohort 2</t>
  </si>
  <si>
    <t>Curriculum alignment support</t>
  </si>
  <si>
    <t>Curriculum aligment support</t>
  </si>
  <si>
    <t>F&amp;A rate</t>
  </si>
  <si>
    <t>Salaries and Fringe</t>
  </si>
  <si>
    <t>SBT</t>
  </si>
  <si>
    <t>PI-Sammy Matsaw</t>
  </si>
  <si>
    <t>Coordinator for teachers, consultants and managing cultural/Indigenous Knowledge web-based platform: Murkurtu</t>
  </si>
  <si>
    <t>Materials and supplies for coordinator and teachers</t>
  </si>
  <si>
    <t>Computer services will be with a cultural/Indigenous Knowledge management platform: Murkurtu</t>
  </si>
  <si>
    <t>Subcontracting Murkurtu team for trainings and consultutation throughout grant at the beginning and end</t>
  </si>
  <si>
    <t>SBT IDC only applies to salary &amp; fringe not MTDC</t>
  </si>
  <si>
    <t>1  month summer Year 1</t>
  </si>
  <si>
    <t>3 weeks summer Years 2 - 4</t>
  </si>
  <si>
    <t>Summer Immersion Experiences</t>
  </si>
  <si>
    <t>Summer immersion</t>
  </si>
  <si>
    <t>6 weeks</t>
  </si>
  <si>
    <t>Conference registration</t>
  </si>
  <si>
    <t>Calculated at 55.41%</t>
  </si>
  <si>
    <t>Calculated at 0%</t>
  </si>
  <si>
    <t>Transcription services</t>
  </si>
  <si>
    <t>8 weeks</t>
  </si>
  <si>
    <t>26.27% SBT</t>
  </si>
  <si>
    <t>Research Travel</t>
  </si>
  <si>
    <t>Shelly Valdez</t>
  </si>
  <si>
    <t>Calculated at 28.1</t>
  </si>
  <si>
    <t>4 weeks</t>
  </si>
  <si>
    <t>Data management /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</si>
</sst>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.000_);_(&quot;$&quot;* \(#,##0.000\);_(&quot;$&quot;* &quot;-&quot;???_);_(@_)"/>
    <numFmt numFmtId="165" formatCode="_(&quot;$&quot;* #,##0_);_(&quot;$&quot;* \(#,##0\);_(&quot;$&quot;* &quot;-&quot;??_);_(@_)"/>
    <numFmt numFmtId="166" formatCode="_([$$-409]* #,##0_);_([$$-409]* \(#,##0\);_([$$-409]* &quot;-&quot;??_);_(@_)"/>
    <numFmt numFmtId="167" formatCode="&quot;$&quot;#,##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sz val="12"/>
      <name val="Arial Narrow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0"/>
      <name val="Arial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-webkit-standard"/>
    </font>
    <font>
      <sz val="12"/>
      <color theme="1"/>
      <name val="Arial"/>
      <family val="2"/>
    </font>
    <font>
      <b/>
      <sz val="14"/>
      <color rgb="FF000000"/>
      <name val="Arial Narrow"/>
      <family val="2"/>
    </font>
    <font>
      <b/>
      <sz val="14"/>
      <name val="Arial Narrow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41" fontId="6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1" fontId="6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0" fontId="0" fillId="2" borderId="4" xfId="0" applyFont="1" applyFill="1" applyBorder="1"/>
    <xf numFmtId="0" fontId="0" fillId="2" borderId="3" xfId="0" applyFont="1" applyFill="1" applyBorder="1"/>
    <xf numFmtId="0" fontId="0" fillId="0" borderId="0" xfId="0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4" borderId="4" xfId="0" applyFont="1" applyFill="1" applyBorder="1"/>
    <xf numFmtId="0" fontId="0" fillId="4" borderId="5" xfId="0" applyFont="1" applyFill="1" applyBorder="1"/>
    <xf numFmtId="0" fontId="0" fillId="4" borderId="4" xfId="0" applyFont="1" applyFill="1" applyBorder="1" applyAlignment="1">
      <alignment horizontal="left"/>
    </xf>
    <xf numFmtId="0" fontId="0" fillId="2" borderId="0" xfId="0" applyFont="1" applyFill="1" applyBorder="1"/>
    <xf numFmtId="0" fontId="2" fillId="0" borderId="0" xfId="0" applyFont="1" applyBorder="1" applyAlignment="1">
      <alignment horizontal="left"/>
    </xf>
    <xf numFmtId="0" fontId="0" fillId="2" borderId="4" xfId="0" applyFill="1" applyBorder="1"/>
    <xf numFmtId="44" fontId="0" fillId="0" borderId="0" xfId="0" applyNumberFormat="1" applyFont="1"/>
    <xf numFmtId="0" fontId="0" fillId="4" borderId="6" xfId="0" applyFont="1" applyFill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10" fillId="0" borderId="0" xfId="0" applyFont="1"/>
    <xf numFmtId="0" fontId="11" fillId="0" borderId="0" xfId="0" applyFont="1"/>
    <xf numFmtId="0" fontId="7" fillId="0" borderId="0" xfId="0" applyFont="1" applyFill="1" applyBorder="1" applyAlignment="1">
      <alignment horizontal="right"/>
    </xf>
    <xf numFmtId="0" fontId="0" fillId="4" borderId="0" xfId="0" applyFont="1" applyFill="1" applyBorder="1"/>
    <xf numFmtId="164" fontId="0" fillId="0" borderId="0" xfId="0" applyNumberFormat="1" applyFont="1"/>
    <xf numFmtId="166" fontId="0" fillId="0" borderId="0" xfId="0" applyNumberFormat="1" applyFont="1" applyBorder="1"/>
    <xf numFmtId="166" fontId="0" fillId="0" borderId="2" xfId="0" applyNumberFormat="1" applyFont="1" applyBorder="1"/>
    <xf numFmtId="166" fontId="5" fillId="0" borderId="0" xfId="0" applyNumberFormat="1" applyFont="1" applyBorder="1"/>
    <xf numFmtId="166" fontId="0" fillId="0" borderId="0" xfId="0" applyNumberFormat="1" applyFont="1"/>
    <xf numFmtId="166" fontId="0" fillId="2" borderId="4" xfId="0" applyNumberFormat="1" applyFont="1" applyFill="1" applyBorder="1"/>
    <xf numFmtId="166" fontId="0" fillId="2" borderId="5" xfId="0" applyNumberFormat="1" applyFont="1" applyFill="1" applyBorder="1"/>
    <xf numFmtId="166" fontId="0" fillId="4" borderId="4" xfId="0" applyNumberFormat="1" applyFont="1" applyFill="1" applyBorder="1"/>
    <xf numFmtId="166" fontId="0" fillId="4" borderId="5" xfId="0" applyNumberFormat="1" applyFont="1" applyFill="1" applyBorder="1"/>
    <xf numFmtId="166" fontId="0" fillId="4" borderId="4" xfId="1" applyNumberFormat="1" applyFont="1" applyFill="1" applyBorder="1"/>
    <xf numFmtId="166" fontId="0" fillId="4" borderId="5" xfId="1" applyNumberFormat="1" applyFont="1" applyFill="1" applyBorder="1"/>
    <xf numFmtId="166" fontId="0" fillId="0" borderId="0" xfId="1" applyNumberFormat="1" applyFont="1" applyFill="1" applyBorder="1"/>
    <xf numFmtId="166" fontId="0" fillId="0" borderId="0" xfId="0" applyNumberFormat="1" applyBorder="1"/>
    <xf numFmtId="166" fontId="0" fillId="4" borderId="0" xfId="0" applyNumberFormat="1" applyFont="1" applyFill="1" applyBorder="1"/>
    <xf numFmtId="166" fontId="0" fillId="0" borderId="0" xfId="0" applyNumberFormat="1" applyFont="1" applyFill="1" applyBorder="1"/>
    <xf numFmtId="166" fontId="0" fillId="0" borderId="0" xfId="1" applyNumberFormat="1" applyFont="1"/>
    <xf numFmtId="166" fontId="0" fillId="2" borderId="4" xfId="1" applyNumberFormat="1" applyFont="1" applyFill="1" applyBorder="1"/>
    <xf numFmtId="44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left"/>
    </xf>
    <xf numFmtId="165" fontId="0" fillId="0" borderId="0" xfId="1" applyNumberFormat="1" applyFont="1" applyFill="1"/>
    <xf numFmtId="165" fontId="0" fillId="0" borderId="0" xfId="0" applyNumberFormat="1" applyFont="1"/>
    <xf numFmtId="0" fontId="13" fillId="0" borderId="0" xfId="0" applyFont="1"/>
    <xf numFmtId="0" fontId="0" fillId="0" borderId="0" xfId="0" applyFont="1" applyAlignment="1">
      <alignment horizontal="left"/>
    </xf>
    <xf numFmtId="0" fontId="0" fillId="2" borderId="3" xfId="0" applyFont="1" applyFill="1" applyBorder="1" applyAlignment="1">
      <alignment horizontal="left"/>
    </xf>
    <xf numFmtId="166" fontId="0" fillId="2" borderId="5" xfId="1" applyNumberFormat="1" applyFont="1" applyFill="1" applyBorder="1"/>
    <xf numFmtId="0" fontId="9" fillId="0" borderId="9" xfId="0" applyFont="1" applyFill="1" applyBorder="1"/>
    <xf numFmtId="0" fontId="0" fillId="2" borderId="12" xfId="0" applyFont="1" applyFill="1" applyBorder="1"/>
    <xf numFmtId="0" fontId="2" fillId="2" borderId="12" xfId="0" applyFont="1" applyFill="1" applyBorder="1"/>
    <xf numFmtId="0" fontId="0" fillId="0" borderId="0" xfId="0" applyFont="1" applyBorder="1"/>
    <xf numFmtId="0" fontId="0" fillId="2" borderId="3" xfId="0" applyFont="1" applyFill="1" applyBorder="1" applyAlignment="1">
      <alignment horizontal="right"/>
    </xf>
    <xf numFmtId="1" fontId="0" fillId="0" borderId="0" xfId="0" applyNumberFormat="1"/>
    <xf numFmtId="0" fontId="14" fillId="0" borderId="0" xfId="0" applyFont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1" fontId="14" fillId="0" borderId="0" xfId="0" applyNumberFormat="1" applyFont="1"/>
    <xf numFmtId="167" fontId="0" fillId="0" borderId="0" xfId="0" applyNumberFormat="1" applyFont="1" applyBorder="1"/>
    <xf numFmtId="167" fontId="5" fillId="0" borderId="0" xfId="0" applyNumberFormat="1" applyFont="1" applyBorder="1"/>
    <xf numFmtId="167" fontId="0" fillId="0" borderId="0" xfId="0" applyNumberFormat="1" applyFont="1"/>
    <xf numFmtId="167" fontId="0" fillId="0" borderId="0" xfId="1" applyNumberFormat="1" applyFont="1"/>
    <xf numFmtId="167" fontId="0" fillId="0" borderId="0" xfId="0" applyNumberFormat="1"/>
    <xf numFmtId="167" fontId="0" fillId="4" borderId="4" xfId="0" applyNumberFormat="1" applyFont="1" applyFill="1" applyBorder="1"/>
    <xf numFmtId="167" fontId="0" fillId="0" borderId="0" xfId="0" applyNumberFormat="1" applyFont="1" applyFill="1" applyBorder="1"/>
    <xf numFmtId="167" fontId="0" fillId="2" borderId="4" xfId="1" applyNumberFormat="1" applyFont="1" applyFill="1" applyBorder="1"/>
    <xf numFmtId="167" fontId="0" fillId="4" borderId="4" xfId="1" applyNumberFormat="1" applyFont="1" applyFill="1" applyBorder="1"/>
    <xf numFmtId="167" fontId="0" fillId="0" borderId="0" xfId="1" applyNumberFormat="1" applyFont="1" applyFill="1" applyBorder="1"/>
    <xf numFmtId="167" fontId="0" fillId="0" borderId="0" xfId="0" applyNumberFormat="1" applyBorder="1"/>
    <xf numFmtId="167" fontId="0" fillId="4" borderId="0" xfId="0" applyNumberFormat="1" applyFont="1" applyFill="1" applyBorder="1"/>
    <xf numFmtId="1" fontId="0" fillId="2" borderId="0" xfId="0" applyNumberFormat="1" applyFill="1"/>
    <xf numFmtId="0" fontId="2" fillId="0" borderId="0" xfId="0" applyFont="1"/>
    <xf numFmtId="0" fontId="0" fillId="0" borderId="15" xfId="0" applyBorder="1"/>
    <xf numFmtId="0" fontId="0" fillId="0" borderId="0" xfId="0" applyBorder="1"/>
    <xf numFmtId="0" fontId="0" fillId="0" borderId="2" xfId="0" applyBorder="1"/>
    <xf numFmtId="165" fontId="0" fillId="0" borderId="0" xfId="1" applyNumberFormat="1" applyFont="1" applyBorder="1"/>
    <xf numFmtId="167" fontId="0" fillId="0" borderId="0" xfId="1" applyNumberFormat="1" applyFont="1" applyBorder="1"/>
    <xf numFmtId="165" fontId="1" fillId="0" borderId="2" xfId="1" applyNumberFormat="1" applyFont="1" applyBorder="1"/>
    <xf numFmtId="0" fontId="0" fillId="0" borderId="2" xfId="0" applyFont="1" applyBorder="1"/>
    <xf numFmtId="0" fontId="2" fillId="4" borderId="1" xfId="0" applyFont="1" applyFill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0" fillId="0" borderId="0" xfId="0" applyFill="1"/>
    <xf numFmtId="166" fontId="0" fillId="0" borderId="10" xfId="0" applyNumberFormat="1" applyFont="1" applyFill="1" applyBorder="1"/>
    <xf numFmtId="166" fontId="0" fillId="0" borderId="9" xfId="0" applyNumberFormat="1" applyFont="1" applyFill="1" applyBorder="1"/>
    <xf numFmtId="166" fontId="0" fillId="0" borderId="11" xfId="0" applyNumberFormat="1" applyFont="1" applyFill="1" applyBorder="1"/>
    <xf numFmtId="0" fontId="0" fillId="0" borderId="0" xfId="0" applyFont="1" applyFill="1"/>
    <xf numFmtId="165" fontId="0" fillId="0" borderId="0" xfId="0" applyNumberFormat="1"/>
    <xf numFmtId="165" fontId="0" fillId="0" borderId="0" xfId="0" applyNumberFormat="1" applyBorder="1"/>
    <xf numFmtId="0" fontId="0" fillId="0" borderId="0" xfId="1" applyNumberFormat="1" applyFont="1" applyBorder="1"/>
    <xf numFmtId="166" fontId="0" fillId="0" borderId="0" xfId="0" applyNumberFormat="1" applyFont="1" applyFill="1"/>
    <xf numFmtId="41" fontId="6" fillId="0" borderId="0" xfId="0" applyNumberFormat="1" applyFont="1" applyAlignment="1">
      <alignment horizontal="left"/>
    </xf>
    <xf numFmtId="0" fontId="0" fillId="0" borderId="15" xfId="0" applyBorder="1" applyAlignment="1">
      <alignment horizontal="right"/>
    </xf>
    <xf numFmtId="0" fontId="0" fillId="0" borderId="15" xfId="0" applyFill="1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15" fillId="3" borderId="1" xfId="0" applyFont="1" applyFill="1" applyBorder="1"/>
    <xf numFmtId="0" fontId="16" fillId="3" borderId="3" xfId="0" applyFont="1" applyFill="1" applyBorder="1"/>
    <xf numFmtId="0" fontId="15" fillId="3" borderId="3" xfId="0" applyFont="1" applyFill="1" applyBorder="1"/>
    <xf numFmtId="0" fontId="0" fillId="0" borderId="6" xfId="0" applyFont="1" applyBorder="1"/>
    <xf numFmtId="166" fontId="0" fillId="0" borderId="6" xfId="0" applyNumberFormat="1" applyBorder="1"/>
    <xf numFmtId="167" fontId="0" fillId="0" borderId="6" xfId="0" applyNumberFormat="1" applyBorder="1"/>
    <xf numFmtId="166" fontId="0" fillId="0" borderId="7" xfId="0" applyNumberFormat="1" applyBorder="1"/>
    <xf numFmtId="0" fontId="0" fillId="0" borderId="16" xfId="0" applyFont="1" applyBorder="1"/>
    <xf numFmtId="166" fontId="0" fillId="0" borderId="17" xfId="0" applyNumberFormat="1" applyBorder="1"/>
    <xf numFmtId="0" fontId="0" fillId="0" borderId="8" xfId="0" applyFont="1" applyBorder="1" applyAlignment="1">
      <alignment horizontal="right"/>
    </xf>
    <xf numFmtId="0" fontId="0" fillId="2" borderId="3" xfId="0" applyFill="1" applyBorder="1" applyAlignment="1">
      <alignment horizontal="left"/>
    </xf>
    <xf numFmtId="10" fontId="0" fillId="0" borderId="0" xfId="0" applyNumberFormat="1" applyFont="1" applyBorder="1"/>
    <xf numFmtId="44" fontId="0" fillId="0" borderId="0" xfId="0" applyNumberFormat="1" applyFont="1" applyBorder="1"/>
    <xf numFmtId="0" fontId="0" fillId="0" borderId="15" xfId="0" applyFont="1" applyFill="1" applyBorder="1" applyAlignment="1">
      <alignment horizontal="right"/>
    </xf>
    <xf numFmtId="0" fontId="0" fillId="2" borderId="0" xfId="0" applyFill="1"/>
    <xf numFmtId="165" fontId="0" fillId="2" borderId="3" xfId="1" applyNumberFormat="1" applyFont="1" applyFill="1" applyBorder="1"/>
    <xf numFmtId="165" fontId="0" fillId="2" borderId="4" xfId="1" applyNumberFormat="1" applyFont="1" applyFill="1" applyBorder="1"/>
    <xf numFmtId="165" fontId="0" fillId="2" borderId="5" xfId="1" applyNumberFormat="1" applyFont="1" applyFill="1" applyBorder="1"/>
    <xf numFmtId="0" fontId="0" fillId="2" borderId="15" xfId="0" applyFill="1" applyBorder="1"/>
    <xf numFmtId="44" fontId="0" fillId="2" borderId="3" xfId="0" applyNumberFormat="1" applyFont="1" applyFill="1" applyBorder="1"/>
    <xf numFmtId="44" fontId="0" fillId="2" borderId="4" xfId="0" applyNumberFormat="1" applyFont="1" applyFill="1" applyBorder="1"/>
    <xf numFmtId="44" fontId="0" fillId="2" borderId="5" xfId="0" applyNumberFormat="1" applyFont="1" applyFill="1" applyBorder="1"/>
    <xf numFmtId="0" fontId="8" fillId="2" borderId="0" xfId="0" applyFont="1" applyFill="1" applyBorder="1" applyAlignment="1">
      <alignment horizontal="right"/>
    </xf>
    <xf numFmtId="166" fontId="0" fillId="2" borderId="3" xfId="0" applyNumberFormat="1" applyFill="1" applyBorder="1"/>
    <xf numFmtId="0" fontId="0" fillId="2" borderId="3" xfId="0" applyFill="1" applyBorder="1"/>
    <xf numFmtId="0" fontId="0" fillId="0" borderId="0" xfId="0" applyFill="1" applyAlignment="1">
      <alignment horizontal="right"/>
    </xf>
    <xf numFmtId="0" fontId="17" fillId="0" borderId="0" xfId="0" applyFont="1"/>
    <xf numFmtId="0" fontId="17" fillId="5" borderId="1" xfId="0" applyFont="1" applyFill="1" applyBorder="1" applyAlignment="1">
      <alignment horizontal="left"/>
    </xf>
    <xf numFmtId="0" fontId="17" fillId="5" borderId="13" xfId="0" applyFont="1" applyFill="1" applyBorder="1"/>
    <xf numFmtId="0" fontId="17" fillId="5" borderId="14" xfId="0" applyFont="1" applyFill="1" applyBorder="1"/>
    <xf numFmtId="0" fontId="18" fillId="0" borderId="0" xfId="0" applyFont="1"/>
    <xf numFmtId="0" fontId="18" fillId="0" borderId="0" xfId="0" applyFont="1" applyAlignment="1">
      <alignment horizontal="right"/>
    </xf>
    <xf numFmtId="1" fontId="18" fillId="0" borderId="0" xfId="0" applyNumberFormat="1" applyFont="1"/>
    <xf numFmtId="165" fontId="18" fillId="0" borderId="0" xfId="0" applyNumberFormat="1" applyFont="1"/>
    <xf numFmtId="0" fontId="18" fillId="6" borderId="0" xfId="0" applyFont="1" applyFill="1"/>
    <xf numFmtId="165" fontId="18" fillId="6" borderId="3" xfId="0" applyNumberFormat="1" applyFont="1" applyFill="1" applyBorder="1"/>
    <xf numFmtId="165" fontId="18" fillId="6" borderId="4" xfId="0" applyNumberFormat="1" applyFont="1" applyFill="1" applyBorder="1"/>
    <xf numFmtId="165" fontId="18" fillId="6" borderId="5" xfId="0" applyNumberFormat="1" applyFont="1" applyFill="1" applyBorder="1"/>
    <xf numFmtId="0" fontId="18" fillId="0" borderId="15" xfId="0" applyFont="1" applyBorder="1"/>
    <xf numFmtId="0" fontId="18" fillId="0" borderId="2" xfId="0" applyFont="1" applyBorder="1"/>
    <xf numFmtId="0" fontId="18" fillId="0" borderId="15" xfId="0" applyFont="1" applyBorder="1" applyAlignment="1">
      <alignment horizontal="right"/>
    </xf>
    <xf numFmtId="165" fontId="18" fillId="0" borderId="2" xfId="0" applyNumberFormat="1" applyFont="1" applyBorder="1"/>
    <xf numFmtId="0" fontId="18" fillId="6" borderId="15" xfId="0" applyFont="1" applyFill="1" applyBorder="1"/>
    <xf numFmtId="10" fontId="0" fillId="0" borderId="0" xfId="0" applyNumberFormat="1"/>
    <xf numFmtId="10" fontId="18" fillId="0" borderId="0" xfId="0" applyNumberFormat="1" applyFont="1"/>
    <xf numFmtId="44" fontId="0" fillId="0" borderId="0" xfId="0" applyNumberFormat="1"/>
    <xf numFmtId="44" fontId="18" fillId="0" borderId="0" xfId="0" applyNumberFormat="1" applyFont="1"/>
    <xf numFmtId="44" fontId="18" fillId="6" borderId="3" xfId="0" applyNumberFormat="1" applyFont="1" applyFill="1" applyBorder="1"/>
    <xf numFmtId="44" fontId="18" fillId="6" borderId="4" xfId="0" applyNumberFormat="1" applyFont="1" applyFill="1" applyBorder="1"/>
    <xf numFmtId="44" fontId="18" fillId="6" borderId="5" xfId="0" applyNumberFormat="1" applyFont="1" applyFill="1" applyBorder="1"/>
    <xf numFmtId="167" fontId="18" fillId="0" borderId="0" xfId="0" applyNumberFormat="1" applyFont="1"/>
    <xf numFmtId="166" fontId="0" fillId="0" borderId="0" xfId="0" applyNumberFormat="1"/>
    <xf numFmtId="166" fontId="18" fillId="0" borderId="0" xfId="0" applyNumberFormat="1" applyFont="1"/>
    <xf numFmtId="0" fontId="19" fillId="0" borderId="0" xfId="0" applyFont="1"/>
    <xf numFmtId="0" fontId="19" fillId="0" borderId="0" xfId="0" applyFont="1" applyAlignment="1">
      <alignment horizontal="right"/>
    </xf>
    <xf numFmtId="0" fontId="18" fillId="6" borderId="0" xfId="0" applyFont="1" applyFill="1" applyAlignment="1">
      <alignment horizontal="right"/>
    </xf>
    <xf numFmtId="166" fontId="18" fillId="6" borderId="3" xfId="0" applyNumberFormat="1" applyFont="1" applyFill="1" applyBorder="1"/>
    <xf numFmtId="0" fontId="18" fillId="0" borderId="0" xfId="0" applyFont="1" applyAlignment="1">
      <alignment horizontal="left"/>
    </xf>
    <xf numFmtId="1" fontId="19" fillId="0" borderId="0" xfId="0" applyNumberFormat="1" applyFont="1"/>
    <xf numFmtId="0" fontId="18" fillId="6" borderId="3" xfId="0" applyFont="1" applyFill="1" applyBorder="1"/>
    <xf numFmtId="0" fontId="0" fillId="0" borderId="15" xfId="0" applyBorder="1" applyAlignment="1">
      <alignment horizontal="left"/>
    </xf>
    <xf numFmtId="0" fontId="18" fillId="0" borderId="15" xfId="0" applyFont="1" applyBorder="1" applyAlignment="1">
      <alignment horizontal="left"/>
    </xf>
    <xf numFmtId="0" fontId="18" fillId="6" borderId="3" xfId="0" applyFont="1" applyFill="1" applyBorder="1" applyAlignment="1">
      <alignment horizontal="left"/>
    </xf>
    <xf numFmtId="0" fontId="18" fillId="6" borderId="4" xfId="0" applyFont="1" applyFill="1" applyBorder="1"/>
    <xf numFmtId="166" fontId="18" fillId="6" borderId="4" xfId="0" applyNumberFormat="1" applyFont="1" applyFill="1" applyBorder="1"/>
    <xf numFmtId="10" fontId="18" fillId="0" borderId="0" xfId="0" applyNumberFormat="1" applyFont="1" applyAlignment="1">
      <alignment horizontal="right"/>
    </xf>
    <xf numFmtId="44" fontId="0" fillId="2" borderId="3" xfId="0" applyNumberFormat="1" applyFill="1" applyBorder="1"/>
    <xf numFmtId="44" fontId="0" fillId="2" borderId="4" xfId="0" applyNumberFormat="1" applyFill="1" applyBorder="1"/>
    <xf numFmtId="44" fontId="0" fillId="2" borderId="5" xfId="0" applyNumberFormat="1" applyFill="1" applyBorder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2" borderId="0" xfId="0" applyFont="1" applyFill="1" applyAlignment="1">
      <alignment horizontal="right"/>
    </xf>
    <xf numFmtId="9" fontId="0" fillId="0" borderId="0" xfId="2" applyFont="1"/>
    <xf numFmtId="0" fontId="0" fillId="2" borderId="0" xfId="0" applyFont="1" applyFill="1"/>
    <xf numFmtId="0" fontId="0" fillId="7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itel, Karla (keitel@uidaho.edu)" id="{D89F7B3D-642B-714A-9CE2-6B4B2E4036C3}" userId="S::keitel@uidaho.edu::d4cffa78-1196-4399-92b8-3d83ff4f746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19-10-10T19:05:17.81" personId="{D89F7B3D-642B-714A-9CE2-6B4B2E4036C3}" id="{25FAEB0A-B583-044D-9601-F5B27CBC222F}">
    <text>calculate number of weeks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212"/>
  <sheetViews>
    <sheetView tabSelected="1" topLeftCell="A145" zoomScale="70" zoomScaleNormal="70" workbookViewId="0">
      <selection activeCell="C96" sqref="C96"/>
    </sheetView>
  </sheetViews>
  <sheetFormatPr defaultColWidth="10.875" defaultRowHeight="15.75"/>
  <cols>
    <col min="1" max="1" width="46.375" style="2" customWidth="1"/>
    <col min="2" max="2" width="40" style="2" customWidth="1"/>
    <col min="3" max="3" width="12.5" style="2" customWidth="1"/>
    <col min="4" max="5" width="13.5" style="2" bestFit="1" customWidth="1"/>
    <col min="6" max="6" width="18.125" style="2" customWidth="1"/>
    <col min="7" max="7" width="30.375" style="2" customWidth="1"/>
    <col min="8" max="8" width="16.625" style="2" customWidth="1"/>
    <col min="9" max="9" width="24.625" style="2" customWidth="1"/>
    <col min="10" max="10" width="18.5" style="2" customWidth="1"/>
    <col min="11" max="11" width="12.625" style="2" customWidth="1"/>
    <col min="12" max="12" width="13.625" style="2" customWidth="1"/>
    <col min="13" max="13" width="11.125" style="2" bestFit="1" customWidth="1"/>
    <col min="14" max="14" width="14" style="2" customWidth="1"/>
    <col min="15" max="15" width="11.125" style="2" bestFit="1" customWidth="1"/>
    <col min="16" max="17" width="11" style="2" bestFit="1" customWidth="1"/>
    <col min="18" max="16384" width="10.875" style="2"/>
  </cols>
  <sheetData>
    <row r="1" spans="1:14" ht="16.5" thickBot="1">
      <c r="C1" s="2" t="s">
        <v>0</v>
      </c>
      <c r="D1" s="2" t="s">
        <v>1</v>
      </c>
      <c r="E1" s="2" t="s">
        <v>2</v>
      </c>
      <c r="F1" s="2" t="s">
        <v>3</v>
      </c>
      <c r="G1" s="2" t="s">
        <v>13</v>
      </c>
    </row>
    <row r="2" spans="1:14" ht="18.75" thickBot="1">
      <c r="A2" s="110" t="s">
        <v>138</v>
      </c>
      <c r="B2" s="28"/>
      <c r="C2" s="21"/>
      <c r="D2" s="21"/>
      <c r="E2" s="21"/>
      <c r="F2" s="21"/>
      <c r="G2" s="22"/>
      <c r="I2"/>
      <c r="J2"/>
      <c r="K2"/>
      <c r="L2"/>
      <c r="M2"/>
      <c r="N2"/>
    </row>
    <row r="3" spans="1:14">
      <c r="A3" s="2" t="s">
        <v>10</v>
      </c>
      <c r="B3" s="29" t="s">
        <v>5</v>
      </c>
      <c r="C3" s="36"/>
      <c r="D3" s="36"/>
      <c r="E3" s="36"/>
      <c r="F3" s="71"/>
      <c r="G3" s="37">
        <f>SUM(C3:F3)</f>
        <v>0</v>
      </c>
      <c r="I3"/>
      <c r="J3"/>
      <c r="K3"/>
      <c r="L3"/>
      <c r="M3"/>
      <c r="N3"/>
    </row>
    <row r="4" spans="1:14">
      <c r="B4" s="16" t="s">
        <v>58</v>
      </c>
      <c r="C4" s="38">
        <f>160*'Hourly Rates'!B3</f>
        <v>7580.8</v>
      </c>
      <c r="D4" s="38">
        <f>C4*1.03</f>
        <v>7808.2240000000002</v>
      </c>
      <c r="E4" s="38">
        <f t="shared" ref="E4:F5" si="0">D4*1.03</f>
        <v>8042.4707200000003</v>
      </c>
      <c r="F4" s="72">
        <f t="shared" si="0"/>
        <v>8283.7448416000007</v>
      </c>
      <c r="G4" s="37">
        <f>SUM(C4:F4)</f>
        <v>31715.239561600003</v>
      </c>
      <c r="I4" s="2">
        <f>160/1560</f>
        <v>0.10256410256410256</v>
      </c>
      <c r="J4"/>
      <c r="K4"/>
      <c r="L4"/>
      <c r="M4"/>
      <c r="N4"/>
    </row>
    <row r="5" spans="1:14">
      <c r="B5" s="11" t="s">
        <v>69</v>
      </c>
      <c r="C5" s="38">
        <f>'Hourly Rates'!E3*'Hourly Rates'!B3</f>
        <v>8721</v>
      </c>
      <c r="D5" s="38">
        <f>C5*1.03</f>
        <v>8982.630000000001</v>
      </c>
      <c r="E5" s="38">
        <f t="shared" si="0"/>
        <v>9252.1089000000011</v>
      </c>
      <c r="F5" s="72">
        <f t="shared" si="0"/>
        <v>9529.6721670000006</v>
      </c>
      <c r="G5" s="37">
        <f>SUM(C5:F5)</f>
        <v>36485.411067000008</v>
      </c>
      <c r="H5" s="56"/>
      <c r="I5" s="2">
        <f>320/2080</f>
        <v>0.15384615384615385</v>
      </c>
      <c r="J5"/>
      <c r="K5"/>
      <c r="L5"/>
      <c r="M5"/>
      <c r="N5"/>
    </row>
    <row r="6" spans="1:14">
      <c r="A6" s="2" t="s">
        <v>11</v>
      </c>
      <c r="B6" s="29" t="s">
        <v>6</v>
      </c>
      <c r="C6" s="36"/>
      <c r="D6" s="36"/>
      <c r="E6" s="36"/>
      <c r="F6" s="71"/>
      <c r="G6" s="37"/>
      <c r="I6"/>
      <c r="J6"/>
      <c r="K6"/>
      <c r="L6"/>
      <c r="M6"/>
      <c r="N6"/>
    </row>
    <row r="7" spans="1:14">
      <c r="B7" s="16" t="s">
        <v>116</v>
      </c>
      <c r="C7" s="38">
        <f>'Hourly Rates'!$B$5*160</f>
        <v>9262.4</v>
      </c>
      <c r="D7" s="38">
        <f>C7*1.03</f>
        <v>9540.271999999999</v>
      </c>
      <c r="E7" s="38">
        <f t="shared" ref="E7:F7" si="1">D7*1.03</f>
        <v>9826.4801599999992</v>
      </c>
      <c r="F7" s="72">
        <f t="shared" si="1"/>
        <v>10121.2745648</v>
      </c>
      <c r="G7" s="37">
        <f>SUM(C7:F7)</f>
        <v>38750.426724799996</v>
      </c>
      <c r="I7" s="2" t="s">
        <v>68</v>
      </c>
      <c r="J7" s="2">
        <v>0.36</v>
      </c>
      <c r="K7"/>
      <c r="L7"/>
      <c r="M7"/>
      <c r="N7"/>
    </row>
    <row r="8" spans="1:14">
      <c r="B8" s="16" t="s">
        <v>59</v>
      </c>
      <c r="C8" s="38">
        <f>160*'Hourly Rates'!B5</f>
        <v>9262.4</v>
      </c>
      <c r="D8" s="36">
        <f>C8*1.03</f>
        <v>9540.271999999999</v>
      </c>
      <c r="E8" s="36">
        <f t="shared" ref="E8:F8" si="2">D8*1.03</f>
        <v>9826.4801599999992</v>
      </c>
      <c r="F8" s="71">
        <f t="shared" si="2"/>
        <v>10121.2745648</v>
      </c>
      <c r="G8" s="37">
        <f>SUM(C8:F8)</f>
        <v>38750.426724799996</v>
      </c>
      <c r="H8" s="39"/>
      <c r="I8" s="2" t="s">
        <v>67</v>
      </c>
      <c r="J8" s="2">
        <v>0.26</v>
      </c>
    </row>
    <row r="9" spans="1:14">
      <c r="A9" s="2" t="s">
        <v>11</v>
      </c>
      <c r="B9" s="9" t="s">
        <v>78</v>
      </c>
      <c r="F9" s="73"/>
      <c r="G9" s="37">
        <f>SUM(C9:F9)</f>
        <v>0</v>
      </c>
    </row>
    <row r="10" spans="1:14">
      <c r="B10" s="7" t="s">
        <v>58</v>
      </c>
      <c r="C10" s="53">
        <f>'Hourly Rates'!B11*160</f>
        <v>8169.6</v>
      </c>
      <c r="D10" s="53">
        <f>C10*1.03</f>
        <v>8414.6880000000001</v>
      </c>
      <c r="E10" s="53">
        <f t="shared" ref="E10:F10" si="3">D10*1.03</f>
        <v>8667.1286400000008</v>
      </c>
      <c r="F10" s="74">
        <f t="shared" si="3"/>
        <v>8927.1424992000011</v>
      </c>
      <c r="G10" s="37">
        <f>SUM(C10:F10)</f>
        <v>34178.559139200006</v>
      </c>
    </row>
    <row r="11" spans="1:14">
      <c r="I11" s="3"/>
      <c r="J11" s="4"/>
      <c r="K11" s="4"/>
      <c r="L11" s="4"/>
    </row>
    <row r="12" spans="1:14">
      <c r="A12" s="2" t="s">
        <v>11</v>
      </c>
      <c r="B12" s="9" t="s">
        <v>85</v>
      </c>
      <c r="C12" s="53"/>
      <c r="D12" s="53"/>
      <c r="E12" s="53"/>
      <c r="F12" s="74"/>
      <c r="G12" s="37"/>
      <c r="I12" s="3" t="s">
        <v>122</v>
      </c>
      <c r="J12" s="4"/>
      <c r="K12" s="4"/>
      <c r="L12" s="4"/>
    </row>
    <row r="13" spans="1:14">
      <c r="B13" s="7" t="s">
        <v>58</v>
      </c>
      <c r="C13" s="53">
        <f>160*'Hourly Rates'!B12</f>
        <v>7187.2000000000007</v>
      </c>
      <c r="D13" s="53">
        <f>C13*1.03</f>
        <v>7402.8160000000007</v>
      </c>
      <c r="E13" s="53">
        <f t="shared" ref="E13:F13" si="4">D13*1.03</f>
        <v>7624.9004800000012</v>
      </c>
      <c r="F13" s="74">
        <f t="shared" si="4"/>
        <v>7853.6474944000011</v>
      </c>
      <c r="G13" s="37">
        <f>SUM(C13:F13)</f>
        <v>30068.563974400004</v>
      </c>
      <c r="I13" s="104" t="s">
        <v>118</v>
      </c>
    </row>
    <row r="14" spans="1:14">
      <c r="I14" s="2" t="s">
        <v>119</v>
      </c>
      <c r="J14" s="2" t="s">
        <v>128</v>
      </c>
    </row>
    <row r="15" spans="1:14">
      <c r="I15" s="2" t="s">
        <v>120</v>
      </c>
    </row>
    <row r="17" spans="1:10">
      <c r="A17" s="2" t="s">
        <v>84</v>
      </c>
      <c r="B17" s="25" t="s">
        <v>41</v>
      </c>
      <c r="C17" s="39"/>
      <c r="D17" s="39"/>
      <c r="E17" s="39"/>
      <c r="F17" s="73"/>
      <c r="G17" s="37">
        <f>SUM(C17:F17)</f>
        <v>0</v>
      </c>
      <c r="I17" s="4" t="s">
        <v>121</v>
      </c>
    </row>
    <row r="18" spans="1:10">
      <c r="B18" s="11" t="s">
        <v>191</v>
      </c>
      <c r="C18" s="36">
        <f>'Hourly Rates'!B4*160</f>
        <v>8000</v>
      </c>
      <c r="D18" s="36">
        <f>C18*1.03</f>
        <v>8240</v>
      </c>
      <c r="E18" s="36">
        <f t="shared" ref="D18:F18" si="5">D18*1.03</f>
        <v>8487.2000000000007</v>
      </c>
      <c r="F18" s="71">
        <f t="shared" si="5"/>
        <v>8741.8160000000007</v>
      </c>
      <c r="G18" s="37">
        <f>SUM(C18:F18)</f>
        <v>33469.016000000003</v>
      </c>
      <c r="I18" s="2" t="s">
        <v>123</v>
      </c>
    </row>
    <row r="19" spans="1:10">
      <c r="D19" s="184"/>
      <c r="I19" s="2" t="s">
        <v>124</v>
      </c>
      <c r="J19" s="5"/>
    </row>
    <row r="20" spans="1:10">
      <c r="I20" s="2" t="s">
        <v>125</v>
      </c>
    </row>
    <row r="21" spans="1:10">
      <c r="B21" s="25" t="s">
        <v>40</v>
      </c>
      <c r="C21" s="39"/>
      <c r="D21" s="39"/>
      <c r="E21" s="39"/>
      <c r="F21" s="73"/>
      <c r="G21" s="37">
        <f>SUM(C21:F21)</f>
        <v>0</v>
      </c>
      <c r="I21" s="2" t="s">
        <v>126</v>
      </c>
    </row>
    <row r="22" spans="1:10">
      <c r="B22" s="11" t="s">
        <v>191</v>
      </c>
      <c r="C22" s="36">
        <f>'Hourly Rates'!B6*160</f>
        <v>7384</v>
      </c>
      <c r="D22" s="36">
        <f>'Hourly Rates'!B6*1.03*160</f>
        <v>7605.52</v>
      </c>
      <c r="E22" s="36">
        <f t="shared" ref="E22" si="6">D22*1.03</f>
        <v>7833.6856000000007</v>
      </c>
      <c r="F22" s="71">
        <f>E22*1.03</f>
        <v>8068.6961680000013</v>
      </c>
      <c r="G22" s="37">
        <f>SUM(C22:F22)</f>
        <v>30891.901768000003</v>
      </c>
      <c r="I22" s="2" t="s">
        <v>127</v>
      </c>
    </row>
    <row r="23" spans="1:10">
      <c r="B23" s="2" t="s">
        <v>192</v>
      </c>
    </row>
    <row r="24" spans="1:10">
      <c r="A24" s="2" t="s">
        <v>12</v>
      </c>
      <c r="B24" s="9" t="s">
        <v>15</v>
      </c>
    </row>
    <row r="26" spans="1:10" ht="17.100000000000001" customHeight="1"/>
    <row r="27" spans="1:10">
      <c r="B27" s="2" t="s">
        <v>155</v>
      </c>
    </row>
    <row r="28" spans="1:10">
      <c r="B28" s="11" t="s">
        <v>8</v>
      </c>
      <c r="C28" s="36">
        <f>20*'Hourly Rates'!B8*39</f>
        <v>15623.400000000001</v>
      </c>
      <c r="D28" s="36">
        <f t="shared" ref="D28:F29" si="7">C28*1.03</f>
        <v>16092.102000000003</v>
      </c>
      <c r="E28" s="36">
        <f t="shared" si="7"/>
        <v>16574.865060000004</v>
      </c>
      <c r="F28" s="71">
        <f t="shared" si="7"/>
        <v>17072.111011800003</v>
      </c>
      <c r="G28" s="37">
        <f t="shared" ref="G28:G32" si="8">SUM(C28:F28)</f>
        <v>65362.478071800011</v>
      </c>
    </row>
    <row r="29" spans="1:10">
      <c r="B29" s="11" t="s">
        <v>9</v>
      </c>
      <c r="C29" s="36">
        <f>40*13*'Hourly Rates'!B8</f>
        <v>10415.6</v>
      </c>
      <c r="D29" s="36">
        <f t="shared" si="7"/>
        <v>10728.068000000001</v>
      </c>
      <c r="E29" s="36">
        <f t="shared" si="7"/>
        <v>11049.910040000001</v>
      </c>
      <c r="F29" s="71">
        <f t="shared" si="7"/>
        <v>11381.407341200002</v>
      </c>
      <c r="G29" s="37">
        <f t="shared" si="8"/>
        <v>43574.9853812</v>
      </c>
    </row>
    <row r="30" spans="1:10">
      <c r="A30"/>
      <c r="B30" t="s">
        <v>19</v>
      </c>
      <c r="C30"/>
      <c r="D30"/>
      <c r="E30"/>
      <c r="F30" s="75"/>
      <c r="G30" s="37">
        <f t="shared" si="8"/>
        <v>0</v>
      </c>
    </row>
    <row r="31" spans="1:10">
      <c r="A31"/>
      <c r="B31" s="11" t="s">
        <v>8</v>
      </c>
      <c r="C31" s="36"/>
      <c r="D31" s="36">
        <f t="shared" ref="D31:F31" si="9">C31*1.03</f>
        <v>0</v>
      </c>
      <c r="E31" s="36">
        <f t="shared" si="9"/>
        <v>0</v>
      </c>
      <c r="F31" s="71">
        <f t="shared" si="9"/>
        <v>0</v>
      </c>
      <c r="G31" s="37">
        <f t="shared" si="8"/>
        <v>0</v>
      </c>
    </row>
    <row r="32" spans="1:10">
      <c r="A32"/>
      <c r="B32" s="11" t="s">
        <v>9</v>
      </c>
      <c r="C32" s="36"/>
      <c r="D32" s="36">
        <f>C32*1.03</f>
        <v>0</v>
      </c>
      <c r="E32" s="36">
        <f>D32*1.03</f>
        <v>0</v>
      </c>
      <c r="F32" s="71">
        <f>E32*1.03</f>
        <v>0</v>
      </c>
      <c r="G32" s="37">
        <f t="shared" si="8"/>
        <v>0</v>
      </c>
    </row>
    <row r="34" spans="1:15">
      <c r="A34" s="95"/>
      <c r="B34" s="99"/>
      <c r="C34" s="103"/>
      <c r="D34" s="103"/>
      <c r="E34" s="103"/>
      <c r="F34" s="103"/>
      <c r="G34" s="103"/>
    </row>
    <row r="36" spans="1:15">
      <c r="A36" t="s">
        <v>28</v>
      </c>
      <c r="B36" t="s">
        <v>57</v>
      </c>
      <c r="C36"/>
      <c r="D36"/>
      <c r="E36"/>
      <c r="F36" s="75"/>
      <c r="G36" s="37"/>
    </row>
    <row r="37" spans="1:15">
      <c r="A37"/>
      <c r="B37" s="11"/>
      <c r="C37" s="36"/>
      <c r="D37" s="36"/>
      <c r="E37" s="36"/>
      <c r="F37" s="71"/>
      <c r="G37" s="37"/>
    </row>
    <row r="38" spans="1:15">
      <c r="A38"/>
      <c r="B38" s="11" t="s">
        <v>70</v>
      </c>
      <c r="C38" s="36">
        <f>'Hourly Rates'!B10*2080*0.25</f>
        <v>11752</v>
      </c>
      <c r="D38" s="36">
        <f t="shared" ref="D38:F38" si="10">C38*1.03</f>
        <v>12104.56</v>
      </c>
      <c r="E38" s="36">
        <f t="shared" si="10"/>
        <v>12467.6968</v>
      </c>
      <c r="F38" s="71">
        <f t="shared" si="10"/>
        <v>12841.727704000001</v>
      </c>
      <c r="G38" s="37">
        <f>SUM(C38:F38)</f>
        <v>49165.984503999993</v>
      </c>
    </row>
    <row r="39" spans="1:15">
      <c r="A39"/>
      <c r="B39" s="11" t="s">
        <v>180</v>
      </c>
      <c r="C39" s="36"/>
      <c r="D39" s="36"/>
      <c r="E39" s="36"/>
      <c r="F39" s="71"/>
      <c r="G39" s="37"/>
    </row>
    <row r="40" spans="1:15" ht="16.5" thickBot="1">
      <c r="A40" s="64"/>
      <c r="B40" s="7" t="s">
        <v>153</v>
      </c>
      <c r="C40" s="49"/>
      <c r="D40" s="49">
        <f>C40*1.03</f>
        <v>0</v>
      </c>
      <c r="E40" s="49">
        <f>D40*1.03</f>
        <v>0</v>
      </c>
      <c r="F40" s="49">
        <f t="shared" ref="F40" si="11">E40*1.03</f>
        <v>0</v>
      </c>
      <c r="G40" s="36">
        <f>SUM(C40:F40)</f>
        <v>0</v>
      </c>
    </row>
    <row r="41" spans="1:15" ht="16.5" thickBot="1">
      <c r="A41" s="63" t="s">
        <v>151</v>
      </c>
      <c r="B41" s="65"/>
      <c r="C41" s="40">
        <f>SUM(C4:C40)</f>
        <v>103358.39999999999</v>
      </c>
      <c r="D41" s="40">
        <f t="shared" ref="D41:G41" si="12">SUM(D4:D40)</f>
        <v>106459.15199999999</v>
      </c>
      <c r="E41" s="40">
        <f t="shared" si="12"/>
        <v>109652.92656000001</v>
      </c>
      <c r="F41" s="40">
        <f t="shared" si="12"/>
        <v>112942.51435680001</v>
      </c>
      <c r="G41" s="40">
        <f t="shared" si="12"/>
        <v>432412.99291679997</v>
      </c>
    </row>
    <row r="42" spans="1:15" ht="16.5" thickBot="1">
      <c r="C42" s="56"/>
      <c r="F42" s="73"/>
    </row>
    <row r="43" spans="1:15" ht="18.75" thickBot="1">
      <c r="A43" s="110" t="s">
        <v>139</v>
      </c>
      <c r="B43" s="21"/>
      <c r="C43" s="42"/>
      <c r="D43" s="42"/>
      <c r="E43" s="42"/>
      <c r="F43" s="76"/>
      <c r="G43" s="43"/>
      <c r="J43"/>
      <c r="K43"/>
      <c r="L43"/>
      <c r="M43"/>
      <c r="N43" s="52"/>
      <c r="O43"/>
    </row>
    <row r="44" spans="1:15">
      <c r="A44" s="2" t="s">
        <v>36</v>
      </c>
      <c r="B44" s="15" t="s">
        <v>20</v>
      </c>
      <c r="C44" s="36"/>
      <c r="D44" s="36"/>
      <c r="E44" s="36"/>
      <c r="F44" s="71"/>
      <c r="G44" s="36">
        <f>SUM(C44:F44)</f>
        <v>0</v>
      </c>
      <c r="J44"/>
      <c r="K44"/>
      <c r="L44"/>
      <c r="M44"/>
      <c r="N44" s="52"/>
      <c r="O44"/>
    </row>
    <row r="45" spans="1:15">
      <c r="B45" s="11" t="s">
        <v>16</v>
      </c>
      <c r="C45" s="36">
        <f>C5*'Hourly Rates'!$B$25</f>
        <v>2563.9739999999997</v>
      </c>
      <c r="D45" s="36">
        <f>D5*'Hourly Rates'!$B$25</f>
        <v>2640.8932199999999</v>
      </c>
      <c r="E45" s="36">
        <f>E5*'Hourly Rates'!$B$25</f>
        <v>2720.1200166000003</v>
      </c>
      <c r="F45" s="71">
        <f>F5*'Hourly Rates'!$B$25</f>
        <v>2801.723617098</v>
      </c>
      <c r="G45" s="36">
        <f>SUM(C45:F45)</f>
        <v>10726.710853697999</v>
      </c>
      <c r="J45"/>
      <c r="K45"/>
      <c r="L45"/>
      <c r="M45"/>
      <c r="N45"/>
      <c r="O45"/>
    </row>
    <row r="46" spans="1:15">
      <c r="B46" s="11" t="s">
        <v>14</v>
      </c>
      <c r="C46" s="36">
        <f>C4*'Hourly Rates'!$B$25</f>
        <v>2228.7552000000001</v>
      </c>
      <c r="D46" s="36">
        <f>D4*'Hourly Rates'!$B$25</f>
        <v>2295.6178559999998</v>
      </c>
      <c r="E46" s="36">
        <f>E4*'Hourly Rates'!$B$25</f>
        <v>2364.48639168</v>
      </c>
      <c r="F46" s="71">
        <f>F4*'Hourly Rates'!$B$25</f>
        <v>2435.4209834304002</v>
      </c>
      <c r="G46" s="36">
        <f>SUM(C46:F46)</f>
        <v>9324.280431110401</v>
      </c>
    </row>
    <row r="47" spans="1:15">
      <c r="B47" s="15" t="s">
        <v>6</v>
      </c>
      <c r="C47" s="36"/>
      <c r="D47" s="36"/>
      <c r="E47" s="36"/>
      <c r="F47" s="71"/>
      <c r="G47" s="36"/>
    </row>
    <row r="48" spans="1:15">
      <c r="B48" s="11" t="s">
        <v>16</v>
      </c>
      <c r="C48" s="36">
        <f>C7*'Hourly Rates'!$B$25</f>
        <v>2723.1455999999998</v>
      </c>
      <c r="D48" s="36">
        <f>D7*'Hourly Rates'!$B$25</f>
        <v>2804.8399679999998</v>
      </c>
      <c r="E48" s="36">
        <f>E7*'Hourly Rates'!$B$25</f>
        <v>2888.9851670399994</v>
      </c>
      <c r="F48" s="71">
        <f>F7*'Hourly Rates'!$B$25</f>
        <v>2975.6547220511998</v>
      </c>
      <c r="G48" s="36">
        <f t="shared" ref="G48:G58" si="13">SUM(C48:F48)</f>
        <v>11392.625457091199</v>
      </c>
    </row>
    <row r="49" spans="1:9">
      <c r="B49" s="7" t="s">
        <v>14</v>
      </c>
      <c r="C49" s="36">
        <f>C8*'Hourly Rates'!$B$25</f>
        <v>2723.1455999999998</v>
      </c>
      <c r="D49" s="36">
        <f>D8*'Hourly Rates'!$B$25</f>
        <v>2804.8399679999998</v>
      </c>
      <c r="E49" s="36">
        <f>E8*'Hourly Rates'!$B$25</f>
        <v>2888.9851670399994</v>
      </c>
      <c r="F49" s="71">
        <f>F8*'Hourly Rates'!$B$25</f>
        <v>2975.6547220511998</v>
      </c>
      <c r="G49" s="36">
        <f t="shared" si="13"/>
        <v>11392.625457091199</v>
      </c>
    </row>
    <row r="50" spans="1:9">
      <c r="B50" s="8" t="s">
        <v>85</v>
      </c>
      <c r="F50" s="73"/>
      <c r="G50" s="36">
        <f t="shared" si="13"/>
        <v>0</v>
      </c>
    </row>
    <row r="51" spans="1:9">
      <c r="B51" s="7" t="s">
        <v>14</v>
      </c>
      <c r="C51" s="56">
        <f>C13*'Hourly Rates'!$B$25</f>
        <v>2113.0368000000003</v>
      </c>
      <c r="D51" s="56">
        <f>D13*'Hourly Rates'!$B$25</f>
        <v>2176.4279040000001</v>
      </c>
      <c r="E51" s="56">
        <f>E13*'Hourly Rates'!$B$25</f>
        <v>2241.7207411200002</v>
      </c>
      <c r="F51" s="73">
        <f>F13*'Hourly Rates'!$B$25</f>
        <v>2308.9723633536</v>
      </c>
      <c r="G51" s="36">
        <f t="shared" si="13"/>
        <v>8840.1578084735993</v>
      </c>
      <c r="I51"/>
    </row>
    <row r="52" spans="1:9">
      <c r="B52" s="8" t="s">
        <v>78</v>
      </c>
      <c r="C52" s="36"/>
      <c r="D52" s="36"/>
      <c r="E52" s="36"/>
      <c r="F52" s="71"/>
      <c r="G52" s="36">
        <f t="shared" si="13"/>
        <v>0</v>
      </c>
      <c r="I52"/>
    </row>
    <row r="53" spans="1:9">
      <c r="B53" s="7" t="s">
        <v>14</v>
      </c>
      <c r="C53" s="36">
        <f>C10*'Hourly Rates'!$B$25</f>
        <v>2401.8624</v>
      </c>
      <c r="D53" s="36">
        <f>D10*'Hourly Rates'!$B$25</f>
        <v>2473.9182719999999</v>
      </c>
      <c r="E53" s="36">
        <f>E10*'Hourly Rates'!$B$25</f>
        <v>2548.1358201600001</v>
      </c>
      <c r="F53" s="71">
        <f>F10*'Hourly Rates'!$B$25</f>
        <v>2624.5798947648</v>
      </c>
      <c r="G53" s="36">
        <f t="shared" si="13"/>
        <v>10048.4963869248</v>
      </c>
      <c r="I53"/>
    </row>
    <row r="54" spans="1:9">
      <c r="B54" s="15" t="s">
        <v>41</v>
      </c>
      <c r="C54" s="36"/>
      <c r="D54" s="36"/>
      <c r="E54" s="36"/>
      <c r="F54" s="71"/>
      <c r="G54" s="36">
        <f t="shared" si="13"/>
        <v>0</v>
      </c>
      <c r="I54"/>
    </row>
    <row r="55" spans="1:9">
      <c r="B55" s="11"/>
      <c r="C55" s="36"/>
      <c r="D55" s="36"/>
      <c r="E55" s="36"/>
      <c r="F55" s="71"/>
      <c r="G55" s="36">
        <f t="shared" si="13"/>
        <v>0</v>
      </c>
      <c r="I55"/>
    </row>
    <row r="56" spans="1:9">
      <c r="B56" s="7" t="s">
        <v>14</v>
      </c>
      <c r="C56" s="36">
        <f>C18*'Hourly Rates'!$B$25</f>
        <v>2352</v>
      </c>
      <c r="D56" s="36">
        <f>D18*'Hourly Rates'!$B$25</f>
        <v>2422.56</v>
      </c>
      <c r="E56" s="36">
        <f>E18*'Hourly Rates'!$B$25</f>
        <v>2495.2368000000001</v>
      </c>
      <c r="F56" s="71">
        <f>F18*'Hourly Rates'!$B$25</f>
        <v>2570.0939040000003</v>
      </c>
      <c r="G56" s="36">
        <f t="shared" si="13"/>
        <v>9839.8907040000013</v>
      </c>
      <c r="I56"/>
    </row>
    <row r="57" spans="1:9">
      <c r="B57" s="15" t="s">
        <v>40</v>
      </c>
      <c r="C57" s="36"/>
      <c r="D57" s="36"/>
      <c r="E57" s="36"/>
      <c r="F57" s="71"/>
      <c r="G57" s="36">
        <f t="shared" si="13"/>
        <v>0</v>
      </c>
      <c r="I57"/>
    </row>
    <row r="58" spans="1:9">
      <c r="B58" s="7" t="s">
        <v>14</v>
      </c>
      <c r="C58" s="36">
        <f>C22*'Hourly Rates'!$B$25</f>
        <v>2170.8959999999997</v>
      </c>
      <c r="D58" s="36">
        <f>D22*'Hourly Rates'!$B$25</f>
        <v>2236.02288</v>
      </c>
      <c r="E58" s="36">
        <f>E22*'Hourly Rates'!$B$25</f>
        <v>2303.1035664000001</v>
      </c>
      <c r="F58" s="71">
        <f>F22*'Hourly Rates'!$B$25</f>
        <v>2372.1966733920003</v>
      </c>
      <c r="G58" s="36">
        <f t="shared" si="13"/>
        <v>9082.2191197920001</v>
      </c>
      <c r="I58"/>
    </row>
    <row r="59" spans="1:9">
      <c r="F59" s="73"/>
      <c r="G59" s="36">
        <f t="shared" ref="G59:G73" si="14">SUM(C59:F59)</f>
        <v>0</v>
      </c>
    </row>
    <row r="60" spans="1:9">
      <c r="A60" s="2" t="s">
        <v>37</v>
      </c>
      <c r="B60" s="8" t="s">
        <v>15</v>
      </c>
      <c r="C60" s="36"/>
      <c r="D60" s="36"/>
      <c r="E60" s="36"/>
      <c r="F60" s="71"/>
      <c r="G60" s="36">
        <f t="shared" si="14"/>
        <v>0</v>
      </c>
    </row>
    <row r="64" spans="1:9">
      <c r="B64"/>
      <c r="C64"/>
      <c r="D64"/>
      <c r="E64"/>
      <c r="F64"/>
      <c r="G64"/>
    </row>
    <row r="65" spans="1:9">
      <c r="B65" s="17" t="s">
        <v>7</v>
      </c>
      <c r="C65" s="36"/>
      <c r="D65" s="36"/>
      <c r="E65" s="36"/>
      <c r="F65" s="71"/>
      <c r="G65" s="36">
        <f t="shared" si="14"/>
        <v>0</v>
      </c>
    </row>
    <row r="66" spans="1:9">
      <c r="B66" s="11" t="s">
        <v>8</v>
      </c>
      <c r="C66" s="36">
        <f>C28*'Hourly Rates'!$B$27</f>
        <v>468.702</v>
      </c>
      <c r="D66" s="36">
        <f>C66*1.03</f>
        <v>482.76306</v>
      </c>
      <c r="E66" s="36">
        <f t="shared" ref="E66:F66" si="15">D66*1.03</f>
        <v>497.2459518</v>
      </c>
      <c r="F66" s="71">
        <f t="shared" si="15"/>
        <v>512.16333035399998</v>
      </c>
      <c r="G66" s="36">
        <f t="shared" si="14"/>
        <v>1960.874342154</v>
      </c>
    </row>
    <row r="67" spans="1:9">
      <c r="B67" s="11" t="s">
        <v>9</v>
      </c>
      <c r="C67" s="36">
        <f>C29*'Hourly Rates'!$B$27</f>
        <v>312.46800000000002</v>
      </c>
      <c r="D67" s="36">
        <f>C67*1.03</f>
        <v>321.84204000000005</v>
      </c>
      <c r="E67" s="36">
        <f t="shared" ref="E67:F67" si="16">D67*1.03</f>
        <v>331.49730120000004</v>
      </c>
      <c r="F67" s="71">
        <f t="shared" si="16"/>
        <v>341.44222023600003</v>
      </c>
      <c r="G67" s="36">
        <f t="shared" si="14"/>
        <v>1307.249561436</v>
      </c>
    </row>
    <row r="68" spans="1:9">
      <c r="B68" s="2" t="s">
        <v>19</v>
      </c>
      <c r="F68" s="73"/>
      <c r="G68" s="36">
        <f t="shared" si="14"/>
        <v>0</v>
      </c>
    </row>
    <row r="69" spans="1:9">
      <c r="B69" s="11" t="s">
        <v>8</v>
      </c>
      <c r="C69" s="36">
        <f>C31*'Hourly Rates'!$B$27</f>
        <v>0</v>
      </c>
      <c r="D69" s="36">
        <f>D31*'Hourly Rates'!$B$27</f>
        <v>0</v>
      </c>
      <c r="E69" s="36">
        <f>E31*'Hourly Rates'!$B$27</f>
        <v>0</v>
      </c>
      <c r="F69" s="71">
        <f>F31*'Hourly Rates'!$B$27</f>
        <v>0</v>
      </c>
      <c r="G69" s="36">
        <f t="shared" si="14"/>
        <v>0</v>
      </c>
    </row>
    <row r="70" spans="1:9">
      <c r="B70" s="11" t="s">
        <v>9</v>
      </c>
      <c r="C70" s="36">
        <f>C32*'Hourly Rates'!$B$27</f>
        <v>0</v>
      </c>
      <c r="D70" s="36">
        <f>D32*'Hourly Rates'!$B$27</f>
        <v>0</v>
      </c>
      <c r="E70" s="36">
        <f>E32*'Hourly Rates'!$B$27</f>
        <v>0</v>
      </c>
      <c r="F70" s="71">
        <f>F32*'Hourly Rates'!$B$27</f>
        <v>0</v>
      </c>
      <c r="G70" s="36">
        <f t="shared" si="14"/>
        <v>0</v>
      </c>
    </row>
    <row r="71" spans="1:9">
      <c r="B71" s="11"/>
      <c r="C71" s="36"/>
      <c r="D71" s="36"/>
      <c r="E71" s="36"/>
      <c r="F71" s="71"/>
      <c r="G71" s="36">
        <f t="shared" si="14"/>
        <v>0</v>
      </c>
    </row>
    <row r="72" spans="1:9">
      <c r="A72" s="2" t="s">
        <v>28</v>
      </c>
      <c r="B72" s="2" t="s">
        <v>72</v>
      </c>
      <c r="F72" s="73"/>
      <c r="G72" s="36">
        <f t="shared" si="14"/>
        <v>0</v>
      </c>
    </row>
    <row r="73" spans="1:9">
      <c r="B73" s="7" t="s">
        <v>70</v>
      </c>
      <c r="C73" s="49">
        <f>C38*'Hourly Rates'!$B$26</f>
        <v>4794.8159999999998</v>
      </c>
      <c r="D73" s="49">
        <f>D38*'Hourly Rates'!$B$26</f>
        <v>4938.6604799999996</v>
      </c>
      <c r="E73" s="49">
        <f>E38*'Hourly Rates'!$B$26</f>
        <v>5086.8202943999995</v>
      </c>
      <c r="F73" s="77">
        <f>F38*'Hourly Rates'!$B$26</f>
        <v>5239.4249032320004</v>
      </c>
      <c r="G73" s="36">
        <f t="shared" si="14"/>
        <v>20059.721677631998</v>
      </c>
    </row>
    <row r="74" spans="1:9">
      <c r="B74" s="2" t="s">
        <v>180</v>
      </c>
      <c r="C74" s="49"/>
      <c r="D74" s="49"/>
      <c r="E74" s="49"/>
      <c r="F74" s="49"/>
      <c r="G74" s="36"/>
    </row>
    <row r="75" spans="1:9">
      <c r="C75" s="49">
        <f>C40*'Hourly Rates'!$B$26</f>
        <v>0</v>
      </c>
      <c r="D75" s="49">
        <f>D40*'Hourly Rates'!$B$26</f>
        <v>0</v>
      </c>
      <c r="E75" s="49">
        <f>E40*'Hourly Rates'!$B$26</f>
        <v>0</v>
      </c>
      <c r="F75" s="49">
        <f>F40*'Hourly Rates'!$B$26</f>
        <v>0</v>
      </c>
      <c r="G75" s="39">
        <f>SUM(C75:F75)</f>
        <v>0</v>
      </c>
    </row>
    <row r="76" spans="1:9" ht="16.5" thickBot="1">
      <c r="B76" s="7"/>
      <c r="C76" s="49"/>
      <c r="D76" s="49"/>
      <c r="E76" s="49"/>
      <c r="F76" s="77"/>
      <c r="G76" s="36"/>
    </row>
    <row r="77" spans="1:9" ht="16.5" thickBot="1">
      <c r="A77" s="62" t="s">
        <v>17</v>
      </c>
      <c r="B77" s="59"/>
      <c r="C77" s="51">
        <f>SUM(C45:C76)</f>
        <v>24852.801600000003</v>
      </c>
      <c r="D77" s="51">
        <f t="shared" ref="D77:F77" si="17">SUM(D45:D76)</f>
        <v>25598.385647999999</v>
      </c>
      <c r="E77" s="51">
        <f t="shared" si="17"/>
        <v>26366.337217439999</v>
      </c>
      <c r="F77" s="51">
        <f t="shared" si="17"/>
        <v>27157.327333963203</v>
      </c>
      <c r="G77" s="60">
        <f>SUM(C77:F77)</f>
        <v>103974.8517994032</v>
      </c>
      <c r="I77"/>
    </row>
    <row r="78" spans="1:9" ht="16.5" thickBot="1">
      <c r="F78" s="73"/>
      <c r="I78"/>
    </row>
    <row r="79" spans="1:9" ht="18.75" thickBot="1">
      <c r="A79" s="111" t="s">
        <v>140</v>
      </c>
      <c r="B79" s="23"/>
      <c r="C79" s="44"/>
      <c r="D79" s="44"/>
      <c r="E79" s="44"/>
      <c r="F79" s="79"/>
      <c r="G79" s="45"/>
      <c r="I79"/>
    </row>
    <row r="80" spans="1:9">
      <c r="A80" s="10"/>
      <c r="B80" s="8"/>
      <c r="C80" s="46"/>
      <c r="D80" s="46"/>
      <c r="E80" s="46"/>
      <c r="F80" s="80"/>
      <c r="G80" s="46"/>
      <c r="I80"/>
    </row>
    <row r="81" spans="1:9" ht="16.5" thickBot="1">
      <c r="A81" s="61"/>
      <c r="B81" s="8"/>
      <c r="C81" s="46"/>
      <c r="D81" s="46"/>
      <c r="E81" s="46"/>
      <c r="F81" s="80"/>
      <c r="G81" s="46"/>
      <c r="I81"/>
    </row>
    <row r="82" spans="1:9" ht="16.5" thickBot="1">
      <c r="A82" s="24" t="s">
        <v>150</v>
      </c>
      <c r="B82" s="59"/>
      <c r="C82" s="51">
        <f>SUM(C81)</f>
        <v>0</v>
      </c>
      <c r="D82" s="51">
        <f t="shared" ref="D82:G82" si="18">SUM(D81)</f>
        <v>0</v>
      </c>
      <c r="E82" s="51">
        <f t="shared" si="18"/>
        <v>0</v>
      </c>
      <c r="F82" s="78">
        <f t="shared" si="18"/>
        <v>0</v>
      </c>
      <c r="G82" s="60">
        <f t="shared" si="18"/>
        <v>0</v>
      </c>
      <c r="I82"/>
    </row>
    <row r="83" spans="1:9" ht="18.75" thickBot="1">
      <c r="A83" s="112" t="s">
        <v>141</v>
      </c>
      <c r="B83" s="21"/>
      <c r="C83" s="42"/>
      <c r="D83" s="42"/>
      <c r="E83" s="42"/>
      <c r="F83" s="76"/>
      <c r="G83" s="43"/>
      <c r="I83"/>
    </row>
    <row r="84" spans="1:9">
      <c r="A84" s="20" t="s">
        <v>64</v>
      </c>
      <c r="B84" s="10"/>
      <c r="C84" s="36"/>
      <c r="D84" s="36"/>
      <c r="E84" s="36"/>
      <c r="F84" s="71"/>
      <c r="G84" s="36"/>
      <c r="I84"/>
    </row>
    <row r="85" spans="1:9">
      <c r="B85" s="33" t="s">
        <v>83</v>
      </c>
      <c r="C85" s="36">
        <v>684</v>
      </c>
      <c r="D85" s="36">
        <f>C85</f>
        <v>684</v>
      </c>
      <c r="E85" s="36">
        <f t="shared" ref="E85:F85" si="19">D85</f>
        <v>684</v>
      </c>
      <c r="F85" s="71">
        <f t="shared" si="19"/>
        <v>684</v>
      </c>
      <c r="G85" s="36">
        <f>SUM(C85:F85)</f>
        <v>2736</v>
      </c>
      <c r="I85" s="1"/>
    </row>
    <row r="86" spans="1:9">
      <c r="B86" s="18" t="s">
        <v>82</v>
      </c>
      <c r="C86" s="47">
        <v>1800</v>
      </c>
      <c r="D86" s="47">
        <f>C86</f>
        <v>1800</v>
      </c>
      <c r="E86" s="47">
        <f t="shared" ref="E86:F87" si="20">D86</f>
        <v>1800</v>
      </c>
      <c r="F86" s="71">
        <f t="shared" si="20"/>
        <v>1800</v>
      </c>
      <c r="G86" s="36">
        <f t="shared" ref="G86:G87" si="21">SUM(C86:F86)</f>
        <v>7200</v>
      </c>
    </row>
    <row r="87" spans="1:9">
      <c r="B87" s="18" t="s">
        <v>63</v>
      </c>
      <c r="C87" s="47">
        <v>2000</v>
      </c>
      <c r="D87" s="47">
        <f>C87</f>
        <v>2000</v>
      </c>
      <c r="E87" s="47">
        <f t="shared" si="20"/>
        <v>2000</v>
      </c>
      <c r="F87" s="71">
        <f t="shared" si="20"/>
        <v>2000</v>
      </c>
      <c r="G87" s="36">
        <f t="shared" si="21"/>
        <v>8000</v>
      </c>
    </row>
    <row r="88" spans="1:9">
      <c r="A88" s="19"/>
      <c r="B88" s="10"/>
      <c r="C88" s="47"/>
      <c r="D88" s="39"/>
      <c r="E88" s="47"/>
      <c r="F88" s="81"/>
      <c r="G88" s="36"/>
    </row>
    <row r="89" spans="1:9">
      <c r="A89" s="19" t="s">
        <v>159</v>
      </c>
      <c r="B89" s="33" t="s">
        <v>73</v>
      </c>
      <c r="C89" s="47">
        <f>'UI Team Travel'!B4*'UI Team Travel'!C4*'UI Team Travel'!D4</f>
        <v>2450</v>
      </c>
      <c r="D89" s="39">
        <f>C89</f>
        <v>2450</v>
      </c>
      <c r="E89" s="39">
        <f t="shared" ref="E89:F89" si="22">D89</f>
        <v>2450</v>
      </c>
      <c r="F89" s="39">
        <f t="shared" si="22"/>
        <v>2450</v>
      </c>
      <c r="G89" s="36">
        <f>SUM(C89:F89)</f>
        <v>9800</v>
      </c>
    </row>
    <row r="90" spans="1:9" s="10" customFormat="1">
      <c r="A90" s="19"/>
      <c r="B90" s="18" t="s">
        <v>160</v>
      </c>
      <c r="C90" s="47">
        <f>'UI Team Travel'!B4*'UI Team Travel'!C4*'UI Team Travel'!E4</f>
        <v>4800</v>
      </c>
      <c r="D90" s="39">
        <f t="shared" ref="D90:F91" si="23">C90</f>
        <v>4800</v>
      </c>
      <c r="E90" s="39">
        <f t="shared" si="23"/>
        <v>4800</v>
      </c>
      <c r="F90" s="39">
        <f t="shared" si="23"/>
        <v>4800</v>
      </c>
      <c r="G90" s="36">
        <f t="shared" ref="G90:G91" si="24">SUM(C90:F90)</f>
        <v>19200</v>
      </c>
    </row>
    <row r="91" spans="1:9" s="10" customFormat="1">
      <c r="A91" s="19"/>
      <c r="B91" s="18" t="s">
        <v>161</v>
      </c>
      <c r="C91" s="47">
        <f>'UI Team Travel'!B4*'UI Team Travel'!H4*'UI Team Travel'!I4</f>
        <v>2300</v>
      </c>
      <c r="D91" s="39">
        <f t="shared" si="23"/>
        <v>2300</v>
      </c>
      <c r="E91" s="39">
        <f t="shared" si="23"/>
        <v>2300</v>
      </c>
      <c r="F91" s="39">
        <f t="shared" si="23"/>
        <v>2300</v>
      </c>
      <c r="G91" s="36">
        <f t="shared" si="24"/>
        <v>9200</v>
      </c>
    </row>
    <row r="92" spans="1:9" s="10" customFormat="1">
      <c r="A92" s="19"/>
      <c r="C92" s="47"/>
      <c r="D92" s="39"/>
      <c r="E92" s="47"/>
      <c r="F92" s="81"/>
      <c r="G92" s="36"/>
    </row>
    <row r="93" spans="1:9" s="10" customFormat="1">
      <c r="A93" s="19" t="s">
        <v>202</v>
      </c>
      <c r="B93" s="33" t="s">
        <v>73</v>
      </c>
      <c r="C93" s="47">
        <f>'UI Team Travel'!B8*'UI Team Travel'!C8*'UI Team Travel'!D8</f>
        <v>0</v>
      </c>
      <c r="D93" s="39">
        <f>C93</f>
        <v>0</v>
      </c>
      <c r="E93" s="39">
        <f>'UI Team Travel'!B3*'UI Team Travel'!D3*'UI Team Travel'!C3</f>
        <v>1960</v>
      </c>
      <c r="F93" s="39">
        <f t="shared" ref="F93:F95" si="25">E93</f>
        <v>1960</v>
      </c>
      <c r="G93" s="36">
        <f>SUM(C93:F93)</f>
        <v>3920</v>
      </c>
    </row>
    <row r="94" spans="1:9" s="10" customFormat="1">
      <c r="A94" s="19"/>
      <c r="B94" s="18" t="s">
        <v>160</v>
      </c>
      <c r="C94" s="47">
        <f>'UI Team Travel'!B8*'UI Team Travel'!C8*'UI Team Travel'!E8</f>
        <v>0</v>
      </c>
      <c r="D94" s="39">
        <f t="shared" ref="D94:D95" si="26">C94</f>
        <v>0</v>
      </c>
      <c r="E94" s="39">
        <f>'UI Team Travel'!B3*'UI Team Travel'!C3*'UI Team Travel'!E3</f>
        <v>3840</v>
      </c>
      <c r="F94" s="39">
        <f t="shared" si="25"/>
        <v>3840</v>
      </c>
      <c r="G94" s="36">
        <f t="shared" ref="G94:G95" si="27">SUM(C94:F94)</f>
        <v>7680</v>
      </c>
    </row>
    <row r="95" spans="1:9" s="10" customFormat="1">
      <c r="A95" s="19"/>
      <c r="B95" s="18" t="s">
        <v>161</v>
      </c>
      <c r="C95" s="47">
        <f>'UI Team Travel'!B8*'UI Team Travel'!H8*'UI Team Travel'!I8</f>
        <v>0</v>
      </c>
      <c r="D95" s="39">
        <f t="shared" si="26"/>
        <v>0</v>
      </c>
      <c r="E95" s="39">
        <f>'UI Team Travel'!B3*'UI Team Travel'!C3*'UI Team Travel'!H3*'UI Team Travel'!I3</f>
        <v>4600</v>
      </c>
      <c r="F95" s="39">
        <f t="shared" si="25"/>
        <v>4600</v>
      </c>
      <c r="G95" s="36">
        <f t="shared" si="27"/>
        <v>9200</v>
      </c>
    </row>
    <row r="96" spans="1:9" s="10" customFormat="1">
      <c r="A96" s="19"/>
      <c r="C96" s="47"/>
      <c r="D96" s="39"/>
      <c r="E96" s="47"/>
      <c r="F96" s="81"/>
      <c r="G96" s="36"/>
    </row>
    <row r="97" spans="1:20">
      <c r="A97" s="2" t="s">
        <v>79</v>
      </c>
      <c r="B97" s="33" t="s">
        <v>83</v>
      </c>
      <c r="C97" s="36"/>
      <c r="D97" s="36"/>
      <c r="E97" s="36">
        <f>F97</f>
        <v>684</v>
      </c>
      <c r="F97" s="71">
        <f>'UI Team Travel'!B5*'UI Team Travel'!D5*'UI Team Travel'!C5</f>
        <v>684</v>
      </c>
      <c r="G97" s="36">
        <f>SUM(C97:F97)</f>
        <v>1368</v>
      </c>
    </row>
    <row r="98" spans="1:20">
      <c r="B98" s="18" t="s">
        <v>66</v>
      </c>
      <c r="C98" s="47"/>
      <c r="D98" s="47"/>
      <c r="E98" s="36">
        <f>F98</f>
        <v>1800</v>
      </c>
      <c r="F98" s="71">
        <f>'UI Team Travel'!B5*'UI Team Travel'!C5*'UI Team Travel'!E5</f>
        <v>1800</v>
      </c>
      <c r="G98" s="36">
        <f>SUM(C98:F98)</f>
        <v>3600</v>
      </c>
    </row>
    <row r="99" spans="1:20">
      <c r="B99" s="18" t="s">
        <v>63</v>
      </c>
      <c r="C99" s="47"/>
      <c r="D99" s="47"/>
      <c r="E99" s="36">
        <f>F99</f>
        <v>2000</v>
      </c>
      <c r="F99" s="71">
        <f>'UI Team Travel'!B5*'UI Team Travel'!F5</f>
        <v>2000</v>
      </c>
      <c r="G99" s="36">
        <f>SUM(C99:F99)</f>
        <v>4000</v>
      </c>
    </row>
    <row r="100" spans="1:20">
      <c r="B100" s="6" t="s">
        <v>80</v>
      </c>
      <c r="E100" s="36">
        <f>F100</f>
        <v>800</v>
      </c>
      <c r="F100" s="77">
        <f>'UI Team Travel'!B5*'UI Team Travel'!J5</f>
        <v>800</v>
      </c>
      <c r="G100" s="36">
        <f>SUM(C100:F100)</f>
        <v>1600</v>
      </c>
    </row>
    <row r="101" spans="1:20" ht="16.5" thickBot="1">
      <c r="A101"/>
      <c r="B101"/>
      <c r="C101"/>
      <c r="D101"/>
      <c r="E101"/>
      <c r="F101"/>
      <c r="G101"/>
    </row>
    <row r="102" spans="1:20" ht="16.5" thickBot="1">
      <c r="A102" s="14" t="s">
        <v>148</v>
      </c>
      <c r="B102" s="13"/>
      <c r="C102" s="40">
        <f>SUM(C85:C101)</f>
        <v>14034</v>
      </c>
      <c r="D102" s="40">
        <f t="shared" ref="D102:F102" si="28">SUM(D85:D101)</f>
        <v>14034</v>
      </c>
      <c r="E102" s="40">
        <f t="shared" si="28"/>
        <v>29718</v>
      </c>
      <c r="F102" s="40">
        <f t="shared" si="28"/>
        <v>29718</v>
      </c>
      <c r="G102" s="40">
        <f>SUM(C102:F102)</f>
        <v>87504</v>
      </c>
    </row>
    <row r="103" spans="1:20" ht="18.75" thickBot="1">
      <c r="A103" s="112" t="s">
        <v>142</v>
      </c>
      <c r="B103" s="21"/>
      <c r="C103" s="42"/>
      <c r="D103" s="42"/>
      <c r="E103" s="42"/>
      <c r="F103" s="76"/>
      <c r="G103" s="43"/>
    </row>
    <row r="104" spans="1:20" s="99" customFormat="1">
      <c r="A104" s="7" t="s">
        <v>164</v>
      </c>
      <c r="B104"/>
      <c r="C104"/>
      <c r="D104"/>
      <c r="E104"/>
      <c r="F104"/>
      <c r="G104"/>
      <c r="H104" s="90"/>
      <c r="I104"/>
      <c r="J104"/>
      <c r="K104"/>
      <c r="L104"/>
      <c r="M104"/>
      <c r="N104"/>
      <c r="O104"/>
      <c r="P104"/>
    </row>
    <row r="105" spans="1:20" s="99" customFormat="1">
      <c r="A105"/>
      <c r="B105" s="105" t="s">
        <v>56</v>
      </c>
      <c r="C105" s="64">
        <f>O113*K113+O114*K114</f>
        <v>96000</v>
      </c>
      <c r="D105" s="64">
        <f>L113*O113+L114*O114</f>
        <v>160000</v>
      </c>
      <c r="E105" s="64">
        <f>O113*M113+O114*M114</f>
        <v>96000</v>
      </c>
      <c r="F105" s="64">
        <f>N113*O113+N114*O114</f>
        <v>32000</v>
      </c>
      <c r="G105" s="88">
        <f>SUM(C105:F105)</f>
        <v>384000</v>
      </c>
      <c r="H105" s="90"/>
      <c r="I105"/>
      <c r="J105"/>
      <c r="K105"/>
      <c r="L105"/>
      <c r="M105"/>
      <c r="N105"/>
      <c r="O105"/>
      <c r="P105"/>
    </row>
    <row r="106" spans="1:20" s="99" customFormat="1">
      <c r="A106"/>
      <c r="B106" s="105" t="s">
        <v>60</v>
      </c>
      <c r="C106" s="64"/>
      <c r="D106" s="64"/>
      <c r="E106" s="88"/>
      <c r="F106" s="88"/>
      <c r="G106" s="88"/>
      <c r="H106" s="90"/>
      <c r="I106"/>
      <c r="J106" s="84" t="s">
        <v>114</v>
      </c>
      <c r="K106" s="58" t="s">
        <v>71</v>
      </c>
      <c r="L106" s="58" t="s">
        <v>53</v>
      </c>
      <c r="M106" s="58" t="s">
        <v>54</v>
      </c>
      <c r="N106" s="58" t="s">
        <v>32</v>
      </c>
      <c r="O106" s="58" t="s">
        <v>61</v>
      </c>
      <c r="P106" s="58" t="s">
        <v>62</v>
      </c>
    </row>
    <row r="107" spans="1:20" s="99" customFormat="1">
      <c r="A107"/>
      <c r="B107" s="105" t="s">
        <v>97</v>
      </c>
      <c r="C107" s="64"/>
      <c r="D107" s="64"/>
      <c r="E107" s="88"/>
      <c r="F107" s="88"/>
      <c r="G107" s="88"/>
      <c r="H107" s="91"/>
      <c r="I107"/>
      <c r="J107" s="2" t="s">
        <v>132</v>
      </c>
      <c r="K107" s="2">
        <v>32</v>
      </c>
      <c r="L107" s="2">
        <v>25</v>
      </c>
      <c r="M107" s="2">
        <v>25</v>
      </c>
      <c r="N107" s="2">
        <v>3</v>
      </c>
      <c r="O107" s="2"/>
      <c r="P107" s="2"/>
    </row>
    <row r="108" spans="1:20" s="99" customFormat="1">
      <c r="A108"/>
      <c r="B108" s="105" t="s">
        <v>168</v>
      </c>
      <c r="C108" s="64"/>
      <c r="D108" s="64">
        <f>'Organized by category'!K119*'Organized by category'!K120*K118</f>
        <v>31200</v>
      </c>
      <c r="E108" s="64">
        <f>D108</f>
        <v>31200</v>
      </c>
      <c r="F108" s="64"/>
      <c r="G108" s="88">
        <f>SUM(C108:F108)</f>
        <v>62400</v>
      </c>
      <c r="H108" s="90"/>
      <c r="I108"/>
      <c r="J108" t="s">
        <v>162</v>
      </c>
      <c r="K108">
        <v>32</v>
      </c>
      <c r="L108">
        <v>25</v>
      </c>
      <c r="M108">
        <v>25</v>
      </c>
      <c r="N108">
        <v>5</v>
      </c>
      <c r="O108">
        <v>400</v>
      </c>
      <c r="P108">
        <v>0.57499999999999996</v>
      </c>
    </row>
    <row r="109" spans="1:20" s="99" customFormat="1">
      <c r="A109" s="85"/>
      <c r="B109" s="86"/>
      <c r="C109" s="86"/>
      <c r="D109" s="86"/>
      <c r="E109" s="101"/>
      <c r="F109" s="86"/>
      <c r="G109" s="86"/>
      <c r="H109" s="90"/>
      <c r="I109"/>
      <c r="J109" s="2" t="s">
        <v>166</v>
      </c>
      <c r="K109" s="2">
        <v>32</v>
      </c>
      <c r="L109" s="2">
        <v>25</v>
      </c>
      <c r="M109" s="2">
        <v>25</v>
      </c>
      <c r="N109" s="10">
        <v>8</v>
      </c>
      <c r="O109" s="2"/>
      <c r="P109" s="2"/>
      <c r="R109" s="95"/>
      <c r="S109" s="95"/>
      <c r="T109" s="95"/>
    </row>
    <row r="110" spans="1:20" s="99" customFormat="1">
      <c r="A110" s="123" t="s">
        <v>165</v>
      </c>
      <c r="B110"/>
      <c r="C110"/>
      <c r="D110"/>
      <c r="E110"/>
      <c r="F110"/>
      <c r="G110"/>
      <c r="H110" s="90"/>
      <c r="I110"/>
      <c r="J110" s="2" t="s">
        <v>194</v>
      </c>
      <c r="K110" s="2">
        <v>32</v>
      </c>
      <c r="L110" s="2">
        <v>25</v>
      </c>
      <c r="M110" s="2">
        <v>25</v>
      </c>
      <c r="N110" s="10">
        <v>15</v>
      </c>
      <c r="O110"/>
      <c r="P110"/>
      <c r="R110" s="95"/>
      <c r="S110" s="95"/>
      <c r="T110" s="95"/>
    </row>
    <row r="111" spans="1:20" s="99" customFormat="1">
      <c r="A111"/>
      <c r="B111" s="105" t="s">
        <v>56</v>
      </c>
      <c r="C111"/>
      <c r="D111"/>
      <c r="E111"/>
      <c r="F111"/>
      <c r="G111"/>
      <c r="H111" s="90"/>
      <c r="I111"/>
      <c r="J111"/>
      <c r="K111"/>
      <c r="L111"/>
      <c r="M111"/>
      <c r="N111"/>
      <c r="O111"/>
      <c r="P111"/>
      <c r="R111" s="95"/>
      <c r="S111" s="95"/>
      <c r="T111" s="95"/>
    </row>
    <row r="112" spans="1:20" s="99" customFormat="1">
      <c r="A112"/>
      <c r="B112" s="105" t="s">
        <v>60</v>
      </c>
      <c r="C112"/>
      <c r="D112">
        <f>(K108*M108*N108)+(K108*O108*P108)</f>
        <v>11360</v>
      </c>
      <c r="E112">
        <f>D112*2</f>
        <v>22720</v>
      </c>
      <c r="F112">
        <f>D112</f>
        <v>11360</v>
      </c>
      <c r="G112">
        <f>SUM(C112:F112)</f>
        <v>45440</v>
      </c>
      <c r="H112" s="90"/>
      <c r="I112"/>
      <c r="J112" s="84" t="s">
        <v>56</v>
      </c>
      <c r="K112" t="s">
        <v>177</v>
      </c>
      <c r="L112" t="s">
        <v>1</v>
      </c>
      <c r="M112" t="s">
        <v>2</v>
      </c>
      <c r="N112" t="s">
        <v>3</v>
      </c>
      <c r="O112" t="s">
        <v>174</v>
      </c>
      <c r="P112"/>
      <c r="R112" s="95"/>
      <c r="S112" s="95"/>
      <c r="T112" s="95"/>
    </row>
    <row r="113" spans="1:20" s="99" customFormat="1">
      <c r="A113"/>
      <c r="B113" s="105" t="s">
        <v>97</v>
      </c>
      <c r="C113"/>
      <c r="D113">
        <f>K108*L108*N108</f>
        <v>4000</v>
      </c>
      <c r="E113">
        <f>D113*2</f>
        <v>8000</v>
      </c>
      <c r="F113">
        <f>D113</f>
        <v>4000</v>
      </c>
      <c r="G113">
        <f>SUM(C113:F113)</f>
        <v>16000</v>
      </c>
      <c r="H113" s="90"/>
      <c r="I113"/>
      <c r="J113" s="99" t="s">
        <v>178</v>
      </c>
      <c r="K113" s="95">
        <v>3000</v>
      </c>
      <c r="L113">
        <v>2000</v>
      </c>
      <c r="M113">
        <v>1000</v>
      </c>
      <c r="N113">
        <v>0</v>
      </c>
      <c r="O113">
        <v>32</v>
      </c>
      <c r="P113"/>
      <c r="R113" s="95"/>
      <c r="S113" s="95"/>
      <c r="T113" s="95"/>
    </row>
    <row r="114" spans="1:20" s="99" customFormat="1">
      <c r="A114"/>
      <c r="B114" s="105" t="s">
        <v>98</v>
      </c>
      <c r="C114"/>
      <c r="D114"/>
      <c r="E114"/>
      <c r="F114"/>
      <c r="G114"/>
      <c r="H114" s="90"/>
      <c r="I114"/>
      <c r="J114" s="99" t="s">
        <v>179</v>
      </c>
      <c r="L114">
        <v>3000</v>
      </c>
      <c r="M114">
        <v>2000</v>
      </c>
      <c r="N114">
        <v>1000</v>
      </c>
      <c r="O114">
        <v>32</v>
      </c>
      <c r="P114"/>
      <c r="R114" s="95"/>
      <c r="S114" s="95"/>
      <c r="T114" s="95"/>
    </row>
    <row r="115" spans="1:20">
      <c r="A115"/>
      <c r="B115" s="10"/>
      <c r="C115"/>
      <c r="D115"/>
      <c r="E115"/>
      <c r="F115"/>
      <c r="G115"/>
      <c r="H115" s="90"/>
      <c r="I115"/>
      <c r="L115"/>
      <c r="M115"/>
      <c r="N115"/>
      <c r="O115"/>
      <c r="P115"/>
      <c r="R115"/>
      <c r="S115"/>
      <c r="T115"/>
    </row>
    <row r="116" spans="1:20">
      <c r="A116" s="7" t="s">
        <v>166</v>
      </c>
      <c r="B116"/>
      <c r="C116"/>
      <c r="D116"/>
      <c r="E116"/>
      <c r="F116"/>
      <c r="G116"/>
      <c r="H116" s="90"/>
      <c r="I116"/>
      <c r="L116"/>
      <c r="M116"/>
      <c r="N116"/>
      <c r="O116"/>
      <c r="P116"/>
      <c r="R116"/>
      <c r="S116"/>
      <c r="T116"/>
    </row>
    <row r="117" spans="1:20">
      <c r="A117"/>
      <c r="B117" s="105" t="s">
        <v>56</v>
      </c>
      <c r="C117"/>
      <c r="D117"/>
      <c r="E117"/>
      <c r="F117"/>
      <c r="G117"/>
      <c r="H117" s="90"/>
      <c r="I117"/>
      <c r="L117"/>
      <c r="M117"/>
      <c r="N117"/>
      <c r="O117"/>
      <c r="P117"/>
      <c r="R117"/>
      <c r="S117"/>
      <c r="T117"/>
    </row>
    <row r="118" spans="1:20">
      <c r="A118"/>
      <c r="B118" s="105" t="s">
        <v>60</v>
      </c>
      <c r="C118"/>
      <c r="D118">
        <f>K109*M109*N109</f>
        <v>6400</v>
      </c>
      <c r="E118">
        <f>D118</f>
        <v>6400</v>
      </c>
      <c r="F118"/>
      <c r="G118">
        <f t="shared" ref="G118:G124" si="29">SUM(C118:F118)</f>
        <v>12800</v>
      </c>
      <c r="H118" s="90"/>
      <c r="I118"/>
      <c r="J118" s="99" t="s">
        <v>174</v>
      </c>
      <c r="K118" s="2">
        <v>32</v>
      </c>
      <c r="L118"/>
      <c r="M118"/>
      <c r="N118"/>
      <c r="O118"/>
      <c r="P118"/>
      <c r="R118"/>
      <c r="S118"/>
      <c r="T118"/>
    </row>
    <row r="119" spans="1:20">
      <c r="A119"/>
      <c r="B119" s="105" t="s">
        <v>97</v>
      </c>
      <c r="C119"/>
      <c r="D119">
        <f>K109*L109*N109</f>
        <v>6400</v>
      </c>
      <c r="E119">
        <f>D119</f>
        <v>6400</v>
      </c>
      <c r="F119"/>
      <c r="G119">
        <f t="shared" si="29"/>
        <v>12800</v>
      </c>
      <c r="H119" s="90"/>
      <c r="I119"/>
      <c r="J119" s="2" t="s">
        <v>129</v>
      </c>
      <c r="K119" s="2">
        <v>15</v>
      </c>
      <c r="L119"/>
      <c r="M119"/>
      <c r="N119"/>
      <c r="O119"/>
      <c r="P119"/>
      <c r="R119"/>
      <c r="S119"/>
      <c r="T119"/>
    </row>
    <row r="120" spans="1:20">
      <c r="A120"/>
      <c r="B120" s="105" t="s">
        <v>98</v>
      </c>
      <c r="C120"/>
      <c r="D120"/>
      <c r="E120"/>
      <c r="F120"/>
      <c r="G120"/>
      <c r="H120" s="90"/>
      <c r="I120"/>
      <c r="J120" s="2" t="s">
        <v>130</v>
      </c>
      <c r="K120" s="2">
        <v>65</v>
      </c>
      <c r="L120"/>
      <c r="M120"/>
      <c r="N120"/>
      <c r="O120"/>
      <c r="P120"/>
      <c r="R120"/>
      <c r="S120"/>
      <c r="T120"/>
    </row>
    <row r="121" spans="1:20">
      <c r="A121" s="1" t="s">
        <v>193</v>
      </c>
      <c r="B121"/>
      <c r="C121"/>
      <c r="D121"/>
      <c r="E121"/>
      <c r="F121"/>
      <c r="G121"/>
      <c r="H121" s="99"/>
      <c r="I121" s="99"/>
      <c r="J121" s="95"/>
      <c r="K121" s="95"/>
      <c r="L121" s="95"/>
      <c r="M121" s="99"/>
      <c r="N121" s="99"/>
      <c r="O121" s="99"/>
      <c r="P121" s="99"/>
      <c r="R121"/>
      <c r="S121"/>
      <c r="T121"/>
    </row>
    <row r="122" spans="1:20">
      <c r="A122"/>
      <c r="B122" s="105" t="s">
        <v>56</v>
      </c>
      <c r="C122"/>
      <c r="D122"/>
      <c r="E122"/>
      <c r="F122"/>
      <c r="G122"/>
    </row>
    <row r="123" spans="1:20">
      <c r="A123"/>
      <c r="B123" s="105" t="s">
        <v>60</v>
      </c>
      <c r="C123"/>
      <c r="D123">
        <f>K110*L110*N110</f>
        <v>12000</v>
      </c>
      <c r="E123">
        <f>D123</f>
        <v>12000</v>
      </c>
      <c r="F123"/>
      <c r="G123">
        <f t="shared" si="29"/>
        <v>24000</v>
      </c>
    </row>
    <row r="124" spans="1:20">
      <c r="A124"/>
      <c r="B124" s="105" t="s">
        <v>97</v>
      </c>
      <c r="C124"/>
      <c r="D124">
        <f>K110*M110*N110</f>
        <v>12000</v>
      </c>
      <c r="E124">
        <f>D124</f>
        <v>12000</v>
      </c>
      <c r="F124"/>
      <c r="G124">
        <f t="shared" si="29"/>
        <v>24000</v>
      </c>
    </row>
    <row r="125" spans="1:20">
      <c r="A125"/>
      <c r="B125" s="105" t="s">
        <v>98</v>
      </c>
      <c r="C125"/>
      <c r="D125"/>
      <c r="E125"/>
      <c r="F125"/>
      <c r="G125"/>
    </row>
    <row r="126" spans="1:20">
      <c r="A126" s="135"/>
      <c r="B126" s="99"/>
      <c r="C126" s="99"/>
      <c r="D126" s="99"/>
      <c r="E126" s="99"/>
      <c r="F126" s="99"/>
      <c r="G126" s="99"/>
    </row>
    <row r="127" spans="1:20">
      <c r="A127" s="135"/>
      <c r="B127" s="99"/>
      <c r="C127" s="99"/>
      <c r="D127" s="99"/>
      <c r="E127" s="99"/>
      <c r="F127" s="99"/>
      <c r="G127" s="99"/>
      <c r="H127" s="99"/>
      <c r="K127" s="95"/>
      <c r="L127" s="95"/>
      <c r="M127" s="99"/>
      <c r="N127" s="99"/>
      <c r="O127" s="99"/>
      <c r="P127" s="99"/>
      <c r="R127"/>
      <c r="S127"/>
      <c r="T127"/>
    </row>
    <row r="128" spans="1:20">
      <c r="A128" t="s">
        <v>38</v>
      </c>
      <c r="B128"/>
      <c r="C128"/>
      <c r="D128"/>
      <c r="E128"/>
      <c r="F128"/>
      <c r="G128"/>
      <c r="R128"/>
      <c r="S128"/>
      <c r="T128"/>
    </row>
    <row r="129" spans="1:20">
      <c r="A129"/>
      <c r="B129" s="105" t="s">
        <v>56</v>
      </c>
      <c r="C129">
        <f>C105+C111+C117</f>
        <v>96000</v>
      </c>
      <c r="D129">
        <f>D105+D111+D117</f>
        <v>160000</v>
      </c>
      <c r="E129">
        <f>E105+E111+E117</f>
        <v>96000</v>
      </c>
      <c r="F129">
        <f>F105+F111+F117</f>
        <v>32000</v>
      </c>
      <c r="G129">
        <f>G105+G111+G117</f>
        <v>384000</v>
      </c>
      <c r="R129"/>
      <c r="S129"/>
      <c r="T129"/>
    </row>
    <row r="130" spans="1:20">
      <c r="A130"/>
      <c r="B130" s="105" t="s">
        <v>60</v>
      </c>
      <c r="C130">
        <f>C106+C112+C118</f>
        <v>0</v>
      </c>
      <c r="D130">
        <f>D106+D112+D118+D123</f>
        <v>29760</v>
      </c>
      <c r="E130">
        <f t="shared" ref="E130:G130" si="30">E106+E112+E118+E123</f>
        <v>41120</v>
      </c>
      <c r="F130">
        <f t="shared" si="30"/>
        <v>11360</v>
      </c>
      <c r="G130">
        <f t="shared" si="30"/>
        <v>82240</v>
      </c>
      <c r="I130"/>
      <c r="R130"/>
      <c r="S130"/>
      <c r="T130"/>
    </row>
    <row r="131" spans="1:20">
      <c r="A131"/>
      <c r="B131" s="105" t="s">
        <v>97</v>
      </c>
      <c r="C131">
        <f>C107+C113+C119</f>
        <v>0</v>
      </c>
      <c r="D131">
        <f>D107+D113+D119+D124</f>
        <v>22400</v>
      </c>
      <c r="E131">
        <f t="shared" ref="E131:G131" si="31">E107+E113+E119+E124</f>
        <v>26400</v>
      </c>
      <c r="F131">
        <f t="shared" si="31"/>
        <v>4000</v>
      </c>
      <c r="G131">
        <f t="shared" si="31"/>
        <v>52800</v>
      </c>
      <c r="I131" s="69"/>
      <c r="R131"/>
      <c r="S131"/>
      <c r="T131"/>
    </row>
    <row r="132" spans="1:20">
      <c r="A132"/>
      <c r="B132" s="105" t="s">
        <v>98</v>
      </c>
      <c r="C132">
        <f>C108+C114+C120</f>
        <v>0</v>
      </c>
      <c r="D132">
        <f>D108+D114+D120+D125</f>
        <v>31200</v>
      </c>
      <c r="E132">
        <f t="shared" ref="E132:F132" si="32">E108+E114+E120+E125</f>
        <v>31200</v>
      </c>
      <c r="F132">
        <f t="shared" si="32"/>
        <v>0</v>
      </c>
      <c r="G132">
        <f>G108+G114+G120+G125</f>
        <v>62400</v>
      </c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 ht="16.5" thickBot="1">
      <c r="A133" s="99"/>
      <c r="B133" s="99"/>
      <c r="C133" s="99"/>
      <c r="D133" s="99"/>
      <c r="E133" s="99"/>
      <c r="F133" s="99"/>
      <c r="G133" s="99"/>
      <c r="I133" s="69"/>
      <c r="J133"/>
      <c r="K133"/>
      <c r="L133"/>
      <c r="M133"/>
      <c r="N133"/>
      <c r="O133"/>
      <c r="P133"/>
      <c r="Q133"/>
      <c r="R133"/>
      <c r="S133"/>
      <c r="T133"/>
    </row>
    <row r="134" spans="1:20" ht="16.5" thickBot="1">
      <c r="A134" s="14" t="s">
        <v>149</v>
      </c>
      <c r="B134" s="13"/>
      <c r="C134" s="40">
        <f>SUM(C129:C133)</f>
        <v>96000</v>
      </c>
      <c r="D134" s="40">
        <f t="shared" ref="D134:F134" si="33">SUM(D129:D133)</f>
        <v>243360</v>
      </c>
      <c r="E134" s="40">
        <f t="shared" si="33"/>
        <v>194720</v>
      </c>
      <c r="F134" s="40">
        <f t="shared" si="33"/>
        <v>47360</v>
      </c>
      <c r="G134" s="40">
        <f>SUM(C134:F134)</f>
        <v>581440</v>
      </c>
      <c r="I134" s="69"/>
      <c r="J134"/>
      <c r="K134"/>
      <c r="L134"/>
      <c r="M134"/>
      <c r="N134"/>
      <c r="O134"/>
      <c r="P134"/>
      <c r="Q134"/>
      <c r="R134"/>
      <c r="S134"/>
      <c r="T134"/>
    </row>
    <row r="135" spans="1:20">
      <c r="C135" s="56"/>
      <c r="F135" s="73"/>
      <c r="I135" s="69"/>
      <c r="J135"/>
      <c r="K135"/>
      <c r="L135"/>
      <c r="M135"/>
      <c r="N135"/>
      <c r="O135"/>
      <c r="P135"/>
      <c r="Q135"/>
      <c r="R135"/>
      <c r="S135"/>
      <c r="T135"/>
    </row>
    <row r="136" spans="1:20" ht="18">
      <c r="A136" s="110" t="s">
        <v>143</v>
      </c>
      <c r="B136" s="34"/>
      <c r="C136" s="48"/>
      <c r="D136" s="48"/>
      <c r="E136" s="48"/>
      <c r="F136" s="82"/>
      <c r="G136" s="48"/>
      <c r="I136" s="69"/>
      <c r="J136"/>
      <c r="K136"/>
      <c r="L136"/>
      <c r="M136"/>
      <c r="N136"/>
      <c r="O136"/>
      <c r="P136"/>
      <c r="Q136"/>
      <c r="R136"/>
      <c r="S136"/>
      <c r="T136"/>
    </row>
    <row r="137" spans="1:20">
      <c r="A137" s="69" t="s">
        <v>104</v>
      </c>
      <c r="B137" s="10"/>
      <c r="C137" s="49"/>
      <c r="D137" s="49"/>
      <c r="E137" s="49"/>
      <c r="F137" s="77"/>
      <c r="G137" s="49"/>
      <c r="I137" s="69"/>
      <c r="J137"/>
      <c r="K137"/>
      <c r="L137"/>
      <c r="M137"/>
      <c r="N137"/>
      <c r="O137"/>
      <c r="P137"/>
      <c r="Q137"/>
      <c r="R137"/>
      <c r="S137"/>
      <c r="T137"/>
    </row>
    <row r="138" spans="1:20">
      <c r="A138" s="58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>
      <c r="A139" s="58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>
      <c r="A140" s="58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>
      <c r="A141" s="69" t="s">
        <v>99</v>
      </c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>
      <c r="A142" s="1" t="s">
        <v>115</v>
      </c>
      <c r="C142" s="53"/>
      <c r="D142" s="53"/>
      <c r="E142" s="53">
        <v>1000</v>
      </c>
      <c r="F142" s="74">
        <v>1000</v>
      </c>
      <c r="G142" s="56">
        <f>SUM(E142:F142)</f>
        <v>2000</v>
      </c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>
      <c r="A145" s="69" t="s">
        <v>100</v>
      </c>
      <c r="B145" s="99" t="s">
        <v>203</v>
      </c>
      <c r="C145" s="55">
        <v>3200</v>
      </c>
      <c r="D145" s="55">
        <v>3200</v>
      </c>
      <c r="E145" s="55">
        <v>3200</v>
      </c>
      <c r="F145" s="55">
        <v>3200</v>
      </c>
      <c r="G145" s="56">
        <f>SUM(C145:F145)</f>
        <v>12800</v>
      </c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>
      <c r="A146" s="58"/>
      <c r="B146" s="99" t="s">
        <v>86</v>
      </c>
      <c r="C146" s="55">
        <v>3200</v>
      </c>
      <c r="D146" s="55">
        <v>3200</v>
      </c>
      <c r="E146" s="55">
        <v>3200</v>
      </c>
      <c r="F146" s="55">
        <v>3200</v>
      </c>
      <c r="G146" s="56">
        <f t="shared" ref="G146:G148" si="34">SUM(C146:F146)</f>
        <v>12800</v>
      </c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>
      <c r="A147" s="58"/>
      <c r="B147" s="99" t="s">
        <v>87</v>
      </c>
      <c r="C147" s="55">
        <v>3200</v>
      </c>
      <c r="D147" s="55">
        <v>3200</v>
      </c>
      <c r="E147" s="55">
        <v>3200</v>
      </c>
      <c r="F147" s="55">
        <v>3200</v>
      </c>
      <c r="G147" s="56">
        <f t="shared" si="34"/>
        <v>12800</v>
      </c>
      <c r="H147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>
      <c r="A148" s="58"/>
      <c r="B148" s="99"/>
      <c r="C148" s="55"/>
      <c r="D148" s="55"/>
      <c r="E148" s="55"/>
      <c r="F148" s="55"/>
      <c r="G148" s="56">
        <f t="shared" si="34"/>
        <v>0</v>
      </c>
      <c r="H148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>
      <c r="C149" s="56">
        <f>SUM(C145:C148)</f>
        <v>9600</v>
      </c>
      <c r="D149" s="56">
        <f t="shared" ref="D149:G149" si="35">SUM(D145:D148)</f>
        <v>9600</v>
      </c>
      <c r="E149" s="56">
        <f t="shared" si="35"/>
        <v>9600</v>
      </c>
      <c r="F149" s="56">
        <f t="shared" si="35"/>
        <v>9600</v>
      </c>
      <c r="G149" s="56">
        <f t="shared" si="35"/>
        <v>38400</v>
      </c>
      <c r="H14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>
      <c r="A150" s="68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>
      <c r="A151" s="69" t="s">
        <v>101</v>
      </c>
      <c r="B151" s="2" t="s">
        <v>199</v>
      </c>
      <c r="E151" s="56">
        <v>2000</v>
      </c>
      <c r="F151" s="56">
        <v>2000</v>
      </c>
      <c r="G151" s="56">
        <f>SUM(E151:F151)</f>
        <v>4000</v>
      </c>
      <c r="H15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>
      <c r="B152" s="2" t="s">
        <v>206</v>
      </c>
      <c r="C152" s="2">
        <v>1200</v>
      </c>
      <c r="D152" s="2">
        <v>1200</v>
      </c>
      <c r="E152" s="2">
        <v>1200</v>
      </c>
      <c r="F152" s="2">
        <v>1200</v>
      </c>
      <c r="G152" s="2">
        <f>SUM(C152:F152)</f>
        <v>4800</v>
      </c>
      <c r="H152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>
      <c r="H153"/>
      <c r="K153"/>
      <c r="L153"/>
      <c r="M153"/>
      <c r="N153"/>
      <c r="O153"/>
      <c r="P153"/>
      <c r="Q153"/>
      <c r="R153"/>
      <c r="S153"/>
      <c r="T153"/>
    </row>
    <row r="154" spans="1:20">
      <c r="G154" s="56"/>
      <c r="H154"/>
      <c r="K154"/>
      <c r="L154"/>
      <c r="M154"/>
      <c r="N154"/>
      <c r="O154"/>
      <c r="P154"/>
      <c r="Q154"/>
      <c r="R154"/>
      <c r="S154"/>
      <c r="T154"/>
    </row>
    <row r="155" spans="1:20">
      <c r="A155" s="69" t="s">
        <v>102</v>
      </c>
      <c r="H155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>
      <c r="A156" s="68" t="s">
        <v>145</v>
      </c>
      <c r="C156" s="53">
        <f>'Coeur d''Alene Site Budget'!C55</f>
        <v>84576.022840000005</v>
      </c>
      <c r="D156" s="53">
        <f>'Coeur d''Alene Site Budget'!D55</f>
        <v>102631.84352520001</v>
      </c>
      <c r="E156" s="53">
        <f>'Coeur d''Alene Site Budget'!E55</f>
        <v>107133.838830956</v>
      </c>
      <c r="F156" s="53">
        <f>'Coeur d''Alene Site Budget'!F55</f>
        <v>109049.63399588468</v>
      </c>
      <c r="G156" s="56">
        <f>SUM(C156:F156)</f>
        <v>403391.33919204073</v>
      </c>
      <c r="H156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>
      <c r="A157" s="68" t="s">
        <v>144</v>
      </c>
      <c r="C157" s="53">
        <f>'Nez Perce Site Budget'!C54</f>
        <v>73443.011759999994</v>
      </c>
      <c r="D157" s="53">
        <f>'Nez Perce Site Budget'!D54</f>
        <v>91085.751852800007</v>
      </c>
      <c r="E157" s="53">
        <f>'Nez Perce Site Budget'!E54</f>
        <v>95904.676148383995</v>
      </c>
      <c r="F157" s="53">
        <f>'Nez Perce Site Budget'!F54</f>
        <v>97382.234112835518</v>
      </c>
      <c r="G157" s="56">
        <f>SUM(C157:F157)</f>
        <v>357815.67387401953</v>
      </c>
      <c r="H157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>
      <c r="A158" s="68" t="s">
        <v>184</v>
      </c>
      <c r="C158" s="53">
        <f>'Sho-Ban Budget'!C54</f>
        <v>88818.388899464</v>
      </c>
      <c r="D158" s="53">
        <f>'Sho-Ban Budget'!D54</f>
        <v>96701.480566447935</v>
      </c>
      <c r="E158" s="53">
        <f>'Sho-Ban Budget'!E54</f>
        <v>101025.56498344138</v>
      </c>
      <c r="F158" s="53">
        <f>'Sho-Ban Budget'!F54</f>
        <v>107758.11193294461</v>
      </c>
      <c r="G158" s="56">
        <f>SUM(C158:F158)</f>
        <v>394303.54638229794</v>
      </c>
      <c r="H158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>
      <c r="A159" s="68" t="s">
        <v>146</v>
      </c>
      <c r="C159" s="53">
        <f>'San Carlos Apache Site budget'!C54</f>
        <v>66718</v>
      </c>
      <c r="D159" s="53">
        <f>'San Carlos Apache Site budget'!D54</f>
        <v>84238.080000000002</v>
      </c>
      <c r="E159" s="53">
        <f>'San Carlos Apache Site budget'!E54</f>
        <v>88188.262399999992</v>
      </c>
      <c r="F159" s="53">
        <f>'San Carlos Apache Site budget'!F54</f>
        <v>89535.690271999993</v>
      </c>
      <c r="G159" s="56">
        <f>SUM(C159:F159)</f>
        <v>328680.032672</v>
      </c>
      <c r="H15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>
      <c r="A160"/>
      <c r="C160" s="56">
        <f>SUM(C156:C159)</f>
        <v>313555.423499464</v>
      </c>
      <c r="D160" s="56">
        <f t="shared" ref="D160:F160" si="36">SUM(D156:D159)</f>
        <v>374657.15594444796</v>
      </c>
      <c r="E160" s="56">
        <f t="shared" si="36"/>
        <v>392252.3423627814</v>
      </c>
      <c r="F160" s="56">
        <f t="shared" si="36"/>
        <v>403725.67031366477</v>
      </c>
      <c r="G160" s="56">
        <f>SUM(C160:F160)</f>
        <v>1484190.5921203583</v>
      </c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 ht="16.5" thickBot="1">
      <c r="A161" s="69" t="s">
        <v>103</v>
      </c>
      <c r="H16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>
      <c r="A162" s="119" t="s">
        <v>18</v>
      </c>
      <c r="B162" s="113"/>
      <c r="C162" s="114"/>
      <c r="D162" s="114"/>
      <c r="E162" s="114"/>
      <c r="F162" s="115"/>
      <c r="G162" s="116"/>
      <c r="H162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>
      <c r="A163" s="117"/>
      <c r="B163" s="30" t="s">
        <v>51</v>
      </c>
      <c r="C163" s="47"/>
      <c r="D163" s="47"/>
      <c r="E163" s="47"/>
      <c r="F163" s="81"/>
      <c r="G163" s="118"/>
      <c r="H163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>
      <c r="A164" s="117"/>
      <c r="B164" s="30" t="s">
        <v>52</v>
      </c>
      <c r="C164" s="47"/>
      <c r="D164" s="47"/>
      <c r="E164" s="81"/>
      <c r="F164" s="81"/>
      <c r="G164" s="118"/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 ht="16.5" thickBot="1">
      <c r="A165" s="117"/>
      <c r="B165" s="11" t="s">
        <v>24</v>
      </c>
      <c r="C165" s="36">
        <f>'Tuition and Fees'!D5</f>
        <v>13806</v>
      </c>
      <c r="D165" s="36">
        <f>C165*1.05</f>
        <v>14496.300000000001</v>
      </c>
      <c r="E165" s="36">
        <f t="shared" ref="E165:F165" si="37">D165*1.05</f>
        <v>15221.115000000002</v>
      </c>
      <c r="F165" s="71">
        <f t="shared" si="37"/>
        <v>15982.170750000003</v>
      </c>
      <c r="G165" s="118">
        <f t="shared" ref="G165" si="38">SUM(C165:F165)</f>
        <v>59505.585750000013</v>
      </c>
      <c r="H165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 ht="16.5" thickBot="1">
      <c r="A166" s="14" t="s">
        <v>18</v>
      </c>
      <c r="B166" s="12"/>
      <c r="C166" s="40">
        <f>SUM(C163:C165)</f>
        <v>13806</v>
      </c>
      <c r="D166" s="40">
        <f>SUM(D163:D165)</f>
        <v>14496.300000000001</v>
      </c>
      <c r="E166" s="40">
        <f>SUM(E163:E165)</f>
        <v>15221.115000000002</v>
      </c>
      <c r="F166" s="40">
        <f>SUM(F163:F165)</f>
        <v>15982.170750000003</v>
      </c>
      <c r="G166" s="41">
        <f>SUM(G163:G165)</f>
        <v>59505.585750000013</v>
      </c>
      <c r="H166" s="95"/>
      <c r="I166" s="95"/>
      <c r="J166" s="95"/>
      <c r="K166" s="95"/>
      <c r="L166" s="95"/>
      <c r="M166" s="95"/>
      <c r="N166" s="95"/>
      <c r="O166" s="95"/>
      <c r="P166"/>
      <c r="Q166"/>
      <c r="R166"/>
      <c r="S166"/>
      <c r="T166"/>
    </row>
    <row r="167" spans="1:20" ht="16.5" thickBot="1">
      <c r="H167" s="95"/>
      <c r="I167" s="95"/>
      <c r="J167" s="95"/>
      <c r="K167" s="95"/>
      <c r="L167" s="95"/>
      <c r="M167" s="95"/>
      <c r="N167" s="95"/>
      <c r="O167" s="95"/>
      <c r="P167"/>
      <c r="Q167"/>
      <c r="R167"/>
      <c r="S167"/>
      <c r="T167"/>
    </row>
    <row r="168" spans="1:20" ht="16.5" thickBot="1">
      <c r="A168" s="14" t="s">
        <v>147</v>
      </c>
      <c r="B168" s="13"/>
      <c r="C168" s="40">
        <f>C160+C149+C142+C166+C151+C152</f>
        <v>338161.423499464</v>
      </c>
      <c r="D168" s="40">
        <f>D160+D149+D142+D166+D151+D152</f>
        <v>399953.45594444795</v>
      </c>
      <c r="E168" s="40">
        <f>E160+E149+E142+E166+E151+E152</f>
        <v>421273.4573627814</v>
      </c>
      <c r="F168" s="40">
        <f>F160+F149+F142+F166+F151+F152</f>
        <v>433507.84106366476</v>
      </c>
      <c r="G168" s="40">
        <f>G160+G149+G142+G166+G151+G152</f>
        <v>1592896.1778703583</v>
      </c>
      <c r="H168" s="95"/>
      <c r="I168" s="95"/>
      <c r="J168" s="95"/>
      <c r="K168" s="95"/>
      <c r="L168" s="95"/>
      <c r="M168" s="95"/>
      <c r="N168" s="95"/>
      <c r="O168" s="95"/>
      <c r="P168"/>
      <c r="Q168"/>
      <c r="R168"/>
      <c r="S168"/>
      <c r="T168"/>
    </row>
    <row r="169" spans="1:20" ht="16.5" thickBot="1">
      <c r="H169" s="96"/>
      <c r="I169" s="97"/>
      <c r="J169" s="97"/>
      <c r="K169" s="96"/>
      <c r="L169" s="97"/>
      <c r="M169" s="97"/>
      <c r="N169" s="96"/>
      <c r="O169" s="98"/>
    </row>
    <row r="170" spans="1:20">
      <c r="H170" s="99"/>
      <c r="I170" s="99"/>
      <c r="J170" s="99"/>
      <c r="K170" s="99"/>
      <c r="L170" s="99"/>
      <c r="M170" s="99"/>
      <c r="N170" s="99"/>
      <c r="O170" s="99"/>
    </row>
    <row r="171" spans="1:20">
      <c r="A171" s="54" t="s">
        <v>106</v>
      </c>
      <c r="B171"/>
      <c r="C171" s="50">
        <f>C168+C134+C102+C82+C77+C41</f>
        <v>576406.62509946397</v>
      </c>
      <c r="D171" s="50">
        <f>D168+D134+D102+D82+D77+D41</f>
        <v>789404.99359244807</v>
      </c>
      <c r="E171" s="50">
        <f>E168+E134+E102+E82+E77+E41</f>
        <v>781730.72114022146</v>
      </c>
      <c r="F171" s="50">
        <f>F168+F134+F102+F82+F77+F41</f>
        <v>650685.68275442801</v>
      </c>
      <c r="G171" s="50">
        <f>SUM(C171:F171)</f>
        <v>2798228.0225865617</v>
      </c>
      <c r="H171" s="99"/>
      <c r="I171" s="99"/>
      <c r="J171" s="99"/>
      <c r="K171" s="99"/>
      <c r="L171" s="99"/>
      <c r="M171" s="99"/>
      <c r="N171" s="99"/>
      <c r="O171" s="99"/>
    </row>
    <row r="172" spans="1:20">
      <c r="A172" s="1" t="s">
        <v>117</v>
      </c>
      <c r="B172"/>
      <c r="C172" s="50">
        <f>C171-C166-C160-C134+100000</f>
        <v>253045.20159999997</v>
      </c>
      <c r="D172" s="50">
        <f>D171-D166-D160-D134</f>
        <v>156891.53764800006</v>
      </c>
      <c r="E172" s="50">
        <f>E171-E166-E160-E134</f>
        <v>179537.26377744006</v>
      </c>
      <c r="F172" s="50">
        <f>F171-F166-F160-F134</f>
        <v>183617.84169076319</v>
      </c>
      <c r="G172" s="50">
        <f>SUM(C172:F172)</f>
        <v>773091.84471620317</v>
      </c>
    </row>
    <row r="173" spans="1:20" ht="16.5" thickBot="1">
      <c r="A173" s="54" t="s">
        <v>107</v>
      </c>
      <c r="B173" t="s">
        <v>77</v>
      </c>
      <c r="C173" s="50">
        <f>J8*C172</f>
        <v>65791.752415999988</v>
      </c>
      <c r="D173" s="50">
        <f>D172*J8</f>
        <v>40791.799788480013</v>
      </c>
      <c r="E173" s="50">
        <f>E172*J8</f>
        <v>46679.688582134419</v>
      </c>
      <c r="F173" s="50">
        <f>F172*J8</f>
        <v>47740.638839598432</v>
      </c>
      <c r="G173" s="50">
        <f>SUM(C173:F173)</f>
        <v>201003.87962621285</v>
      </c>
    </row>
    <row r="174" spans="1:20" ht="16.5" thickBot="1">
      <c r="A174" s="120" t="s">
        <v>108</v>
      </c>
      <c r="B174" s="26"/>
      <c r="C174" s="51">
        <f>C173+C171</f>
        <v>642198.37751546397</v>
      </c>
      <c r="D174" s="51">
        <f t="shared" ref="D174:F174" si="39">D173+D171</f>
        <v>830196.79338092811</v>
      </c>
      <c r="E174" s="51">
        <f t="shared" si="39"/>
        <v>828410.40972235589</v>
      </c>
      <c r="F174" s="51">
        <f t="shared" si="39"/>
        <v>698426.32159402641</v>
      </c>
      <c r="G174" s="51">
        <f>SUM(C174:F174)</f>
        <v>2999231.9022127744</v>
      </c>
    </row>
    <row r="177" spans="1:13">
      <c r="F177" s="2" t="s">
        <v>172</v>
      </c>
      <c r="G177" s="2">
        <v>3000000</v>
      </c>
    </row>
    <row r="178" spans="1:13">
      <c r="F178" s="2" t="s">
        <v>173</v>
      </c>
      <c r="G178" s="39">
        <f>G177-G174</f>
        <v>768.09778722561896</v>
      </c>
    </row>
    <row r="180" spans="1:13">
      <c r="H180"/>
      <c r="I180"/>
      <c r="J180"/>
      <c r="K180"/>
      <c r="L180"/>
      <c r="M180"/>
    </row>
    <row r="181" spans="1:13">
      <c r="H181"/>
      <c r="I181"/>
      <c r="J181"/>
      <c r="K181"/>
      <c r="L181"/>
      <c r="M181"/>
    </row>
    <row r="182" spans="1:13">
      <c r="H182"/>
      <c r="I182"/>
      <c r="J182"/>
      <c r="K182"/>
      <c r="L182"/>
      <c r="M182"/>
    </row>
    <row r="184" spans="1:13">
      <c r="C184" s="27"/>
      <c r="D184" s="35"/>
    </row>
    <row r="185" spans="1:13" customFormat="1">
      <c r="A185" s="2"/>
      <c r="B185" s="2"/>
      <c r="C185" s="2"/>
      <c r="D185" s="2"/>
      <c r="E185" s="2"/>
      <c r="F185" s="2"/>
      <c r="G185" s="2"/>
    </row>
    <row r="186" spans="1:13" customFormat="1">
      <c r="A186" s="2"/>
      <c r="B186" s="2"/>
      <c r="C186" s="2"/>
      <c r="D186" s="2"/>
      <c r="E186" s="2"/>
      <c r="F186" s="2"/>
      <c r="G186" s="2"/>
    </row>
    <row r="187" spans="1:13" customFormat="1">
      <c r="A187" s="2"/>
    </row>
    <row r="188" spans="1:13" customFormat="1">
      <c r="A188" s="2"/>
      <c r="G188" s="95"/>
    </row>
    <row r="189" spans="1:13" customFormat="1">
      <c r="A189" s="2"/>
      <c r="B189" s="2"/>
      <c r="C189" s="2"/>
      <c r="D189" s="2"/>
      <c r="E189" s="2"/>
      <c r="F189" s="2"/>
      <c r="G189" s="2"/>
    </row>
    <row r="190" spans="1:13" customFormat="1">
      <c r="A190" s="10"/>
      <c r="B190" s="7"/>
      <c r="C190" s="49"/>
      <c r="D190" s="49"/>
      <c r="E190" s="49"/>
      <c r="F190" s="49"/>
      <c r="G190" s="49"/>
    </row>
    <row r="191" spans="1:13" customFormat="1"/>
    <row r="192" spans="1:13" customFormat="1"/>
    <row r="193" spans="1:7" customFormat="1"/>
    <row r="194" spans="1:7" customFormat="1"/>
    <row r="195" spans="1:7" customFormat="1"/>
    <row r="196" spans="1:7" customFormat="1"/>
    <row r="197" spans="1:7" customFormat="1"/>
    <row r="198" spans="1:7">
      <c r="A198"/>
      <c r="B198"/>
      <c r="C198"/>
      <c r="D198"/>
      <c r="E198"/>
      <c r="F198"/>
      <c r="G198"/>
    </row>
    <row r="199" spans="1:7">
      <c r="A199"/>
      <c r="B199"/>
      <c r="C199"/>
      <c r="D199"/>
      <c r="E199"/>
      <c r="F199"/>
      <c r="G199"/>
    </row>
    <row r="200" spans="1:7">
      <c r="A200"/>
      <c r="B200"/>
      <c r="C200"/>
      <c r="D200"/>
      <c r="E200"/>
      <c r="F200"/>
      <c r="G200"/>
    </row>
    <row r="201" spans="1:7">
      <c r="A201"/>
      <c r="B201"/>
      <c r="C201"/>
      <c r="D201"/>
      <c r="E201"/>
      <c r="F201"/>
      <c r="G201"/>
    </row>
    <row r="202" spans="1:7">
      <c r="A202"/>
      <c r="B202"/>
      <c r="C202"/>
      <c r="D202"/>
      <c r="E202"/>
      <c r="F202"/>
      <c r="G202"/>
    </row>
    <row r="203" spans="1:7">
      <c r="A203"/>
      <c r="B203"/>
      <c r="C203"/>
      <c r="D203"/>
      <c r="E203"/>
      <c r="F203"/>
      <c r="G203"/>
    </row>
    <row r="204" spans="1:7">
      <c r="A204"/>
      <c r="B204"/>
      <c r="C204"/>
      <c r="D204"/>
      <c r="E204"/>
      <c r="F204"/>
      <c r="G204"/>
    </row>
    <row r="209" spans="1:7">
      <c r="A209"/>
      <c r="B209"/>
      <c r="C209"/>
      <c r="D209"/>
      <c r="E209"/>
      <c r="F209"/>
      <c r="G209"/>
    </row>
    <row r="210" spans="1:7">
      <c r="A210"/>
    </row>
    <row r="211" spans="1:7">
      <c r="A211"/>
    </row>
    <row r="212" spans="1:7">
      <c r="A212"/>
    </row>
  </sheetData>
  <sortState xmlns:xlrd2="http://schemas.microsoft.com/office/spreadsheetml/2017/richdata2" ref="A156:G159">
    <sortCondition ref="A156:A159"/>
  </sortState>
  <phoneticPr fontId="12" type="noConversion"/>
  <pageMargins left="0.7" right="0.7" top="0.75" bottom="0.75" header="0.3" footer="0.3"/>
  <pageSetup scale="30" fitToHeight="2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B022-533A-B043-896E-547D3580FDEE}">
  <dimension ref="A1:O40"/>
  <sheetViews>
    <sheetView topLeftCell="A22" zoomScale="181" zoomScaleNormal="181" workbookViewId="0">
      <selection activeCell="A2" sqref="A2:G6"/>
    </sheetView>
  </sheetViews>
  <sheetFormatPr defaultColWidth="11" defaultRowHeight="15.75"/>
  <cols>
    <col min="1" max="1" width="44.375" customWidth="1"/>
  </cols>
  <sheetData>
    <row r="1" spans="1:15">
      <c r="A1" t="s">
        <v>88</v>
      </c>
      <c r="B1" t="s">
        <v>0</v>
      </c>
      <c r="C1" t="s">
        <v>1</v>
      </c>
      <c r="D1" t="s">
        <v>2</v>
      </c>
      <c r="E1" t="s">
        <v>3</v>
      </c>
    </row>
    <row r="3" spans="1:15">
      <c r="O3" s="66">
        <f>SUM(J3:N3)</f>
        <v>0</v>
      </c>
    </row>
    <row r="7" spans="1:15">
      <c r="G7" s="66"/>
    </row>
    <row r="8" spans="1:15">
      <c r="A8" t="s">
        <v>89</v>
      </c>
      <c r="G8" s="66"/>
    </row>
    <row r="9" spans="1:15">
      <c r="A9" s="1" t="s">
        <v>90</v>
      </c>
      <c r="B9" s="66">
        <f>'Organized by category'!C13+'Organized by category'!C37+'Organized by category'!C38</f>
        <v>18939.2</v>
      </c>
      <c r="C9" s="66">
        <f>'Organized by category'!D13+'Organized by category'!D37+'Organized by category'!D38</f>
        <v>19507.376</v>
      </c>
      <c r="D9" s="66">
        <f>'Organized by category'!E13+'Organized by category'!E37+'Organized by category'!E38</f>
        <v>20092.597280000002</v>
      </c>
      <c r="E9" s="66">
        <f>'Organized by category'!F13+'Organized by category'!F37+'Organized by category'!F38</f>
        <v>20695.375198400001</v>
      </c>
      <c r="G9" s="66">
        <f t="shared" ref="G9:G37" si="0">SUM(B9:F9)</f>
        <v>79234.5484784</v>
      </c>
    </row>
    <row r="10" spans="1:15">
      <c r="A10" s="1" t="s">
        <v>109</v>
      </c>
      <c r="B10" s="66" t="e">
        <f>'Organized by category'!#REF!+'Organized by category'!#REF!+'Organized by category'!#REF!+'Organized by category'!#REF!+'Organized by category'!C28+'Organized by category'!C29+'Organized by category'!C31+'Organized by category'!C32+'Organized by category'!C34</f>
        <v>#REF!</v>
      </c>
      <c r="C10" s="66" t="e">
        <f>'Organized by category'!#REF!+'Organized by category'!#REF!+'Organized by category'!#REF!+'Organized by category'!#REF!+'Organized by category'!D28+'Organized by category'!D29+'Organized by category'!D31+'Organized by category'!D32+'Organized by category'!D34</f>
        <v>#REF!</v>
      </c>
      <c r="D10" s="66" t="e">
        <f>'Organized by category'!#REF!+'Organized by category'!#REF!+'Organized by category'!#REF!+'Organized by category'!#REF!+'Organized by category'!E28+'Organized by category'!E29+'Organized by category'!E31+'Organized by category'!E32+'Organized by category'!E34</f>
        <v>#REF!</v>
      </c>
      <c r="E10" s="66" t="e">
        <f>'Organized by category'!#REF!+'Organized by category'!#REF!+'Organized by category'!#REF!+'Organized by category'!#REF!+'Organized by category'!F28+'Organized by category'!F29+'Organized by category'!F31+'Organized by category'!F32+'Organized by category'!F34</f>
        <v>#REF!</v>
      </c>
      <c r="G10" s="66" t="e">
        <f t="shared" si="0"/>
        <v>#REF!</v>
      </c>
    </row>
    <row r="11" spans="1:15">
      <c r="A11" s="1"/>
      <c r="G11" s="66">
        <f t="shared" si="0"/>
        <v>0</v>
      </c>
    </row>
    <row r="12" spans="1:15">
      <c r="A12" t="s">
        <v>91</v>
      </c>
      <c r="G12" s="66">
        <f t="shared" si="0"/>
        <v>0</v>
      </c>
    </row>
    <row r="13" spans="1:15">
      <c r="A13" s="1" t="s">
        <v>92</v>
      </c>
      <c r="B13" s="66">
        <f>'Organized by category'!C77</f>
        <v>24852.801600000003</v>
      </c>
      <c r="C13" s="66">
        <f>'Organized by category'!D77</f>
        <v>25598.385647999999</v>
      </c>
      <c r="D13" s="66">
        <f>'Organized by category'!E77</f>
        <v>26366.337217439999</v>
      </c>
      <c r="E13" s="66">
        <f>'Organized by category'!F77</f>
        <v>27157.327333963203</v>
      </c>
      <c r="G13" s="66">
        <f t="shared" si="0"/>
        <v>103974.8517994032</v>
      </c>
    </row>
    <row r="14" spans="1:15">
      <c r="G14" s="66">
        <f t="shared" si="0"/>
        <v>0</v>
      </c>
    </row>
    <row r="15" spans="1:15">
      <c r="A15" t="s">
        <v>93</v>
      </c>
      <c r="B15">
        <f>'Organized by category'!C82</f>
        <v>0</v>
      </c>
      <c r="C15">
        <f>'Organized by category'!D82</f>
        <v>0</v>
      </c>
      <c r="D15">
        <f>'Organized by category'!E82</f>
        <v>0</v>
      </c>
      <c r="E15">
        <f>'Organized by category'!F82</f>
        <v>0</v>
      </c>
      <c r="G15" s="66">
        <f t="shared" si="0"/>
        <v>0</v>
      </c>
    </row>
    <row r="16" spans="1:15">
      <c r="G16" s="66">
        <f t="shared" si="0"/>
        <v>0</v>
      </c>
    </row>
    <row r="17" spans="1:7">
      <c r="A17" t="s">
        <v>94</v>
      </c>
      <c r="G17" s="66">
        <f t="shared" si="0"/>
        <v>0</v>
      </c>
    </row>
    <row r="18" spans="1:7">
      <c r="A18" t="s">
        <v>95</v>
      </c>
      <c r="B18">
        <f>'Organized by category'!C102</f>
        <v>14034</v>
      </c>
      <c r="C18">
        <f>'Organized by category'!D102</f>
        <v>14034</v>
      </c>
      <c r="D18">
        <f>'Organized by category'!E102</f>
        <v>29718</v>
      </c>
      <c r="E18">
        <f>'Organized by category'!F102</f>
        <v>29718</v>
      </c>
      <c r="G18" s="66">
        <f t="shared" si="0"/>
        <v>87504</v>
      </c>
    </row>
    <row r="19" spans="1:7">
      <c r="G19" s="66">
        <f t="shared" si="0"/>
        <v>0</v>
      </c>
    </row>
    <row r="20" spans="1:7">
      <c r="G20" s="66">
        <f t="shared" si="0"/>
        <v>0</v>
      </c>
    </row>
    <row r="21" spans="1:7">
      <c r="A21" t="s">
        <v>96</v>
      </c>
      <c r="G21" s="66">
        <f t="shared" si="0"/>
        <v>0</v>
      </c>
    </row>
    <row r="22" spans="1:7">
      <c r="A22" s="1" t="s">
        <v>56</v>
      </c>
      <c r="B22" t="e">
        <f>'Organized by category'!#REF!</f>
        <v>#REF!</v>
      </c>
      <c r="C22" t="e">
        <f>'Organized by category'!#REF!</f>
        <v>#REF!</v>
      </c>
      <c r="D22" t="e">
        <f>'Organized by category'!#REF!</f>
        <v>#REF!</v>
      </c>
      <c r="E22" t="e">
        <f>'Organized by category'!#REF!</f>
        <v>#REF!</v>
      </c>
      <c r="G22" s="66" t="e">
        <f t="shared" si="0"/>
        <v>#REF!</v>
      </c>
    </row>
    <row r="23" spans="1:7">
      <c r="A23" s="1" t="s">
        <v>60</v>
      </c>
      <c r="B23" t="e">
        <f>'Organized by category'!#REF!+'Organized by category'!#REF!+'Organized by category'!#REF!+'Organized by category'!#REF!+'Organized by category'!#REF!+'Organized by category'!#REF!</f>
        <v>#REF!</v>
      </c>
      <c r="C23" t="e">
        <f>'Organized by category'!#REF!+'Organized by category'!#REF!+'Organized by category'!#REF!+'Organized by category'!#REF!+'Organized by category'!#REF!+'Organized by category'!#REF!</f>
        <v>#REF!</v>
      </c>
      <c r="D23" t="e">
        <f>'Organized by category'!#REF!+'Organized by category'!#REF!+'Organized by category'!#REF!+'Organized by category'!#REF!+'Organized by category'!#REF!+'Organized by category'!#REF!</f>
        <v>#REF!</v>
      </c>
      <c r="E23" t="e">
        <f>'Organized by category'!#REF!+'Organized by category'!#REF!+'Organized by category'!#REF!+'Organized by category'!#REF!+'Organized by category'!#REF!+'Organized by category'!#REF!</f>
        <v>#REF!</v>
      </c>
      <c r="G23" s="66" t="e">
        <f t="shared" si="0"/>
        <v>#REF!</v>
      </c>
    </row>
    <row r="24" spans="1:7">
      <c r="A24" s="1" t="s">
        <v>97</v>
      </c>
      <c r="B24" t="e">
        <f>'Organized by category'!#REF!+'Organized by category'!#REF!+'Organized by category'!#REF!</f>
        <v>#REF!</v>
      </c>
      <c r="C24" t="e">
        <f>'Organized by category'!#REF!+'Organized by category'!#REF!+'Organized by category'!#REF!</f>
        <v>#REF!</v>
      </c>
      <c r="D24" t="e">
        <f>'Organized by category'!#REF!+'Organized by category'!#REF!+'Organized by category'!#REF!</f>
        <v>#REF!</v>
      </c>
      <c r="E24" t="e">
        <f>'Organized by category'!#REF!+'Organized by category'!#REF!+'Organized by category'!#REF!</f>
        <v>#REF!</v>
      </c>
      <c r="G24" s="66" t="e">
        <f t="shared" si="0"/>
        <v>#REF!</v>
      </c>
    </row>
    <row r="25" spans="1:7">
      <c r="A25" s="1" t="s">
        <v>98</v>
      </c>
      <c r="G25" s="66">
        <f t="shared" si="0"/>
        <v>0</v>
      </c>
    </row>
    <row r="26" spans="1:7">
      <c r="G26" s="66">
        <f t="shared" si="0"/>
        <v>0</v>
      </c>
    </row>
    <row r="27" spans="1:7">
      <c r="G27" s="66">
        <f t="shared" si="0"/>
        <v>0</v>
      </c>
    </row>
    <row r="28" spans="1:7">
      <c r="A28" s="54" t="s">
        <v>105</v>
      </c>
      <c r="G28" s="66">
        <f t="shared" si="0"/>
        <v>0</v>
      </c>
    </row>
    <row r="29" spans="1:7">
      <c r="A29" s="68" t="s">
        <v>104</v>
      </c>
      <c r="B29" s="67" t="e">
        <f>SUM('Organized by category'!#REF!)</f>
        <v>#REF!</v>
      </c>
      <c r="C29" s="67" t="e">
        <f>SUM('Organized by category'!#REF!)</f>
        <v>#REF!</v>
      </c>
      <c r="D29" s="67" t="e">
        <f>SUM('Organized by category'!#REF!)</f>
        <v>#REF!</v>
      </c>
      <c r="E29" s="67" t="e">
        <f>SUM('Organized by category'!#REF!)</f>
        <v>#REF!</v>
      </c>
      <c r="G29" s="66" t="e">
        <f t="shared" si="0"/>
        <v>#REF!</v>
      </c>
    </row>
    <row r="30" spans="1:7">
      <c r="A30" s="68" t="s">
        <v>99</v>
      </c>
      <c r="B30" s="67">
        <f>'Organized by category'!C201</f>
        <v>0</v>
      </c>
      <c r="C30" s="67">
        <f>'Organized by category'!D201</f>
        <v>0</v>
      </c>
      <c r="D30" s="67">
        <f>'Organized by category'!E201</f>
        <v>0</v>
      </c>
      <c r="E30" s="67">
        <f>'Organized by category'!F201</f>
        <v>0</v>
      </c>
      <c r="G30" s="66">
        <f t="shared" si="0"/>
        <v>0</v>
      </c>
    </row>
    <row r="31" spans="1:7">
      <c r="A31" s="68" t="s">
        <v>100</v>
      </c>
      <c r="B31" s="67">
        <f>'Organized by category'!C196+'Organized by category'!C197+'Organized by category'!C198+'Organized by category'!C199</f>
        <v>0</v>
      </c>
      <c r="C31" s="67">
        <f>'Organized by category'!D196+'Organized by category'!D197+'Organized by category'!D198+'Organized by category'!D199</f>
        <v>0</v>
      </c>
      <c r="D31" s="67">
        <f>'Organized by category'!E196+'Organized by category'!E197+'Organized by category'!E198+'Organized by category'!E199</f>
        <v>0</v>
      </c>
      <c r="E31" s="67">
        <f>'Organized by category'!F196+'Organized by category'!F197+'Organized by category'!F198+'Organized by category'!F199</f>
        <v>0</v>
      </c>
      <c r="G31" s="66">
        <f t="shared" si="0"/>
        <v>0</v>
      </c>
    </row>
    <row r="32" spans="1:7">
      <c r="A32" s="68" t="s">
        <v>101</v>
      </c>
      <c r="B32" s="67" t="e">
        <f>'Organized by category'!#REF!</f>
        <v>#REF!</v>
      </c>
      <c r="C32" s="67" t="e">
        <f>'Organized by category'!#REF!</f>
        <v>#REF!</v>
      </c>
      <c r="D32" s="67" t="e">
        <f>'Organized by category'!#REF!</f>
        <v>#REF!</v>
      </c>
      <c r="E32" s="67" t="e">
        <f>'Organized by category'!#REF!</f>
        <v>#REF!</v>
      </c>
      <c r="G32" s="66" t="e">
        <f t="shared" si="0"/>
        <v>#REF!</v>
      </c>
    </row>
    <row r="33" spans="1:7">
      <c r="A33" s="68" t="s">
        <v>102</v>
      </c>
      <c r="B33" s="70" t="e">
        <f>'Organized by category'!#REF!+'Organized by category'!#REF!</f>
        <v>#REF!</v>
      </c>
      <c r="C33" s="70" t="e">
        <f>'Organized by category'!#REF!+'Organized by category'!#REF!</f>
        <v>#REF!</v>
      </c>
      <c r="D33" s="70" t="e">
        <f>'Organized by category'!#REF!+'Organized by category'!#REF!</f>
        <v>#REF!</v>
      </c>
      <c r="E33" s="70" t="e">
        <f>'Organized by category'!#REF!+'Organized by category'!#REF!</f>
        <v>#REF!</v>
      </c>
      <c r="G33" s="66" t="e">
        <f t="shared" si="0"/>
        <v>#REF!</v>
      </c>
    </row>
    <row r="34" spans="1:7">
      <c r="G34" s="66">
        <f t="shared" si="0"/>
        <v>0</v>
      </c>
    </row>
    <row r="35" spans="1:7">
      <c r="A35" s="68" t="s">
        <v>103</v>
      </c>
      <c r="B35" s="66" t="e">
        <f>'Organized by category'!#REF!+'Organized by category'!C166+SUM('Organized by category'!#REF!)</f>
        <v>#REF!</v>
      </c>
      <c r="C35" s="66" t="e">
        <f>'Organized by category'!#REF!+'Organized by category'!D166+SUM('Organized by category'!#REF!)</f>
        <v>#REF!</v>
      </c>
      <c r="D35" s="66" t="e">
        <f>'Organized by category'!#REF!+'Organized by category'!E166+SUM('Organized by category'!#REF!)</f>
        <v>#REF!</v>
      </c>
      <c r="E35" s="66" t="e">
        <f>'Organized by category'!#REF!+'Organized by category'!F166+SUM('Organized by category'!#REF!)</f>
        <v>#REF!</v>
      </c>
      <c r="G35" s="66" t="e">
        <f t="shared" si="0"/>
        <v>#REF!</v>
      </c>
    </row>
    <row r="36" spans="1:7">
      <c r="G36" s="66">
        <f t="shared" si="0"/>
        <v>0</v>
      </c>
    </row>
    <row r="37" spans="1:7">
      <c r="A37" s="69" t="s">
        <v>106</v>
      </c>
      <c r="B37" s="66" t="e">
        <f>SUM(B3:B35)</f>
        <v>#REF!</v>
      </c>
      <c r="C37" s="66" t="e">
        <f>SUM(C3:C35)</f>
        <v>#REF!</v>
      </c>
      <c r="D37" s="66" t="e">
        <f>SUM(D3:D35)</f>
        <v>#REF!</v>
      </c>
      <c r="E37" s="66" t="e">
        <f>SUM(E3:E35)</f>
        <v>#REF!</v>
      </c>
      <c r="G37" s="66" t="e">
        <f t="shared" si="0"/>
        <v>#REF!</v>
      </c>
    </row>
    <row r="38" spans="1:7">
      <c r="A38" t="s">
        <v>117</v>
      </c>
      <c r="B38" s="83">
        <v>403434.99129999994</v>
      </c>
      <c r="C38" s="83">
        <v>394597.8610390001</v>
      </c>
      <c r="D38" s="83">
        <v>377428.71687017003</v>
      </c>
      <c r="E38" s="83">
        <v>383805.83757947804</v>
      </c>
      <c r="F38" s="83"/>
      <c r="G38" s="83">
        <v>1559267.4067886481</v>
      </c>
    </row>
    <row r="39" spans="1:7">
      <c r="A39" s="69" t="s">
        <v>107</v>
      </c>
      <c r="B39" s="66">
        <f>'Organized by category'!C173</f>
        <v>65791.752415999988</v>
      </c>
      <c r="C39" s="66">
        <f>'Organized by category'!D173</f>
        <v>40791.799788480013</v>
      </c>
      <c r="D39" s="66">
        <f>'Organized by category'!E173</f>
        <v>46679.688582134419</v>
      </c>
      <c r="E39" s="66">
        <f>'Organized by category'!F173</f>
        <v>47740.638839598432</v>
      </c>
      <c r="G39" s="66">
        <f>SUM(B39:F39)</f>
        <v>201003.87962621285</v>
      </c>
    </row>
    <row r="40" spans="1:7">
      <c r="A40" t="s">
        <v>108</v>
      </c>
      <c r="B40" s="66" t="e">
        <f>SUM(B37:B39)</f>
        <v>#REF!</v>
      </c>
      <c r="C40" s="66" t="e">
        <f>SUM(C37:C39)</f>
        <v>#REF!</v>
      </c>
      <c r="D40" s="66" t="e">
        <f>SUM(D37:D39)</f>
        <v>#REF!</v>
      </c>
      <c r="E40" s="66" t="e">
        <f>SUM(E37:E39)</f>
        <v>#REF!</v>
      </c>
      <c r="G40" s="66" t="e">
        <f>SUM(B40:F40)</f>
        <v>#REF!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3C4-4D78-6D40-8B5F-B8C62AAD53B0}">
  <dimension ref="A2:F28"/>
  <sheetViews>
    <sheetView workbookViewId="0">
      <selection activeCell="A13" sqref="A13"/>
    </sheetView>
  </sheetViews>
  <sheetFormatPr defaultColWidth="11" defaultRowHeight="15.75"/>
  <cols>
    <col min="1" max="1" width="23.875" customWidth="1"/>
    <col min="3" max="3" width="22.5" customWidth="1"/>
    <col min="5" max="5" width="21" customWidth="1"/>
  </cols>
  <sheetData>
    <row r="2" spans="1:6">
      <c r="A2" s="84" t="s">
        <v>21</v>
      </c>
      <c r="B2" s="84" t="s">
        <v>22</v>
      </c>
      <c r="C2" s="84" t="s">
        <v>25</v>
      </c>
      <c r="D2" s="84"/>
      <c r="E2" s="2"/>
      <c r="F2" s="2"/>
    </row>
    <row r="3" spans="1:6" ht="18">
      <c r="A3" s="31" t="s">
        <v>20</v>
      </c>
      <c r="B3" s="2">
        <v>47.38</v>
      </c>
      <c r="C3" s="2"/>
      <c r="D3" s="2"/>
      <c r="E3" s="57">
        <f>8721/B3</f>
        <v>184.06500633178555</v>
      </c>
      <c r="F3" s="2"/>
    </row>
    <row r="4" spans="1:6">
      <c r="A4" s="31" t="s">
        <v>41</v>
      </c>
      <c r="B4" s="2">
        <v>50</v>
      </c>
      <c r="C4" s="2"/>
      <c r="D4" s="2"/>
      <c r="E4" s="2"/>
      <c r="F4" s="2"/>
    </row>
    <row r="5" spans="1:6">
      <c r="A5" s="31" t="s">
        <v>6</v>
      </c>
      <c r="B5" s="2">
        <v>57.89</v>
      </c>
      <c r="C5" s="2"/>
      <c r="D5" s="2"/>
      <c r="E5" s="2">
        <f>E3/1560</f>
        <v>0.11799038867422151</v>
      </c>
      <c r="F5" s="2"/>
    </row>
    <row r="6" spans="1:6">
      <c r="A6" s="31" t="s">
        <v>40</v>
      </c>
      <c r="B6" s="2">
        <v>46.15</v>
      </c>
      <c r="C6" s="2"/>
      <c r="D6" s="2"/>
      <c r="E6" s="2"/>
      <c r="F6" s="2"/>
    </row>
    <row r="7" spans="1:6">
      <c r="A7" s="31" t="s">
        <v>23</v>
      </c>
      <c r="B7" s="2">
        <v>17.57</v>
      </c>
      <c r="C7" s="2"/>
      <c r="D7" s="2"/>
      <c r="E7" s="2"/>
      <c r="F7" s="2"/>
    </row>
    <row r="8" spans="1:6">
      <c r="A8" s="31" t="s">
        <v>24</v>
      </c>
      <c r="B8" s="2">
        <v>20.03</v>
      </c>
      <c r="C8" s="2"/>
      <c r="D8" s="2"/>
      <c r="E8" s="2"/>
      <c r="F8" s="2"/>
    </row>
    <row r="9" spans="1:6">
      <c r="A9" s="32" t="s">
        <v>175</v>
      </c>
      <c r="B9" s="2">
        <v>20</v>
      </c>
      <c r="C9" s="2"/>
      <c r="D9" s="2"/>
      <c r="E9" s="2"/>
      <c r="F9" s="2"/>
    </row>
    <row r="10" spans="1:6">
      <c r="A10" s="32" t="s">
        <v>176</v>
      </c>
      <c r="B10" s="2">
        <v>22.6</v>
      </c>
      <c r="C10" s="2"/>
      <c r="D10" s="2"/>
      <c r="E10" s="2"/>
      <c r="F10" s="2"/>
    </row>
    <row r="11" spans="1:6">
      <c r="A11" s="32" t="s">
        <v>78</v>
      </c>
      <c r="B11" s="2">
        <v>51.06</v>
      </c>
      <c r="C11" s="2"/>
      <c r="D11" s="2"/>
      <c r="E11" s="2"/>
      <c r="F11" s="2"/>
    </row>
    <row r="12" spans="1:6">
      <c r="A12" s="32" t="s">
        <v>85</v>
      </c>
      <c r="B12" s="2">
        <v>44.92</v>
      </c>
      <c r="C12" s="2"/>
      <c r="D12" s="2"/>
      <c r="E12" s="2"/>
      <c r="F12" s="2"/>
    </row>
    <row r="13" spans="1:6">
      <c r="A13" s="32" t="s">
        <v>181</v>
      </c>
      <c r="B13" s="2">
        <v>20</v>
      </c>
      <c r="C13" s="2"/>
      <c r="D13" s="2"/>
      <c r="E13" s="2"/>
      <c r="F13" s="2"/>
    </row>
    <row r="14" spans="1:6">
      <c r="C14" s="2"/>
      <c r="D14" s="2"/>
      <c r="E14" s="2"/>
      <c r="F14" s="2"/>
    </row>
    <row r="15" spans="1:6">
      <c r="C15" s="2"/>
      <c r="D15" s="2"/>
      <c r="E15" s="2"/>
      <c r="F15" s="2"/>
    </row>
    <row r="16" spans="1:6">
      <c r="A16" s="2"/>
      <c r="B16" s="2"/>
      <c r="C16" s="2"/>
      <c r="D16" s="2"/>
      <c r="E16" s="2"/>
      <c r="F16" s="2"/>
    </row>
    <row r="17" spans="1:6">
      <c r="A17" t="s">
        <v>42</v>
      </c>
      <c r="B17" t="s">
        <v>43</v>
      </c>
      <c r="C17" t="s">
        <v>44</v>
      </c>
      <c r="D17" t="s">
        <v>45</v>
      </c>
      <c r="F17" t="s">
        <v>4</v>
      </c>
    </row>
    <row r="18" spans="1:6">
      <c r="A18" t="s">
        <v>24</v>
      </c>
      <c r="B18">
        <f>20*36</f>
        <v>720</v>
      </c>
      <c r="C18">
        <f>16*40</f>
        <v>640</v>
      </c>
      <c r="D18">
        <v>20.03</v>
      </c>
      <c r="E18" s="52">
        <f>B18*D18+C18*D18</f>
        <v>27240.800000000003</v>
      </c>
      <c r="F18">
        <v>1</v>
      </c>
    </row>
    <row r="19" spans="1:6">
      <c r="A19" t="s">
        <v>46</v>
      </c>
      <c r="B19">
        <f>20*36</f>
        <v>720</v>
      </c>
      <c r="C19">
        <f>16*40</f>
        <v>640</v>
      </c>
      <c r="D19">
        <v>17.54</v>
      </c>
      <c r="E19" s="52">
        <f>B19*D19+C19*D19</f>
        <v>23854.399999999998</v>
      </c>
      <c r="F19">
        <v>2</v>
      </c>
    </row>
    <row r="20" spans="1:6">
      <c r="A20" t="s">
        <v>47</v>
      </c>
      <c r="B20">
        <f>20*36</f>
        <v>720</v>
      </c>
      <c r="C20">
        <f>16*40</f>
        <v>640</v>
      </c>
      <c r="D20">
        <v>17.54</v>
      </c>
      <c r="E20" s="52">
        <f>B20*D20+C20*D20</f>
        <v>23854.399999999998</v>
      </c>
      <c r="F20">
        <v>2</v>
      </c>
    </row>
    <row r="24" spans="1:6">
      <c r="A24" s="84" t="s">
        <v>26</v>
      </c>
      <c r="B24" s="2"/>
    </row>
    <row r="25" spans="1:6">
      <c r="A25" s="2" t="s">
        <v>27</v>
      </c>
      <c r="B25" s="2">
        <v>0.29399999999999998</v>
      </c>
    </row>
    <row r="26" spans="1:6">
      <c r="A26" s="2" t="s">
        <v>28</v>
      </c>
      <c r="B26" s="2">
        <v>0.40799999999999997</v>
      </c>
    </row>
    <row r="27" spans="1:6">
      <c r="A27" s="2" t="s">
        <v>29</v>
      </c>
      <c r="B27" s="2">
        <v>0.03</v>
      </c>
    </row>
    <row r="28" spans="1:6">
      <c r="A28" s="2" t="s">
        <v>30</v>
      </c>
      <c r="B28" s="2">
        <v>8.5999999999999993E-2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5227-C079-9C43-96F1-072416568F12}">
  <dimension ref="A1:F7"/>
  <sheetViews>
    <sheetView workbookViewId="0">
      <selection activeCell="D6" sqref="D6"/>
    </sheetView>
  </sheetViews>
  <sheetFormatPr defaultColWidth="11" defaultRowHeight="15.75"/>
  <sheetData>
    <row r="1" spans="1:6">
      <c r="A1" t="s">
        <v>48</v>
      </c>
    </row>
    <row r="2" spans="1:6">
      <c r="B2" t="s">
        <v>39</v>
      </c>
      <c r="C2" t="s">
        <v>49</v>
      </c>
      <c r="D2" t="s">
        <v>38</v>
      </c>
      <c r="F2" t="s">
        <v>4</v>
      </c>
    </row>
    <row r="3" spans="1:6">
      <c r="A3" t="s">
        <v>24</v>
      </c>
      <c r="B3">
        <v>4956</v>
      </c>
      <c r="C3">
        <v>4938</v>
      </c>
      <c r="D3">
        <f>B3+C3+D4</f>
        <v>11850</v>
      </c>
      <c r="F3">
        <v>1</v>
      </c>
    </row>
    <row r="4" spans="1:6">
      <c r="A4" t="s">
        <v>55</v>
      </c>
      <c r="B4">
        <v>978</v>
      </c>
      <c r="C4">
        <v>978</v>
      </c>
      <c r="D4">
        <f>B4+C4</f>
        <v>1956</v>
      </c>
    </row>
    <row r="5" spans="1:6">
      <c r="B5">
        <f>SUM(B3:B4)</f>
        <v>5934</v>
      </c>
      <c r="C5">
        <f>SUM(C3:C4)</f>
        <v>5916</v>
      </c>
      <c r="D5">
        <f>SUM(D3:D4)</f>
        <v>13806</v>
      </c>
    </row>
    <row r="7" spans="1:6">
      <c r="A7" s="2"/>
      <c r="B7" s="2"/>
      <c r="C7" s="2"/>
      <c r="D7" s="2"/>
      <c r="E7" s="2"/>
      <c r="F7" s="2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D8CC-775B-3049-8780-2ADCA5BA491B}">
  <dimension ref="A1:J11"/>
  <sheetViews>
    <sheetView workbookViewId="0">
      <selection activeCell="D43" sqref="D43"/>
    </sheetView>
  </sheetViews>
  <sheetFormatPr defaultColWidth="11" defaultRowHeight="15.75"/>
  <cols>
    <col min="1" max="1" width="38" customWidth="1"/>
  </cols>
  <sheetData>
    <row r="1" spans="1:10">
      <c r="A1" s="2"/>
      <c r="B1" s="2" t="s">
        <v>65</v>
      </c>
      <c r="C1" s="2" t="s">
        <v>32</v>
      </c>
      <c r="D1" s="2" t="s">
        <v>31</v>
      </c>
      <c r="E1" s="2" t="s">
        <v>33</v>
      </c>
      <c r="F1" s="2" t="s">
        <v>63</v>
      </c>
      <c r="G1" s="2" t="s">
        <v>34</v>
      </c>
      <c r="H1" s="2" t="s">
        <v>74</v>
      </c>
      <c r="I1" s="2" t="s">
        <v>75</v>
      </c>
      <c r="J1" s="2" t="s">
        <v>81</v>
      </c>
    </row>
    <row r="2" spans="1:10">
      <c r="A2" s="10" t="s">
        <v>157</v>
      </c>
      <c r="B2" s="10">
        <v>2</v>
      </c>
      <c r="C2" s="10">
        <v>3</v>
      </c>
      <c r="D2" s="10">
        <v>57</v>
      </c>
      <c r="E2" s="2">
        <v>150</v>
      </c>
      <c r="F2" s="2">
        <v>500</v>
      </c>
      <c r="G2" s="2"/>
      <c r="H2" s="2"/>
      <c r="I2" s="2"/>
      <c r="J2" s="2"/>
    </row>
    <row r="3" spans="1:10">
      <c r="A3" s="183" t="s">
        <v>35</v>
      </c>
      <c r="B3" s="183">
        <v>5</v>
      </c>
      <c r="C3" s="183">
        <v>8</v>
      </c>
      <c r="D3" s="183">
        <v>49</v>
      </c>
      <c r="E3" s="183">
        <v>96</v>
      </c>
      <c r="F3" s="183"/>
      <c r="G3" s="183"/>
      <c r="H3" s="183">
        <v>200</v>
      </c>
      <c r="I3" s="183">
        <v>0.57499999999999996</v>
      </c>
      <c r="J3" s="183"/>
    </row>
    <row r="4" spans="1:10">
      <c r="A4" s="2" t="s">
        <v>158</v>
      </c>
      <c r="B4" s="2">
        <v>10</v>
      </c>
      <c r="C4" s="2">
        <v>5</v>
      </c>
      <c r="D4" s="2">
        <v>49</v>
      </c>
      <c r="E4" s="2">
        <v>96</v>
      </c>
      <c r="F4" s="2"/>
      <c r="G4" s="2"/>
      <c r="H4" s="2">
        <v>400</v>
      </c>
      <c r="I4" s="2">
        <v>0.57499999999999996</v>
      </c>
      <c r="J4" s="2"/>
    </row>
    <row r="5" spans="1:10">
      <c r="A5" s="10" t="s">
        <v>79</v>
      </c>
      <c r="B5" s="10">
        <v>4</v>
      </c>
      <c r="C5" s="10">
        <v>3</v>
      </c>
      <c r="D5" s="10">
        <v>57</v>
      </c>
      <c r="E5" s="10">
        <v>150</v>
      </c>
      <c r="F5" s="10">
        <v>500</v>
      </c>
      <c r="G5" s="10"/>
      <c r="H5" s="10"/>
      <c r="I5" s="10"/>
      <c r="J5" s="10">
        <v>200</v>
      </c>
    </row>
    <row r="7" spans="1:10">
      <c r="A7" s="10"/>
      <c r="B7" s="10"/>
      <c r="C7" s="10"/>
      <c r="D7" s="10"/>
      <c r="E7" s="10"/>
      <c r="F7" s="2"/>
      <c r="G7" s="2"/>
      <c r="H7" s="2"/>
      <c r="I7" s="2"/>
      <c r="J7" s="2"/>
    </row>
    <row r="8" spans="1:10">
      <c r="A8" t="s">
        <v>110</v>
      </c>
      <c r="B8">
        <v>6</v>
      </c>
    </row>
    <row r="9" spans="1:10">
      <c r="A9" t="s">
        <v>111</v>
      </c>
      <c r="B9">
        <v>2</v>
      </c>
    </row>
    <row r="10" spans="1:10">
      <c r="A10" t="s">
        <v>112</v>
      </c>
      <c r="B10">
        <v>2</v>
      </c>
    </row>
    <row r="11" spans="1:10">
      <c r="B11">
        <f>SUM(B8:B10)</f>
        <v>10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8709-E557-5746-89D2-B69679A860F2}">
  <dimension ref="A1:S55"/>
  <sheetViews>
    <sheetView workbookViewId="0">
      <selection activeCell="B5" sqref="B5"/>
    </sheetView>
  </sheetViews>
  <sheetFormatPr defaultColWidth="11" defaultRowHeight="15.75"/>
  <cols>
    <col min="1" max="1" width="32.375" customWidth="1"/>
    <col min="2" max="2" width="35.625" customWidth="1"/>
    <col min="3" max="3" width="20.625" customWidth="1"/>
    <col min="4" max="4" width="20" customWidth="1"/>
    <col min="5" max="5" width="19.375" customWidth="1"/>
    <col min="6" max="6" width="17.625" customWidth="1"/>
    <col min="7" max="7" width="26.5" customWidth="1"/>
    <col min="10" max="10" width="14.5" customWidth="1"/>
  </cols>
  <sheetData>
    <row r="1" spans="1:18">
      <c r="A1" s="137"/>
      <c r="B1" s="138"/>
      <c r="C1" s="138"/>
      <c r="D1" s="138"/>
      <c r="E1" s="138"/>
      <c r="F1" s="138"/>
      <c r="G1" s="138"/>
      <c r="H1" s="139"/>
      <c r="I1" s="140"/>
      <c r="J1" s="140"/>
      <c r="K1" s="140"/>
      <c r="L1" s="140"/>
      <c r="M1" s="140"/>
      <c r="N1" s="140"/>
      <c r="O1" s="140"/>
      <c r="P1" s="140"/>
      <c r="R1" s="66"/>
    </row>
    <row r="2" spans="1:18">
      <c r="A2" s="140" t="s">
        <v>88</v>
      </c>
      <c r="B2" s="140"/>
      <c r="C2" s="140"/>
      <c r="D2" s="140"/>
      <c r="E2" s="140"/>
      <c r="F2" s="140"/>
      <c r="G2" s="140"/>
      <c r="H2" s="140"/>
      <c r="I2" s="140"/>
      <c r="J2" s="141"/>
      <c r="K2" s="140"/>
      <c r="L2" s="141"/>
      <c r="M2" s="142"/>
      <c r="N2" s="142"/>
      <c r="O2" s="142"/>
      <c r="P2" s="142"/>
      <c r="R2" s="66"/>
    </row>
    <row r="3" spans="1:18">
      <c r="A3" s="141" t="s">
        <v>10</v>
      </c>
      <c r="B3" s="140" t="s">
        <v>153</v>
      </c>
      <c r="C3" s="140"/>
      <c r="D3" s="140"/>
      <c r="E3" s="140"/>
      <c r="F3" s="140"/>
      <c r="G3" s="140"/>
      <c r="H3" s="140"/>
      <c r="I3" s="140"/>
      <c r="J3" s="140" t="s">
        <v>154</v>
      </c>
      <c r="K3" s="140" t="s">
        <v>22</v>
      </c>
      <c r="L3" s="141" t="s">
        <v>92</v>
      </c>
      <c r="M3" s="142"/>
      <c r="N3" s="142"/>
      <c r="O3" s="142"/>
      <c r="P3" s="142"/>
      <c r="R3" s="66"/>
    </row>
    <row r="4" spans="1:18" ht="16.5" thickBot="1">
      <c r="A4" s="140"/>
      <c r="B4" s="140" t="s">
        <v>205</v>
      </c>
      <c r="C4" s="143">
        <f>K4*160</f>
        <v>5600</v>
      </c>
      <c r="D4" s="143">
        <f>C4*1.03</f>
        <v>5768</v>
      </c>
      <c r="E4" s="143">
        <f>D4*1.03</f>
        <v>5941.04</v>
      </c>
      <c r="F4" s="143">
        <f>E4*1.03</f>
        <v>6119.2712000000001</v>
      </c>
      <c r="G4" s="143">
        <f>SUM(C4:F4)</f>
        <v>23428.3112</v>
      </c>
      <c r="H4" s="140"/>
      <c r="I4" s="140"/>
      <c r="J4" s="140" t="s">
        <v>10</v>
      </c>
      <c r="K4" s="140">
        <v>35</v>
      </c>
      <c r="L4" s="175">
        <v>0.24199999999999999</v>
      </c>
      <c r="M4" s="140"/>
      <c r="N4" s="140"/>
      <c r="O4" s="140"/>
      <c r="P4" s="140"/>
      <c r="R4" s="66"/>
    </row>
    <row r="5" spans="1:18" ht="16.5" thickBot="1">
      <c r="A5" s="144" t="s">
        <v>38</v>
      </c>
      <c r="B5" s="144"/>
      <c r="C5" s="145">
        <f>SUM(C4)</f>
        <v>5600</v>
      </c>
      <c r="D5" s="146">
        <f>SUM(D4)</f>
        <v>5768</v>
      </c>
      <c r="E5" s="146">
        <f>SUM(E4)</f>
        <v>5941.04</v>
      </c>
      <c r="F5" s="146">
        <f>SUM(F4)</f>
        <v>6119.2712000000001</v>
      </c>
      <c r="G5" s="147">
        <f>SUM(G4)</f>
        <v>23428.3112</v>
      </c>
      <c r="H5" s="140"/>
      <c r="I5" s="140"/>
      <c r="J5" s="140"/>
      <c r="K5" s="140"/>
      <c r="L5" s="141"/>
      <c r="M5" s="140"/>
      <c r="N5" s="140"/>
      <c r="O5" s="140"/>
      <c r="P5" s="140"/>
      <c r="R5" s="66"/>
    </row>
    <row r="6" spans="1:18">
      <c r="A6" s="148" t="s">
        <v>89</v>
      </c>
      <c r="B6" s="140"/>
      <c r="C6" s="143"/>
      <c r="D6" s="143"/>
      <c r="E6" s="143"/>
      <c r="F6" s="143"/>
      <c r="G6" s="143"/>
      <c r="H6" s="149"/>
      <c r="I6" s="140"/>
      <c r="J6" s="140" t="s">
        <v>152</v>
      </c>
      <c r="K6" s="140">
        <v>21</v>
      </c>
      <c r="L6" s="154">
        <v>0.45500000000000002</v>
      </c>
      <c r="M6" s="140"/>
      <c r="N6" s="140"/>
      <c r="O6" s="140"/>
      <c r="P6" s="140"/>
      <c r="R6" s="66"/>
    </row>
    <row r="7" spans="1:18">
      <c r="A7" s="150" t="s">
        <v>152</v>
      </c>
      <c r="B7" s="140" t="s">
        <v>153</v>
      </c>
      <c r="C7" s="143"/>
      <c r="D7" s="143"/>
      <c r="E7" s="143"/>
      <c r="F7" s="143"/>
      <c r="G7" s="143"/>
      <c r="H7" s="151"/>
      <c r="I7" s="140"/>
      <c r="J7" s="140"/>
      <c r="K7" s="140"/>
      <c r="L7" s="141"/>
      <c r="M7" s="142"/>
      <c r="N7" s="142"/>
      <c r="O7" s="142"/>
      <c r="P7" s="142"/>
      <c r="R7" s="66"/>
    </row>
    <row r="8" spans="1:18" ht="16.5" thickBot="1">
      <c r="A8" s="148"/>
      <c r="B8" s="140" t="s">
        <v>171</v>
      </c>
      <c r="C8" s="143">
        <f>K6*1040</f>
        <v>21840</v>
      </c>
      <c r="D8" s="143">
        <f>C8*1.03</f>
        <v>22495.200000000001</v>
      </c>
      <c r="E8" s="143">
        <f>D8*1.03</f>
        <v>23170.056</v>
      </c>
      <c r="F8" s="143">
        <f>E8*1.03</f>
        <v>23865.15768</v>
      </c>
      <c r="G8" s="143">
        <f>SUM(C8:F8)</f>
        <v>91370.413679999998</v>
      </c>
      <c r="H8" s="151"/>
      <c r="I8" s="140"/>
      <c r="J8" s="140" t="s">
        <v>182</v>
      </c>
      <c r="K8" s="140">
        <v>0.55410000000000004</v>
      </c>
      <c r="L8" s="140"/>
      <c r="M8" s="140"/>
      <c r="N8" s="140"/>
      <c r="O8" s="140"/>
      <c r="P8" s="140"/>
      <c r="R8" s="66"/>
    </row>
    <row r="9" spans="1:18" ht="16.5" thickBot="1">
      <c r="A9" s="152" t="s">
        <v>38</v>
      </c>
      <c r="B9" s="144"/>
      <c r="C9" s="145">
        <f>SUM(C8)</f>
        <v>21840</v>
      </c>
      <c r="D9" s="146">
        <f>SUM(D8)</f>
        <v>22495.200000000001</v>
      </c>
      <c r="E9" s="146">
        <f>SUM(E8)</f>
        <v>23170.056</v>
      </c>
      <c r="F9" s="146">
        <f>SUM(F8)</f>
        <v>23865.15768</v>
      </c>
      <c r="G9" s="147">
        <f>SUM(G8)</f>
        <v>91370.413679999998</v>
      </c>
      <c r="H9" s="151"/>
      <c r="I9" s="140"/>
      <c r="J9" s="140"/>
      <c r="K9" s="140"/>
      <c r="L9" s="140"/>
      <c r="M9" s="140"/>
      <c r="N9" s="140"/>
      <c r="O9" s="140"/>
      <c r="P9" s="140"/>
      <c r="R9" s="66"/>
    </row>
    <row r="10" spans="1:18">
      <c r="A10" s="148" t="s">
        <v>91</v>
      </c>
      <c r="B10" s="140"/>
      <c r="C10" s="140"/>
      <c r="D10" s="143"/>
      <c r="E10" s="143"/>
      <c r="F10" s="143"/>
      <c r="G10" s="143"/>
      <c r="H10" s="151"/>
      <c r="I10" s="140"/>
      <c r="J10" s="140"/>
      <c r="K10" s="140"/>
      <c r="L10" s="140"/>
      <c r="M10" s="140"/>
      <c r="N10" s="140"/>
      <c r="O10" s="140"/>
      <c r="P10" s="140"/>
      <c r="R10" s="66"/>
    </row>
    <row r="11" spans="1:18">
      <c r="A11" s="150" t="s">
        <v>10</v>
      </c>
      <c r="B11" s="154">
        <v>0.24199999999999999</v>
      </c>
      <c r="C11" s="156">
        <f>C4*B11</f>
        <v>1355.2</v>
      </c>
      <c r="D11" s="156">
        <f>D4*B11</f>
        <v>1395.856</v>
      </c>
      <c r="E11" s="156">
        <f>E4*B11</f>
        <v>1437.7316799999999</v>
      </c>
      <c r="F11" s="156">
        <f>F4*B11</f>
        <v>1480.8636303999999</v>
      </c>
      <c r="G11" s="143">
        <f>SUM(C11:F11)</f>
        <v>5669.6513103999996</v>
      </c>
      <c r="H11" s="151"/>
      <c r="I11" s="140"/>
      <c r="J11" s="140"/>
      <c r="K11" s="140"/>
      <c r="L11" s="140"/>
      <c r="M11" s="140"/>
      <c r="N11" s="140"/>
      <c r="O11" s="140"/>
      <c r="P11" s="140"/>
      <c r="R11" s="66"/>
    </row>
    <row r="12" spans="1:18" ht="16.5" thickBot="1">
      <c r="A12" s="150" t="s">
        <v>152</v>
      </c>
      <c r="B12" s="154">
        <v>0.45500000000000002</v>
      </c>
      <c r="C12" s="156">
        <f>C8*B12</f>
        <v>9937.2000000000007</v>
      </c>
      <c r="D12" s="156">
        <f>D8*B12</f>
        <v>10235.316000000001</v>
      </c>
      <c r="E12" s="156">
        <f>E8*B12</f>
        <v>10542.375480000001</v>
      </c>
      <c r="F12" s="156">
        <f>F8*B12</f>
        <v>10858.646744400001</v>
      </c>
      <c r="G12" s="143">
        <f>SUM(C12:F12)</f>
        <v>41573.538224400007</v>
      </c>
      <c r="H12" s="151"/>
      <c r="I12" s="140"/>
      <c r="J12" s="140"/>
      <c r="K12" s="140"/>
      <c r="L12" s="140"/>
      <c r="M12" s="140"/>
      <c r="N12" s="140"/>
      <c r="O12" s="140"/>
      <c r="P12" s="140"/>
      <c r="R12" s="66"/>
    </row>
    <row r="13" spans="1:18" ht="16.5" thickBot="1">
      <c r="A13" s="152" t="s">
        <v>38</v>
      </c>
      <c r="B13" s="144"/>
      <c r="C13" s="157">
        <f>SUM(C11:C12)</f>
        <v>11292.400000000001</v>
      </c>
      <c r="D13" s="158">
        <f>SUM(D11:D12)</f>
        <v>11631.172</v>
      </c>
      <c r="E13" s="158">
        <f>SUM(E11:E12)</f>
        <v>11980.10716</v>
      </c>
      <c r="F13" s="158">
        <f>SUM(F11:F12)</f>
        <v>12339.5103748</v>
      </c>
      <c r="G13" s="159">
        <f>SUM(G11:G12)</f>
        <v>47243.189534800003</v>
      </c>
      <c r="H13" s="151"/>
      <c r="I13" s="140"/>
      <c r="J13" s="140"/>
      <c r="K13" s="140"/>
      <c r="L13" s="140"/>
      <c r="M13" s="140"/>
      <c r="N13" s="140"/>
      <c r="O13" s="140"/>
      <c r="P13" s="140"/>
      <c r="R13" s="66"/>
    </row>
    <row r="14" spans="1:18">
      <c r="A14" s="148" t="s">
        <v>183</v>
      </c>
      <c r="B14" s="140"/>
      <c r="C14" s="156">
        <f>C13+C9+C5</f>
        <v>38732.400000000001</v>
      </c>
      <c r="D14" s="156">
        <f t="shared" ref="D14:G14" si="0">D13+D9+D5</f>
        <v>39894.372000000003</v>
      </c>
      <c r="E14" s="156">
        <f t="shared" si="0"/>
        <v>41091.203159999997</v>
      </c>
      <c r="F14" s="156">
        <f t="shared" si="0"/>
        <v>42323.939254800003</v>
      </c>
      <c r="G14" s="156">
        <f t="shared" si="0"/>
        <v>162041.91441480001</v>
      </c>
      <c r="H14" s="151"/>
      <c r="I14" s="140"/>
      <c r="J14" s="140"/>
      <c r="K14" s="140"/>
      <c r="L14" s="140"/>
      <c r="M14" s="140"/>
      <c r="N14" s="140"/>
      <c r="O14" s="140"/>
      <c r="P14" s="140"/>
      <c r="R14" s="66"/>
    </row>
    <row r="15" spans="1:18">
      <c r="A15" s="148"/>
      <c r="B15" s="140"/>
      <c r="C15" s="140"/>
      <c r="D15" s="143"/>
      <c r="E15" s="143"/>
      <c r="F15" s="143"/>
      <c r="G15" s="160"/>
      <c r="H15" s="151"/>
      <c r="I15" s="140"/>
      <c r="J15" s="140"/>
      <c r="K15" s="140"/>
      <c r="L15" s="140"/>
      <c r="M15" s="140"/>
      <c r="N15" s="140"/>
      <c r="O15" s="140"/>
      <c r="P15" s="140"/>
      <c r="R15" s="66"/>
    </row>
    <row r="16" spans="1:18">
      <c r="A16" s="148" t="s">
        <v>93</v>
      </c>
      <c r="B16" s="140"/>
      <c r="C16" s="140"/>
      <c r="D16" s="143"/>
      <c r="E16" s="143"/>
      <c r="F16" s="143"/>
      <c r="G16" s="160"/>
      <c r="H16" s="151"/>
      <c r="I16" s="140"/>
      <c r="J16" s="140"/>
      <c r="K16" s="140"/>
      <c r="L16" s="140"/>
      <c r="M16" s="140"/>
      <c r="N16" s="140"/>
      <c r="O16" s="140"/>
      <c r="P16" s="140"/>
      <c r="R16" s="66"/>
    </row>
    <row r="17" spans="1:19">
      <c r="A17" s="148"/>
      <c r="B17" s="140"/>
      <c r="C17" s="140"/>
      <c r="D17" s="143"/>
      <c r="E17" s="143"/>
      <c r="F17" s="143"/>
      <c r="G17" s="160"/>
      <c r="H17" s="151"/>
      <c r="I17" s="140"/>
      <c r="J17" s="140"/>
      <c r="K17" s="140"/>
      <c r="L17" s="140"/>
      <c r="M17" s="140"/>
      <c r="N17" s="140"/>
      <c r="O17" s="140"/>
      <c r="P17" s="140"/>
      <c r="R17" s="66"/>
    </row>
    <row r="18" spans="1:19">
      <c r="A18" s="148" t="s">
        <v>94</v>
      </c>
      <c r="B18" s="140"/>
      <c r="C18" s="140"/>
      <c r="D18" s="140"/>
      <c r="E18" s="140"/>
      <c r="F18" s="140"/>
      <c r="G18" s="160"/>
      <c r="H18" s="151"/>
      <c r="I18" s="140"/>
      <c r="J18" s="140"/>
      <c r="K18" s="140" t="s">
        <v>65</v>
      </c>
      <c r="L18" s="140" t="s">
        <v>32</v>
      </c>
      <c r="M18" s="140" t="s">
        <v>31</v>
      </c>
      <c r="N18" s="140" t="s">
        <v>33</v>
      </c>
      <c r="O18" s="140" t="s">
        <v>63</v>
      </c>
      <c r="P18" s="140" t="s">
        <v>34</v>
      </c>
      <c r="Q18" t="s">
        <v>74</v>
      </c>
      <c r="R18" t="s">
        <v>75</v>
      </c>
      <c r="S18" t="s">
        <v>81</v>
      </c>
    </row>
    <row r="19" spans="1:19">
      <c r="A19" s="148" t="s">
        <v>95</v>
      </c>
      <c r="B19" s="140"/>
      <c r="C19" s="140"/>
      <c r="D19" s="140"/>
      <c r="E19" s="140"/>
      <c r="F19" s="140"/>
      <c r="G19" s="140"/>
      <c r="H19" s="151"/>
      <c r="I19" s="140"/>
      <c r="J19" s="140" t="s">
        <v>157</v>
      </c>
      <c r="K19" s="140">
        <v>2</v>
      </c>
      <c r="L19" s="140">
        <v>3</v>
      </c>
      <c r="M19" s="140">
        <v>57</v>
      </c>
      <c r="N19" s="140">
        <v>150</v>
      </c>
      <c r="O19" s="140">
        <v>500</v>
      </c>
      <c r="P19" s="140"/>
    </row>
    <row r="20" spans="1:19">
      <c r="A20" s="141" t="s">
        <v>64</v>
      </c>
      <c r="B20" s="141" t="s">
        <v>83</v>
      </c>
      <c r="C20" s="162">
        <f>K19*L19*M19</f>
        <v>342</v>
      </c>
      <c r="D20" s="162">
        <f t="shared" ref="D20:F22" si="1">C20</f>
        <v>342</v>
      </c>
      <c r="E20" s="162">
        <f t="shared" si="1"/>
        <v>342</v>
      </c>
      <c r="F20" s="160">
        <f t="shared" si="1"/>
        <v>342</v>
      </c>
      <c r="G20" s="162">
        <f>SUM(C20:F20)</f>
        <v>1368</v>
      </c>
      <c r="H20" s="151"/>
      <c r="I20" s="140"/>
      <c r="J20" s="140" t="s">
        <v>158</v>
      </c>
      <c r="K20" s="140">
        <v>2</v>
      </c>
      <c r="L20" s="140">
        <v>5</v>
      </c>
      <c r="M20" s="140">
        <v>49</v>
      </c>
      <c r="N20" s="140">
        <v>96</v>
      </c>
      <c r="O20" s="140"/>
      <c r="P20" s="140"/>
      <c r="Q20">
        <v>600</v>
      </c>
      <c r="R20">
        <v>0.57499999999999996</v>
      </c>
    </row>
    <row r="21" spans="1:19">
      <c r="A21" s="140"/>
      <c r="B21" s="141" t="s">
        <v>82</v>
      </c>
      <c r="C21" s="162">
        <f>K19*L19*N19</f>
        <v>900</v>
      </c>
      <c r="D21" s="162">
        <f t="shared" si="1"/>
        <v>900</v>
      </c>
      <c r="E21" s="162">
        <f t="shared" si="1"/>
        <v>900</v>
      </c>
      <c r="F21" s="160">
        <f t="shared" si="1"/>
        <v>900</v>
      </c>
      <c r="G21" s="162">
        <f>SUM(C21:F21)</f>
        <v>3600</v>
      </c>
      <c r="H21" s="151"/>
      <c r="I21" s="140"/>
      <c r="J21" s="140" t="s">
        <v>79</v>
      </c>
      <c r="K21" s="140">
        <v>2</v>
      </c>
      <c r="L21" s="140">
        <v>3</v>
      </c>
      <c r="M21" s="140">
        <v>57</v>
      </c>
      <c r="N21" s="140">
        <v>150</v>
      </c>
      <c r="O21" s="140">
        <v>500</v>
      </c>
      <c r="P21" s="140"/>
      <c r="S21">
        <v>200</v>
      </c>
    </row>
    <row r="22" spans="1:19">
      <c r="A22" s="140"/>
      <c r="B22" s="141" t="s">
        <v>63</v>
      </c>
      <c r="C22" s="162">
        <f>K19*O19</f>
        <v>1000</v>
      </c>
      <c r="D22" s="162">
        <f t="shared" si="1"/>
        <v>1000</v>
      </c>
      <c r="E22" s="162">
        <f t="shared" si="1"/>
        <v>1000</v>
      </c>
      <c r="F22" s="160">
        <f t="shared" si="1"/>
        <v>1000</v>
      </c>
      <c r="G22" s="162">
        <f>SUM(C22:F22)</f>
        <v>4000</v>
      </c>
      <c r="H22" s="151"/>
      <c r="I22" s="140"/>
      <c r="J22" s="140"/>
      <c r="K22" s="140"/>
      <c r="L22" s="140"/>
      <c r="M22" s="140"/>
      <c r="N22" s="140"/>
      <c r="O22" s="140"/>
      <c r="P22" s="140"/>
    </row>
    <row r="23" spans="1:19">
      <c r="A23" s="140"/>
      <c r="B23" s="140"/>
      <c r="C23" s="140"/>
      <c r="D23" s="140"/>
      <c r="E23" s="140"/>
      <c r="F23" s="140"/>
      <c r="G23" s="140"/>
      <c r="H23" s="151"/>
      <c r="I23" s="140"/>
      <c r="J23" s="140"/>
      <c r="K23" s="140"/>
      <c r="L23" s="140"/>
      <c r="M23" s="140"/>
      <c r="N23" s="140"/>
      <c r="O23" s="140"/>
      <c r="P23" s="140"/>
    </row>
    <row r="24" spans="1:19">
      <c r="A24" s="141" t="s">
        <v>163</v>
      </c>
      <c r="B24" s="141" t="s">
        <v>73</v>
      </c>
      <c r="C24" s="140">
        <f>K20*L20*M20</f>
        <v>490</v>
      </c>
      <c r="D24" s="140">
        <f t="shared" ref="D24:F26" si="2">C24</f>
        <v>490</v>
      </c>
      <c r="E24" s="140">
        <f t="shared" si="2"/>
        <v>490</v>
      </c>
      <c r="F24" s="140">
        <f t="shared" si="2"/>
        <v>490</v>
      </c>
      <c r="G24" s="140">
        <f>SUM(C24:F24)</f>
        <v>1960</v>
      </c>
      <c r="H24" s="151"/>
      <c r="I24" s="140"/>
      <c r="J24" s="140"/>
      <c r="K24" s="140"/>
      <c r="L24" s="140"/>
      <c r="M24" s="140"/>
      <c r="N24" s="140"/>
      <c r="O24" s="140"/>
      <c r="P24" s="140"/>
    </row>
    <row r="25" spans="1:19">
      <c r="A25" s="140"/>
      <c r="B25" s="141" t="s">
        <v>50</v>
      </c>
      <c r="C25" s="140">
        <f>K20*L20*N20</f>
        <v>960</v>
      </c>
      <c r="D25" s="140">
        <f t="shared" si="2"/>
        <v>960</v>
      </c>
      <c r="E25" s="140">
        <f t="shared" si="2"/>
        <v>960</v>
      </c>
      <c r="F25" s="140">
        <f t="shared" si="2"/>
        <v>960</v>
      </c>
      <c r="G25" s="140">
        <f>SUM(C25:F25)</f>
        <v>3840</v>
      </c>
      <c r="H25" s="151"/>
      <c r="I25" s="140"/>
      <c r="J25" s="140"/>
      <c r="K25" s="140"/>
      <c r="L25" s="140"/>
      <c r="M25" s="140"/>
      <c r="N25" s="140"/>
      <c r="O25" s="140"/>
      <c r="P25" s="140"/>
    </row>
    <row r="26" spans="1:19">
      <c r="A26" s="140"/>
      <c r="B26" s="141" t="s">
        <v>161</v>
      </c>
      <c r="C26" s="140">
        <f>K20*Q20*R20</f>
        <v>690</v>
      </c>
      <c r="D26" s="140">
        <f t="shared" si="2"/>
        <v>690</v>
      </c>
      <c r="E26" s="140">
        <f t="shared" si="2"/>
        <v>690</v>
      </c>
      <c r="F26" s="140">
        <f t="shared" si="2"/>
        <v>690</v>
      </c>
      <c r="G26" s="140">
        <f>SUM(C26:F26)</f>
        <v>2760</v>
      </c>
      <c r="H26" s="151"/>
      <c r="I26" s="140"/>
      <c r="J26" s="140"/>
      <c r="K26" s="140"/>
      <c r="L26" s="140"/>
      <c r="M26" s="140"/>
      <c r="N26" s="140"/>
      <c r="O26" s="140"/>
      <c r="P26" s="140"/>
    </row>
    <row r="27" spans="1:19">
      <c r="A27" s="140"/>
      <c r="B27" s="140"/>
      <c r="C27" s="140"/>
      <c r="D27" s="140"/>
      <c r="E27" s="140"/>
      <c r="F27" s="140"/>
      <c r="G27" s="140"/>
      <c r="H27" s="151"/>
      <c r="I27" s="140"/>
      <c r="J27" s="140"/>
      <c r="K27" s="140"/>
      <c r="L27" s="164"/>
      <c r="M27" s="163"/>
      <c r="N27" s="163"/>
      <c r="O27" s="163"/>
      <c r="P27" s="163"/>
      <c r="R27" s="66"/>
    </row>
    <row r="28" spans="1:19">
      <c r="A28" s="141" t="s">
        <v>79</v>
      </c>
      <c r="B28" s="141" t="s">
        <v>83</v>
      </c>
      <c r="C28" s="162"/>
      <c r="D28" s="162">
        <f>C28</f>
        <v>0</v>
      </c>
      <c r="E28" s="162">
        <f>K21*L21*M21</f>
        <v>342</v>
      </c>
      <c r="F28" s="160">
        <f>E28</f>
        <v>342</v>
      </c>
      <c r="G28" s="162">
        <f>SUM(C28:F28)</f>
        <v>684</v>
      </c>
      <c r="H28" s="149"/>
      <c r="I28" s="140"/>
      <c r="J28" s="140"/>
      <c r="K28" s="140"/>
      <c r="L28" s="164"/>
      <c r="M28" s="163"/>
      <c r="N28" s="163"/>
      <c r="O28" s="163"/>
      <c r="P28" s="163"/>
      <c r="R28" s="66"/>
    </row>
    <row r="29" spans="1:19">
      <c r="A29" s="140"/>
      <c r="B29" s="141" t="s">
        <v>82</v>
      </c>
      <c r="C29" s="162"/>
      <c r="D29" s="162">
        <f>C29</f>
        <v>0</v>
      </c>
      <c r="E29" s="162">
        <f>K21*L21*N21</f>
        <v>900</v>
      </c>
      <c r="F29" s="160">
        <f>E29</f>
        <v>900</v>
      </c>
      <c r="G29" s="162">
        <f>SUM(C29:F29)</f>
        <v>1800</v>
      </c>
      <c r="H29" s="140"/>
      <c r="I29" s="140"/>
      <c r="J29" s="140"/>
      <c r="K29" s="140"/>
      <c r="L29" s="164"/>
      <c r="M29" s="163"/>
      <c r="N29" s="163"/>
      <c r="O29" s="163"/>
      <c r="P29" s="163"/>
      <c r="R29" s="66"/>
    </row>
    <row r="30" spans="1:19">
      <c r="A30" s="140"/>
      <c r="B30" s="141" t="s">
        <v>196</v>
      </c>
      <c r="C30" s="162"/>
      <c r="D30" s="162"/>
      <c r="E30" s="162">
        <f>S21*K21</f>
        <v>400</v>
      </c>
      <c r="F30" s="160">
        <f>S21*K21</f>
        <v>400</v>
      </c>
      <c r="G30" s="162">
        <f>SUM(E30:F30)</f>
        <v>800</v>
      </c>
      <c r="H30" s="140"/>
      <c r="I30" s="140"/>
      <c r="J30" s="140"/>
      <c r="K30" s="140"/>
      <c r="L30" s="164"/>
      <c r="M30" s="163"/>
      <c r="N30" s="163"/>
      <c r="O30" s="163"/>
      <c r="P30" s="163"/>
      <c r="R30" s="66"/>
    </row>
    <row r="31" spans="1:19" ht="16.5" thickBot="1">
      <c r="A31" s="140"/>
      <c r="B31" s="141" t="s">
        <v>63</v>
      </c>
      <c r="C31" s="162"/>
      <c r="D31" s="162">
        <f>C31</f>
        <v>0</v>
      </c>
      <c r="E31" s="162">
        <f>K21*O21</f>
        <v>1000</v>
      </c>
      <c r="F31" s="160">
        <f>E31</f>
        <v>1000</v>
      </c>
      <c r="G31" s="162">
        <f>SUM(C31:F31)</f>
        <v>2000</v>
      </c>
      <c r="H31" s="140"/>
      <c r="I31" s="140"/>
      <c r="J31" s="140"/>
      <c r="K31" s="140"/>
      <c r="L31" s="140"/>
      <c r="M31" s="140"/>
      <c r="N31" s="140"/>
      <c r="O31" s="140"/>
      <c r="P31" s="140"/>
    </row>
    <row r="32" spans="1:19" ht="16.5" thickBot="1">
      <c r="A32" s="144" t="s">
        <v>38</v>
      </c>
      <c r="B32" s="165"/>
      <c r="C32" s="166">
        <f>SUM(C20:C31)</f>
        <v>4382</v>
      </c>
      <c r="D32" s="166">
        <f>SUM(D20:D31)</f>
        <v>4382</v>
      </c>
      <c r="E32" s="166">
        <f>SUM(E20:E31)</f>
        <v>7024</v>
      </c>
      <c r="F32" s="166">
        <f>SUM(F20:F31)</f>
        <v>7024</v>
      </c>
      <c r="G32" s="166">
        <f>SUM(G20:G31)</f>
        <v>22812</v>
      </c>
      <c r="H32" s="140"/>
      <c r="I32" s="140"/>
      <c r="J32" s="140"/>
      <c r="K32" s="140"/>
      <c r="L32" s="140"/>
      <c r="M32" s="140"/>
      <c r="N32" s="140"/>
      <c r="O32" s="140"/>
      <c r="P32" s="140"/>
    </row>
    <row r="33" spans="1:18">
      <c r="A33" s="140"/>
      <c r="B33" s="141"/>
      <c r="C33" s="162"/>
      <c r="D33" s="162"/>
      <c r="E33" s="162"/>
      <c r="F33" s="160"/>
      <c r="G33" s="162"/>
      <c r="H33" s="151"/>
      <c r="I33" s="140"/>
      <c r="J33" s="140"/>
      <c r="K33" s="140"/>
      <c r="L33" s="140"/>
      <c r="M33" s="140"/>
      <c r="N33" s="140"/>
      <c r="O33" s="140"/>
      <c r="P33" s="140"/>
    </row>
    <row r="34" spans="1:18">
      <c r="A34" s="140" t="s">
        <v>156</v>
      </c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</row>
    <row r="35" spans="1:18">
      <c r="A35" s="141" t="s">
        <v>167</v>
      </c>
      <c r="B35" s="140"/>
      <c r="C35" s="140"/>
      <c r="D35" s="140"/>
      <c r="E35" s="140"/>
      <c r="F35" s="140"/>
      <c r="G35" s="140"/>
      <c r="H35" s="140"/>
      <c r="I35" s="140"/>
      <c r="J35" s="136" t="s">
        <v>114</v>
      </c>
      <c r="K35" s="167" t="s">
        <v>71</v>
      </c>
      <c r="L35" s="167" t="s">
        <v>53</v>
      </c>
      <c r="M35" s="167" t="s">
        <v>54</v>
      </c>
      <c r="N35" s="167" t="s">
        <v>32</v>
      </c>
      <c r="O35" s="167" t="s">
        <v>61</v>
      </c>
      <c r="P35" s="167" t="s">
        <v>62</v>
      </c>
    </row>
    <row r="36" spans="1:18">
      <c r="A36" s="140"/>
      <c r="B36" s="150" t="s">
        <v>56</v>
      </c>
      <c r="D36" s="140">
        <f>K39*K40</f>
        <v>3750</v>
      </c>
      <c r="E36" s="140">
        <f t="shared" ref="E36:F38" si="3">D36</f>
        <v>3750</v>
      </c>
      <c r="F36" s="140">
        <f t="shared" si="3"/>
        <v>3750</v>
      </c>
      <c r="G36" s="140">
        <f>SUM(D36:F36)</f>
        <v>11250</v>
      </c>
      <c r="H36" s="140"/>
      <c r="I36" s="140"/>
      <c r="J36" s="140" t="s">
        <v>133</v>
      </c>
      <c r="K36" s="140">
        <v>15</v>
      </c>
      <c r="L36" s="140">
        <v>25</v>
      </c>
      <c r="M36" s="140">
        <v>25</v>
      </c>
      <c r="N36" s="140">
        <v>10</v>
      </c>
      <c r="O36" s="140"/>
      <c r="P36" s="140"/>
    </row>
    <row r="37" spans="1:18">
      <c r="A37" s="140"/>
      <c r="B37" s="150" t="s">
        <v>60</v>
      </c>
      <c r="D37" s="140">
        <f>5000+K36*M36*N36</f>
        <v>8750</v>
      </c>
      <c r="E37" s="140">
        <f t="shared" si="3"/>
        <v>8750</v>
      </c>
      <c r="F37" s="140">
        <f t="shared" si="3"/>
        <v>8750</v>
      </c>
      <c r="G37" s="140">
        <f>SUM(D37:F37)</f>
        <v>26250</v>
      </c>
      <c r="H37" s="140"/>
      <c r="I37" s="140"/>
      <c r="J37" s="140"/>
      <c r="K37" s="140"/>
      <c r="L37" s="140"/>
      <c r="M37" s="140"/>
      <c r="N37" s="140"/>
      <c r="O37" s="140"/>
      <c r="P37" s="140"/>
    </row>
    <row r="38" spans="1:18">
      <c r="A38" s="140"/>
      <c r="B38" s="150" t="s">
        <v>97</v>
      </c>
      <c r="D38" s="140">
        <f>K39*L36*N36</f>
        <v>3750</v>
      </c>
      <c r="E38" s="140">
        <f t="shared" si="3"/>
        <v>3750</v>
      </c>
      <c r="F38" s="140">
        <f t="shared" si="3"/>
        <v>3750</v>
      </c>
      <c r="G38" s="140">
        <f>SUM(D38:F38)</f>
        <v>11250</v>
      </c>
      <c r="H38" s="140"/>
      <c r="I38" s="140"/>
      <c r="J38" s="140" t="s">
        <v>169</v>
      </c>
      <c r="K38" s="140"/>
      <c r="L38" s="140"/>
      <c r="M38" s="140"/>
      <c r="N38" s="140"/>
      <c r="O38" s="140"/>
      <c r="P38" s="140"/>
    </row>
    <row r="39" spans="1:18">
      <c r="A39" s="140"/>
      <c r="B39" s="150" t="s">
        <v>98</v>
      </c>
      <c r="C39" s="140"/>
      <c r="D39" s="140"/>
      <c r="E39" s="140"/>
      <c r="F39" s="140"/>
      <c r="G39" s="140"/>
      <c r="H39" s="140"/>
      <c r="I39" s="140"/>
      <c r="J39" s="140" t="s">
        <v>4</v>
      </c>
      <c r="K39" s="140">
        <v>15</v>
      </c>
      <c r="L39" s="140"/>
      <c r="M39" s="140"/>
      <c r="N39" s="140"/>
      <c r="O39" s="140"/>
      <c r="P39" s="140"/>
    </row>
    <row r="40" spans="1:18">
      <c r="A40" s="140"/>
      <c r="B40" s="140"/>
      <c r="C40" s="140"/>
      <c r="D40" s="140"/>
      <c r="E40" s="140"/>
      <c r="F40" s="140"/>
      <c r="G40" s="140"/>
      <c r="H40" s="140"/>
      <c r="I40" s="140"/>
      <c r="J40" s="140" t="s">
        <v>113</v>
      </c>
      <c r="K40" s="140">
        <v>250</v>
      </c>
      <c r="L40" s="140"/>
      <c r="M40" s="140"/>
      <c r="N40" s="140"/>
      <c r="O40" s="140"/>
      <c r="P40" s="140"/>
    </row>
    <row r="41" spans="1:18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64"/>
      <c r="M41" s="168"/>
      <c r="N41" s="168"/>
      <c r="O41" s="168"/>
      <c r="P41" s="168"/>
      <c r="R41" s="66"/>
    </row>
    <row r="42" spans="1:18" ht="16.5" thickBo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</row>
    <row r="43" spans="1:18" ht="16.5" thickBot="1">
      <c r="A43" s="144" t="s">
        <v>170</v>
      </c>
      <c r="B43" s="144"/>
      <c r="C43" s="169">
        <f>SUM(C36:C42)</f>
        <v>0</v>
      </c>
      <c r="D43" s="169">
        <f t="shared" ref="D43:G43" si="4">SUM(D36:D42)</f>
        <v>16250</v>
      </c>
      <c r="E43" s="169">
        <f t="shared" si="4"/>
        <v>16250</v>
      </c>
      <c r="F43" s="169">
        <f>SUM(F36:F42)</f>
        <v>16250</v>
      </c>
      <c r="G43" s="169">
        <f t="shared" si="4"/>
        <v>48750</v>
      </c>
      <c r="H43" s="140"/>
      <c r="I43" s="140"/>
      <c r="J43" s="140"/>
      <c r="K43" s="140"/>
      <c r="L43" s="140"/>
      <c r="M43" s="140"/>
      <c r="N43" s="140"/>
      <c r="O43" s="140"/>
      <c r="P43" s="140"/>
    </row>
    <row r="44" spans="1:18">
      <c r="A44" s="140"/>
      <c r="B44" s="140"/>
      <c r="C44" s="140"/>
      <c r="D44" s="140"/>
      <c r="E44" s="140"/>
      <c r="F44" s="140"/>
      <c r="G44" s="140"/>
      <c r="H44" s="151"/>
      <c r="I44" s="140"/>
      <c r="J44" s="140"/>
      <c r="K44" s="140"/>
      <c r="L44" s="140"/>
      <c r="M44" s="140"/>
      <c r="N44" s="140"/>
      <c r="O44" s="140"/>
      <c r="P44" s="140"/>
    </row>
    <row r="45" spans="1:18">
      <c r="A45" s="171" t="s">
        <v>105</v>
      </c>
      <c r="B45" s="140"/>
      <c r="C45" s="140"/>
      <c r="D45" s="143"/>
      <c r="E45" s="143"/>
      <c r="F45" s="143"/>
      <c r="G45" s="143"/>
      <c r="H45" s="151"/>
      <c r="I45" s="140"/>
      <c r="J45" s="136" t="s">
        <v>76</v>
      </c>
      <c r="K45" s="140"/>
      <c r="L45" s="140"/>
      <c r="M45" s="140"/>
      <c r="N45" s="140"/>
      <c r="O45" s="140"/>
      <c r="P45" s="140"/>
    </row>
    <row r="46" spans="1:18">
      <c r="A46" s="150" t="s">
        <v>104</v>
      </c>
      <c r="B46" s="140"/>
      <c r="C46" s="140">
        <v>5000</v>
      </c>
      <c r="D46" s="140">
        <v>5000</v>
      </c>
      <c r="E46" s="140">
        <v>5000</v>
      </c>
      <c r="F46" s="140">
        <v>5000</v>
      </c>
      <c r="G46" s="143">
        <f>SUM(B46:F46)</f>
        <v>20000</v>
      </c>
      <c r="H46" s="151"/>
      <c r="I46" s="140"/>
      <c r="J46" s="140" t="s">
        <v>71</v>
      </c>
      <c r="K46" s="140">
        <v>3</v>
      </c>
      <c r="L46" s="140"/>
      <c r="M46" s="140"/>
      <c r="N46" s="140"/>
      <c r="O46" s="140"/>
      <c r="P46" s="140"/>
    </row>
    <row r="47" spans="1:18">
      <c r="A47" s="150" t="s">
        <v>134</v>
      </c>
      <c r="B47" s="140"/>
      <c r="C47" s="140"/>
      <c r="D47" s="143"/>
      <c r="E47" s="143"/>
      <c r="F47" s="143"/>
      <c r="G47" s="143"/>
      <c r="H47" s="151"/>
      <c r="I47" s="140"/>
      <c r="J47" s="140" t="s">
        <v>131</v>
      </c>
      <c r="K47" s="140">
        <v>5000</v>
      </c>
      <c r="L47" s="140"/>
      <c r="M47" s="140"/>
      <c r="N47" s="140"/>
      <c r="O47" s="140"/>
      <c r="P47" s="140"/>
    </row>
    <row r="48" spans="1:18">
      <c r="A48" s="141" t="s">
        <v>135</v>
      </c>
      <c r="B48" s="140"/>
      <c r="C48" s="140">
        <f>K46*K47</f>
        <v>15000</v>
      </c>
      <c r="D48" s="140">
        <f>C48</f>
        <v>15000</v>
      </c>
      <c r="E48" s="140">
        <f>D48</f>
        <v>15000</v>
      </c>
      <c r="F48" s="140">
        <f>E48</f>
        <v>15000</v>
      </c>
      <c r="G48" s="140">
        <f>SUM(C48:F48)</f>
        <v>60000</v>
      </c>
      <c r="H48" s="151"/>
      <c r="I48" s="140"/>
      <c r="J48" s="140"/>
      <c r="K48" s="140"/>
      <c r="L48" s="140"/>
      <c r="M48" s="140"/>
      <c r="N48" s="140"/>
      <c r="O48" s="140"/>
      <c r="P48" s="140"/>
    </row>
    <row r="49" spans="1:16">
      <c r="A49" s="141" t="s">
        <v>136</v>
      </c>
      <c r="B49" s="140"/>
      <c r="C49" s="140"/>
      <c r="D49" s="140"/>
      <c r="E49" s="143"/>
      <c r="F49" s="143"/>
      <c r="G49" s="160"/>
      <c r="H49" s="151"/>
      <c r="I49" s="140"/>
      <c r="J49" s="140"/>
      <c r="K49" s="140"/>
      <c r="L49" s="140"/>
      <c r="M49" s="140"/>
      <c r="N49" s="140"/>
      <c r="O49" s="140"/>
      <c r="P49" s="140"/>
    </row>
    <row r="50" spans="1:16">
      <c r="A50" s="141" t="s">
        <v>137</v>
      </c>
      <c r="B50" s="140"/>
      <c r="C50" s="140"/>
      <c r="D50" s="143"/>
      <c r="E50" s="143"/>
      <c r="F50" s="143"/>
      <c r="G50" s="160"/>
      <c r="H50" s="140"/>
      <c r="I50" s="140"/>
      <c r="J50" s="140"/>
      <c r="K50" s="140"/>
      <c r="L50" s="140"/>
      <c r="M50" s="140"/>
      <c r="N50" s="140"/>
      <c r="O50" s="140"/>
      <c r="P50" s="140"/>
    </row>
    <row r="51" spans="1:16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</row>
    <row r="52" spans="1:16">
      <c r="A52" s="167" t="s">
        <v>106</v>
      </c>
      <c r="B52" s="140"/>
      <c r="C52" s="162">
        <f>C50+C49+C48+C47+C46+C43+C32+C13+C9+C5</f>
        <v>63114.400000000001</v>
      </c>
      <c r="D52" s="162">
        <f>D50+D49+D48+D47+D46+D43+D32+D13+D9+D5</f>
        <v>80526.372000000003</v>
      </c>
      <c r="E52" s="162">
        <f>E50+E49+E48+E47+E46+E43+E32+E13+E9+E5</f>
        <v>84365.20315999999</v>
      </c>
      <c r="F52" s="162">
        <f>F50+F49+F48+F47+F46+F43+F32+F13+F9+F5</f>
        <v>85597.939254800003</v>
      </c>
      <c r="G52" s="162">
        <f>G50+G49+G48+G47+G46+G43+G32+G13+G9+G5</f>
        <v>313603.91441480001</v>
      </c>
      <c r="H52" s="140"/>
      <c r="I52" s="140"/>
      <c r="J52" s="140"/>
      <c r="K52" s="140"/>
      <c r="L52" s="140"/>
      <c r="M52" s="140"/>
      <c r="N52" s="140"/>
      <c r="O52" s="140"/>
      <c r="P52" s="140"/>
    </row>
    <row r="53" spans="1:16">
      <c r="A53" s="141" t="s">
        <v>117</v>
      </c>
      <c r="B53" s="140"/>
      <c r="C53" s="162">
        <f>C14</f>
        <v>38732.400000000001</v>
      </c>
      <c r="D53" s="162">
        <f t="shared" ref="D53:G53" si="5">D14</f>
        <v>39894.372000000003</v>
      </c>
      <c r="E53" s="162">
        <f t="shared" si="5"/>
        <v>41091.203159999997</v>
      </c>
      <c r="F53" s="162">
        <f t="shared" si="5"/>
        <v>42323.939254800003</v>
      </c>
      <c r="G53" s="162">
        <f t="shared" si="5"/>
        <v>162041.91441480001</v>
      </c>
      <c r="H53" s="140"/>
      <c r="I53" s="140"/>
      <c r="J53" s="140"/>
      <c r="K53" s="140"/>
      <c r="L53" s="140"/>
      <c r="M53" s="140"/>
      <c r="N53" s="140"/>
      <c r="O53" s="140"/>
      <c r="P53" s="140"/>
    </row>
    <row r="54" spans="1:16" ht="16.5" thickBot="1">
      <c r="A54" s="167" t="s">
        <v>107</v>
      </c>
      <c r="B54" s="140" t="s">
        <v>197</v>
      </c>
      <c r="C54" s="162">
        <f>C53*$K$8</f>
        <v>21461.622840000004</v>
      </c>
      <c r="D54" s="162">
        <f t="shared" ref="D54:G54" si="6">D53*$K$8</f>
        <v>22105.471525200002</v>
      </c>
      <c r="E54" s="162">
        <f t="shared" si="6"/>
        <v>22768.635670955999</v>
      </c>
      <c r="F54" s="162">
        <f t="shared" si="6"/>
        <v>23451.694741084684</v>
      </c>
      <c r="G54" s="162">
        <f t="shared" si="6"/>
        <v>89787.424777240682</v>
      </c>
      <c r="H54" s="140"/>
      <c r="I54" s="140"/>
      <c r="J54" s="140"/>
      <c r="K54" s="140"/>
      <c r="L54" s="140"/>
      <c r="M54" s="140"/>
      <c r="N54" s="140"/>
      <c r="O54" s="140"/>
      <c r="P54" s="140"/>
    </row>
    <row r="55" spans="1:16" ht="16.5" thickBot="1">
      <c r="A55" s="172" t="s">
        <v>108</v>
      </c>
      <c r="B55" s="173"/>
      <c r="C55" s="174">
        <f>C54+C52</f>
        <v>84576.022840000005</v>
      </c>
      <c r="D55" s="174">
        <f>D54+D52</f>
        <v>102631.84352520001</v>
      </c>
      <c r="E55" s="174">
        <f>E54+E52</f>
        <v>107133.838830956</v>
      </c>
      <c r="F55" s="174">
        <f>F54+F52</f>
        <v>109049.63399588468</v>
      </c>
      <c r="G55" s="174">
        <f>SUM(C55:F55)</f>
        <v>403391.33919204073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1504-CB3B-2B4E-9176-5DB7B4092DF3}">
  <sheetPr>
    <pageSetUpPr fitToPage="1"/>
  </sheetPr>
  <dimension ref="A1:T54"/>
  <sheetViews>
    <sheetView workbookViewId="0">
      <selection activeCell="C4" sqref="C4"/>
    </sheetView>
  </sheetViews>
  <sheetFormatPr defaultColWidth="11" defaultRowHeight="15.75"/>
  <cols>
    <col min="1" max="1" width="47" customWidth="1"/>
    <col min="2" max="2" width="21.125" customWidth="1"/>
    <col min="3" max="3" width="13.5" customWidth="1"/>
    <col min="4" max="4" width="15.5" customWidth="1"/>
    <col min="5" max="5" width="15.125" customWidth="1"/>
    <col min="6" max="6" width="17.125" customWidth="1"/>
    <col min="7" max="7" width="19.125" customWidth="1"/>
    <col min="10" max="10" width="25.375" customWidth="1"/>
  </cols>
  <sheetData>
    <row r="1" spans="1:20">
      <c r="A1" s="92"/>
      <c r="B1" s="93"/>
      <c r="C1" s="93"/>
      <c r="D1" s="93"/>
      <c r="E1" s="93"/>
      <c r="F1" s="93"/>
      <c r="G1" s="93"/>
      <c r="H1" s="94"/>
      <c r="I1" s="2"/>
      <c r="R1" s="66"/>
    </row>
    <row r="2" spans="1:20">
      <c r="A2" t="s">
        <v>88</v>
      </c>
      <c r="I2" s="2"/>
      <c r="J2" s="1"/>
      <c r="L2" s="1"/>
      <c r="M2" s="66"/>
      <c r="N2" s="66"/>
      <c r="O2" s="66"/>
      <c r="P2" s="66"/>
      <c r="R2" s="66"/>
    </row>
    <row r="3" spans="1:20">
      <c r="A3" s="1" t="s">
        <v>10</v>
      </c>
      <c r="B3" t="s">
        <v>153</v>
      </c>
      <c r="I3" s="2"/>
      <c r="J3" t="s">
        <v>154</v>
      </c>
      <c r="K3" t="s">
        <v>22</v>
      </c>
      <c r="L3" s="1"/>
      <c r="M3" s="66"/>
      <c r="N3" s="66"/>
      <c r="O3" s="66"/>
      <c r="P3" s="66"/>
      <c r="R3" s="66"/>
      <c r="T3">
        <v>2.2000000000000002</v>
      </c>
    </row>
    <row r="4" spans="1:20" ht="16.5" thickBot="1">
      <c r="B4" t="s">
        <v>195</v>
      </c>
      <c r="C4" s="53">
        <f>K4*240</f>
        <v>8400</v>
      </c>
      <c r="D4" s="53">
        <f>C4*1.03</f>
        <v>8652</v>
      </c>
      <c r="E4" s="53">
        <f>D4*1.03</f>
        <v>8911.56</v>
      </c>
      <c r="F4" s="53">
        <f>E4*1.03</f>
        <v>9178.9067999999988</v>
      </c>
      <c r="G4" s="100">
        <f>SUM(C4:F4)</f>
        <v>35142.466799999995</v>
      </c>
      <c r="I4" s="2"/>
      <c r="J4" t="s">
        <v>10</v>
      </c>
      <c r="K4">
        <v>35</v>
      </c>
      <c r="L4" s="1"/>
      <c r="R4" s="66"/>
      <c r="T4">
        <v>0.55300000000000005</v>
      </c>
    </row>
    <row r="5" spans="1:20" ht="16.5" thickBot="1">
      <c r="A5" s="124" t="s">
        <v>38</v>
      </c>
      <c r="B5" s="124"/>
      <c r="C5" s="125">
        <f>SUM(C4)</f>
        <v>8400</v>
      </c>
      <c r="D5" s="126">
        <f>SUM(D4)</f>
        <v>8652</v>
      </c>
      <c r="E5" s="126">
        <f>SUM(E4)</f>
        <v>8911.56</v>
      </c>
      <c r="F5" s="126">
        <f>SUM(F4)</f>
        <v>9178.9067999999988</v>
      </c>
      <c r="G5" s="127">
        <f>SUM(G4)</f>
        <v>35142.466799999995</v>
      </c>
      <c r="I5" s="2"/>
      <c r="L5" s="1"/>
      <c r="R5" s="66"/>
      <c r="T5">
        <v>7.65</v>
      </c>
    </row>
    <row r="6" spans="1:20">
      <c r="A6" s="85" t="s">
        <v>89</v>
      </c>
      <c r="B6" s="86"/>
      <c r="C6" s="88"/>
      <c r="D6" s="53"/>
      <c r="E6" s="53"/>
      <c r="F6" s="53"/>
      <c r="G6" s="100"/>
      <c r="H6" s="87"/>
      <c r="I6" s="2"/>
      <c r="J6" t="s">
        <v>152</v>
      </c>
      <c r="K6">
        <v>21</v>
      </c>
      <c r="R6" s="66"/>
      <c r="T6">
        <v>3</v>
      </c>
    </row>
    <row r="7" spans="1:20">
      <c r="A7" s="105" t="s">
        <v>152</v>
      </c>
      <c r="B7" s="10" t="s">
        <v>153</v>
      </c>
      <c r="C7" s="88"/>
      <c r="D7" s="53"/>
      <c r="E7" s="53"/>
      <c r="F7" s="53"/>
      <c r="G7" s="100"/>
      <c r="H7" s="90"/>
      <c r="I7" s="2"/>
      <c r="L7" s="1"/>
      <c r="M7" s="66"/>
      <c r="N7" s="66"/>
      <c r="O7" s="66"/>
      <c r="P7" s="66"/>
      <c r="R7" s="66"/>
      <c r="T7">
        <f>SUM(T3:T6)</f>
        <v>13.403</v>
      </c>
    </row>
    <row r="8" spans="1:20" ht="16.5" thickBot="1">
      <c r="A8" s="85"/>
      <c r="B8" s="10" t="s">
        <v>171</v>
      </c>
      <c r="C8" s="88">
        <f>K6*1040</f>
        <v>21840</v>
      </c>
      <c r="D8" s="53">
        <f>C8*1.03</f>
        <v>22495.200000000001</v>
      </c>
      <c r="E8" s="53">
        <f>D8*1.03</f>
        <v>23170.056</v>
      </c>
      <c r="F8" s="53">
        <f>E8*1.03</f>
        <v>23865.15768</v>
      </c>
      <c r="G8" s="100">
        <f>SUM(C8:F8)</f>
        <v>91370.413679999998</v>
      </c>
      <c r="H8" s="90"/>
      <c r="R8" s="66"/>
    </row>
    <row r="9" spans="1:20" ht="16.5" thickBot="1">
      <c r="A9" s="128" t="s">
        <v>38</v>
      </c>
      <c r="B9" s="24"/>
      <c r="C9" s="125">
        <f>SUM(C8)</f>
        <v>21840</v>
      </c>
      <c r="D9" s="126">
        <f>SUM(D8)</f>
        <v>22495.200000000001</v>
      </c>
      <c r="E9" s="126">
        <f>SUM(E8)</f>
        <v>23170.056</v>
      </c>
      <c r="F9" s="126">
        <f>SUM(F8)</f>
        <v>23865.15768</v>
      </c>
      <c r="G9" s="127">
        <f>SUM(G8)</f>
        <v>91370.413679999998</v>
      </c>
      <c r="H9" s="90"/>
      <c r="R9" s="66"/>
      <c r="T9">
        <v>3150</v>
      </c>
    </row>
    <row r="10" spans="1:20">
      <c r="A10" s="85" t="s">
        <v>91</v>
      </c>
      <c r="B10" s="64"/>
      <c r="C10" s="64"/>
      <c r="D10" s="88"/>
      <c r="E10" s="88"/>
      <c r="F10" s="88"/>
      <c r="G10" s="100"/>
      <c r="H10" s="90"/>
      <c r="R10" s="66"/>
      <c r="T10">
        <f>7.19*12</f>
        <v>86.28</v>
      </c>
    </row>
    <row r="11" spans="1:20">
      <c r="A11" s="105" t="s">
        <v>10</v>
      </c>
      <c r="B11" s="121">
        <v>0.184</v>
      </c>
      <c r="C11" s="122">
        <f>C4*B11</f>
        <v>1545.6</v>
      </c>
      <c r="D11" s="122">
        <f>D4*B11</f>
        <v>1591.9680000000001</v>
      </c>
      <c r="E11" s="122">
        <f>E4*B11</f>
        <v>1639.72704</v>
      </c>
      <c r="F11" s="122">
        <f>F4*B11</f>
        <v>1688.9188511999998</v>
      </c>
      <c r="G11" s="100">
        <f>SUM(C11:F11)</f>
        <v>6466.2138912</v>
      </c>
      <c r="H11" s="90"/>
      <c r="Q11" s="100">
        <f>C9*2</f>
        <v>43680</v>
      </c>
      <c r="R11" s="182">
        <f>T12/Q11</f>
        <v>7.490934065934067E-2</v>
      </c>
      <c r="T11">
        <f>2.98*12</f>
        <v>35.76</v>
      </c>
    </row>
    <row r="12" spans="1:20" ht="16.5" thickBot="1">
      <c r="A12" s="105" t="s">
        <v>152</v>
      </c>
      <c r="B12" s="121">
        <v>0.20399999999999999</v>
      </c>
      <c r="C12" s="122">
        <f>C8*B12</f>
        <v>4455.3599999999997</v>
      </c>
      <c r="D12" s="122">
        <f>D8*B12</f>
        <v>4589.0208000000002</v>
      </c>
      <c r="E12" s="122">
        <f>E8*B12</f>
        <v>4726.6914239999996</v>
      </c>
      <c r="F12" s="122">
        <f>F8*B12</f>
        <v>4868.4921667199997</v>
      </c>
      <c r="G12" s="100">
        <f>SUM(C12:F12)</f>
        <v>18639.564390719999</v>
      </c>
      <c r="H12" s="90"/>
      <c r="P12" s="182"/>
      <c r="Q12" s="100">
        <f>C4*12</f>
        <v>100800</v>
      </c>
      <c r="R12" s="182">
        <f>T12/Q12</f>
        <v>3.2460714285714287E-2</v>
      </c>
      <c r="T12">
        <f>SUM(T9:T11)</f>
        <v>3272.0400000000004</v>
      </c>
    </row>
    <row r="13" spans="1:20" ht="16.5" thickBot="1">
      <c r="A13" s="128" t="s">
        <v>38</v>
      </c>
      <c r="B13" s="24"/>
      <c r="C13" s="129">
        <f>SUM(C11:C12)</f>
        <v>6000.9599999999991</v>
      </c>
      <c r="D13" s="130">
        <f>SUM(D11:D12)</f>
        <v>6180.9888000000001</v>
      </c>
      <c r="E13" s="130">
        <f>SUM(E11:E12)</f>
        <v>6366.4184639999994</v>
      </c>
      <c r="F13" s="130">
        <f>SUM(F11:F12)</f>
        <v>6557.4110179199997</v>
      </c>
      <c r="G13" s="131">
        <f>SUM(G11:G12)</f>
        <v>25105.77828192</v>
      </c>
      <c r="H13" s="90"/>
      <c r="R13" s="66"/>
    </row>
    <row r="14" spans="1:20">
      <c r="A14" s="85"/>
      <c r="B14" s="64"/>
      <c r="C14" s="64"/>
      <c r="D14" s="88"/>
      <c r="E14" s="88"/>
      <c r="F14" s="88"/>
      <c r="G14" s="89"/>
      <c r="H14" s="90"/>
      <c r="R14" s="66"/>
    </row>
    <row r="15" spans="1:20">
      <c r="A15" s="85" t="s">
        <v>93</v>
      </c>
      <c r="B15" s="64"/>
      <c r="C15" s="64"/>
      <c r="D15" s="88"/>
      <c r="E15" s="88"/>
      <c r="F15" s="88"/>
      <c r="G15" s="89"/>
      <c r="H15" s="90"/>
      <c r="R15" s="66"/>
    </row>
    <row r="16" spans="1:20">
      <c r="A16" s="85"/>
      <c r="B16" s="64"/>
      <c r="C16" s="64"/>
      <c r="D16" s="88"/>
      <c r="E16" s="88"/>
      <c r="F16" s="88"/>
      <c r="G16" s="89"/>
      <c r="H16" s="90"/>
      <c r="R16" s="66"/>
    </row>
    <row r="17" spans="1:19">
      <c r="A17" s="85" t="s">
        <v>94</v>
      </c>
      <c r="B17" s="64"/>
      <c r="C17" s="64"/>
      <c r="D17" s="64"/>
      <c r="E17" s="64"/>
      <c r="F17" s="64"/>
      <c r="G17" s="71"/>
      <c r="H17" s="90"/>
      <c r="J17" s="2"/>
      <c r="K17" s="2" t="s">
        <v>65</v>
      </c>
      <c r="L17" s="2" t="s">
        <v>32</v>
      </c>
      <c r="M17" s="2" t="s">
        <v>31</v>
      </c>
      <c r="N17" s="2" t="s">
        <v>33</v>
      </c>
      <c r="O17" s="2" t="s">
        <v>63</v>
      </c>
      <c r="P17" s="2" t="s">
        <v>34</v>
      </c>
      <c r="Q17" s="2" t="s">
        <v>74</v>
      </c>
      <c r="R17" s="2" t="s">
        <v>75</v>
      </c>
      <c r="S17" s="2" t="s">
        <v>81</v>
      </c>
    </row>
    <row r="18" spans="1:19">
      <c r="A18" s="85" t="s">
        <v>95</v>
      </c>
      <c r="H18" s="90"/>
      <c r="J18" s="10" t="s">
        <v>157</v>
      </c>
      <c r="K18" s="10">
        <v>2</v>
      </c>
      <c r="L18" s="10">
        <v>3</v>
      </c>
      <c r="M18" s="10">
        <v>57</v>
      </c>
      <c r="N18" s="2">
        <v>150</v>
      </c>
      <c r="O18" s="2">
        <v>500</v>
      </c>
      <c r="P18" s="2"/>
      <c r="Q18" s="2"/>
      <c r="R18" s="2"/>
      <c r="S18" s="2"/>
    </row>
    <row r="19" spans="1:19">
      <c r="A19" s="33" t="s">
        <v>64</v>
      </c>
      <c r="B19" s="33" t="s">
        <v>83</v>
      </c>
      <c r="C19" s="36">
        <f>K18*L18*M18</f>
        <v>342</v>
      </c>
      <c r="D19" s="36">
        <f t="shared" ref="D19:F21" si="0">C19</f>
        <v>342</v>
      </c>
      <c r="E19" s="36">
        <f t="shared" si="0"/>
        <v>342</v>
      </c>
      <c r="F19" s="71">
        <f t="shared" si="0"/>
        <v>342</v>
      </c>
      <c r="G19" s="36">
        <f>SUM(C19:F19)</f>
        <v>1368</v>
      </c>
      <c r="H19" s="90"/>
      <c r="J19" s="2" t="s">
        <v>158</v>
      </c>
      <c r="K19" s="2">
        <v>2</v>
      </c>
      <c r="L19" s="2">
        <v>5</v>
      </c>
      <c r="M19" s="2">
        <v>49</v>
      </c>
      <c r="N19" s="2">
        <v>96</v>
      </c>
      <c r="O19" s="2"/>
      <c r="P19" s="2"/>
      <c r="Q19" s="2">
        <v>600</v>
      </c>
      <c r="R19" s="2">
        <v>0.57499999999999996</v>
      </c>
      <c r="S19" s="2"/>
    </row>
    <row r="20" spans="1:19">
      <c r="A20" s="2"/>
      <c r="B20" s="18" t="s">
        <v>82</v>
      </c>
      <c r="C20" s="47">
        <f>K18*L18*N18</f>
        <v>900</v>
      </c>
      <c r="D20" s="47">
        <f t="shared" si="0"/>
        <v>900</v>
      </c>
      <c r="E20" s="47">
        <f t="shared" si="0"/>
        <v>900</v>
      </c>
      <c r="F20" s="71">
        <f t="shared" si="0"/>
        <v>900</v>
      </c>
      <c r="G20" s="36">
        <f>SUM(C20:F20)</f>
        <v>3600</v>
      </c>
      <c r="H20" s="90"/>
      <c r="J20" s="10" t="s">
        <v>79</v>
      </c>
      <c r="K20" s="10">
        <v>2</v>
      </c>
      <c r="L20" s="10">
        <v>3</v>
      </c>
      <c r="M20" s="10">
        <v>57</v>
      </c>
      <c r="N20" s="10">
        <v>150</v>
      </c>
      <c r="O20" s="10">
        <v>500</v>
      </c>
      <c r="P20" s="10"/>
      <c r="Q20" s="10"/>
      <c r="R20" s="10"/>
      <c r="S20" s="10">
        <v>200</v>
      </c>
    </row>
    <row r="21" spans="1:19">
      <c r="A21" s="2"/>
      <c r="B21" s="18" t="s">
        <v>63</v>
      </c>
      <c r="C21" s="47">
        <f>K18*O18</f>
        <v>1000</v>
      </c>
      <c r="D21" s="47">
        <f t="shared" si="0"/>
        <v>1000</v>
      </c>
      <c r="E21" s="47">
        <f t="shared" si="0"/>
        <v>1000</v>
      </c>
      <c r="F21" s="71">
        <f t="shared" si="0"/>
        <v>1000</v>
      </c>
      <c r="G21" s="36">
        <f>SUM(C21:F21)</f>
        <v>4000</v>
      </c>
      <c r="H21" s="90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>
      <c r="H22" s="90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>
      <c r="A23" s="7" t="s">
        <v>163</v>
      </c>
      <c r="B23" s="1" t="s">
        <v>73</v>
      </c>
      <c r="C23">
        <f>K19*L19*M19</f>
        <v>490</v>
      </c>
      <c r="D23">
        <f t="shared" ref="D23:F25" si="1">C23</f>
        <v>490</v>
      </c>
      <c r="E23">
        <f t="shared" si="1"/>
        <v>490</v>
      </c>
      <c r="F23">
        <f t="shared" si="1"/>
        <v>490</v>
      </c>
      <c r="G23">
        <f>SUM(C23:F23)</f>
        <v>1960</v>
      </c>
      <c r="H23" s="90"/>
      <c r="J23" s="10"/>
      <c r="K23" s="10"/>
      <c r="L23" s="10"/>
      <c r="M23" s="10"/>
      <c r="N23" s="10"/>
      <c r="O23" s="2"/>
      <c r="P23" s="2"/>
      <c r="Q23" s="2"/>
      <c r="R23" s="2"/>
      <c r="S23" s="2"/>
    </row>
    <row r="24" spans="1:19">
      <c r="B24" s="1" t="s">
        <v>50</v>
      </c>
      <c r="C24">
        <f>K19*L19*N19</f>
        <v>960</v>
      </c>
      <c r="D24">
        <f t="shared" si="1"/>
        <v>960</v>
      </c>
      <c r="E24">
        <f t="shared" si="1"/>
        <v>960</v>
      </c>
      <c r="F24">
        <f t="shared" si="1"/>
        <v>960</v>
      </c>
      <c r="G24">
        <f>SUM(C24:F24)</f>
        <v>3840</v>
      </c>
      <c r="H24" s="9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>
      <c r="B25" s="1" t="s">
        <v>161</v>
      </c>
      <c r="C25">
        <f>K19*Q19*R19</f>
        <v>690</v>
      </c>
      <c r="D25">
        <f t="shared" si="1"/>
        <v>690</v>
      </c>
      <c r="E25">
        <f t="shared" si="1"/>
        <v>690</v>
      </c>
      <c r="F25">
        <f t="shared" si="1"/>
        <v>690</v>
      </c>
      <c r="G25">
        <f>SUM(C25:F25)</f>
        <v>2760</v>
      </c>
      <c r="H25" s="90"/>
    </row>
    <row r="26" spans="1:19">
      <c r="H26" s="90"/>
      <c r="L26" s="68"/>
      <c r="M26" s="67"/>
      <c r="N26" s="67"/>
      <c r="O26" s="67"/>
      <c r="P26" s="67"/>
      <c r="R26" s="66"/>
    </row>
    <row r="27" spans="1:19">
      <c r="A27" s="1" t="s">
        <v>79</v>
      </c>
      <c r="B27" s="33" t="s">
        <v>83</v>
      </c>
      <c r="C27" s="36"/>
      <c r="D27" s="36">
        <f>C27</f>
        <v>0</v>
      </c>
      <c r="E27" s="36">
        <f>K20*L20*M20</f>
        <v>342</v>
      </c>
      <c r="F27" s="71">
        <f>E27</f>
        <v>342</v>
      </c>
      <c r="G27" s="36">
        <f>SUM(C27:F27)</f>
        <v>684</v>
      </c>
      <c r="H27" s="91"/>
      <c r="L27" s="68"/>
      <c r="M27" s="67"/>
      <c r="N27" s="67"/>
      <c r="O27" s="67"/>
      <c r="P27" s="67"/>
      <c r="R27" s="66"/>
    </row>
    <row r="28" spans="1:19">
      <c r="B28" s="18" t="s">
        <v>82</v>
      </c>
      <c r="C28" s="47"/>
      <c r="D28" s="47">
        <f>C28</f>
        <v>0</v>
      </c>
      <c r="E28" s="47">
        <f>K20*L20*N20</f>
        <v>900</v>
      </c>
      <c r="F28" s="71">
        <f>E28</f>
        <v>900</v>
      </c>
      <c r="G28" s="36">
        <f>SUM(C28:F28)</f>
        <v>1800</v>
      </c>
      <c r="L28" s="68"/>
      <c r="M28" s="67"/>
      <c r="N28" s="67"/>
      <c r="O28" s="67"/>
      <c r="P28" s="67"/>
      <c r="R28" s="66"/>
    </row>
    <row r="29" spans="1:19">
      <c r="B29" s="141" t="s">
        <v>196</v>
      </c>
      <c r="C29" s="162"/>
      <c r="D29" s="162"/>
      <c r="E29" s="162">
        <f>S20*K20</f>
        <v>400</v>
      </c>
      <c r="F29" s="160">
        <f>S20*K20</f>
        <v>400</v>
      </c>
      <c r="G29" s="162">
        <f>SUM(E29:F29)</f>
        <v>800</v>
      </c>
      <c r="L29" s="68"/>
      <c r="M29" s="67"/>
      <c r="N29" s="67"/>
      <c r="O29" s="67"/>
      <c r="P29" s="67"/>
      <c r="R29" s="66"/>
    </row>
    <row r="30" spans="1:19" ht="16.5" thickBot="1">
      <c r="B30" s="18" t="s">
        <v>63</v>
      </c>
      <c r="C30" s="47"/>
      <c r="D30" s="47">
        <f>C30</f>
        <v>0</v>
      </c>
      <c r="E30" s="47">
        <f>K20*O20</f>
        <v>1000</v>
      </c>
      <c r="F30" s="71">
        <f>E30</f>
        <v>1000</v>
      </c>
      <c r="G30" s="36">
        <f>SUM(C30:F30)</f>
        <v>2000</v>
      </c>
      <c r="H30" s="95"/>
      <c r="Q30" s="58"/>
      <c r="R30" s="2"/>
    </row>
    <row r="31" spans="1:19" ht="16.5" thickBot="1">
      <c r="A31" s="124" t="s">
        <v>38</v>
      </c>
      <c r="B31" s="132"/>
      <c r="C31" s="133">
        <f>SUM(C19:C30)</f>
        <v>4382</v>
      </c>
      <c r="D31" s="133">
        <f>SUM(D19:D30)</f>
        <v>4382</v>
      </c>
      <c r="E31" s="133">
        <f>SUM(E19:E30)</f>
        <v>7024</v>
      </c>
      <c r="F31" s="133">
        <f>SUM(F19:F30)</f>
        <v>7024</v>
      </c>
      <c r="G31" s="133">
        <f>SUM(G19:G30)</f>
        <v>22812</v>
      </c>
      <c r="Q31" s="2"/>
      <c r="R31" s="2"/>
    </row>
    <row r="32" spans="1:19">
      <c r="B32" s="18"/>
      <c r="C32" s="47"/>
      <c r="D32" s="47"/>
      <c r="E32" s="47"/>
      <c r="F32" s="71"/>
      <c r="G32" s="36"/>
      <c r="H32" s="90"/>
      <c r="Q32" s="2"/>
      <c r="R32" s="2"/>
    </row>
    <row r="33" spans="1:18">
      <c r="A33" s="10" t="s">
        <v>156</v>
      </c>
      <c r="Q33" s="2"/>
      <c r="R33" s="2"/>
    </row>
    <row r="34" spans="1:18">
      <c r="A34" s="7" t="s">
        <v>167</v>
      </c>
      <c r="J34" s="84" t="s">
        <v>114</v>
      </c>
      <c r="K34" s="58" t="s">
        <v>71</v>
      </c>
      <c r="L34" s="58" t="s">
        <v>53</v>
      </c>
      <c r="M34" s="58" t="s">
        <v>54</v>
      </c>
      <c r="N34" s="58" t="s">
        <v>32</v>
      </c>
      <c r="O34" s="58" t="s">
        <v>61</v>
      </c>
      <c r="P34" s="58" t="s">
        <v>62</v>
      </c>
      <c r="Q34" s="2"/>
      <c r="R34" s="2"/>
    </row>
    <row r="35" spans="1:18">
      <c r="B35" s="105" t="s">
        <v>56</v>
      </c>
      <c r="D35">
        <f>K38*K39</f>
        <v>3750</v>
      </c>
      <c r="E35">
        <f t="shared" ref="E35:F37" si="2">D35</f>
        <v>3750</v>
      </c>
      <c r="F35">
        <f t="shared" si="2"/>
        <v>3750</v>
      </c>
      <c r="G35">
        <f>SUM(D35:F35)</f>
        <v>11250</v>
      </c>
      <c r="J35" s="2" t="s">
        <v>133</v>
      </c>
      <c r="K35" s="2">
        <v>15</v>
      </c>
      <c r="L35" s="2">
        <v>25</v>
      </c>
      <c r="M35" s="2">
        <v>25</v>
      </c>
      <c r="N35" s="2">
        <v>10</v>
      </c>
      <c r="O35" s="2"/>
      <c r="P35" s="2"/>
      <c r="Q35" s="2"/>
      <c r="R35" s="2"/>
    </row>
    <row r="36" spans="1:18">
      <c r="B36" s="105" t="s">
        <v>60</v>
      </c>
      <c r="D36">
        <f>5000+K35*M35*N35</f>
        <v>8750</v>
      </c>
      <c r="E36">
        <f t="shared" si="2"/>
        <v>8750</v>
      </c>
      <c r="F36">
        <f t="shared" si="2"/>
        <v>8750</v>
      </c>
      <c r="G36">
        <f>SUM(D36:F36)</f>
        <v>26250</v>
      </c>
      <c r="P36" s="2"/>
      <c r="Q36" s="2"/>
      <c r="R36" s="2"/>
    </row>
    <row r="37" spans="1:18">
      <c r="B37" s="105" t="s">
        <v>97</v>
      </c>
      <c r="D37">
        <f>K38*L35*N35</f>
        <v>3750</v>
      </c>
      <c r="E37">
        <f t="shared" si="2"/>
        <v>3750</v>
      </c>
      <c r="F37">
        <f t="shared" si="2"/>
        <v>3750</v>
      </c>
      <c r="G37">
        <f>SUM(D37:F37)</f>
        <v>11250</v>
      </c>
      <c r="J37" t="s">
        <v>169</v>
      </c>
      <c r="P37" s="2"/>
      <c r="Q37" s="2"/>
      <c r="R37" s="2"/>
    </row>
    <row r="38" spans="1:18">
      <c r="B38" s="105" t="s">
        <v>98</v>
      </c>
      <c r="J38" s="2" t="s">
        <v>4</v>
      </c>
      <c r="K38" s="2">
        <v>15</v>
      </c>
      <c r="L38" s="2"/>
      <c r="N38" s="2"/>
      <c r="O38" s="2"/>
      <c r="P38" s="2"/>
    </row>
    <row r="39" spans="1:18">
      <c r="J39" s="2" t="s">
        <v>113</v>
      </c>
      <c r="K39" s="2">
        <v>250</v>
      </c>
      <c r="L39" s="2"/>
      <c r="M39" s="2"/>
      <c r="N39" s="2"/>
      <c r="O39" s="2"/>
      <c r="P39" s="2"/>
    </row>
    <row r="40" spans="1:18">
      <c r="L40" s="68"/>
      <c r="M40" s="70"/>
      <c r="N40" s="70"/>
      <c r="O40" s="70"/>
      <c r="P40" s="70"/>
      <c r="R40" s="83"/>
    </row>
    <row r="41" spans="1:18" ht="16.5" thickBot="1"/>
    <row r="42" spans="1:18" ht="16.5" thickBot="1">
      <c r="A42" s="124" t="s">
        <v>170</v>
      </c>
      <c r="B42" s="124"/>
      <c r="C42" s="134">
        <f>SUM(C35:C41)</f>
        <v>0</v>
      </c>
      <c r="D42" s="134">
        <f t="shared" ref="D42:G42" si="3">SUM(D35:D41)</f>
        <v>16250</v>
      </c>
      <c r="E42" s="134">
        <f t="shared" si="3"/>
        <v>16250</v>
      </c>
      <c r="F42" s="134">
        <f>SUM(F35:F41)</f>
        <v>16250</v>
      </c>
      <c r="G42" s="134">
        <f t="shared" si="3"/>
        <v>48750</v>
      </c>
    </row>
    <row r="43" spans="1:18">
      <c r="H43" s="90"/>
    </row>
    <row r="44" spans="1:18">
      <c r="A44" s="106" t="s">
        <v>105</v>
      </c>
      <c r="C44" s="86"/>
      <c r="D44" s="88"/>
      <c r="E44" s="88"/>
      <c r="F44" s="88"/>
      <c r="G44" s="88"/>
      <c r="H44" s="90"/>
      <c r="J44" s="84" t="s">
        <v>76</v>
      </c>
    </row>
    <row r="45" spans="1:18">
      <c r="A45" s="105" t="s">
        <v>104</v>
      </c>
      <c r="B45" s="86"/>
      <c r="C45" s="86">
        <v>5000</v>
      </c>
      <c r="D45" s="86">
        <v>5000</v>
      </c>
      <c r="E45" s="86">
        <v>5000</v>
      </c>
      <c r="F45" s="86">
        <v>5000</v>
      </c>
      <c r="G45" s="88">
        <f>SUM(B45:F45)</f>
        <v>20000</v>
      </c>
      <c r="H45" s="90"/>
      <c r="J45" s="2" t="s">
        <v>71</v>
      </c>
      <c r="K45">
        <v>3</v>
      </c>
    </row>
    <row r="46" spans="1:18">
      <c r="A46" s="105" t="s">
        <v>134</v>
      </c>
      <c r="B46" s="86"/>
      <c r="C46" s="86"/>
      <c r="D46" s="88"/>
      <c r="E46" s="88"/>
      <c r="F46" s="88"/>
      <c r="G46" s="88"/>
      <c r="H46" s="90"/>
      <c r="J46" s="2" t="s">
        <v>131</v>
      </c>
      <c r="K46">
        <v>5000</v>
      </c>
    </row>
    <row r="47" spans="1:18">
      <c r="A47" s="108" t="s">
        <v>135</v>
      </c>
      <c r="C47" s="86">
        <f>K45*K46</f>
        <v>15000</v>
      </c>
      <c r="D47" s="86">
        <f>C47</f>
        <v>15000</v>
      </c>
      <c r="E47" s="86">
        <f>D47</f>
        <v>15000</v>
      </c>
      <c r="F47" s="86">
        <f>E47</f>
        <v>15000</v>
      </c>
      <c r="G47" s="107">
        <f>SUM(C47:F47)</f>
        <v>60000</v>
      </c>
      <c r="H47" s="90"/>
    </row>
    <row r="48" spans="1:18">
      <c r="A48" s="109" t="s">
        <v>136</v>
      </c>
      <c r="B48" s="64"/>
      <c r="C48" s="64"/>
      <c r="D48" s="102"/>
      <c r="E48" s="88"/>
      <c r="F48" s="88"/>
      <c r="G48" s="89"/>
      <c r="H48" s="90"/>
    </row>
    <row r="49" spans="1:7">
      <c r="A49" s="109" t="s">
        <v>137</v>
      </c>
      <c r="B49" s="64"/>
      <c r="C49" s="64"/>
      <c r="D49" s="88"/>
      <c r="E49" s="88"/>
      <c r="F49" s="88"/>
      <c r="G49" s="89"/>
    </row>
    <row r="51" spans="1:7">
      <c r="A51" s="54" t="s">
        <v>106</v>
      </c>
      <c r="C51" s="50">
        <f>C49+C48+C47+C46+C45+C42+C31+C13+C9+C5</f>
        <v>60622.96</v>
      </c>
      <c r="D51" s="50">
        <f>D49+D48+D47+D46+D45+D42+D31+D13+D9+D5</f>
        <v>77960.188800000004</v>
      </c>
      <c r="E51" s="50">
        <f>E49+E48+E47+E46+E45+E42+E31+E13+E9+E5</f>
        <v>81722.034463999997</v>
      </c>
      <c r="F51" s="50">
        <f>F49+F48+F47+F46+F45+F42+F31+F13+F9+F5</f>
        <v>82875.475497919993</v>
      </c>
      <c r="G51" s="50">
        <f>G49+G48+G47+G46+G45+G42+G31+G13+G9+G5</f>
        <v>303180.65876192</v>
      </c>
    </row>
    <row r="52" spans="1:7">
      <c r="A52" s="1" t="s">
        <v>117</v>
      </c>
      <c r="C52" s="50">
        <f>C51-C42-C47</f>
        <v>45622.96</v>
      </c>
      <c r="D52" s="50">
        <f t="shared" ref="D52:F52" si="4">D51-D42-D47</f>
        <v>46710.188800000004</v>
      </c>
      <c r="E52" s="50">
        <f t="shared" si="4"/>
        <v>50472.034463999997</v>
      </c>
      <c r="F52" s="50">
        <f t="shared" si="4"/>
        <v>51625.475497919993</v>
      </c>
      <c r="G52" s="50">
        <f>G51-G42</f>
        <v>254430.65876192</v>
      </c>
    </row>
    <row r="53" spans="1:7" ht="16.5" thickBot="1">
      <c r="A53" s="54" t="s">
        <v>107</v>
      </c>
      <c r="B53" t="s">
        <v>204</v>
      </c>
      <c r="C53" s="50">
        <f>C52*0.281</f>
        <v>12820.05176</v>
      </c>
      <c r="D53" s="50">
        <f>D52*0.281</f>
        <v>13125.563052800002</v>
      </c>
      <c r="E53" s="50">
        <f>E52*0.281</f>
        <v>14182.641684384</v>
      </c>
      <c r="F53" s="50">
        <f>F52*0.281</f>
        <v>14506.75861491552</v>
      </c>
      <c r="G53" s="50">
        <f>G52*0.35</f>
        <v>89050.730566671991</v>
      </c>
    </row>
    <row r="54" spans="1:7" ht="16.5" thickBot="1">
      <c r="A54" s="120" t="s">
        <v>108</v>
      </c>
      <c r="B54" s="26"/>
      <c r="C54" s="51">
        <f>C53+C51</f>
        <v>73443.011759999994</v>
      </c>
      <c r="D54" s="51">
        <f>D53+D51</f>
        <v>91085.751852800007</v>
      </c>
      <c r="E54" s="51">
        <f>E53+E51</f>
        <v>95904.676148383995</v>
      </c>
      <c r="F54" s="51">
        <f>F53+F51</f>
        <v>97382.234112835518</v>
      </c>
      <c r="G54" s="51">
        <f>SUM(C54:F54)</f>
        <v>357815.67387401953</v>
      </c>
    </row>
  </sheetData>
  <pageMargins left="0.7" right="0.7" top="0.75" bottom="0.75" header="0.3" footer="0.3"/>
  <pageSetup scale="61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8ACF-A313-2942-A755-B5696C493D53}">
  <dimension ref="A1:S54"/>
  <sheetViews>
    <sheetView topLeftCell="A20" workbookViewId="0">
      <selection activeCell="C45" sqref="C45"/>
    </sheetView>
  </sheetViews>
  <sheetFormatPr defaultColWidth="11" defaultRowHeight="15.75"/>
  <cols>
    <col min="1" max="1" width="28" customWidth="1"/>
    <col min="2" max="2" width="35.625" customWidth="1"/>
    <col min="3" max="3" width="13.625" customWidth="1"/>
    <col min="4" max="4" width="17.375" customWidth="1"/>
    <col min="5" max="5" width="15.875" customWidth="1"/>
    <col min="6" max="6" width="16.375" customWidth="1"/>
    <col min="7" max="7" width="15.875" customWidth="1"/>
  </cols>
  <sheetData>
    <row r="1" spans="1:18">
      <c r="A1" s="92"/>
      <c r="B1" s="93"/>
      <c r="C1" s="93"/>
      <c r="D1" s="93"/>
      <c r="E1" s="93"/>
      <c r="F1" s="93"/>
      <c r="G1" s="93"/>
      <c r="H1" s="94"/>
      <c r="I1" s="2"/>
      <c r="R1" s="66"/>
    </row>
    <row r="2" spans="1:18">
      <c r="A2" t="s">
        <v>88</v>
      </c>
      <c r="I2" s="2"/>
      <c r="J2" s="1"/>
      <c r="L2" s="1"/>
      <c r="M2" s="66"/>
      <c r="N2" s="66"/>
      <c r="O2" s="66"/>
      <c r="P2" s="66"/>
      <c r="R2" s="66"/>
    </row>
    <row r="3" spans="1:18">
      <c r="A3" s="1" t="s">
        <v>10</v>
      </c>
      <c r="B3" t="s">
        <v>153</v>
      </c>
      <c r="I3" s="2"/>
      <c r="J3" t="s">
        <v>154</v>
      </c>
      <c r="K3" t="s">
        <v>22</v>
      </c>
      <c r="L3" s="1"/>
      <c r="M3" s="66"/>
      <c r="N3" s="66"/>
      <c r="O3" s="66"/>
      <c r="P3" s="66"/>
      <c r="R3" s="66"/>
    </row>
    <row r="4" spans="1:18" ht="16.5" thickBot="1">
      <c r="B4" t="s">
        <v>195</v>
      </c>
      <c r="C4" s="53">
        <f>K4*240</f>
        <v>8400</v>
      </c>
      <c r="D4" s="53">
        <f>C4*1.03</f>
        <v>8652</v>
      </c>
      <c r="E4" s="53">
        <f>D4*1.03</f>
        <v>8911.56</v>
      </c>
      <c r="F4" s="53">
        <f>E4*1.03</f>
        <v>9178.9067999999988</v>
      </c>
      <c r="G4" s="100">
        <f>SUM(C4:F4)</f>
        <v>35142.466799999995</v>
      </c>
      <c r="I4" s="2"/>
      <c r="J4" t="s">
        <v>10</v>
      </c>
      <c r="K4">
        <v>35</v>
      </c>
      <c r="L4" s="1"/>
      <c r="R4" s="66"/>
    </row>
    <row r="5" spans="1:18" ht="16.5" thickBot="1">
      <c r="A5" s="124" t="s">
        <v>38</v>
      </c>
      <c r="B5" s="124"/>
      <c r="C5" s="125">
        <f>SUM(C4)</f>
        <v>8400</v>
      </c>
      <c r="D5" s="126">
        <f>SUM(D4)</f>
        <v>8652</v>
      </c>
      <c r="E5" s="126">
        <f>SUM(E4)</f>
        <v>8911.56</v>
      </c>
      <c r="F5" s="126">
        <f>SUM(F4)</f>
        <v>9178.9067999999988</v>
      </c>
      <c r="G5" s="127">
        <f>SUM(G4)</f>
        <v>35142.466799999995</v>
      </c>
      <c r="I5" s="2"/>
      <c r="L5" s="1"/>
      <c r="R5" s="66"/>
    </row>
    <row r="6" spans="1:18">
      <c r="A6" s="85" t="s">
        <v>89</v>
      </c>
      <c r="B6" s="86"/>
      <c r="C6" s="88"/>
      <c r="D6" s="53"/>
      <c r="E6" s="53"/>
      <c r="F6" s="53"/>
      <c r="G6" s="100"/>
      <c r="H6" s="87"/>
      <c r="I6" s="2"/>
      <c r="J6" t="s">
        <v>152</v>
      </c>
      <c r="K6">
        <v>21</v>
      </c>
      <c r="R6" s="66"/>
    </row>
    <row r="7" spans="1:18">
      <c r="A7" s="105" t="s">
        <v>152</v>
      </c>
      <c r="B7" s="10" t="s">
        <v>153</v>
      </c>
      <c r="C7" s="88"/>
      <c r="D7" s="53"/>
      <c r="E7" s="53"/>
      <c r="F7" s="53"/>
      <c r="G7" s="100"/>
      <c r="H7" s="90"/>
      <c r="I7" s="2"/>
      <c r="L7" s="1"/>
      <c r="M7" s="66"/>
      <c r="N7" s="66"/>
      <c r="O7" s="66"/>
      <c r="P7" s="66"/>
      <c r="R7" s="66"/>
    </row>
    <row r="8" spans="1:18" ht="16.5" thickBot="1">
      <c r="A8" s="85"/>
      <c r="B8" s="10" t="s">
        <v>171</v>
      </c>
      <c r="C8" s="88">
        <f>K6*1040</f>
        <v>21840</v>
      </c>
      <c r="D8" s="53">
        <f>C8*1.03</f>
        <v>22495.200000000001</v>
      </c>
      <c r="E8" s="53">
        <f>D8*1.03</f>
        <v>23170.056</v>
      </c>
      <c r="F8" s="53">
        <f>E8*1.03</f>
        <v>23865.15768</v>
      </c>
      <c r="G8" s="100">
        <f>SUM(C8:F8)</f>
        <v>91370.413679999998</v>
      </c>
      <c r="H8" s="90"/>
      <c r="R8" s="66"/>
    </row>
    <row r="9" spans="1:18" ht="16.5" thickBot="1">
      <c r="A9" s="128" t="s">
        <v>38</v>
      </c>
      <c r="B9" s="24"/>
      <c r="C9" s="125">
        <f>SUM(C8)</f>
        <v>21840</v>
      </c>
      <c r="D9" s="126">
        <f>SUM(D8)</f>
        <v>22495.200000000001</v>
      </c>
      <c r="E9" s="126">
        <f>SUM(E8)</f>
        <v>23170.056</v>
      </c>
      <c r="F9" s="126">
        <f>SUM(F8)</f>
        <v>23865.15768</v>
      </c>
      <c r="G9" s="127">
        <f>SUM(G8)</f>
        <v>91370.413679999998</v>
      </c>
      <c r="H9" s="90"/>
      <c r="R9" s="66"/>
    </row>
    <row r="10" spans="1:18">
      <c r="A10" s="85" t="s">
        <v>91</v>
      </c>
      <c r="B10" s="64"/>
      <c r="C10" s="64"/>
      <c r="D10" s="88"/>
      <c r="E10" s="88"/>
      <c r="F10" s="88"/>
      <c r="G10" s="100"/>
      <c r="H10" s="90"/>
      <c r="R10" s="66"/>
    </row>
    <row r="11" spans="1:18">
      <c r="A11" s="105" t="s">
        <v>10</v>
      </c>
      <c r="B11" s="121">
        <v>0.4</v>
      </c>
      <c r="C11" s="122">
        <f>C4*B11</f>
        <v>3360</v>
      </c>
      <c r="D11" s="122">
        <f>D4*B11</f>
        <v>3460.8</v>
      </c>
      <c r="E11" s="122">
        <f>E4*B11</f>
        <v>3564.6239999999998</v>
      </c>
      <c r="F11" s="122">
        <f>F4*B11</f>
        <v>3671.5627199999999</v>
      </c>
      <c r="G11" s="100">
        <f>SUM(C11:F11)</f>
        <v>14056.986719999999</v>
      </c>
      <c r="H11" s="90"/>
      <c r="R11" s="66"/>
    </row>
    <row r="12" spans="1:18" ht="16.5" thickBot="1">
      <c r="A12" s="105" t="s">
        <v>152</v>
      </c>
      <c r="B12" s="121">
        <v>0.4</v>
      </c>
      <c r="C12" s="122">
        <f>C8*B12</f>
        <v>8736</v>
      </c>
      <c r="D12" s="122">
        <f>D8*B12</f>
        <v>8998.08</v>
      </c>
      <c r="E12" s="122">
        <f>E8*B12</f>
        <v>9268.0223999999998</v>
      </c>
      <c r="F12" s="122">
        <f>F8*B12</f>
        <v>9546.0630720000008</v>
      </c>
      <c r="G12" s="100">
        <f>SUM(C12:F12)</f>
        <v>36548.165472000008</v>
      </c>
      <c r="H12" s="90"/>
      <c r="R12" s="66"/>
    </row>
    <row r="13" spans="1:18" ht="16.5" thickBot="1">
      <c r="A13" s="128" t="s">
        <v>38</v>
      </c>
      <c r="B13" s="24"/>
      <c r="C13" s="129">
        <f>SUM(C11:C12)</f>
        <v>12096</v>
      </c>
      <c r="D13" s="130">
        <f>SUM(D11:D12)</f>
        <v>12458.880000000001</v>
      </c>
      <c r="E13" s="130">
        <f>SUM(E11:E12)</f>
        <v>12832.6464</v>
      </c>
      <c r="F13" s="130">
        <f>SUM(F11:F12)</f>
        <v>13217.625792000001</v>
      </c>
      <c r="G13" s="131">
        <f>SUM(G11:G12)</f>
        <v>50605.152192000009</v>
      </c>
      <c r="H13" s="90"/>
      <c r="R13" s="66"/>
    </row>
    <row r="14" spans="1:18">
      <c r="A14" s="85"/>
      <c r="B14" s="64"/>
      <c r="C14" s="64"/>
      <c r="D14" s="88"/>
      <c r="E14" s="88"/>
      <c r="F14" s="88"/>
      <c r="G14" s="89"/>
      <c r="H14" s="90"/>
      <c r="R14" s="66"/>
    </row>
    <row r="15" spans="1:18">
      <c r="A15" s="85" t="s">
        <v>93</v>
      </c>
      <c r="B15" s="64"/>
      <c r="C15" s="64"/>
      <c r="D15" s="88"/>
      <c r="E15" s="88"/>
      <c r="F15" s="88"/>
      <c r="G15" s="89"/>
      <c r="H15" s="90"/>
      <c r="R15" s="66"/>
    </row>
    <row r="16" spans="1:18">
      <c r="A16" s="85"/>
      <c r="B16" s="64"/>
      <c r="C16" s="64"/>
      <c r="D16" s="88"/>
      <c r="E16" s="88"/>
      <c r="F16" s="88"/>
      <c r="G16" s="89"/>
      <c r="H16" s="90"/>
      <c r="R16" s="66"/>
    </row>
    <row r="17" spans="1:19">
      <c r="A17" s="85" t="s">
        <v>94</v>
      </c>
      <c r="B17" s="64"/>
      <c r="C17" s="64"/>
      <c r="D17" s="64"/>
      <c r="E17" s="64"/>
      <c r="F17" s="64"/>
      <c r="G17" s="71"/>
      <c r="H17" s="90"/>
      <c r="J17" s="2"/>
      <c r="K17" s="2" t="s">
        <v>65</v>
      </c>
      <c r="L17" s="2" t="s">
        <v>32</v>
      </c>
      <c r="M17" s="2" t="s">
        <v>31</v>
      </c>
      <c r="N17" s="2" t="s">
        <v>33</v>
      </c>
      <c r="O17" s="2" t="s">
        <v>63</v>
      </c>
      <c r="P17" s="2" t="s">
        <v>34</v>
      </c>
      <c r="Q17" s="2" t="s">
        <v>74</v>
      </c>
      <c r="R17" s="2" t="s">
        <v>75</v>
      </c>
      <c r="S17" s="2" t="s">
        <v>81</v>
      </c>
    </row>
    <row r="18" spans="1:19">
      <c r="A18" s="85" t="s">
        <v>95</v>
      </c>
      <c r="H18" s="90"/>
      <c r="J18" s="10" t="s">
        <v>157</v>
      </c>
      <c r="K18" s="10">
        <v>2</v>
      </c>
      <c r="L18" s="10">
        <v>3</v>
      </c>
      <c r="M18" s="10">
        <v>57</v>
      </c>
      <c r="N18" s="2">
        <v>150</v>
      </c>
      <c r="O18" s="2">
        <v>500</v>
      </c>
      <c r="P18" s="2"/>
      <c r="Q18" s="2"/>
      <c r="R18" s="2"/>
      <c r="S18" s="2"/>
    </row>
    <row r="19" spans="1:19">
      <c r="A19" s="33" t="s">
        <v>64</v>
      </c>
      <c r="B19" s="33" t="s">
        <v>83</v>
      </c>
      <c r="C19" s="36">
        <f>K18*L18*M18</f>
        <v>342</v>
      </c>
      <c r="D19" s="36">
        <f t="shared" ref="D19:F21" si="0">C19</f>
        <v>342</v>
      </c>
      <c r="E19" s="36">
        <f t="shared" si="0"/>
        <v>342</v>
      </c>
      <c r="F19" s="71">
        <f t="shared" si="0"/>
        <v>342</v>
      </c>
      <c r="G19" s="36">
        <f>SUM(C19:F19)</f>
        <v>1368</v>
      </c>
      <c r="H19" s="90"/>
      <c r="J19" s="2" t="s">
        <v>158</v>
      </c>
      <c r="K19" s="2">
        <v>2</v>
      </c>
      <c r="L19" s="2">
        <v>5</v>
      </c>
      <c r="M19" s="2">
        <v>49</v>
      </c>
      <c r="N19" s="2">
        <v>96</v>
      </c>
      <c r="O19" s="2"/>
      <c r="P19" s="2"/>
      <c r="Q19" s="2">
        <v>600</v>
      </c>
      <c r="R19" s="2">
        <v>0.57499999999999996</v>
      </c>
      <c r="S19" s="2"/>
    </row>
    <row r="20" spans="1:19">
      <c r="A20" s="2"/>
      <c r="B20" s="18" t="s">
        <v>82</v>
      </c>
      <c r="C20" s="47">
        <f>K18*L18*N18</f>
        <v>900</v>
      </c>
      <c r="D20" s="47">
        <f t="shared" si="0"/>
        <v>900</v>
      </c>
      <c r="E20" s="47">
        <f t="shared" si="0"/>
        <v>900</v>
      </c>
      <c r="F20" s="71">
        <f t="shared" si="0"/>
        <v>900</v>
      </c>
      <c r="G20" s="36">
        <f>SUM(C20:F20)</f>
        <v>3600</v>
      </c>
      <c r="H20" s="90"/>
      <c r="J20" s="10" t="s">
        <v>79</v>
      </c>
      <c r="K20" s="10">
        <v>2</v>
      </c>
      <c r="L20" s="10">
        <v>3</v>
      </c>
      <c r="M20" s="10">
        <v>57</v>
      </c>
      <c r="N20" s="10">
        <v>150</v>
      </c>
      <c r="O20" s="10">
        <v>500</v>
      </c>
      <c r="P20" s="10"/>
      <c r="Q20" s="10"/>
      <c r="R20" s="10"/>
      <c r="S20" s="10">
        <v>200</v>
      </c>
    </row>
    <row r="21" spans="1:19">
      <c r="A21" s="2"/>
      <c r="B21" s="18" t="s">
        <v>63</v>
      </c>
      <c r="C21" s="47">
        <f>K18*O18</f>
        <v>1000</v>
      </c>
      <c r="D21" s="47">
        <f t="shared" si="0"/>
        <v>1000</v>
      </c>
      <c r="E21" s="47">
        <f t="shared" si="0"/>
        <v>1000</v>
      </c>
      <c r="F21" s="71">
        <f t="shared" si="0"/>
        <v>1000</v>
      </c>
      <c r="G21" s="36">
        <f>SUM(C21:F21)</f>
        <v>4000</v>
      </c>
      <c r="H21" s="90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>
      <c r="H22" s="90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>
      <c r="A23" s="7" t="s">
        <v>163</v>
      </c>
      <c r="B23" s="1" t="s">
        <v>73</v>
      </c>
      <c r="C23">
        <f>K19*L19*M19</f>
        <v>490</v>
      </c>
      <c r="D23">
        <f t="shared" ref="D23:F25" si="1">C23</f>
        <v>490</v>
      </c>
      <c r="E23">
        <f t="shared" si="1"/>
        <v>490</v>
      </c>
      <c r="F23">
        <f t="shared" si="1"/>
        <v>490</v>
      </c>
      <c r="G23">
        <f>SUM(C23:F23)</f>
        <v>1960</v>
      </c>
      <c r="H23" s="90"/>
      <c r="J23" s="10"/>
      <c r="K23" s="10"/>
      <c r="L23" s="10"/>
      <c r="M23" s="10"/>
      <c r="N23" s="10"/>
      <c r="O23" s="2"/>
      <c r="P23" s="2"/>
      <c r="Q23" s="2"/>
      <c r="R23" s="2"/>
      <c r="S23" s="2"/>
    </row>
    <row r="24" spans="1:19">
      <c r="B24" s="1" t="s">
        <v>50</v>
      </c>
      <c r="C24">
        <f>K19*L19*N19</f>
        <v>960</v>
      </c>
      <c r="D24">
        <f t="shared" si="1"/>
        <v>960</v>
      </c>
      <c r="E24">
        <f t="shared" si="1"/>
        <v>960</v>
      </c>
      <c r="F24">
        <f t="shared" si="1"/>
        <v>960</v>
      </c>
      <c r="G24">
        <f>SUM(C24:F24)</f>
        <v>3840</v>
      </c>
      <c r="H24" s="9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>
      <c r="B25" s="1" t="s">
        <v>161</v>
      </c>
      <c r="C25">
        <f>K19*Q19*R19</f>
        <v>690</v>
      </c>
      <c r="D25">
        <f t="shared" si="1"/>
        <v>690</v>
      </c>
      <c r="E25">
        <f t="shared" si="1"/>
        <v>690</v>
      </c>
      <c r="F25">
        <f t="shared" si="1"/>
        <v>690</v>
      </c>
      <c r="G25">
        <f>SUM(C25:F25)</f>
        <v>2760</v>
      </c>
      <c r="H25" s="90"/>
    </row>
    <row r="26" spans="1:19">
      <c r="H26" s="90"/>
      <c r="L26" s="68"/>
      <c r="M26" s="67"/>
      <c r="N26" s="67"/>
      <c r="O26" s="67"/>
      <c r="P26" s="67"/>
      <c r="R26" s="66"/>
    </row>
    <row r="27" spans="1:19">
      <c r="A27" s="1" t="s">
        <v>79</v>
      </c>
      <c r="B27" s="33" t="s">
        <v>83</v>
      </c>
      <c r="C27" s="36"/>
      <c r="D27" s="36">
        <f>C27</f>
        <v>0</v>
      </c>
      <c r="E27" s="36">
        <f>K20*L20*M20</f>
        <v>342</v>
      </c>
      <c r="F27" s="71">
        <f>E27</f>
        <v>342</v>
      </c>
      <c r="G27" s="36">
        <f>SUM(C27:F27)</f>
        <v>684</v>
      </c>
      <c r="H27" s="91"/>
      <c r="L27" s="68"/>
      <c r="M27" s="67"/>
      <c r="N27" s="67"/>
      <c r="O27" s="67"/>
      <c r="P27" s="67"/>
      <c r="R27" s="66"/>
    </row>
    <row r="28" spans="1:19">
      <c r="B28" s="18" t="s">
        <v>82</v>
      </c>
      <c r="C28" s="47"/>
      <c r="D28" s="47">
        <f>C28</f>
        <v>0</v>
      </c>
      <c r="E28" s="47">
        <f>K20*L20*N20</f>
        <v>900</v>
      </c>
      <c r="F28" s="71">
        <f>E28</f>
        <v>900</v>
      </c>
      <c r="G28" s="36">
        <f>SUM(C28:F28)</f>
        <v>1800</v>
      </c>
      <c r="L28" s="68"/>
      <c r="M28" s="67"/>
      <c r="N28" s="67"/>
      <c r="O28" s="67"/>
      <c r="P28" s="67"/>
      <c r="R28" s="66"/>
    </row>
    <row r="29" spans="1:19">
      <c r="B29" s="141" t="s">
        <v>196</v>
      </c>
      <c r="C29" s="162"/>
      <c r="D29" s="162"/>
      <c r="E29" s="162">
        <f>S20*K20</f>
        <v>400</v>
      </c>
      <c r="F29" s="160">
        <f>S20*K20</f>
        <v>400</v>
      </c>
      <c r="G29" s="162">
        <f>SUM(E29:F29)</f>
        <v>800</v>
      </c>
      <c r="L29" s="68"/>
      <c r="M29" s="67"/>
      <c r="N29" s="67"/>
      <c r="O29" s="67"/>
      <c r="P29" s="67"/>
      <c r="R29" s="66"/>
    </row>
    <row r="30" spans="1:19" ht="16.5" thickBot="1">
      <c r="A30" s="124" t="s">
        <v>38</v>
      </c>
      <c r="B30" s="18" t="s">
        <v>63</v>
      </c>
      <c r="C30" s="47"/>
      <c r="D30" s="47">
        <f>C30</f>
        <v>0</v>
      </c>
      <c r="E30" s="47">
        <f>K20*O20</f>
        <v>1000</v>
      </c>
      <c r="F30" s="71">
        <f>E30</f>
        <v>1000</v>
      </c>
      <c r="G30" s="36">
        <f>SUM(C30:F30)</f>
        <v>2000</v>
      </c>
      <c r="H30" s="95"/>
      <c r="Q30" s="58"/>
      <c r="R30" s="2"/>
    </row>
    <row r="31" spans="1:19" ht="16.5" thickBot="1">
      <c r="B31" s="132"/>
      <c r="C31" s="133">
        <f>SUM(C19:C30)</f>
        <v>4382</v>
      </c>
      <c r="D31" s="133">
        <f>SUM(D19:D30)</f>
        <v>4382</v>
      </c>
      <c r="E31" s="133">
        <f>SUM(E19:E30)</f>
        <v>7024</v>
      </c>
      <c r="F31" s="133">
        <f>SUM(F19:F30)</f>
        <v>7024</v>
      </c>
      <c r="G31" s="133">
        <f>SUM(G19:G30)</f>
        <v>22812</v>
      </c>
      <c r="Q31" s="2"/>
      <c r="R31" s="2"/>
    </row>
    <row r="32" spans="1:19">
      <c r="A32" s="10" t="s">
        <v>156</v>
      </c>
      <c r="B32" s="18"/>
      <c r="C32" s="47"/>
      <c r="D32" s="47"/>
      <c r="E32" s="47"/>
      <c r="F32" s="71"/>
      <c r="G32" s="36"/>
      <c r="H32" s="90"/>
      <c r="Q32" s="2"/>
      <c r="R32" s="2"/>
    </row>
    <row r="33" spans="1:18">
      <c r="A33" s="7" t="s">
        <v>167</v>
      </c>
      <c r="Q33" s="2"/>
      <c r="R33" s="2"/>
    </row>
    <row r="34" spans="1:18">
      <c r="J34" s="84" t="s">
        <v>114</v>
      </c>
      <c r="K34" s="58" t="s">
        <v>71</v>
      </c>
      <c r="L34" s="58" t="s">
        <v>53</v>
      </c>
      <c r="M34" s="58" t="s">
        <v>54</v>
      </c>
      <c r="N34" s="58" t="s">
        <v>32</v>
      </c>
      <c r="O34" s="58" t="s">
        <v>61</v>
      </c>
      <c r="P34" s="58" t="s">
        <v>62</v>
      </c>
      <c r="Q34" s="2"/>
      <c r="R34" s="2"/>
    </row>
    <row r="35" spans="1:18">
      <c r="B35" s="105" t="s">
        <v>56</v>
      </c>
      <c r="D35">
        <f>K38*K39</f>
        <v>3750</v>
      </c>
      <c r="E35">
        <f t="shared" ref="E35:F37" si="2">D35</f>
        <v>3750</v>
      </c>
      <c r="F35">
        <f t="shared" si="2"/>
        <v>3750</v>
      </c>
      <c r="G35">
        <f>SUM(D35:F35)</f>
        <v>11250</v>
      </c>
      <c r="J35" s="2" t="s">
        <v>133</v>
      </c>
      <c r="K35" s="2">
        <v>15</v>
      </c>
      <c r="L35" s="2">
        <v>25</v>
      </c>
      <c r="M35" s="2">
        <v>25</v>
      </c>
      <c r="N35" s="2">
        <v>10</v>
      </c>
      <c r="O35" s="2"/>
      <c r="P35" s="2"/>
      <c r="Q35" s="2"/>
      <c r="R35" s="2"/>
    </row>
    <row r="36" spans="1:18">
      <c r="B36" s="105" t="s">
        <v>60</v>
      </c>
      <c r="D36">
        <f>5000+K35*M35*N35</f>
        <v>8750</v>
      </c>
      <c r="E36">
        <f t="shared" si="2"/>
        <v>8750</v>
      </c>
      <c r="F36">
        <f t="shared" si="2"/>
        <v>8750</v>
      </c>
      <c r="G36">
        <f>SUM(D36:F36)</f>
        <v>26250</v>
      </c>
      <c r="P36" s="2"/>
      <c r="Q36" s="2"/>
      <c r="R36" s="2"/>
    </row>
    <row r="37" spans="1:18">
      <c r="B37" s="105" t="s">
        <v>97</v>
      </c>
      <c r="D37">
        <f>K38*L35*N35</f>
        <v>3750</v>
      </c>
      <c r="E37">
        <f t="shared" si="2"/>
        <v>3750</v>
      </c>
      <c r="F37">
        <f t="shared" si="2"/>
        <v>3750</v>
      </c>
      <c r="G37">
        <f>SUM(D37:F37)</f>
        <v>11250</v>
      </c>
      <c r="J37" t="s">
        <v>169</v>
      </c>
      <c r="P37" s="2"/>
      <c r="Q37" s="2"/>
      <c r="R37" s="2"/>
    </row>
    <row r="38" spans="1:18">
      <c r="B38" s="105" t="s">
        <v>98</v>
      </c>
      <c r="J38" s="2" t="s">
        <v>4</v>
      </c>
      <c r="K38" s="2">
        <v>15</v>
      </c>
      <c r="L38" s="2"/>
      <c r="N38" s="2"/>
      <c r="O38" s="2"/>
      <c r="P38" s="2"/>
    </row>
    <row r="39" spans="1:18">
      <c r="J39" s="2" t="s">
        <v>113</v>
      </c>
      <c r="K39" s="2">
        <v>250</v>
      </c>
      <c r="L39" s="2"/>
      <c r="M39" s="2"/>
      <c r="N39" s="2"/>
      <c r="O39" s="2"/>
      <c r="P39" s="2"/>
    </row>
    <row r="40" spans="1:18">
      <c r="L40" s="68"/>
      <c r="M40" s="70"/>
      <c r="N40" s="70"/>
      <c r="O40" s="70"/>
      <c r="P40" s="70"/>
      <c r="R40" s="83"/>
    </row>
    <row r="41" spans="1:18" ht="16.5" thickBot="1"/>
    <row r="42" spans="1:18" ht="16.5" thickBot="1">
      <c r="A42" s="124" t="s">
        <v>170</v>
      </c>
      <c r="B42" s="124"/>
      <c r="C42" s="134">
        <f>SUM(C35:C41)</f>
        <v>0</v>
      </c>
      <c r="D42" s="134">
        <f t="shared" ref="D42:G42" si="3">SUM(D35:D41)</f>
        <v>16250</v>
      </c>
      <c r="E42" s="134">
        <f t="shared" si="3"/>
        <v>16250</v>
      </c>
      <c r="F42" s="134">
        <f>SUM(F35:F41)</f>
        <v>16250</v>
      </c>
      <c r="G42" s="134">
        <f t="shared" si="3"/>
        <v>48750</v>
      </c>
    </row>
    <row r="43" spans="1:18">
      <c r="H43" s="90"/>
    </row>
    <row r="44" spans="1:18">
      <c r="A44" s="106" t="s">
        <v>105</v>
      </c>
      <c r="C44" s="86"/>
      <c r="D44" s="88"/>
      <c r="E44" s="88"/>
      <c r="F44" s="88"/>
      <c r="G44" s="88"/>
      <c r="H44" s="90"/>
      <c r="J44" s="84" t="s">
        <v>76</v>
      </c>
    </row>
    <row r="45" spans="1:18">
      <c r="A45" s="105" t="s">
        <v>104</v>
      </c>
      <c r="B45" s="86"/>
      <c r="C45" s="86">
        <v>5000</v>
      </c>
      <c r="D45" s="86">
        <v>5000</v>
      </c>
      <c r="E45" s="86">
        <v>5000</v>
      </c>
      <c r="F45" s="86">
        <v>5000</v>
      </c>
      <c r="G45" s="88">
        <f>SUM(B45:F45)</f>
        <v>20000</v>
      </c>
      <c r="H45" s="90"/>
      <c r="J45" s="2" t="s">
        <v>71</v>
      </c>
      <c r="K45">
        <v>3</v>
      </c>
    </row>
    <row r="46" spans="1:18">
      <c r="A46" s="105" t="s">
        <v>134</v>
      </c>
      <c r="B46" s="86"/>
      <c r="C46" s="86"/>
      <c r="D46" s="88"/>
      <c r="E46" s="88"/>
      <c r="F46" s="88"/>
      <c r="G46" s="88"/>
      <c r="H46" s="90"/>
      <c r="J46" s="2" t="s">
        <v>131</v>
      </c>
      <c r="K46">
        <v>5000</v>
      </c>
    </row>
    <row r="47" spans="1:18">
      <c r="A47" s="108" t="s">
        <v>135</v>
      </c>
      <c r="C47" s="86">
        <f>K45*K46</f>
        <v>15000</v>
      </c>
      <c r="D47" s="86">
        <f>C47</f>
        <v>15000</v>
      </c>
      <c r="E47" s="86">
        <f>D47</f>
        <v>15000</v>
      </c>
      <c r="F47" s="86">
        <f>E47</f>
        <v>15000</v>
      </c>
      <c r="G47" s="107">
        <f>SUM(C47:F47)</f>
        <v>60000</v>
      </c>
      <c r="H47" s="90"/>
    </row>
    <row r="48" spans="1:18">
      <c r="A48" s="109" t="s">
        <v>136</v>
      </c>
      <c r="B48" s="64"/>
      <c r="C48" s="64"/>
      <c r="D48" s="102"/>
      <c r="E48" s="88"/>
      <c r="F48" s="88"/>
      <c r="G48" s="89"/>
      <c r="H48" s="90"/>
    </row>
    <row r="49" spans="1:7">
      <c r="A49" s="109" t="s">
        <v>137</v>
      </c>
      <c r="B49" s="64"/>
      <c r="C49" s="64"/>
      <c r="D49" s="88"/>
      <c r="E49" s="88"/>
      <c r="F49" s="88"/>
      <c r="G49" s="89"/>
    </row>
    <row r="51" spans="1:7">
      <c r="A51" s="54" t="s">
        <v>106</v>
      </c>
      <c r="C51" s="50">
        <f>C49+C48+C47+C46+C45+C42+C31+C13+C9+C5</f>
        <v>66718</v>
      </c>
      <c r="D51" s="50">
        <f>D49+D48+D47+D46+D45+D42+D31+D13+D9+D5</f>
        <v>84238.080000000002</v>
      </c>
      <c r="E51" s="50">
        <f>E49+E48+E47+E46+E45+E42+E31+E13+E9+E5</f>
        <v>88188.262399999992</v>
      </c>
      <c r="F51" s="50">
        <f>F49+F48+F47+F46+F45+F42+F31+F13+F9+F5</f>
        <v>89535.690271999993</v>
      </c>
      <c r="G51" s="50">
        <f>G49+G48+G47+G46+G45+G42+G31+G13+G9+G5</f>
        <v>328680.032672</v>
      </c>
    </row>
    <row r="52" spans="1:7">
      <c r="A52" s="1" t="s">
        <v>117</v>
      </c>
      <c r="C52" s="50">
        <f>C51-C42</f>
        <v>66718</v>
      </c>
      <c r="D52" s="50">
        <f>D51-D42</f>
        <v>67988.08</v>
      </c>
      <c r="E52" s="50">
        <f>E51-E42</f>
        <v>71938.262399999992</v>
      </c>
      <c r="F52" s="50">
        <f>F51-F42</f>
        <v>73285.690271999993</v>
      </c>
      <c r="G52" s="50">
        <f>G51-G42</f>
        <v>279930.032672</v>
      </c>
    </row>
    <row r="53" spans="1:7" ht="16.5" thickBot="1">
      <c r="A53" s="54" t="s">
        <v>107</v>
      </c>
      <c r="B53" t="s">
        <v>198</v>
      </c>
      <c r="C53" s="50">
        <v>0</v>
      </c>
      <c r="D53" s="50">
        <v>0</v>
      </c>
      <c r="E53" s="50">
        <v>0</v>
      </c>
      <c r="F53" s="50">
        <v>0</v>
      </c>
      <c r="G53" s="50">
        <v>0</v>
      </c>
    </row>
    <row r="54" spans="1:7" ht="16.5" thickBot="1">
      <c r="A54" s="120" t="s">
        <v>108</v>
      </c>
      <c r="B54" s="26"/>
      <c r="C54" s="51">
        <f>C53+C51</f>
        <v>66718</v>
      </c>
      <c r="D54" s="51">
        <f>D53+D51</f>
        <v>84238.080000000002</v>
      </c>
      <c r="E54" s="51">
        <f>E53+E51</f>
        <v>88188.262399999992</v>
      </c>
      <c r="F54" s="51">
        <f>F53+F51</f>
        <v>89535.690271999993</v>
      </c>
      <c r="G54" s="51">
        <f>SUM(C54:F54)</f>
        <v>328680.032672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5B69C-C3F4-6D43-8144-2E49199609B1}">
  <sheetPr>
    <pageSetUpPr fitToPage="1"/>
  </sheetPr>
  <dimension ref="A1:S55"/>
  <sheetViews>
    <sheetView zoomScale="113" zoomScaleNormal="113" workbookViewId="0">
      <selection activeCell="C54" sqref="C54"/>
    </sheetView>
  </sheetViews>
  <sheetFormatPr defaultColWidth="11" defaultRowHeight="15.75"/>
  <cols>
    <col min="1" max="1" width="57.125" customWidth="1"/>
    <col min="2" max="2" width="25.125" customWidth="1"/>
    <col min="3" max="3" width="16.375" customWidth="1"/>
    <col min="4" max="4" width="14.875" customWidth="1"/>
    <col min="5" max="6" width="11.5" bestFit="1" customWidth="1"/>
    <col min="7" max="7" width="12.5" bestFit="1" customWidth="1"/>
    <col min="10" max="10" width="26" customWidth="1"/>
    <col min="11" max="11" width="27.125" customWidth="1"/>
    <col min="12" max="12" width="30.125" customWidth="1"/>
    <col min="13" max="13" width="13.375" customWidth="1"/>
    <col min="14" max="16" width="13.625" bestFit="1" customWidth="1"/>
    <col min="17" max="17" width="11.5" bestFit="1" customWidth="1"/>
  </cols>
  <sheetData>
    <row r="1" spans="1:18">
      <c r="A1" s="92"/>
      <c r="B1" s="93"/>
      <c r="C1" s="93"/>
      <c r="D1" s="93"/>
      <c r="E1" s="93"/>
      <c r="F1" s="93"/>
      <c r="G1" s="93"/>
      <c r="H1" s="94"/>
      <c r="R1" s="66"/>
    </row>
    <row r="2" spans="1:18">
      <c r="A2" t="s">
        <v>88</v>
      </c>
      <c r="J2" s="1"/>
      <c r="L2" s="1"/>
      <c r="M2" s="66"/>
      <c r="N2" s="66"/>
      <c r="O2" s="66"/>
      <c r="P2" s="66"/>
      <c r="R2" s="66"/>
    </row>
    <row r="3" spans="1:18">
      <c r="A3" s="1" t="s">
        <v>10</v>
      </c>
      <c r="B3" t="s">
        <v>153</v>
      </c>
      <c r="J3" t="s">
        <v>154</v>
      </c>
      <c r="K3" t="s">
        <v>22</v>
      </c>
      <c r="L3" s="1"/>
      <c r="M3" s="66"/>
      <c r="N3" s="66"/>
      <c r="O3" s="66"/>
      <c r="P3" s="66"/>
      <c r="R3" s="66"/>
    </row>
    <row r="4" spans="1:18" ht="16.5" thickBot="1">
      <c r="B4" t="s">
        <v>200</v>
      </c>
      <c r="C4" s="53">
        <f>K4*320</f>
        <v>11980.8</v>
      </c>
      <c r="D4" s="53">
        <f>C4*1.03</f>
        <v>12340.224</v>
      </c>
      <c r="E4" s="53">
        <f>D4*1.03</f>
        <v>12710.43072</v>
      </c>
      <c r="F4" s="53">
        <f>E4*1.03</f>
        <v>13091.7436416</v>
      </c>
      <c r="G4" s="100">
        <f>SUM(C4:F4)</f>
        <v>50123.198361599992</v>
      </c>
      <c r="J4" t="s">
        <v>185</v>
      </c>
      <c r="K4">
        <v>37.44</v>
      </c>
      <c r="L4" s="1"/>
      <c r="R4" s="66"/>
    </row>
    <row r="5" spans="1:18" ht="16.5" thickBot="1">
      <c r="A5" s="124" t="s">
        <v>38</v>
      </c>
      <c r="B5" s="124"/>
      <c r="C5" s="125">
        <f>SUM(C4)</f>
        <v>11980.8</v>
      </c>
      <c r="D5" s="126">
        <f>SUM(D4)</f>
        <v>12340.224</v>
      </c>
      <c r="E5" s="126">
        <f>SUM(E4)</f>
        <v>12710.43072</v>
      </c>
      <c r="F5" s="126">
        <f>SUM(F4)</f>
        <v>13091.7436416</v>
      </c>
      <c r="G5" s="127">
        <f>SUM(G4)</f>
        <v>50123.198361599992</v>
      </c>
      <c r="L5" s="1"/>
      <c r="R5" s="66"/>
    </row>
    <row r="6" spans="1:18">
      <c r="A6" s="85" t="s">
        <v>89</v>
      </c>
      <c r="C6" s="88"/>
      <c r="D6" s="53"/>
      <c r="E6" s="53"/>
      <c r="F6" s="53"/>
      <c r="G6" s="100"/>
      <c r="H6" s="87"/>
      <c r="J6" t="s">
        <v>186</v>
      </c>
      <c r="K6">
        <v>19.649999999999999</v>
      </c>
      <c r="R6" s="66"/>
    </row>
    <row r="7" spans="1:18">
      <c r="A7" s="105" t="s">
        <v>152</v>
      </c>
      <c r="B7" t="s">
        <v>153</v>
      </c>
      <c r="C7" s="88"/>
      <c r="D7" s="53"/>
      <c r="E7" s="53"/>
      <c r="F7" s="53"/>
      <c r="G7" s="100"/>
      <c r="H7" s="90"/>
      <c r="L7" s="1"/>
      <c r="M7" s="66"/>
      <c r="N7" s="66"/>
      <c r="O7" s="66"/>
      <c r="P7" s="66"/>
      <c r="R7" s="66"/>
    </row>
    <row r="8" spans="1:18" ht="16.5" thickBot="1">
      <c r="A8" s="85"/>
      <c r="B8" t="s">
        <v>171</v>
      </c>
      <c r="C8" s="88">
        <f>K6*1040</f>
        <v>20436</v>
      </c>
      <c r="D8" s="53">
        <f>C8*1.03</f>
        <v>21049.08</v>
      </c>
      <c r="E8" s="53">
        <f>D8*1.03</f>
        <v>21680.552400000004</v>
      </c>
      <c r="F8" s="53">
        <f>E8*1.03</f>
        <v>22330.968972000006</v>
      </c>
      <c r="G8" s="100">
        <f>SUM(C8:F8)</f>
        <v>85496.601372000005</v>
      </c>
      <c r="H8" s="90"/>
      <c r="R8" s="66"/>
    </row>
    <row r="9" spans="1:18" ht="16.5" thickBot="1">
      <c r="A9" s="128" t="s">
        <v>38</v>
      </c>
      <c r="B9" s="124"/>
      <c r="C9" s="125">
        <f>SUM(C8)</f>
        <v>20436</v>
      </c>
      <c r="D9" s="126">
        <f>SUM(D8)</f>
        <v>21049.08</v>
      </c>
      <c r="E9" s="126">
        <f>SUM(E8)</f>
        <v>21680.552400000004</v>
      </c>
      <c r="F9" s="126">
        <f>SUM(F8)</f>
        <v>22330.968972000006</v>
      </c>
      <c r="G9" s="127">
        <f>SUM(G8)</f>
        <v>85496.601372000005</v>
      </c>
      <c r="H9" s="90"/>
      <c r="R9" s="66"/>
    </row>
    <row r="10" spans="1:18">
      <c r="A10" s="85" t="s">
        <v>91</v>
      </c>
      <c r="D10" s="88"/>
      <c r="E10" s="88"/>
      <c r="F10" s="88"/>
      <c r="G10" s="100"/>
      <c r="H10" s="90"/>
      <c r="R10" s="66"/>
    </row>
    <row r="11" spans="1:18">
      <c r="A11" s="105" t="s">
        <v>10</v>
      </c>
      <c r="B11" s="153">
        <v>0.32990000000000003</v>
      </c>
      <c r="C11" s="155">
        <f>C4*B11</f>
        <v>3952.4659200000001</v>
      </c>
      <c r="D11" s="155">
        <f>D4*B11</f>
        <v>4071.0398976000006</v>
      </c>
      <c r="E11" s="155">
        <f>E4*B11</f>
        <v>4193.1710945280001</v>
      </c>
      <c r="F11" s="155">
        <f>F4*B11</f>
        <v>4318.9662273638405</v>
      </c>
      <c r="G11" s="100">
        <f>SUM(C11:F11)</f>
        <v>16535.64313949184</v>
      </c>
      <c r="H11" s="90"/>
      <c r="R11" s="66"/>
    </row>
    <row r="12" spans="1:18" ht="16.5" thickBot="1">
      <c r="A12" s="105" t="s">
        <v>152</v>
      </c>
      <c r="B12" s="153">
        <v>0.32990000000000003</v>
      </c>
      <c r="C12" s="155">
        <f>C8*B12</f>
        <v>6741.8364000000001</v>
      </c>
      <c r="D12" s="155">
        <f>D8*B12</f>
        <v>6944.0914920000014</v>
      </c>
      <c r="E12" s="155">
        <f>E8*B12</f>
        <v>7152.4142367600016</v>
      </c>
      <c r="F12" s="155">
        <f>F8*B12</f>
        <v>7366.9866638628027</v>
      </c>
      <c r="G12" s="100">
        <f>SUM(C12:F12)</f>
        <v>28205.328792622808</v>
      </c>
      <c r="H12" s="90"/>
      <c r="R12" s="66"/>
    </row>
    <row r="13" spans="1:18" ht="16.5" thickBot="1">
      <c r="A13" s="128" t="s">
        <v>38</v>
      </c>
      <c r="B13" s="124"/>
      <c r="C13" s="176">
        <f>SUM(C11:C12)</f>
        <v>10694.302320000001</v>
      </c>
      <c r="D13" s="177">
        <f>SUM(D11:D12)</f>
        <v>11015.131389600003</v>
      </c>
      <c r="E13" s="177">
        <f>SUM(E11:E12)</f>
        <v>11345.585331288003</v>
      </c>
      <c r="F13" s="177">
        <f>SUM(F11:F12)</f>
        <v>11685.952891226643</v>
      </c>
      <c r="G13" s="178">
        <f>SUM(G11:G12)</f>
        <v>44740.971932114648</v>
      </c>
      <c r="H13" s="90"/>
      <c r="R13" s="66"/>
    </row>
    <row r="14" spans="1:18">
      <c r="A14" s="85"/>
      <c r="D14" s="88"/>
      <c r="E14" s="88"/>
      <c r="F14" s="88"/>
      <c r="G14" s="89"/>
      <c r="H14" s="90"/>
      <c r="R14" s="66"/>
    </row>
    <row r="15" spans="1:18">
      <c r="A15" s="85" t="s">
        <v>93</v>
      </c>
      <c r="D15" s="88"/>
      <c r="E15" s="88"/>
      <c r="F15" s="88"/>
      <c r="G15" s="89"/>
      <c r="H15" s="90"/>
      <c r="R15" s="66"/>
    </row>
    <row r="16" spans="1:18">
      <c r="A16" s="85"/>
      <c r="D16" s="88"/>
      <c r="E16" s="88"/>
      <c r="F16" s="88"/>
      <c r="G16" s="89"/>
      <c r="H16" s="90"/>
      <c r="R16" s="66"/>
    </row>
    <row r="17" spans="1:19">
      <c r="A17" s="85" t="s">
        <v>94</v>
      </c>
      <c r="G17" s="75"/>
      <c r="H17" s="90"/>
      <c r="K17" t="s">
        <v>65</v>
      </c>
      <c r="L17" t="s">
        <v>32</v>
      </c>
      <c r="M17" t="s">
        <v>31</v>
      </c>
      <c r="N17" t="s">
        <v>33</v>
      </c>
      <c r="O17" t="s">
        <v>63</v>
      </c>
      <c r="P17" t="s">
        <v>34</v>
      </c>
      <c r="Q17" t="s">
        <v>74</v>
      </c>
      <c r="R17" t="s">
        <v>75</v>
      </c>
      <c r="S17" t="s">
        <v>81</v>
      </c>
    </row>
    <row r="18" spans="1:19">
      <c r="A18" s="85" t="s">
        <v>95</v>
      </c>
      <c r="H18" s="90"/>
      <c r="J18" t="s">
        <v>157</v>
      </c>
      <c r="K18">
        <v>2</v>
      </c>
      <c r="L18">
        <v>3</v>
      </c>
      <c r="M18">
        <v>57</v>
      </c>
      <c r="N18">
        <v>150</v>
      </c>
      <c r="O18">
        <v>500</v>
      </c>
    </row>
    <row r="19" spans="1:19">
      <c r="A19" s="179" t="s">
        <v>64</v>
      </c>
      <c r="B19" s="179" t="s">
        <v>83</v>
      </c>
      <c r="C19" s="161">
        <f>K18*L18*M18</f>
        <v>342</v>
      </c>
      <c r="D19" s="161">
        <f t="shared" ref="D19:F21" si="0">C19</f>
        <v>342</v>
      </c>
      <c r="E19" s="161">
        <f t="shared" si="0"/>
        <v>342</v>
      </c>
      <c r="F19" s="75">
        <f t="shared" si="0"/>
        <v>342</v>
      </c>
      <c r="G19" s="161">
        <f>SUM(C19:F19)</f>
        <v>1368</v>
      </c>
      <c r="H19" s="90"/>
      <c r="J19" t="s">
        <v>158</v>
      </c>
      <c r="K19">
        <v>2</v>
      </c>
      <c r="L19">
        <v>5</v>
      </c>
      <c r="M19">
        <v>49</v>
      </c>
      <c r="N19">
        <v>96</v>
      </c>
      <c r="Q19">
        <v>600</v>
      </c>
      <c r="R19">
        <v>0.57499999999999996</v>
      </c>
    </row>
    <row r="20" spans="1:19">
      <c r="B20" s="180" t="s">
        <v>82</v>
      </c>
      <c r="C20" s="161">
        <f>K18*L18*N18</f>
        <v>900</v>
      </c>
      <c r="D20" s="161">
        <f t="shared" si="0"/>
        <v>900</v>
      </c>
      <c r="E20" s="161">
        <f t="shared" si="0"/>
        <v>900</v>
      </c>
      <c r="F20" s="75">
        <f t="shared" si="0"/>
        <v>900</v>
      </c>
      <c r="G20" s="161">
        <f>SUM(C20:F20)</f>
        <v>3600</v>
      </c>
      <c r="H20" s="90"/>
      <c r="J20" t="s">
        <v>79</v>
      </c>
      <c r="K20">
        <v>2</v>
      </c>
      <c r="L20">
        <v>3</v>
      </c>
      <c r="M20">
        <v>57</v>
      </c>
      <c r="N20">
        <v>150</v>
      </c>
      <c r="O20">
        <v>500</v>
      </c>
      <c r="S20">
        <v>200</v>
      </c>
    </row>
    <row r="21" spans="1:19">
      <c r="B21" s="180" t="s">
        <v>63</v>
      </c>
      <c r="C21" s="161">
        <f>K18*O18</f>
        <v>1000</v>
      </c>
      <c r="D21" s="161">
        <f t="shared" si="0"/>
        <v>1000</v>
      </c>
      <c r="E21" s="161">
        <f t="shared" si="0"/>
        <v>1000</v>
      </c>
      <c r="F21" s="75">
        <f t="shared" si="0"/>
        <v>1000</v>
      </c>
      <c r="G21" s="161">
        <f>SUM(C21:F21)</f>
        <v>4000</v>
      </c>
      <c r="H21" s="90"/>
    </row>
    <row r="22" spans="1:19">
      <c r="H22" s="90"/>
    </row>
    <row r="23" spans="1:19">
      <c r="A23" s="1" t="s">
        <v>163</v>
      </c>
      <c r="B23" s="1" t="s">
        <v>73</v>
      </c>
      <c r="C23">
        <f>K19*L19*M19</f>
        <v>490</v>
      </c>
      <c r="D23">
        <f t="shared" ref="D23:F25" si="1">C23</f>
        <v>490</v>
      </c>
      <c r="E23">
        <f t="shared" si="1"/>
        <v>490</v>
      </c>
      <c r="F23">
        <f t="shared" si="1"/>
        <v>490</v>
      </c>
      <c r="G23">
        <f>SUM(C23:F23)</f>
        <v>1960</v>
      </c>
      <c r="H23" s="90"/>
    </row>
    <row r="24" spans="1:19">
      <c r="B24" s="1" t="s">
        <v>50</v>
      </c>
      <c r="C24">
        <f>K19*L19*N19</f>
        <v>960</v>
      </c>
      <c r="D24">
        <f t="shared" si="1"/>
        <v>960</v>
      </c>
      <c r="E24">
        <f t="shared" si="1"/>
        <v>960</v>
      </c>
      <c r="F24">
        <f t="shared" si="1"/>
        <v>960</v>
      </c>
      <c r="G24">
        <f>SUM(C24:F24)</f>
        <v>3840</v>
      </c>
      <c r="H24" s="90"/>
    </row>
    <row r="25" spans="1:19">
      <c r="B25" s="1" t="s">
        <v>161</v>
      </c>
      <c r="C25">
        <f>K19*Q19*R19</f>
        <v>690</v>
      </c>
      <c r="D25">
        <f t="shared" si="1"/>
        <v>690</v>
      </c>
      <c r="E25">
        <f t="shared" si="1"/>
        <v>690</v>
      </c>
      <c r="F25">
        <f t="shared" si="1"/>
        <v>690</v>
      </c>
      <c r="G25">
        <f>SUM(C25:F25)</f>
        <v>2760</v>
      </c>
      <c r="H25" s="90"/>
    </row>
    <row r="26" spans="1:19">
      <c r="H26" s="90"/>
      <c r="L26" s="68"/>
      <c r="M26" s="67"/>
      <c r="N26" s="67"/>
      <c r="O26" s="67"/>
      <c r="P26" s="67"/>
      <c r="R26" s="66"/>
    </row>
    <row r="27" spans="1:19">
      <c r="A27" s="1" t="s">
        <v>79</v>
      </c>
      <c r="B27" s="179" t="s">
        <v>83</v>
      </c>
      <c r="C27" s="161"/>
      <c r="D27" s="161">
        <f>C27</f>
        <v>0</v>
      </c>
      <c r="E27" s="161">
        <f>K20*L20*M20</f>
        <v>342</v>
      </c>
      <c r="F27" s="75">
        <f>E27</f>
        <v>342</v>
      </c>
      <c r="G27" s="161">
        <f>SUM(C27:F27)</f>
        <v>684</v>
      </c>
      <c r="H27" s="87"/>
      <c r="L27" s="68"/>
      <c r="M27" s="67"/>
      <c r="N27" s="67"/>
      <c r="O27" s="67"/>
      <c r="P27" s="67"/>
      <c r="R27" s="66"/>
    </row>
    <row r="28" spans="1:19">
      <c r="B28" s="180" t="s">
        <v>82</v>
      </c>
      <c r="C28" s="161"/>
      <c r="D28" s="161">
        <f>C28</f>
        <v>0</v>
      </c>
      <c r="E28" s="161">
        <f>K20*L20*N20</f>
        <v>900</v>
      </c>
      <c r="F28" s="75">
        <f>E28</f>
        <v>900</v>
      </c>
      <c r="G28" s="161">
        <f>SUM(C28:F28)</f>
        <v>1800</v>
      </c>
      <c r="L28" s="68"/>
      <c r="M28" s="67"/>
      <c r="N28" s="67"/>
      <c r="O28" s="67"/>
      <c r="P28" s="67"/>
      <c r="R28" s="66"/>
    </row>
    <row r="29" spans="1:19">
      <c r="B29" s="141" t="s">
        <v>196</v>
      </c>
      <c r="C29" s="162"/>
      <c r="D29" s="162"/>
      <c r="E29" s="162">
        <f>S20*K20</f>
        <v>400</v>
      </c>
      <c r="F29" s="160">
        <f>S20*K20</f>
        <v>400</v>
      </c>
      <c r="G29" s="162">
        <f>SUM(E29:F29)</f>
        <v>800</v>
      </c>
      <c r="L29" s="68"/>
      <c r="M29" s="67"/>
      <c r="N29" s="67"/>
      <c r="O29" s="67"/>
      <c r="P29" s="67"/>
      <c r="R29" s="66"/>
    </row>
    <row r="30" spans="1:19" ht="16.5" thickBot="1">
      <c r="B30" s="180" t="s">
        <v>63</v>
      </c>
      <c r="C30" s="161"/>
      <c r="D30" s="161">
        <f>C30</f>
        <v>0</v>
      </c>
      <c r="E30" s="161">
        <f>K20*O20</f>
        <v>1000</v>
      </c>
      <c r="F30" s="75">
        <f>E30</f>
        <v>1000</v>
      </c>
      <c r="G30" s="161">
        <f>SUM(C30:F30)</f>
        <v>2000</v>
      </c>
      <c r="Q30" s="54"/>
    </row>
    <row r="31" spans="1:19" ht="16.5" thickBot="1">
      <c r="A31" s="124" t="s">
        <v>38</v>
      </c>
      <c r="B31" s="181"/>
      <c r="C31" s="133">
        <f>SUM(C19:C30)</f>
        <v>4382</v>
      </c>
      <c r="D31" s="133">
        <f>SUM(D19:D30)</f>
        <v>4382</v>
      </c>
      <c r="E31" s="133">
        <f>SUM(E19:E30)</f>
        <v>7024</v>
      </c>
      <c r="F31" s="133">
        <f>SUM(F19:F30)</f>
        <v>7024</v>
      </c>
      <c r="G31" s="133">
        <f>SUM(G19:G30)</f>
        <v>22812</v>
      </c>
    </row>
    <row r="32" spans="1:19">
      <c r="B32" s="180"/>
      <c r="C32" s="161"/>
      <c r="D32" s="161"/>
      <c r="E32" s="161"/>
      <c r="F32" s="75"/>
      <c r="G32" s="161"/>
      <c r="H32" s="90"/>
    </row>
    <row r="33" spans="1:18">
      <c r="A33" t="s">
        <v>156</v>
      </c>
    </row>
    <row r="34" spans="1:18">
      <c r="A34" s="1" t="s">
        <v>167</v>
      </c>
      <c r="J34" s="84" t="s">
        <v>114</v>
      </c>
      <c r="K34" s="54" t="s">
        <v>71</v>
      </c>
      <c r="L34" s="54" t="s">
        <v>53</v>
      </c>
      <c r="M34" s="54" t="s">
        <v>54</v>
      </c>
      <c r="N34" s="54" t="s">
        <v>32</v>
      </c>
      <c r="O34" s="54" t="s">
        <v>61</v>
      </c>
      <c r="P34" s="54" t="s">
        <v>62</v>
      </c>
    </row>
    <row r="35" spans="1:18">
      <c r="B35" s="105" t="s">
        <v>56</v>
      </c>
      <c r="D35">
        <f>K38*K39</f>
        <v>3750</v>
      </c>
      <c r="E35">
        <f t="shared" ref="E35:F37" si="2">D35</f>
        <v>3750</v>
      </c>
      <c r="F35">
        <f t="shared" si="2"/>
        <v>3750</v>
      </c>
      <c r="G35">
        <f>SUM(D35:F35)</f>
        <v>11250</v>
      </c>
      <c r="J35" t="s">
        <v>133</v>
      </c>
      <c r="K35">
        <v>15</v>
      </c>
      <c r="L35">
        <v>25</v>
      </c>
      <c r="M35">
        <v>25</v>
      </c>
      <c r="N35">
        <v>10</v>
      </c>
    </row>
    <row r="36" spans="1:18">
      <c r="B36" s="105" t="s">
        <v>60</v>
      </c>
      <c r="D36">
        <f>5000+K35*M35*N35</f>
        <v>8750</v>
      </c>
      <c r="E36">
        <f t="shared" si="2"/>
        <v>8750</v>
      </c>
      <c r="F36">
        <f t="shared" si="2"/>
        <v>8750</v>
      </c>
      <c r="G36">
        <f>SUM(D36:F36)</f>
        <v>26250</v>
      </c>
    </row>
    <row r="37" spans="1:18">
      <c r="B37" s="105" t="s">
        <v>97</v>
      </c>
      <c r="D37">
        <f>K38*L35*N35</f>
        <v>3750</v>
      </c>
      <c r="E37">
        <f t="shared" si="2"/>
        <v>3750</v>
      </c>
      <c r="F37">
        <f t="shared" si="2"/>
        <v>3750</v>
      </c>
      <c r="G37">
        <f>SUM(D37:F37)</f>
        <v>11250</v>
      </c>
      <c r="J37" t="s">
        <v>169</v>
      </c>
    </row>
    <row r="38" spans="1:18">
      <c r="B38" s="105" t="s">
        <v>98</v>
      </c>
      <c r="J38" t="s">
        <v>4</v>
      </c>
      <c r="K38">
        <v>15</v>
      </c>
    </row>
    <row r="39" spans="1:18">
      <c r="J39" t="s">
        <v>113</v>
      </c>
      <c r="K39">
        <v>250</v>
      </c>
    </row>
    <row r="40" spans="1:18">
      <c r="L40" s="68"/>
      <c r="M40" s="70"/>
      <c r="N40" s="70"/>
      <c r="O40" s="70"/>
      <c r="P40" s="70"/>
      <c r="R40" s="83"/>
    </row>
    <row r="41" spans="1:18" ht="16.5" thickBot="1"/>
    <row r="42" spans="1:18" ht="16.5" thickBot="1">
      <c r="A42" s="124" t="s">
        <v>170</v>
      </c>
      <c r="B42" s="124"/>
      <c r="C42" s="134">
        <f>SUM(C35:C41)</f>
        <v>0</v>
      </c>
      <c r="D42" s="134">
        <f t="shared" ref="D42:G42" si="3">SUM(D35:D41)</f>
        <v>16250</v>
      </c>
      <c r="E42" s="134">
        <f t="shared" si="3"/>
        <v>16250</v>
      </c>
      <c r="F42" s="134">
        <f>SUM(F35:F41)</f>
        <v>16250</v>
      </c>
      <c r="G42" s="134">
        <f t="shared" si="3"/>
        <v>48750</v>
      </c>
      <c r="J42" t="s">
        <v>187</v>
      </c>
    </row>
    <row r="43" spans="1:18">
      <c r="H43" s="90"/>
    </row>
    <row r="44" spans="1:18">
      <c r="A44" s="170" t="s">
        <v>105</v>
      </c>
      <c r="D44" s="88"/>
      <c r="E44" s="88"/>
      <c r="F44" s="88"/>
      <c r="G44" s="88"/>
      <c r="H44" s="90"/>
      <c r="J44" s="84" t="s">
        <v>76</v>
      </c>
    </row>
    <row r="45" spans="1:18">
      <c r="A45" s="105" t="s">
        <v>104</v>
      </c>
      <c r="C45">
        <v>5000</v>
      </c>
      <c r="D45">
        <v>5000</v>
      </c>
      <c r="E45">
        <v>5000</v>
      </c>
      <c r="F45">
        <v>5000</v>
      </c>
      <c r="G45" s="102">
        <f>SUM(B45:F45)</f>
        <v>20000</v>
      </c>
      <c r="H45" s="90"/>
      <c r="J45" t="s">
        <v>71</v>
      </c>
      <c r="K45">
        <v>3</v>
      </c>
    </row>
    <row r="46" spans="1:18">
      <c r="A46" s="105" t="s">
        <v>134</v>
      </c>
      <c r="D46" s="88"/>
      <c r="E46" s="102"/>
      <c r="F46" s="102">
        <v>5000</v>
      </c>
      <c r="G46" s="102">
        <f t="shared" ref="G46:G49" si="4">SUM(B46:F46)</f>
        <v>5000</v>
      </c>
      <c r="H46" s="90"/>
      <c r="J46" t="s">
        <v>131</v>
      </c>
      <c r="K46">
        <v>5000</v>
      </c>
    </row>
    <row r="47" spans="1:18">
      <c r="A47" s="1" t="s">
        <v>135</v>
      </c>
      <c r="C47">
        <f>K45*K46</f>
        <v>15000</v>
      </c>
      <c r="D47">
        <f>C47</f>
        <v>15000</v>
      </c>
      <c r="E47">
        <f>D47</f>
        <v>15000</v>
      </c>
      <c r="F47">
        <f>E47</f>
        <v>15000</v>
      </c>
      <c r="G47" s="102">
        <f t="shared" si="4"/>
        <v>60000</v>
      </c>
      <c r="H47" s="90"/>
      <c r="J47" t="s">
        <v>188</v>
      </c>
    </row>
    <row r="48" spans="1:18">
      <c r="A48" s="1" t="s">
        <v>136</v>
      </c>
      <c r="C48">
        <v>5000</v>
      </c>
      <c r="D48" s="102"/>
      <c r="E48" s="102"/>
      <c r="F48" s="102"/>
      <c r="G48" s="102">
        <f t="shared" si="4"/>
        <v>5000</v>
      </c>
      <c r="H48" s="90"/>
      <c r="J48" t="s">
        <v>189</v>
      </c>
    </row>
    <row r="49" spans="1:7">
      <c r="A49" s="1" t="s">
        <v>137</v>
      </c>
      <c r="C49">
        <v>5000</v>
      </c>
      <c r="D49" s="88"/>
      <c r="E49" s="102"/>
      <c r="F49" s="102"/>
      <c r="G49" s="102">
        <f t="shared" si="4"/>
        <v>5000</v>
      </c>
    </row>
    <row r="51" spans="1:7">
      <c r="A51" s="54" t="s">
        <v>106</v>
      </c>
      <c r="C51" s="50">
        <f>C49+C48+C47+C46+C45+C42+C31+C13+C9+C5</f>
        <v>77493.102320000005</v>
      </c>
      <c r="D51" s="50">
        <f>D49+D48+D47+D46+D45+D42+D31+D13+D9+D5</f>
        <v>85036.43538960001</v>
      </c>
      <c r="E51" s="50">
        <f>E49+E48+E47+E46+E45+E42+E31+E13+E9+E5</f>
        <v>89010.568451288011</v>
      </c>
      <c r="F51" s="50">
        <f>F49+F48+F47+F46+F45+F42+F31+F13+F9+F5</f>
        <v>95382.66550482664</v>
      </c>
      <c r="G51" s="50">
        <f>G49+G48+G47+G46+G45+G42+G31+G13+G9+G5</f>
        <v>346922.77166571462</v>
      </c>
    </row>
    <row r="52" spans="1:7">
      <c r="A52" s="1" t="s">
        <v>190</v>
      </c>
      <c r="C52" s="50">
        <f>C5+C9+C13</f>
        <v>43111.102319999998</v>
      </c>
      <c r="D52" s="50">
        <f>D5+D9+D13</f>
        <v>44404.43538960001</v>
      </c>
      <c r="E52" s="50">
        <f>E5+E9+E13</f>
        <v>45736.568451288011</v>
      </c>
      <c r="F52" s="50">
        <f>F5+F9+F13</f>
        <v>47108.665504826655</v>
      </c>
      <c r="G52" s="50">
        <f>G5+G9+G13</f>
        <v>180360.77166571465</v>
      </c>
    </row>
    <row r="53" spans="1:7" ht="16.5" thickBot="1">
      <c r="A53" s="54" t="s">
        <v>107</v>
      </c>
      <c r="B53" t="s">
        <v>201</v>
      </c>
      <c r="C53" s="50">
        <f>C52*0.2627</f>
        <v>11325.286579463998</v>
      </c>
      <c r="D53" s="50">
        <f t="shared" ref="D53:G53" si="5">D52*0.2627</f>
        <v>11665.045176847922</v>
      </c>
      <c r="E53" s="50">
        <f t="shared" si="5"/>
        <v>12014.99653215336</v>
      </c>
      <c r="F53" s="50">
        <f t="shared" si="5"/>
        <v>12375.446428117963</v>
      </c>
      <c r="G53" s="50">
        <f t="shared" si="5"/>
        <v>47380.774716583241</v>
      </c>
    </row>
    <row r="54" spans="1:7" ht="16.5" thickBot="1">
      <c r="A54" s="120" t="s">
        <v>108</v>
      </c>
      <c r="B54" s="26"/>
      <c r="C54" s="51">
        <f>C53+C51</f>
        <v>88818.388899464</v>
      </c>
      <c r="D54" s="51">
        <f>D53+D51</f>
        <v>96701.480566447935</v>
      </c>
      <c r="E54" s="51">
        <f>E53+E51</f>
        <v>101025.56498344138</v>
      </c>
      <c r="F54" s="51">
        <f>F53+F51</f>
        <v>107758.11193294461</v>
      </c>
      <c r="G54" s="51">
        <f>SUM(C54:F54)</f>
        <v>394303.54638229794</v>
      </c>
    </row>
    <row r="55" spans="1:7">
      <c r="C55" s="155"/>
    </row>
  </sheetData>
  <pageMargins left="0.7" right="0.7" top="0.75" bottom="0.75" header="0.3" footer="0.3"/>
  <pageSetup scale="33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Organized by category</vt:lpstr>
      <vt:lpstr>Fastlane</vt:lpstr>
      <vt:lpstr>Hourly Rates</vt:lpstr>
      <vt:lpstr>Tuition and Fees</vt:lpstr>
      <vt:lpstr>UI Team Travel</vt:lpstr>
      <vt:lpstr>Coeur d'Alene Site Budget</vt:lpstr>
      <vt:lpstr>Nez Perce Site Budget</vt:lpstr>
      <vt:lpstr>San Carlos Apache Site budget</vt:lpstr>
      <vt:lpstr>Sho-Ban Budget</vt:lpstr>
      <vt:lpstr>'Nez Perce Site Budget'!Print_Area</vt:lpstr>
      <vt:lpstr>'Organized by category'!Print_Area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Eitel</dc:creator>
  <cp:lastModifiedBy>Eric Everett</cp:lastModifiedBy>
  <cp:lastPrinted>2021-09-29T18:47:33Z</cp:lastPrinted>
  <dcterms:created xsi:type="dcterms:W3CDTF">2019-03-06T02:12:37Z</dcterms:created>
  <dcterms:modified xsi:type="dcterms:W3CDTF">2021-10-05T18:16:16Z</dcterms:modified>
</cp:coreProperties>
</file>