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ate1904="1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jgrimes_uidaho_edu/Documents/PIs/Tranmer/V220561 NSF Vegetation-forced bars 07-2022/"/>
    </mc:Choice>
  </mc:AlternateContent>
  <xr:revisionPtr revIDLastSave="48" documentId="8_{F80DC018-8DAD-4782-AFA8-D8C825F2EE2F}" xr6:coauthVersionLast="47" xr6:coauthVersionMax="47" xr10:uidLastSave="{CC0D3863-2604-4738-BEC7-CE2E1D689C6D}"/>
  <bookViews>
    <workbookView xWindow="-120" yWindow="-120" windowWidth="29040" windowHeight="15840" tabRatio="500" xr2:uid="{00000000-000D-0000-FFFF-FFFF00000000}"/>
  </bookViews>
  <sheets>
    <sheet name="UI AY20-21 SF424 5 year budget" sheetId="4" r:id="rId1"/>
    <sheet name="Breakdown of costs" sheetId="5" r:id="rId2"/>
  </sheets>
  <definedNames>
    <definedName name="_xlnm.Print_Area" localSheetId="0">'UI AY20-21 SF424 5 year budget'!$B$1:$I$66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4" l="1"/>
  <c r="N15" i="4"/>
  <c r="M15" i="4"/>
  <c r="O14" i="4"/>
  <c r="N14" i="4"/>
  <c r="M14" i="4"/>
  <c r="O13" i="4"/>
  <c r="N13" i="4"/>
  <c r="M13" i="4"/>
  <c r="O12" i="4"/>
  <c r="N12" i="4"/>
  <c r="M12" i="4"/>
  <c r="D44" i="5"/>
  <c r="C44" i="5"/>
  <c r="E44" i="5" s="1"/>
  <c r="C38" i="5"/>
  <c r="G53" i="4"/>
  <c r="F53" i="4"/>
  <c r="E53" i="4"/>
  <c r="I52" i="4"/>
  <c r="G52" i="4"/>
  <c r="F52" i="4"/>
  <c r="E43" i="5"/>
  <c r="D38" i="5"/>
  <c r="F14" i="4"/>
  <c r="E14" i="4"/>
  <c r="P25" i="4"/>
  <c r="P24" i="4"/>
  <c r="N10" i="4"/>
  <c r="M10" i="4"/>
  <c r="N37" i="4" l="1"/>
  <c r="N38" i="4" s="1"/>
  <c r="M37" i="4"/>
  <c r="M38" i="4" s="1"/>
  <c r="O37" i="4"/>
  <c r="O38" i="4" s="1"/>
  <c r="P38" i="4" s="1"/>
  <c r="I53" i="4"/>
  <c r="D24" i="5"/>
  <c r="C24" i="5"/>
  <c r="E19" i="5"/>
  <c r="I40" i="4"/>
  <c r="B38" i="5"/>
  <c r="E38" i="5" l="1"/>
  <c r="E41" i="5" l="1"/>
  <c r="I39" i="4"/>
  <c r="B76" i="5"/>
  <c r="B42" i="5"/>
  <c r="E51" i="4" s="1"/>
  <c r="F23" i="4"/>
  <c r="B15" i="5"/>
  <c r="G24" i="4"/>
  <c r="F24" i="4"/>
  <c r="E15" i="4"/>
  <c r="E24" i="4" s="1"/>
  <c r="C27" i="5"/>
  <c r="B16" i="5"/>
  <c r="E13" i="4"/>
  <c r="E23" i="4"/>
  <c r="N33" i="4"/>
  <c r="O33" i="4" s="1"/>
  <c r="P32" i="4"/>
  <c r="P31" i="4"/>
  <c r="P30" i="4"/>
  <c r="P29" i="4"/>
  <c r="P28" i="4"/>
  <c r="P35" i="4"/>
  <c r="P34" i="4"/>
  <c r="P23" i="4"/>
  <c r="P19" i="4"/>
  <c r="P18" i="4"/>
  <c r="M9" i="4"/>
  <c r="M8" i="4"/>
  <c r="M7" i="4"/>
  <c r="F13" i="4"/>
  <c r="U6" i="4"/>
  <c r="W6" i="4" s="1"/>
  <c r="B54" i="5"/>
  <c r="B73" i="5"/>
  <c r="C73" i="5" s="1"/>
  <c r="B47" i="5"/>
  <c r="B52" i="5" s="1"/>
  <c r="C28" i="5"/>
  <c r="D27" i="5"/>
  <c r="D26" i="5"/>
  <c r="C26" i="5"/>
  <c r="B11" i="5"/>
  <c r="B14" i="5"/>
  <c r="E12" i="4"/>
  <c r="E21" i="4" s="1"/>
  <c r="E7" i="4"/>
  <c r="J3" i="5"/>
  <c r="I3" i="5"/>
  <c r="H3" i="5"/>
  <c r="E22" i="4" l="1"/>
  <c r="M2" i="4"/>
  <c r="G13" i="4"/>
  <c r="N2" i="4"/>
  <c r="P8" i="4"/>
  <c r="P13" i="4"/>
  <c r="N7" i="4"/>
  <c r="N9" i="4"/>
  <c r="I13" i="4"/>
  <c r="E42" i="5"/>
  <c r="P15" i="4"/>
  <c r="P33" i="4"/>
  <c r="I24" i="4"/>
  <c r="E50" i="4"/>
  <c r="G22" i="4" l="1"/>
  <c r="O2" i="4"/>
  <c r="O9" i="4"/>
  <c r="O7" i="4"/>
  <c r="P9" i="4"/>
  <c r="P14" i="4"/>
  <c r="F48" i="4"/>
  <c r="G48" i="4"/>
  <c r="E48" i="4"/>
  <c r="E40" i="5"/>
  <c r="C18" i="5"/>
  <c r="B18" i="5"/>
  <c r="B20" i="5" s="1"/>
  <c r="D18" i="5"/>
  <c r="B65" i="5"/>
  <c r="P7" i="4" l="1"/>
  <c r="E33" i="4"/>
  <c r="N39" i="4"/>
  <c r="N40" i="4" s="1"/>
  <c r="B66" i="5"/>
  <c r="B67" i="5" s="1"/>
  <c r="B68" i="5"/>
  <c r="B69" i="5" s="1"/>
  <c r="B72" i="5"/>
  <c r="C72" i="5" s="1"/>
  <c r="C6" i="5"/>
  <c r="F7" i="4"/>
  <c r="G7" i="4" s="1"/>
  <c r="G20" i="4" s="1"/>
  <c r="Q15" i="4" l="1"/>
  <c r="P12" i="4"/>
  <c r="M39" i="4"/>
  <c r="D6" i="5"/>
  <c r="C74" i="5"/>
  <c r="P37" i="4" l="1"/>
  <c r="M40" i="4"/>
  <c r="F47" i="4"/>
  <c r="G47" i="4"/>
  <c r="D28" i="5"/>
  <c r="O39" i="4" l="1"/>
  <c r="B29" i="5"/>
  <c r="C8" i="5"/>
  <c r="C11" i="5" s="1"/>
  <c r="C20" i="5" s="1"/>
  <c r="F33" i="4" s="1"/>
  <c r="O40" i="4" l="1"/>
  <c r="P40" i="4" s="1"/>
  <c r="P39" i="4"/>
  <c r="B31" i="5"/>
  <c r="E34" i="4"/>
  <c r="D29" i="5"/>
  <c r="C29" i="5"/>
  <c r="E29" i="5" s="1"/>
  <c r="D8" i="5"/>
  <c r="D5" i="5"/>
  <c r="D4" i="5"/>
  <c r="C31" i="5" l="1"/>
  <c r="F34" i="4"/>
  <c r="E35" i="4"/>
  <c r="G34" i="4"/>
  <c r="D11" i="5"/>
  <c r="D20" i="5" s="1"/>
  <c r="G33" i="4" s="1"/>
  <c r="D31" i="5" l="1"/>
  <c r="E31" i="5" s="1"/>
  <c r="E20" i="5"/>
  <c r="H17" i="4"/>
  <c r="G17" i="4"/>
  <c r="F17" i="4"/>
  <c r="E17" i="4"/>
  <c r="I17" i="4" l="1"/>
  <c r="I8" i="4"/>
  <c r="I7" i="4"/>
  <c r="U10" i="4"/>
  <c r="W10" i="4" s="1"/>
  <c r="U7" i="4"/>
  <c r="W7" i="4" s="1"/>
  <c r="H30" i="4"/>
  <c r="G30" i="4"/>
  <c r="F30" i="4"/>
  <c r="E30" i="4"/>
  <c r="I29" i="4"/>
  <c r="I28" i="4"/>
  <c r="I49" i="4"/>
  <c r="I14" i="4"/>
  <c r="I12" i="4"/>
  <c r="I10" i="4"/>
  <c r="I9" i="4"/>
  <c r="G21" i="4"/>
  <c r="E20" i="4"/>
  <c r="I59" i="4"/>
  <c r="I58" i="4"/>
  <c r="I51" i="4"/>
  <c r="I50" i="4"/>
  <c r="I48" i="4"/>
  <c r="H60" i="4"/>
  <c r="G60" i="4"/>
  <c r="F60" i="4"/>
  <c r="E60" i="4"/>
  <c r="H55" i="4"/>
  <c r="H35" i="4"/>
  <c r="G35" i="4"/>
  <c r="F35" i="4"/>
  <c r="I33" i="4"/>
  <c r="I34" i="4"/>
  <c r="I38" i="4"/>
  <c r="F22" i="4" l="1"/>
  <c r="H20" i="4"/>
  <c r="F20" i="4"/>
  <c r="I30" i="4"/>
  <c r="G23" i="4"/>
  <c r="H23" i="4"/>
  <c r="I60" i="4"/>
  <c r="W8" i="4"/>
  <c r="E54" i="4" s="1"/>
  <c r="I35" i="4"/>
  <c r="H21" i="4"/>
  <c r="F21" i="4"/>
  <c r="I23" i="4" l="1"/>
  <c r="F54" i="4"/>
  <c r="E25" i="4"/>
  <c r="I20" i="4"/>
  <c r="G25" i="4"/>
  <c r="F25" i="4"/>
  <c r="I21" i="4"/>
  <c r="G54" i="4" l="1"/>
  <c r="I54" i="4"/>
  <c r="H22" i="4"/>
  <c r="H25" i="4" s="1"/>
  <c r="I22" i="4" l="1"/>
  <c r="I25" i="4" s="1"/>
  <c r="J25" i="4" s="1"/>
  <c r="E47" i="4" l="1"/>
  <c r="E52" i="5" l="1"/>
  <c r="I47" i="4" l="1"/>
  <c r="P10" i="4" l="1"/>
  <c r="C59" i="5" l="1"/>
  <c r="F46" i="4" s="1"/>
  <c r="F55" i="4" s="1"/>
  <c r="D59" i="5"/>
  <c r="G46" i="4" s="1"/>
  <c r="G55" i="4" s="1"/>
  <c r="B59" i="5"/>
  <c r="E59" i="5" s="1"/>
  <c r="E46" i="4" l="1"/>
  <c r="E55" i="4" s="1"/>
  <c r="I46" i="4" l="1"/>
  <c r="I55" i="4" s="1"/>
  <c r="E43" i="4" l="1"/>
  <c r="E63" i="4"/>
  <c r="E64" i="4" s="1"/>
  <c r="G43" i="4"/>
  <c r="G63" i="4" s="1"/>
  <c r="F43" i="4"/>
  <c r="F63" i="4" s="1"/>
  <c r="F64" i="4" s="1"/>
  <c r="F65" i="4" s="1"/>
  <c r="I43" i="4"/>
  <c r="H43" i="4"/>
  <c r="H63" i="4" s="1"/>
  <c r="H64" i="4" s="1"/>
  <c r="H65" i="4" s="1"/>
  <c r="E65" i="4" l="1"/>
  <c r="G64" i="4"/>
  <c r="G65" i="4" s="1"/>
  <c r="G66" i="4" s="1"/>
  <c r="H66" i="4"/>
  <c r="I63" i="4"/>
  <c r="E66" i="4"/>
  <c r="F66" i="4"/>
  <c r="I66" i="4" l="1"/>
  <c r="I65" i="4"/>
  <c r="I6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Grimes, John (jgrimes@uidaho.edu)</author>
  </authors>
  <commentList>
    <comment ref="D20" authorId="0" shapeId="0" xr:uid="{C7B7F8A4-47E9-454E-81C4-A3AB38F5C058}">
      <text>
        <r>
          <rPr>
            <sz val="9"/>
            <color indexed="81"/>
            <rFont val="Tahoma"/>
            <family val="2"/>
          </rPr>
          <t xml:space="preserve">Temporarily, we have to use last year's fringe rates.  The 2022 rates were never approved by the fed.  </t>
        </r>
      </text>
    </comment>
  </commentList>
</comments>
</file>

<file path=xl/sharedStrings.xml><?xml version="1.0" encoding="utf-8"?>
<sst xmlns="http://schemas.openxmlformats.org/spreadsheetml/2006/main" count="202" uniqueCount="179">
  <si>
    <t>Subtotal</t>
    <phoneticPr fontId="3" type="noConversion"/>
  </si>
  <si>
    <t>Fringe</t>
    <phoneticPr fontId="3" type="noConversion"/>
  </si>
  <si>
    <t>Total</t>
    <phoneticPr fontId="3" type="noConversion"/>
  </si>
  <si>
    <t>Subtotal</t>
  </si>
  <si>
    <t>Total Project Cost</t>
  </si>
  <si>
    <t>Total Direct Cost</t>
  </si>
  <si>
    <t>Modified Total Direct Costs</t>
  </si>
  <si>
    <t>Title:</t>
  </si>
  <si>
    <t>Funding source:</t>
  </si>
  <si>
    <t>Units</t>
  </si>
  <si>
    <t>Publication costs</t>
  </si>
  <si>
    <t>Tuition per semester</t>
  </si>
  <si>
    <t>notes</t>
  </si>
  <si>
    <t>$ per Year</t>
  </si>
  <si>
    <t>Domestic</t>
  </si>
  <si>
    <t>International</t>
  </si>
  <si>
    <t>Computer services</t>
  </si>
  <si>
    <t>&lt;$5K small equipment</t>
  </si>
  <si>
    <t>Y1</t>
  </si>
  <si>
    <t>Y2</t>
  </si>
  <si>
    <t>Y3</t>
  </si>
  <si>
    <t>Y4</t>
  </si>
  <si>
    <t>Project Start and End Dates:</t>
  </si>
  <si>
    <t>Consortia/Subawards</t>
  </si>
  <si>
    <t>Materials and supplies</t>
  </si>
  <si>
    <t xml:space="preserve">Subtotal </t>
  </si>
  <si>
    <t>Summary</t>
  </si>
  <si>
    <t>Other personnel</t>
  </si>
  <si>
    <t>Software</t>
  </si>
  <si>
    <t>Students in AY year</t>
  </si>
  <si>
    <t>Personnel Compensation</t>
  </si>
  <si>
    <t>Total T&amp;I for 1 GS, Academic year only @ AY19-20 rates</t>
  </si>
  <si>
    <t>Hours</t>
  </si>
  <si>
    <t>PI</t>
  </si>
  <si>
    <t>Hourly rate at start date</t>
  </si>
  <si>
    <t>UI proffesional staff &amp; Post Docs</t>
  </si>
  <si>
    <t>Grad Student Tuition, Fees &amp; Health Insurance</t>
  </si>
  <si>
    <t>Participant support costs</t>
  </si>
  <si>
    <t>Travel</t>
  </si>
  <si>
    <t>Other Direct Costs</t>
  </si>
  <si>
    <t>Equipment &gt;$5000.00</t>
  </si>
  <si>
    <t>Insurance per sem.</t>
  </si>
  <si>
    <t>AY 20-21 UI Grad student tuition &amp; insurance (estimated)</t>
  </si>
  <si>
    <t>Single course credit</t>
  </si>
  <si>
    <t>Temp Help</t>
  </si>
  <si>
    <t>NSF</t>
  </si>
  <si>
    <t>Tranmer</t>
  </si>
  <si>
    <t>PI Tranmer</t>
  </si>
  <si>
    <t>Korea Trips</t>
  </si>
  <si>
    <t>5% COLA Y2&amp;Y3</t>
  </si>
  <si>
    <t>Temp Help (Undergrad)</t>
  </si>
  <si>
    <t>Domestic conference fees/PI</t>
  </si>
  <si>
    <t>Domestic conference fees/student</t>
  </si>
  <si>
    <t>Conference hotel/person</t>
  </si>
  <si>
    <t>conference flight/person</t>
  </si>
  <si>
    <t>Conference per diem/person</t>
  </si>
  <si>
    <t>PI/conference</t>
  </si>
  <si>
    <t>student/conference</t>
  </si>
  <si>
    <t>Total conference</t>
  </si>
  <si>
    <t>Equipment &lt;$5K</t>
  </si>
  <si>
    <t>Publication fees</t>
  </si>
  <si>
    <t>Domestic Field Work</t>
  </si>
  <si>
    <t>Field vehicle ($/day)</t>
  </si>
  <si>
    <t>Fuel</t>
  </si>
  <si>
    <t>estimate of fuel cost</t>
  </si>
  <si>
    <t>AirBnB/Hotel in Seoul</t>
  </si>
  <si>
    <t>https://aoprals.state.gov/web920/per_diem_action.asp?MenuHide=1&amp;CountryCode=1129</t>
  </si>
  <si>
    <t>international per diem</t>
  </si>
  <si>
    <t>TR2 Bedload sampler fabrication</t>
  </si>
  <si>
    <t>Total international</t>
  </si>
  <si>
    <t>Total Travel</t>
  </si>
  <si>
    <t>CoPIs:  N/A</t>
  </si>
  <si>
    <t>Perdiem in Andong ($30/d)</t>
  </si>
  <si>
    <t>AGU Conference</t>
  </si>
  <si>
    <t>Internal Korea Transport</t>
  </si>
  <si>
    <t>SSD Hard drives for data storage</t>
  </si>
  <si>
    <t>N/A</t>
  </si>
  <si>
    <t>2 Gravelometers</t>
  </si>
  <si>
    <t>Laser rangefinder</t>
  </si>
  <si>
    <t>Field suppplies</t>
  </si>
  <si>
    <t>wks in 9 mo appt</t>
  </si>
  <si>
    <t>hours in 20%</t>
  </si>
  <si>
    <t>Person months</t>
  </si>
  <si>
    <t>Total hours in 9 mo appt</t>
  </si>
  <si>
    <t>semester hours</t>
  </si>
  <si>
    <t>summer hours</t>
  </si>
  <si>
    <t>Extra baggage charges</t>
  </si>
  <si>
    <t>20.5% of 9 mo appt</t>
  </si>
  <si>
    <t>PI Salary Calcs</t>
  </si>
  <si>
    <t>PhD Salary Calcs</t>
  </si>
  <si>
    <t>Agisoft SfM software</t>
  </si>
  <si>
    <t>Characterizing the physical drivers of vegetation-forced bar evolution in gravel-bed streams</t>
  </si>
  <si>
    <t>hourly</t>
  </si>
  <si>
    <t>PP</t>
  </si>
  <si>
    <t>Monthly</t>
  </si>
  <si>
    <t>Yearly</t>
  </si>
  <si>
    <t>25 field days of vehicle rental</t>
  </si>
  <si>
    <t>Hotel in field</t>
  </si>
  <si>
    <t>Science Teacher Stipend</t>
  </si>
  <si>
    <t>Research Supplies</t>
  </si>
  <si>
    <t>Waders+boots</t>
  </si>
  <si>
    <t>Outreach supplies for 20 kids</t>
  </si>
  <si>
    <t>Transport + Hotel for Laurel</t>
  </si>
  <si>
    <t>estimated @ 5% over AY20-21</t>
  </si>
  <si>
    <t>Full year+ 1 summer credit b/c international student</t>
  </si>
  <si>
    <t>8 weeks in Andong for experiments w/ 4 people</t>
  </si>
  <si>
    <t>Lab Engineer (Basham)</t>
  </si>
  <si>
    <t>FY22 Fringe Rates</t>
  </si>
  <si>
    <t>6/1/2023 - 5/31/2026</t>
  </si>
  <si>
    <t>Total Domestic</t>
  </si>
  <si>
    <t>Gas and hotel for Laurel to bring MEWL from Moscow</t>
  </si>
  <si>
    <t>Facilities use fees</t>
  </si>
  <si>
    <t>CER flume charges</t>
  </si>
  <si>
    <t xml:space="preserve">3% COLA Y2 &amp; Y3; </t>
  </si>
  <si>
    <t>False flume floor</t>
  </si>
  <si>
    <t>Undergrad help with sieving</t>
  </si>
  <si>
    <t>plywood and 2x4s</t>
  </si>
  <si>
    <t>sediment and delivery costs</t>
  </si>
  <si>
    <t>12 weeks for CER experiments</t>
  </si>
  <si>
    <t>Flume sediment costs</t>
  </si>
  <si>
    <t>Indirect Costs @50%</t>
  </si>
  <si>
    <t>International Lab Work + conference</t>
  </si>
  <si>
    <t>Bus rental to get kids to river</t>
  </si>
  <si>
    <t>JG review, 7/5/2022</t>
  </si>
  <si>
    <t>Total</t>
  </si>
  <si>
    <t>PI sal</t>
  </si>
  <si>
    <t>Lab Engr sal</t>
  </si>
  <si>
    <t>3% COLA</t>
  </si>
  <si>
    <t>5% COLA</t>
  </si>
  <si>
    <t>GRA sal</t>
  </si>
  <si>
    <t>Dom</t>
  </si>
  <si>
    <t>Int</t>
  </si>
  <si>
    <t>Participant Support</t>
  </si>
  <si>
    <t>Camp scholarships</t>
  </si>
  <si>
    <t>Science Teacher stipend</t>
  </si>
  <si>
    <t>Science Teacher asst. stipend</t>
  </si>
  <si>
    <t>Other direct costs</t>
  </si>
  <si>
    <t>M&amp;S</t>
  </si>
  <si>
    <t>&lt;$5K small EQ</t>
  </si>
  <si>
    <t>Pubs</t>
  </si>
  <si>
    <t>Faciltiies use fee</t>
  </si>
  <si>
    <t>GRA T&amp;B</t>
  </si>
  <si>
    <t>10% COLA</t>
  </si>
  <si>
    <t>Total Direct Costs</t>
  </si>
  <si>
    <t>MTDC base</t>
  </si>
  <si>
    <t>F&amp;A @ 50.0%</t>
  </si>
  <si>
    <t>Teacher assistant stipend</t>
  </si>
  <si>
    <t>2 full days of sieving for each of 6 experiments at $15/hr</t>
  </si>
  <si>
    <t>Needed to handle SfM software</t>
  </si>
  <si>
    <t>streamtable sediment + pump</t>
  </si>
  <si>
    <t>hotels six days</t>
  </si>
  <si>
    <t>per diem ($59/d)</t>
  </si>
  <si>
    <t>5 wks fieldwork for REU</t>
  </si>
  <si>
    <t>Participant Support Costs</t>
  </si>
  <si>
    <t>$500/week flume user fee</t>
  </si>
  <si>
    <t>Total fieldwork</t>
  </si>
  <si>
    <t>REU Salary Calcs</t>
  </si>
  <si>
    <t>$45/kid for notebooks, identification guides</t>
  </si>
  <si>
    <t>Total Materials and supplies</t>
  </si>
  <si>
    <t>Assistant for camp instruction</t>
  </si>
  <si>
    <t>Computers for PhD student and PI (2)</t>
  </si>
  <si>
    <t>Bus transport kids to field site</t>
  </si>
  <si>
    <t>8th grade teacher to help in field and develop camp curriculum 5 wks</t>
  </si>
  <si>
    <t>Flights to Incheon (2800/person)</t>
  </si>
  <si>
    <t>fabricate field tank</t>
  </si>
  <si>
    <t>Yr1 is 5 wks fieldwork and 5 wks flume work, Yr2 is 8 wks Korea</t>
  </si>
  <si>
    <t>TH Ugrad (2)</t>
  </si>
  <si>
    <t>participant transporation</t>
  </si>
  <si>
    <t>participant supplies</t>
  </si>
  <si>
    <r>
      <rPr>
        <sz val="11"/>
        <color rgb="FFFF0000"/>
        <rFont val="Arial"/>
        <family val="2"/>
      </rPr>
      <t xml:space="preserve">GRA </t>
    </r>
    <r>
      <rPr>
        <sz val="11"/>
        <rFont val="Arial"/>
        <family val="2"/>
      </rPr>
      <t>in AY year</t>
    </r>
  </si>
  <si>
    <t>AGU and fieldwork and Laurel</t>
  </si>
  <si>
    <t>two open source articles (GRL or similar)</t>
  </si>
  <si>
    <t>Camp Participant Stipends</t>
  </si>
  <si>
    <t>Bus transport for kids fieldtrips</t>
  </si>
  <si>
    <t>Camp stipends for  kids</t>
  </si>
  <si>
    <t>PI Fr @ 30.1%</t>
  </si>
  <si>
    <t>Lab Engr Fr @ 42.0%</t>
  </si>
  <si>
    <t>GRA Fr @ 3.6%</t>
  </si>
  <si>
    <t>TH Ugrad @ 3.6%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</si>
</sst>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(* #,##0_);_(* \(#,##0\);_(* &quot;-&quot;??_);_(@_)"/>
    <numFmt numFmtId="166" formatCode="&quot;$&quot;#,##0;[Red]&quot;$&quot;#,##0"/>
    <numFmt numFmtId="167" formatCode="0.0%"/>
    <numFmt numFmtId="168" formatCode="_-&quot;$&quot;* #,##0.00_-;\-&quot;$&quot;* #,##0.00_-;_-&quot;$&quot;* &quot;-&quot;_-;_-@_-"/>
  </numFmts>
  <fonts count="27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indexed="12"/>
      <name val="Verdana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1"/>
      <color indexed="12"/>
      <name val="Verdana"/>
      <family val="2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  <font>
      <sz val="10"/>
      <color theme="1"/>
      <name val="Arial"/>
      <family val="2"/>
    </font>
    <font>
      <b/>
      <u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9"/>
      <name val="Arial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color rgb="FFFF0000"/>
      <name val="Verdana"/>
      <family val="2"/>
    </font>
    <font>
      <sz val="11"/>
      <color theme="0" tint="-0.14999847407452621"/>
      <name val="Arial"/>
      <family val="2"/>
    </font>
    <font>
      <sz val="9"/>
      <color theme="0" tint="-0.14999847407452621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5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7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5" fillId="0" borderId="0" xfId="0" applyFont="1" applyAlignment="1">
      <alignment horizontal="left" vertical="center" indent="2"/>
    </xf>
    <xf numFmtId="0" fontId="14" fillId="0" borderId="0" xfId="0" applyFont="1" applyAlignment="1">
      <alignment horizontal="left" vertical="center" indent="2"/>
    </xf>
    <xf numFmtId="164" fontId="1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2" borderId="0" xfId="0" applyNumberFormat="1" applyFont="1" applyFill="1" applyAlignment="1">
      <alignment vertical="center"/>
    </xf>
    <xf numFmtId="164" fontId="8" fillId="0" borderId="0" xfId="0" applyNumberFormat="1" applyFont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165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10" fillId="0" borderId="0" xfId="0" applyNumberFormat="1" applyFont="1" applyAlignment="1">
      <alignment vertical="center"/>
    </xf>
    <xf numFmtId="165" fontId="15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44" fontId="9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164" fontId="11" fillId="0" borderId="0" xfId="0" applyNumberFormat="1" applyFont="1" applyAlignment="1">
      <alignment vertical="center"/>
    </xf>
    <xf numFmtId="4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center"/>
    </xf>
    <xf numFmtId="43" fontId="5" fillId="0" borderId="0" xfId="1" applyFont="1" applyFill="1" applyAlignment="1">
      <alignment vertical="center"/>
    </xf>
    <xf numFmtId="43" fontId="14" fillId="0" borderId="0" xfId="1" applyFont="1" applyFill="1" applyAlignment="1">
      <alignment vertical="center"/>
    </xf>
    <xf numFmtId="43" fontId="5" fillId="2" borderId="0" xfId="1" applyFont="1" applyFill="1" applyAlignment="1">
      <alignment vertical="center"/>
    </xf>
    <xf numFmtId="43" fontId="6" fillId="0" borderId="0" xfId="1" applyFont="1" applyFill="1" applyAlignment="1">
      <alignment vertical="center"/>
    </xf>
    <xf numFmtId="0" fontId="8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43" fontId="14" fillId="2" borderId="0" xfId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/>
    <xf numFmtId="164" fontId="5" fillId="2" borderId="0" xfId="0" applyNumberFormat="1" applyFont="1" applyFill="1"/>
    <xf numFmtId="43" fontId="5" fillId="2" borderId="0" xfId="1" applyFont="1" applyFill="1" applyAlignment="1"/>
    <xf numFmtId="165" fontId="5" fillId="0" borderId="0" xfId="1" applyNumberFormat="1" applyFont="1" applyFill="1"/>
    <xf numFmtId="165" fontId="5" fillId="2" borderId="0" xfId="1" applyNumberFormat="1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13" fillId="0" borderId="0" xfId="2" applyFont="1" applyFill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165" fontId="5" fillId="0" borderId="3" xfId="1" applyNumberFormat="1" applyFont="1" applyFill="1" applyBorder="1" applyAlignment="1">
      <alignment vertical="center"/>
    </xf>
    <xf numFmtId="43" fontId="6" fillId="2" borderId="0" xfId="1" applyFont="1" applyFill="1" applyBorder="1" applyAlignment="1">
      <alignment vertical="center"/>
    </xf>
    <xf numFmtId="168" fontId="11" fillId="0" borderId="0" xfId="0" applyNumberFormat="1" applyFont="1" applyAlignment="1">
      <alignment vertical="center"/>
    </xf>
    <xf numFmtId="164" fontId="17" fillId="2" borderId="0" xfId="0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2" fontId="5" fillId="4" borderId="0" xfId="0" applyNumberFormat="1" applyFont="1" applyFill="1" applyAlignment="1">
      <alignment horizontal="center" vertical="center"/>
    </xf>
    <xf numFmtId="164" fontId="18" fillId="4" borderId="0" xfId="0" applyNumberFormat="1" applyFont="1" applyFill="1" applyAlignment="1">
      <alignment vertical="center"/>
    </xf>
    <xf numFmtId="43" fontId="5" fillId="4" borderId="0" xfId="1" applyFont="1" applyFill="1" applyAlignment="1">
      <alignment vertical="center"/>
    </xf>
    <xf numFmtId="167" fontId="6" fillId="0" borderId="2" xfId="3" applyNumberFormat="1" applyFont="1" applyFill="1" applyBorder="1" applyAlignment="1">
      <alignment vertical="center"/>
    </xf>
    <xf numFmtId="43" fontId="6" fillId="0" borderId="2" xfId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1" fillId="0" borderId="0" xfId="0" applyFont="1"/>
    <xf numFmtId="2" fontId="0" fillId="0" borderId="0" xfId="0" applyNumberFormat="1"/>
    <xf numFmtId="0" fontId="23" fillId="0" borderId="0" xfId="0" applyFont="1"/>
    <xf numFmtId="0" fontId="21" fillId="0" borderId="0" xfId="0" applyFont="1" applyAlignment="1">
      <alignment horizontal="center"/>
    </xf>
    <xf numFmtId="1" fontId="9" fillId="0" borderId="0" xfId="1" applyNumberFormat="1" applyFont="1" applyFill="1" applyAlignment="1">
      <alignment horizontal="left" vertical="center"/>
    </xf>
    <xf numFmtId="168" fontId="14" fillId="0" borderId="0" xfId="0" applyNumberFormat="1" applyFont="1" applyAlignment="1">
      <alignment vertical="center"/>
    </xf>
    <xf numFmtId="165" fontId="6" fillId="6" borderId="0" xfId="1" applyNumberFormat="1" applyFont="1" applyFill="1" applyAlignment="1">
      <alignment horizontal="center"/>
    </xf>
    <xf numFmtId="165" fontId="5" fillId="6" borderId="0" xfId="1" applyNumberFormat="1" applyFont="1" applyFill="1" applyAlignment="1">
      <alignment vertical="center"/>
    </xf>
    <xf numFmtId="165" fontId="14" fillId="6" borderId="0" xfId="1" applyNumberFormat="1" applyFont="1" applyFill="1" applyAlignment="1">
      <alignment vertical="center"/>
    </xf>
    <xf numFmtId="165" fontId="15" fillId="0" borderId="0" xfId="1" applyNumberFormat="1" applyFont="1" applyFill="1" applyAlignment="1">
      <alignment vertical="center"/>
    </xf>
    <xf numFmtId="165" fontId="6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right"/>
    </xf>
    <xf numFmtId="165" fontId="1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44" fontId="5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165" fontId="24" fillId="0" borderId="0" xfId="0" applyNumberFormat="1" applyFont="1" applyAlignment="1">
      <alignment vertical="center"/>
    </xf>
    <xf numFmtId="165" fontId="6" fillId="6" borderId="0" xfId="1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/>
    <xf numFmtId="165" fontId="6" fillId="0" borderId="1" xfId="1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165" fontId="21" fillId="0" borderId="0" xfId="1" applyNumberFormat="1" applyFont="1"/>
    <xf numFmtId="165" fontId="1" fillId="0" borderId="0" xfId="1" applyNumberFormat="1" applyFont="1"/>
    <xf numFmtId="165" fontId="23" fillId="0" borderId="0" xfId="1" applyNumberFormat="1" applyFont="1"/>
    <xf numFmtId="0" fontId="18" fillId="0" borderId="0" xfId="0" applyFont="1" applyAlignment="1">
      <alignment vertical="center"/>
    </xf>
    <xf numFmtId="43" fontId="25" fillId="0" borderId="0" xfId="0" applyNumberFormat="1" applyFont="1" applyAlignment="1">
      <alignment horizontal="center" vertical="center"/>
    </xf>
    <xf numFmtId="167" fontId="18" fillId="0" borderId="0" xfId="3" applyNumberFormat="1" applyFont="1" applyFill="1" applyAlignment="1">
      <alignment vertical="center"/>
    </xf>
    <xf numFmtId="0" fontId="5" fillId="0" borderId="0" xfId="0" applyFont="1" applyAlignment="1">
      <alignment horizontal="left" vertical="center" wrapText="1"/>
    </xf>
    <xf numFmtId="0" fontId="0" fillId="0" borderId="0" xfId="0"/>
    <xf numFmtId="14" fontId="5" fillId="0" borderId="2" xfId="0" applyNumberFormat="1" applyFont="1" applyBorder="1" applyAlignment="1">
      <alignment horizontal="left" vertical="center"/>
    </xf>
    <xf numFmtId="0" fontId="19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5" fontId="6" fillId="6" borderId="0" xfId="1" applyNumberFormat="1" applyFont="1" applyFill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68"/>
  <sheetViews>
    <sheetView tabSelected="1" zoomScale="85" zoomScaleNormal="85" zoomScalePageLayoutView="85" workbookViewId="0">
      <selection activeCell="J13" sqref="J13"/>
    </sheetView>
  </sheetViews>
  <sheetFormatPr defaultColWidth="10.5" defaultRowHeight="14.25" x14ac:dyDescent="0.2"/>
  <cols>
    <col min="1" max="1" width="4.75" style="2" customWidth="1"/>
    <col min="2" max="2" width="39.125" style="2" bestFit="1" customWidth="1"/>
    <col min="3" max="3" width="9.5" style="2" customWidth="1"/>
    <col min="4" max="4" width="10.5" style="2" customWidth="1"/>
    <col min="5" max="5" width="11.25" style="2" customWidth="1"/>
    <col min="6" max="6" width="13.75" style="2" bestFit="1" customWidth="1"/>
    <col min="7" max="7" width="11.25" style="2" customWidth="1"/>
    <col min="8" max="8" width="11.25" style="2" hidden="1" customWidth="1"/>
    <col min="9" max="9" width="15.875" style="2" customWidth="1"/>
    <col min="10" max="10" width="33.125" style="23" bestFit="1" customWidth="1"/>
    <col min="11" max="11" width="2.125" style="2" customWidth="1"/>
    <col min="12" max="12" width="18.75" style="85" bestFit="1" customWidth="1"/>
    <col min="13" max="16" width="13" style="52" customWidth="1"/>
    <col min="17" max="18" width="13" style="2" customWidth="1"/>
    <col min="19" max="19" width="33.875" style="2" bestFit="1" customWidth="1"/>
    <col min="20" max="20" width="39.125" style="2" bestFit="1" customWidth="1"/>
    <col min="21" max="21" width="7.5" style="2" customWidth="1"/>
    <col min="22" max="22" width="4.75" style="2" bestFit="1" customWidth="1"/>
    <col min="23" max="23" width="8.625" style="2" bestFit="1" customWidth="1"/>
    <col min="24" max="24" width="10.5" style="2"/>
    <col min="25" max="25" width="10.5" style="2" customWidth="1"/>
    <col min="26" max="29" width="10.5" style="2" hidden="1" customWidth="1"/>
    <col min="30" max="16384" width="10.5" style="2"/>
  </cols>
  <sheetData>
    <row r="1" spans="1:25" ht="33.75" customHeight="1" x14ac:dyDescent="0.2">
      <c r="B1" s="1" t="s">
        <v>7</v>
      </c>
      <c r="C1" s="103" t="s">
        <v>91</v>
      </c>
      <c r="D1" s="103"/>
      <c r="E1" s="103"/>
      <c r="F1" s="103"/>
      <c r="G1" s="103"/>
      <c r="H1" s="103"/>
      <c r="I1" s="103"/>
      <c r="J1" s="104"/>
    </row>
    <row r="2" spans="1:25" s="3" customFormat="1" ht="33.75" customHeight="1" x14ac:dyDescent="0.2">
      <c r="B2" s="1" t="s">
        <v>8</v>
      </c>
      <c r="C2" s="110" t="s">
        <v>45</v>
      </c>
      <c r="D2" s="110"/>
      <c r="E2" s="110"/>
      <c r="F2" s="110"/>
      <c r="G2" s="110"/>
      <c r="H2" s="110"/>
      <c r="I2" s="110"/>
      <c r="J2" s="22"/>
      <c r="L2" s="6"/>
      <c r="M2" s="7">
        <f>SUM(E13:E15)</f>
        <v>35000</v>
      </c>
      <c r="N2" s="7">
        <f t="shared" ref="N2:O2" si="0">SUM(F13:F15)</f>
        <v>32100</v>
      </c>
      <c r="O2" s="7">
        <f t="shared" si="0"/>
        <v>28665</v>
      </c>
      <c r="P2" s="7"/>
      <c r="T2" s="2"/>
      <c r="U2" s="2"/>
      <c r="V2" s="2"/>
      <c r="W2" s="2"/>
    </row>
    <row r="3" spans="1:25" s="3" customFormat="1" ht="33.75" customHeight="1" x14ac:dyDescent="0.2">
      <c r="B3" s="1" t="s">
        <v>33</v>
      </c>
      <c r="C3" s="110" t="s">
        <v>46</v>
      </c>
      <c r="D3" s="110"/>
      <c r="E3" s="111" t="s">
        <v>71</v>
      </c>
      <c r="F3" s="111"/>
      <c r="G3" s="111"/>
      <c r="H3" s="111"/>
      <c r="I3" s="111"/>
      <c r="J3" s="22"/>
      <c r="L3" s="6"/>
      <c r="M3" s="7"/>
      <c r="N3" s="7"/>
      <c r="O3" s="7"/>
      <c r="P3" s="7"/>
      <c r="Y3" s="58"/>
    </row>
    <row r="4" spans="1:25" s="3" customFormat="1" ht="33.75" customHeight="1" x14ac:dyDescent="0.2">
      <c r="B4" s="13" t="s">
        <v>22</v>
      </c>
      <c r="C4" s="105" t="s">
        <v>108</v>
      </c>
      <c r="D4" s="105"/>
      <c r="E4" s="105"/>
      <c r="F4" s="105"/>
      <c r="G4" s="105"/>
      <c r="H4" s="105"/>
      <c r="I4" s="105"/>
      <c r="J4" s="22"/>
      <c r="L4" s="6"/>
      <c r="M4" s="7"/>
      <c r="N4" s="7"/>
      <c r="O4" s="7"/>
      <c r="P4" s="7"/>
      <c r="T4" s="106" t="s">
        <v>42</v>
      </c>
      <c r="U4" s="107"/>
      <c r="V4" s="107"/>
      <c r="W4" s="107"/>
    </row>
    <row r="5" spans="1:25" ht="45.75" customHeight="1" x14ac:dyDescent="0.2">
      <c r="B5" s="10"/>
      <c r="C5" s="10"/>
      <c r="D5" s="11" t="s">
        <v>34</v>
      </c>
      <c r="E5" s="11" t="s">
        <v>18</v>
      </c>
      <c r="F5" s="11" t="s">
        <v>19</v>
      </c>
      <c r="G5" s="11" t="s">
        <v>20</v>
      </c>
      <c r="H5" s="11" t="s">
        <v>21</v>
      </c>
      <c r="I5" s="12" t="s">
        <v>2</v>
      </c>
      <c r="J5" s="11" t="s">
        <v>12</v>
      </c>
      <c r="L5" s="6"/>
      <c r="M5" s="112" t="s">
        <v>123</v>
      </c>
      <c r="N5" s="112"/>
      <c r="O5" s="112"/>
      <c r="P5" s="112"/>
      <c r="Q5" s="3"/>
      <c r="R5" s="3"/>
      <c r="S5"/>
      <c r="T5" s="59"/>
      <c r="U5" s="59"/>
      <c r="V5" s="60" t="s">
        <v>9</v>
      </c>
      <c r="W5" s="59" t="s">
        <v>13</v>
      </c>
      <c r="X5" s="3"/>
      <c r="Y5" s="3"/>
    </row>
    <row r="6" spans="1:25" s="3" customFormat="1" ht="17.100000000000001" customHeight="1" x14ac:dyDescent="0.25">
      <c r="A6" s="21"/>
      <c r="B6" s="45" t="s">
        <v>30</v>
      </c>
      <c r="C6" s="54" t="s">
        <v>32</v>
      </c>
      <c r="D6" s="45"/>
      <c r="E6" s="43"/>
      <c r="F6" s="43"/>
      <c r="G6" s="43"/>
      <c r="H6" s="43"/>
      <c r="I6" s="43"/>
      <c r="J6" s="24"/>
      <c r="L6" s="85"/>
      <c r="M6" s="80" t="s">
        <v>18</v>
      </c>
      <c r="N6" s="80" t="s">
        <v>19</v>
      </c>
      <c r="O6" s="80" t="s">
        <v>20</v>
      </c>
      <c r="P6" s="80" t="s">
        <v>124</v>
      </c>
      <c r="Q6" s="2"/>
      <c r="R6" s="2"/>
      <c r="T6" s="59" t="s">
        <v>11</v>
      </c>
      <c r="U6" s="61">
        <f>4956*1.05</f>
        <v>5203.8</v>
      </c>
      <c r="V6" s="59">
        <v>2</v>
      </c>
      <c r="W6" s="61">
        <f>U6*V6</f>
        <v>10407.6</v>
      </c>
      <c r="X6" s="3" t="s">
        <v>103</v>
      </c>
    </row>
    <row r="7" spans="1:25" s="3" customFormat="1" ht="17.100000000000001" customHeight="1" x14ac:dyDescent="0.2">
      <c r="A7" s="21"/>
      <c r="B7" s="3" t="s">
        <v>47</v>
      </c>
      <c r="C7" s="30">
        <v>320</v>
      </c>
      <c r="D7" s="63">
        <v>53.26</v>
      </c>
      <c r="E7" s="41">
        <f>D7*C7</f>
        <v>17043.2</v>
      </c>
      <c r="F7" s="41">
        <f>E7*1.03</f>
        <v>17554.496000000003</v>
      </c>
      <c r="G7" s="41">
        <f>F7*1.03</f>
        <v>18081.130880000004</v>
      </c>
      <c r="H7" s="41">
        <v>0</v>
      </c>
      <c r="I7" s="41">
        <f>SUM(E7:H7)</f>
        <v>52678.826880000008</v>
      </c>
      <c r="J7" s="3" t="s">
        <v>113</v>
      </c>
      <c r="L7" s="6" t="s">
        <v>125</v>
      </c>
      <c r="M7" s="81">
        <f>53.26 * 320</f>
        <v>17043.2</v>
      </c>
      <c r="N7" s="81">
        <f>M7*1.03</f>
        <v>17554.496000000003</v>
      </c>
      <c r="O7" s="81">
        <f>N7*1.03</f>
        <v>18081.130880000004</v>
      </c>
      <c r="P7" s="81">
        <f>SUM(M7:O7)</f>
        <v>52678.826880000008</v>
      </c>
      <c r="Q7" s="3" t="s">
        <v>127</v>
      </c>
      <c r="T7" s="59" t="s">
        <v>41</v>
      </c>
      <c r="U7" s="61">
        <f>951*1.05</f>
        <v>998.55000000000007</v>
      </c>
      <c r="V7" s="59">
        <v>2</v>
      </c>
      <c r="W7" s="61">
        <f>U7*V7</f>
        <v>1997.1000000000001</v>
      </c>
    </row>
    <row r="8" spans="1:25" s="3" customFormat="1" ht="17.100000000000001" customHeight="1" x14ac:dyDescent="0.2">
      <c r="A8" s="21"/>
      <c r="C8" s="30"/>
      <c r="D8" s="63"/>
      <c r="E8" s="41">
        <v>0</v>
      </c>
      <c r="F8" s="41">
        <v>0</v>
      </c>
      <c r="G8" s="41">
        <v>0</v>
      </c>
      <c r="H8" s="41">
        <v>0</v>
      </c>
      <c r="I8" s="41">
        <f>SUM(E8:H8)</f>
        <v>0</v>
      </c>
      <c r="J8" s="25"/>
      <c r="L8" s="6" t="s">
        <v>126</v>
      </c>
      <c r="M8" s="82">
        <f>120*40.34</f>
        <v>4840.8</v>
      </c>
      <c r="N8" s="82">
        <v>0</v>
      </c>
      <c r="O8" s="82">
        <v>0</v>
      </c>
      <c r="P8" s="82">
        <f>SUM(M8:O8)</f>
        <v>4840.8</v>
      </c>
      <c r="Q8" s="16"/>
      <c r="T8" s="108" t="s">
        <v>31</v>
      </c>
      <c r="U8" s="109"/>
      <c r="V8" s="59"/>
      <c r="W8" s="61">
        <f>SUM(W6:W7)</f>
        <v>12404.7</v>
      </c>
    </row>
    <row r="9" spans="1:25" s="3" customFormat="1" ht="17.100000000000001" customHeight="1" x14ac:dyDescent="0.2">
      <c r="A9" s="21"/>
      <c r="C9" s="30"/>
      <c r="D9" s="63"/>
      <c r="E9" s="41">
        <v>0</v>
      </c>
      <c r="F9" s="41">
        <v>0</v>
      </c>
      <c r="G9" s="41">
        <v>0</v>
      </c>
      <c r="H9" s="41">
        <v>0</v>
      </c>
      <c r="I9" s="41">
        <f>SUM(E9:H9)</f>
        <v>0</v>
      </c>
      <c r="J9" s="29"/>
      <c r="L9" s="6" t="s">
        <v>129</v>
      </c>
      <c r="M9" s="82">
        <f>25*20*52</f>
        <v>26000</v>
      </c>
      <c r="N9" s="82">
        <f>M9*1.05</f>
        <v>27300</v>
      </c>
      <c r="O9" s="82">
        <f>N9*1.05</f>
        <v>28665</v>
      </c>
      <c r="P9" s="82">
        <f>SUM(M9:O9)</f>
        <v>81965</v>
      </c>
      <c r="Q9" s="16" t="s">
        <v>128</v>
      </c>
      <c r="T9" s="71"/>
      <c r="U9" s="21"/>
      <c r="V9" s="21"/>
      <c r="W9" s="71"/>
    </row>
    <row r="10" spans="1:25" s="3" customFormat="1" ht="17.100000000000001" customHeight="1" x14ac:dyDescent="0.2">
      <c r="A10" s="21"/>
      <c r="C10" s="30"/>
      <c r="D10" s="36"/>
      <c r="E10" s="41">
        <v>0</v>
      </c>
      <c r="F10" s="41">
        <v>0</v>
      </c>
      <c r="G10" s="41">
        <v>0</v>
      </c>
      <c r="H10" s="41">
        <v>0</v>
      </c>
      <c r="I10" s="41">
        <f>SUM(E10:H10)</f>
        <v>0</v>
      </c>
      <c r="K10" s="37"/>
      <c r="L10" s="6" t="s">
        <v>166</v>
      </c>
      <c r="M10" s="81">
        <f>40*15*15</f>
        <v>9000</v>
      </c>
      <c r="N10" s="81">
        <f>40*15*8</f>
        <v>4800</v>
      </c>
      <c r="O10" s="81">
        <v>0</v>
      </c>
      <c r="P10" s="81">
        <f>SUM(M10:O10)</f>
        <v>13800</v>
      </c>
      <c r="Q10" s="37"/>
      <c r="T10" s="59" t="s">
        <v>43</v>
      </c>
      <c r="U10" s="61">
        <f>549*1.05</f>
        <v>576.45000000000005</v>
      </c>
      <c r="V10" s="59">
        <v>1</v>
      </c>
      <c r="W10" s="61">
        <f>U10*V10</f>
        <v>576.45000000000005</v>
      </c>
      <c r="X10" s="3" t="s">
        <v>103</v>
      </c>
      <c r="Y10" s="34"/>
    </row>
    <row r="11" spans="1:25" s="34" customFormat="1" ht="27.75" customHeight="1" x14ac:dyDescent="0.2">
      <c r="A11" s="55"/>
      <c r="B11" s="4" t="s">
        <v>27</v>
      </c>
      <c r="C11" s="66"/>
      <c r="D11" s="67"/>
      <c r="E11" s="68"/>
      <c r="F11" s="68"/>
      <c r="G11" s="68"/>
      <c r="H11" s="68"/>
      <c r="I11" s="68"/>
      <c r="J11" s="25"/>
      <c r="K11" s="16"/>
      <c r="L11" s="6"/>
      <c r="M11" s="82"/>
      <c r="N11" s="82"/>
      <c r="O11" s="82"/>
      <c r="P11" s="82"/>
      <c r="R11" s="37"/>
      <c r="T11" s="2"/>
      <c r="U11" s="2"/>
    </row>
    <row r="12" spans="1:25" s="34" customFormat="1" ht="27.75" customHeight="1" x14ac:dyDescent="0.2">
      <c r="A12" s="55"/>
      <c r="B12" s="3" t="s">
        <v>106</v>
      </c>
      <c r="C12" s="30">
        <v>120</v>
      </c>
      <c r="D12" s="79">
        <v>40.340000000000003</v>
      </c>
      <c r="E12" s="41">
        <f>D12*C12</f>
        <v>4840.8</v>
      </c>
      <c r="F12" s="41">
        <v>0</v>
      </c>
      <c r="G12" s="41">
        <v>0</v>
      </c>
      <c r="H12" s="41">
        <v>0</v>
      </c>
      <c r="I12" s="41">
        <f>SUM(E12:H12)</f>
        <v>4840.8</v>
      </c>
      <c r="J12" s="33"/>
      <c r="K12" s="16"/>
      <c r="L12" s="6" t="s">
        <v>175</v>
      </c>
      <c r="M12" s="82">
        <f>M7*0.301</f>
        <v>5130.0032000000001</v>
      </c>
      <c r="N12" s="82">
        <f>N7*0.301</f>
        <v>5283.9032960000004</v>
      </c>
      <c r="O12" s="82">
        <f>O7*0.301</f>
        <v>5442.4203948800014</v>
      </c>
      <c r="P12" s="82">
        <f>SUM(M12:O12)</f>
        <v>15856.326890880002</v>
      </c>
      <c r="Q12" s="100"/>
      <c r="R12" s="16"/>
      <c r="S12" s="3"/>
      <c r="T12" s="3"/>
      <c r="U12" s="3"/>
      <c r="V12" s="3"/>
      <c r="W12" s="3"/>
    </row>
    <row r="13" spans="1:25" s="3" customFormat="1" ht="17.100000000000001" customHeight="1" x14ac:dyDescent="0.2">
      <c r="A13" s="55"/>
      <c r="B13" s="3" t="s">
        <v>169</v>
      </c>
      <c r="C13" s="32">
        <v>20</v>
      </c>
      <c r="D13" s="16">
        <v>25</v>
      </c>
      <c r="E13" s="41">
        <f>C13*D13*52</f>
        <v>26000</v>
      </c>
      <c r="F13" s="41">
        <f>$C$13*$D$13*52*1.05</f>
        <v>27300</v>
      </c>
      <c r="G13" s="41">
        <f>F13*1.05</f>
        <v>28665</v>
      </c>
      <c r="H13" s="41">
        <v>0</v>
      </c>
      <c r="I13" s="41">
        <f>SUM(E13:H13)</f>
        <v>81965</v>
      </c>
      <c r="J13" s="28" t="s">
        <v>49</v>
      </c>
      <c r="K13" s="37"/>
      <c r="L13" s="6" t="s">
        <v>176</v>
      </c>
      <c r="M13" s="81">
        <f>M8*0.42</f>
        <v>2033.136</v>
      </c>
      <c r="N13" s="81">
        <f>N8*0.42</f>
        <v>0</v>
      </c>
      <c r="O13" s="81">
        <f>O8*0.42</f>
        <v>0</v>
      </c>
      <c r="P13" s="82">
        <f t="shared" ref="P13:P15" si="1">SUM(M13:O13)</f>
        <v>2033.136</v>
      </c>
      <c r="R13" s="16"/>
    </row>
    <row r="14" spans="1:25" s="3" customFormat="1" ht="17.100000000000001" customHeight="1" x14ac:dyDescent="0.2">
      <c r="A14" s="21"/>
      <c r="B14" s="3" t="s">
        <v>50</v>
      </c>
      <c r="C14" s="32">
        <v>40</v>
      </c>
      <c r="D14" s="16">
        <v>15</v>
      </c>
      <c r="E14" s="41">
        <f>$C$14*$D$14*10</f>
        <v>6000</v>
      </c>
      <c r="F14" s="41">
        <f>$C$14*$D$14*8</f>
        <v>4800</v>
      </c>
      <c r="G14" s="41">
        <v>0</v>
      </c>
      <c r="H14" s="41">
        <v>0</v>
      </c>
      <c r="I14" s="41">
        <f>SUM(E14:H14)</f>
        <v>10800</v>
      </c>
      <c r="J14" s="24" t="s">
        <v>165</v>
      </c>
      <c r="L14" s="6" t="s">
        <v>177</v>
      </c>
      <c r="M14" s="81">
        <f>M9*0.036</f>
        <v>935.99999999999989</v>
      </c>
      <c r="N14" s="81">
        <f>N9*0.036</f>
        <v>982.8</v>
      </c>
      <c r="O14" s="81">
        <f>O9*0.036</f>
        <v>1031.9399999999998</v>
      </c>
      <c r="P14" s="82">
        <f t="shared" si="1"/>
        <v>2950.74</v>
      </c>
      <c r="R14" s="37"/>
    </row>
    <row r="15" spans="1:25" s="3" customFormat="1" ht="17.100000000000001" customHeight="1" x14ac:dyDescent="0.2">
      <c r="A15" s="21"/>
      <c r="B15" s="3" t="s">
        <v>50</v>
      </c>
      <c r="C15" s="32">
        <v>40</v>
      </c>
      <c r="D15" s="16">
        <v>15</v>
      </c>
      <c r="E15" s="41">
        <f>$C$14*$D$14*5</f>
        <v>3000</v>
      </c>
      <c r="F15" s="41"/>
      <c r="G15" s="41"/>
      <c r="H15" s="41"/>
      <c r="I15" s="41"/>
      <c r="J15" s="24" t="s">
        <v>152</v>
      </c>
      <c r="L15" s="6" t="s">
        <v>178</v>
      </c>
      <c r="M15" s="81">
        <f>M10*0.036</f>
        <v>324</v>
      </c>
      <c r="N15" s="81">
        <f>N10*0.036</f>
        <v>172.79999999999998</v>
      </c>
      <c r="O15" s="81">
        <f>O10*0.036</f>
        <v>0</v>
      </c>
      <c r="P15" s="82">
        <f t="shared" si="1"/>
        <v>496.79999999999995</v>
      </c>
      <c r="Q15" s="91">
        <f>SUM(M7:O15)</f>
        <v>174621.62977087998</v>
      </c>
    </row>
    <row r="16" spans="1:25" s="3" customFormat="1" ht="17.100000000000001" customHeight="1" x14ac:dyDescent="0.2">
      <c r="C16" s="31"/>
      <c r="D16" s="16"/>
      <c r="E16" s="41"/>
      <c r="F16" s="41"/>
      <c r="G16" s="41"/>
      <c r="H16" s="41"/>
      <c r="I16" s="41"/>
      <c r="J16" s="25"/>
      <c r="L16" s="6"/>
      <c r="M16" s="81"/>
      <c r="N16" s="81"/>
      <c r="O16" s="81"/>
      <c r="P16" s="81"/>
    </row>
    <row r="17" spans="1:16" s="3" customFormat="1" ht="21.75" customHeight="1" x14ac:dyDescent="0.2">
      <c r="A17" s="21"/>
      <c r="B17" s="5" t="s">
        <v>0</v>
      </c>
      <c r="C17" s="5"/>
      <c r="D17" s="18"/>
      <c r="E17" s="43">
        <f>SUM(E7:E16)</f>
        <v>56884</v>
      </c>
      <c r="F17" s="43">
        <f>SUM(F7:F16)</f>
        <v>49654.495999999999</v>
      </c>
      <c r="G17" s="43">
        <f>SUM(G7:G16)</f>
        <v>46746.130880000004</v>
      </c>
      <c r="H17" s="43">
        <f>SUM(H7:H16)</f>
        <v>0</v>
      </c>
      <c r="I17" s="43">
        <f>SUM(E17:H17)</f>
        <v>153284.62688</v>
      </c>
      <c r="J17" s="25"/>
      <c r="L17" s="87" t="s">
        <v>38</v>
      </c>
      <c r="M17" s="81"/>
      <c r="N17" s="81"/>
      <c r="O17" s="81"/>
      <c r="P17" s="81"/>
    </row>
    <row r="18" spans="1:16" s="3" customFormat="1" ht="29.1" customHeight="1" x14ac:dyDescent="0.2">
      <c r="A18" s="21"/>
      <c r="B18" s="6"/>
      <c r="C18" s="6"/>
      <c r="D18" s="17"/>
      <c r="E18" s="41"/>
      <c r="F18" s="41"/>
      <c r="G18" s="41"/>
      <c r="H18" s="41"/>
      <c r="I18" s="41"/>
      <c r="J18" s="25"/>
      <c r="L18" s="6" t="s">
        <v>130</v>
      </c>
      <c r="M18" s="81">
        <v>11850</v>
      </c>
      <c r="N18" s="81">
        <v>4490</v>
      </c>
      <c r="O18" s="81">
        <v>4490</v>
      </c>
      <c r="P18" s="81">
        <f>SUM(M18:O18)</f>
        <v>20830</v>
      </c>
    </row>
    <row r="19" spans="1:16" s="3" customFormat="1" ht="29.1" customHeight="1" x14ac:dyDescent="0.2">
      <c r="A19" s="21"/>
      <c r="B19" s="45" t="s">
        <v>1</v>
      </c>
      <c r="C19" s="45"/>
      <c r="D19" s="64" t="s">
        <v>107</v>
      </c>
      <c r="E19" s="43"/>
      <c r="F19" s="43"/>
      <c r="G19" s="43"/>
      <c r="H19" s="43"/>
      <c r="I19" s="43"/>
      <c r="J19" s="25"/>
      <c r="L19" s="6" t="s">
        <v>131</v>
      </c>
      <c r="M19" s="81">
        <v>0</v>
      </c>
      <c r="N19" s="81">
        <v>20120</v>
      </c>
      <c r="O19" s="81">
        <v>6900</v>
      </c>
      <c r="P19" s="81">
        <f>SUM(M19:O19)</f>
        <v>27020</v>
      </c>
    </row>
    <row r="20" spans="1:16" s="3" customFormat="1" ht="29.1" customHeight="1" x14ac:dyDescent="0.2">
      <c r="A20" s="21"/>
      <c r="B20" s="3" t="s">
        <v>33</v>
      </c>
      <c r="D20" s="102">
        <v>0.30099999999999999</v>
      </c>
      <c r="E20" s="41">
        <f>$D$20*E7</f>
        <v>5130.0032000000001</v>
      </c>
      <c r="F20" s="41">
        <f>$D$20*F7</f>
        <v>5283.9032960000004</v>
      </c>
      <c r="G20" s="41">
        <f>$D$20*G7</f>
        <v>5442.4203948800014</v>
      </c>
      <c r="H20" s="41">
        <f>$D$20*H9</f>
        <v>0</v>
      </c>
      <c r="I20" s="41">
        <f>SUM(E20:H20)</f>
        <v>15856.326890880002</v>
      </c>
      <c r="J20" s="25"/>
      <c r="L20" s="6"/>
      <c r="M20" s="81">
        <v>0</v>
      </c>
      <c r="N20" s="81"/>
      <c r="O20" s="81"/>
      <c r="P20" s="81"/>
    </row>
    <row r="21" spans="1:16" s="3" customFormat="1" ht="17.100000000000001" customHeight="1" x14ac:dyDescent="0.2">
      <c r="A21" s="21"/>
      <c r="B21" s="3" t="s">
        <v>35</v>
      </c>
      <c r="D21" s="102">
        <v>0.42</v>
      </c>
      <c r="E21" s="41">
        <f>$D$21*E12</f>
        <v>2033.136</v>
      </c>
      <c r="F21" s="41">
        <f>$D$21*F12</f>
        <v>0</v>
      </c>
      <c r="G21" s="41">
        <f>$D$21*G12</f>
        <v>0</v>
      </c>
      <c r="H21" s="41">
        <f>$D$21*H12</f>
        <v>0</v>
      </c>
      <c r="I21" s="41">
        <f>SUM(E21:H21)</f>
        <v>2033.136</v>
      </c>
      <c r="J21" s="25"/>
      <c r="L21" s="6"/>
      <c r="M21" s="81"/>
      <c r="N21" s="81"/>
      <c r="O21" s="81"/>
      <c r="P21" s="81"/>
    </row>
    <row r="22" spans="1:16" s="3" customFormat="1" ht="17.100000000000001" customHeight="1" x14ac:dyDescent="0.2">
      <c r="A22" s="21"/>
      <c r="B22" s="3" t="s">
        <v>29</v>
      </c>
      <c r="D22" s="102">
        <v>3.5999999999999997E-2</v>
      </c>
      <c r="E22" s="41">
        <f>$D$22*E13</f>
        <v>935.99999999999989</v>
      </c>
      <c r="F22" s="41">
        <f>$D$22*F13</f>
        <v>982.8</v>
      </c>
      <c r="G22" s="41">
        <f>$D$22*G13</f>
        <v>1031.9399999999998</v>
      </c>
      <c r="H22" s="41">
        <f>$D$22*H13</f>
        <v>0</v>
      </c>
      <c r="I22" s="41">
        <f>SUM(E22:H22)</f>
        <v>2950.74</v>
      </c>
      <c r="J22" s="25"/>
      <c r="L22" s="87" t="s">
        <v>132</v>
      </c>
      <c r="M22" s="81"/>
      <c r="N22" s="81"/>
      <c r="O22" s="81"/>
      <c r="P22" s="81"/>
    </row>
    <row r="23" spans="1:16" s="3" customFormat="1" ht="17.100000000000001" customHeight="1" x14ac:dyDescent="0.2">
      <c r="A23" s="21"/>
      <c r="B23" s="3" t="s">
        <v>44</v>
      </c>
      <c r="D23" s="102">
        <v>3.5999999999999997E-2</v>
      </c>
      <c r="E23" s="41">
        <f>$D$22*E14</f>
        <v>215.99999999999997</v>
      </c>
      <c r="F23" s="41">
        <f>$D$23*SUM(F14)</f>
        <v>172.79999999999998</v>
      </c>
      <c r="G23" s="41">
        <f>$D$23*G15</f>
        <v>0</v>
      </c>
      <c r="H23" s="41">
        <f>$D$23*H15</f>
        <v>0</v>
      </c>
      <c r="I23" s="41">
        <f>SUM(E23:H23)</f>
        <v>388.79999999999995</v>
      </c>
      <c r="J23" s="25"/>
      <c r="L23" s="6" t="s">
        <v>133</v>
      </c>
      <c r="M23" s="81">
        <v>0</v>
      </c>
      <c r="N23" s="81">
        <v>1000</v>
      </c>
      <c r="O23" s="81">
        <v>1000</v>
      </c>
      <c r="P23" s="81">
        <f>SUM(M23:O23)</f>
        <v>2000</v>
      </c>
    </row>
    <row r="24" spans="1:16" s="3" customFormat="1" ht="17.100000000000001" customHeight="1" x14ac:dyDescent="0.2">
      <c r="A24" s="21"/>
      <c r="B24" s="3" t="s">
        <v>44</v>
      </c>
      <c r="D24" s="102">
        <v>3.5999999999999997E-2</v>
      </c>
      <c r="E24" s="41">
        <f>$D$22*E15</f>
        <v>107.99999999999999</v>
      </c>
      <c r="F24" s="41">
        <f>$D$23*SUM(F15:F16)</f>
        <v>0</v>
      </c>
      <c r="G24" s="41">
        <f>$D$23*G16</f>
        <v>0</v>
      </c>
      <c r="H24" s="41"/>
      <c r="I24" s="41">
        <f>SUM(E24:H24)</f>
        <v>107.99999999999999</v>
      </c>
      <c r="J24" s="25"/>
      <c r="L24" s="6" t="s">
        <v>167</v>
      </c>
      <c r="M24" s="81">
        <v>0</v>
      </c>
      <c r="N24" s="81">
        <v>400</v>
      </c>
      <c r="O24" s="81">
        <v>400</v>
      </c>
      <c r="P24" s="81">
        <f>SUM(M24:O24)</f>
        <v>800</v>
      </c>
    </row>
    <row r="25" spans="1:16" s="3" customFormat="1" ht="16.149999999999999" customHeight="1" x14ac:dyDescent="0.2">
      <c r="B25" s="5" t="s">
        <v>0</v>
      </c>
      <c r="C25" s="5"/>
      <c r="D25" s="18"/>
      <c r="E25" s="43">
        <f>SUM(E20:E24)</f>
        <v>8423.1391999999996</v>
      </c>
      <c r="F25" s="43">
        <f>SUM(F20:F24)</f>
        <v>6439.5032960000008</v>
      </c>
      <c r="G25" s="43">
        <f>SUM(G20:G24)</f>
        <v>6474.360394880001</v>
      </c>
      <c r="H25" s="43">
        <f>SUM(H20:H24)</f>
        <v>0</v>
      </c>
      <c r="I25" s="43">
        <f>SUM(I20:I24)</f>
        <v>21337.002890879998</v>
      </c>
      <c r="J25" s="101">
        <f>SUM(I25,I17)</f>
        <v>174621.62977087998</v>
      </c>
      <c r="L25" s="6" t="s">
        <v>168</v>
      </c>
      <c r="M25" s="81">
        <v>0</v>
      </c>
      <c r="N25" s="81">
        <v>900</v>
      </c>
      <c r="O25" s="81">
        <v>900</v>
      </c>
      <c r="P25" s="81">
        <f>SUM(M25:O25)</f>
        <v>1800</v>
      </c>
    </row>
    <row r="26" spans="1:16" s="3" customFormat="1" ht="17.100000000000001" customHeight="1" x14ac:dyDescent="0.2">
      <c r="A26" s="21"/>
      <c r="B26" s="6"/>
      <c r="C26" s="6"/>
      <c r="D26" s="17"/>
      <c r="E26" s="41"/>
      <c r="F26" s="41"/>
      <c r="G26" s="41"/>
      <c r="H26" s="41"/>
      <c r="I26" s="41"/>
      <c r="J26" s="22"/>
      <c r="L26" s="6"/>
      <c r="M26" s="81"/>
      <c r="N26" s="81"/>
      <c r="O26" s="81"/>
      <c r="P26" s="81"/>
    </row>
    <row r="27" spans="1:16" s="3" customFormat="1" ht="17.100000000000001" customHeight="1" x14ac:dyDescent="0.2">
      <c r="A27" s="21"/>
      <c r="B27" s="45" t="s">
        <v>40</v>
      </c>
      <c r="C27" s="45"/>
      <c r="D27" s="46"/>
      <c r="E27" s="43"/>
      <c r="F27" s="43"/>
      <c r="G27" s="43"/>
      <c r="H27" s="43"/>
      <c r="I27" s="43"/>
      <c r="J27" s="22"/>
      <c r="L27" s="87" t="s">
        <v>136</v>
      </c>
      <c r="M27" s="81"/>
      <c r="N27" s="81"/>
      <c r="O27" s="81"/>
      <c r="P27" s="81"/>
    </row>
    <row r="28" spans="1:16" s="3" customFormat="1" ht="17.100000000000001" customHeight="1" x14ac:dyDescent="0.2">
      <c r="A28" s="21"/>
      <c r="B28" s="14" t="s">
        <v>76</v>
      </c>
      <c r="C28" s="8"/>
      <c r="D28" s="17"/>
      <c r="E28" s="41">
        <v>0</v>
      </c>
      <c r="F28" s="41">
        <v>0</v>
      </c>
      <c r="G28" s="41">
        <v>0</v>
      </c>
      <c r="H28" s="41">
        <v>0</v>
      </c>
      <c r="I28" s="41">
        <f>SUM(E28:H28)</f>
        <v>0</v>
      </c>
      <c r="J28" s="22"/>
      <c r="L28" s="6" t="s">
        <v>137</v>
      </c>
      <c r="M28" s="81">
        <v>5350</v>
      </c>
      <c r="N28" s="81">
        <v>2650</v>
      </c>
      <c r="O28" s="81">
        <v>0</v>
      </c>
      <c r="P28" s="81">
        <f>SUM(M28:O28)</f>
        <v>8000</v>
      </c>
    </row>
    <row r="29" spans="1:16" s="3" customFormat="1" ht="17.100000000000001" customHeight="1" x14ac:dyDescent="0.2">
      <c r="A29" s="21"/>
      <c r="B29" s="14"/>
      <c r="C29" s="8"/>
      <c r="D29" s="17"/>
      <c r="E29" s="41">
        <v>0</v>
      </c>
      <c r="F29" s="41">
        <v>0</v>
      </c>
      <c r="G29" s="41">
        <v>0</v>
      </c>
      <c r="H29" s="41">
        <v>0</v>
      </c>
      <c r="I29" s="41">
        <f>SUM(E29:H29)</f>
        <v>0</v>
      </c>
      <c r="J29" s="25"/>
      <c r="L29" s="6" t="s">
        <v>138</v>
      </c>
      <c r="M29" s="81">
        <v>4850</v>
      </c>
      <c r="N29" s="81">
        <v>0</v>
      </c>
      <c r="O29" s="81">
        <v>0</v>
      </c>
      <c r="P29" s="81">
        <f t="shared" ref="P29:P31" si="2">SUM(M29:O29)</f>
        <v>4850</v>
      </c>
    </row>
    <row r="30" spans="1:16" s="3" customFormat="1" ht="16.149999999999999" customHeight="1" x14ac:dyDescent="0.2">
      <c r="B30" s="5" t="s">
        <v>3</v>
      </c>
      <c r="C30" s="5"/>
      <c r="D30" s="18"/>
      <c r="E30" s="43">
        <f t="shared" ref="E30:I30" si="3">SUM(E28:E29)</f>
        <v>0</v>
      </c>
      <c r="F30" s="43">
        <f t="shared" si="3"/>
        <v>0</v>
      </c>
      <c r="G30" s="43">
        <f t="shared" si="3"/>
        <v>0</v>
      </c>
      <c r="H30" s="43">
        <f t="shared" si="3"/>
        <v>0</v>
      </c>
      <c r="I30" s="43">
        <f t="shared" si="3"/>
        <v>0</v>
      </c>
      <c r="J30" s="22"/>
      <c r="L30" s="6" t="s">
        <v>139</v>
      </c>
      <c r="M30" s="81">
        <v>0</v>
      </c>
      <c r="N30" s="81">
        <v>2900</v>
      </c>
      <c r="O30" s="81">
        <v>2900</v>
      </c>
      <c r="P30" s="81">
        <f t="shared" si="2"/>
        <v>5800</v>
      </c>
    </row>
    <row r="31" spans="1:16" s="3" customFormat="1" ht="17.100000000000001" customHeight="1" x14ac:dyDescent="0.2">
      <c r="A31" s="21"/>
      <c r="B31" s="6"/>
      <c r="C31" s="6"/>
      <c r="D31" s="17"/>
      <c r="E31" s="41"/>
      <c r="F31" s="41"/>
      <c r="G31" s="41"/>
      <c r="H31" s="41"/>
      <c r="I31" s="41"/>
      <c r="J31" s="22"/>
      <c r="L31" s="6" t="s">
        <v>28</v>
      </c>
      <c r="M31" s="81">
        <v>600</v>
      </c>
      <c r="N31" s="81">
        <v>0</v>
      </c>
      <c r="O31" s="81">
        <v>0</v>
      </c>
      <c r="P31" s="81">
        <f t="shared" si="2"/>
        <v>600</v>
      </c>
    </row>
    <row r="32" spans="1:16" s="3" customFormat="1" ht="17.100000000000001" customHeight="1" x14ac:dyDescent="0.2">
      <c r="A32" s="21"/>
      <c r="B32" s="45" t="s">
        <v>38</v>
      </c>
      <c r="C32" s="45"/>
      <c r="D32" s="46"/>
      <c r="E32" s="43"/>
      <c r="F32" s="43"/>
      <c r="G32" s="43"/>
      <c r="H32" s="43"/>
      <c r="I32" s="43"/>
      <c r="J32" s="22"/>
      <c r="L32" s="6" t="s">
        <v>140</v>
      </c>
      <c r="M32" s="81">
        <v>6000</v>
      </c>
      <c r="N32" s="81"/>
      <c r="O32" s="81">
        <v>0</v>
      </c>
      <c r="P32" s="81">
        <f>SUM(M32:O32)</f>
        <v>6000</v>
      </c>
    </row>
    <row r="33" spans="1:20" s="3" customFormat="1" ht="17.100000000000001" customHeight="1" x14ac:dyDescent="0.2">
      <c r="A33" s="21"/>
      <c r="B33" s="14" t="s">
        <v>14</v>
      </c>
      <c r="C33" s="8"/>
      <c r="D33" s="17"/>
      <c r="E33" s="41">
        <f>'Breakdown of costs'!B20</f>
        <v>11850</v>
      </c>
      <c r="F33" s="41">
        <f>'Breakdown of costs'!C20</f>
        <v>4490</v>
      </c>
      <c r="G33" s="41">
        <f>'Breakdown of costs'!D20</f>
        <v>4490</v>
      </c>
      <c r="H33" s="41">
        <v>0</v>
      </c>
      <c r="I33" s="41">
        <f>SUM(E33:H33)</f>
        <v>20830</v>
      </c>
      <c r="J33" s="22" t="s">
        <v>170</v>
      </c>
      <c r="L33" s="6" t="s">
        <v>141</v>
      </c>
      <c r="M33" s="81">
        <v>12981</v>
      </c>
      <c r="N33" s="81">
        <f>M33*1.1</f>
        <v>14279.1</v>
      </c>
      <c r="O33" s="81">
        <f>N33*1.1</f>
        <v>15707.010000000002</v>
      </c>
      <c r="P33" s="81">
        <f>SUM(M33:O33)</f>
        <v>42967.11</v>
      </c>
    </row>
    <row r="34" spans="1:20" s="3" customFormat="1" ht="17.100000000000001" customHeight="1" x14ac:dyDescent="0.2">
      <c r="A34" s="21"/>
      <c r="B34" s="14" t="s">
        <v>15</v>
      </c>
      <c r="C34" s="8"/>
      <c r="D34" s="17"/>
      <c r="E34" s="41">
        <f>'Breakdown of costs'!B29</f>
        <v>0</v>
      </c>
      <c r="F34" s="41">
        <f>'Breakdown of costs'!C29</f>
        <v>20120</v>
      </c>
      <c r="G34" s="41">
        <f>'Breakdown of costs'!D29</f>
        <v>6900</v>
      </c>
      <c r="H34" s="41">
        <v>0</v>
      </c>
      <c r="I34" s="41">
        <f>SUM(E34:H34)</f>
        <v>27020</v>
      </c>
      <c r="J34" s="22" t="s">
        <v>48</v>
      </c>
      <c r="L34" s="6" t="s">
        <v>134</v>
      </c>
      <c r="M34" s="81">
        <v>5000</v>
      </c>
      <c r="N34" s="81">
        <v>5000</v>
      </c>
      <c r="O34" s="81">
        <v>5000</v>
      </c>
      <c r="P34" s="81">
        <f>SUM(M34:O34)</f>
        <v>15000</v>
      </c>
    </row>
    <row r="35" spans="1:20" s="3" customFormat="1" ht="17.100000000000001" customHeight="1" x14ac:dyDescent="0.2">
      <c r="B35" s="5" t="s">
        <v>3</v>
      </c>
      <c r="C35" s="5"/>
      <c r="D35" s="18"/>
      <c r="E35" s="43">
        <f>SUM(E33:E34)</f>
        <v>11850</v>
      </c>
      <c r="F35" s="43">
        <f t="shared" ref="F35:I35" si="4">SUM(F33:F34)</f>
        <v>24610</v>
      </c>
      <c r="G35" s="43">
        <f t="shared" si="4"/>
        <v>11390</v>
      </c>
      <c r="H35" s="43">
        <f t="shared" si="4"/>
        <v>0</v>
      </c>
      <c r="I35" s="43">
        <f t="shared" si="4"/>
        <v>47850</v>
      </c>
      <c r="J35" s="25"/>
      <c r="L35" s="6" t="s">
        <v>135</v>
      </c>
      <c r="M35" s="81">
        <v>0</v>
      </c>
      <c r="N35" s="81">
        <v>625</v>
      </c>
      <c r="O35" s="81">
        <v>625</v>
      </c>
      <c r="P35" s="81">
        <f>SUM(M35:O35)</f>
        <v>1250</v>
      </c>
      <c r="Q35" s="3" t="s">
        <v>142</v>
      </c>
    </row>
    <row r="36" spans="1:20" s="3" customFormat="1" ht="16.899999999999999" customHeight="1" x14ac:dyDescent="0.2">
      <c r="A36" s="21"/>
      <c r="B36" s="8"/>
      <c r="C36" s="8"/>
      <c r="D36" s="17"/>
      <c r="E36" s="41"/>
      <c r="F36" s="41"/>
      <c r="G36" s="41"/>
      <c r="H36" s="41"/>
      <c r="I36" s="41"/>
      <c r="J36" s="25"/>
      <c r="L36" s="6"/>
      <c r="M36" s="81"/>
      <c r="N36" s="81"/>
      <c r="O36" s="81"/>
      <c r="P36" s="81"/>
    </row>
    <row r="37" spans="1:20" s="3" customFormat="1" ht="16.899999999999999" customHeight="1" x14ac:dyDescent="0.2">
      <c r="A37" s="21"/>
      <c r="B37" s="45" t="s">
        <v>37</v>
      </c>
      <c r="C37" s="5"/>
      <c r="D37" s="18"/>
      <c r="E37" s="47"/>
      <c r="F37" s="43"/>
      <c r="G37" s="43"/>
      <c r="H37" s="43"/>
      <c r="I37" s="43"/>
      <c r="J37" s="25"/>
      <c r="L37" s="87" t="s">
        <v>143</v>
      </c>
      <c r="M37" s="92">
        <f>SUM(M7:M35)</f>
        <v>111938.13920000001</v>
      </c>
      <c r="N37" s="92">
        <f>SUM(N7:N35)</f>
        <v>108458.09929600001</v>
      </c>
      <c r="O37" s="92">
        <f>SUM(O7:O35)</f>
        <v>91142.501274880022</v>
      </c>
      <c r="P37" s="92">
        <f>SUM(M37:O37)</f>
        <v>311538.73977088003</v>
      </c>
    </row>
    <row r="38" spans="1:20" s="3" customFormat="1" ht="16.899999999999999" customHeight="1" x14ac:dyDescent="0.2">
      <c r="A38" s="21"/>
      <c r="B38" s="8" t="s">
        <v>174</v>
      </c>
      <c r="C38" s="6"/>
      <c r="D38" s="41"/>
      <c r="E38" s="42">
        <v>0</v>
      </c>
      <c r="F38" s="41">
        <v>1000</v>
      </c>
      <c r="G38" s="41">
        <v>1000</v>
      </c>
      <c r="H38" s="41">
        <v>0</v>
      </c>
      <c r="I38" s="41">
        <f>SUM(E38:H38)</f>
        <v>2000</v>
      </c>
      <c r="J38" s="25"/>
      <c r="L38" s="6" t="s">
        <v>144</v>
      </c>
      <c r="M38" s="81">
        <f>M37-M33-SUM(M23:M25)</f>
        <v>98957.139200000005</v>
      </c>
      <c r="N38" s="81">
        <f>N37-N33-SUM(N23:N25)</f>
        <v>91878.999296000009</v>
      </c>
      <c r="O38" s="81">
        <f>O37-O33-SUM(O23:O25)</f>
        <v>73135.491274880012</v>
      </c>
      <c r="P38" s="81">
        <f>SUM(M38:O38)</f>
        <v>263971.62977088004</v>
      </c>
    </row>
    <row r="39" spans="1:20" s="3" customFormat="1" ht="16.899999999999999" customHeight="1" x14ac:dyDescent="0.2">
      <c r="A39" s="21"/>
      <c r="B39" s="8" t="s">
        <v>173</v>
      </c>
      <c r="C39" s="6"/>
      <c r="D39" s="41"/>
      <c r="E39" s="42"/>
      <c r="F39" s="42">
        <v>400</v>
      </c>
      <c r="G39" s="42">
        <v>400</v>
      </c>
      <c r="H39" s="41"/>
      <c r="I39" s="41">
        <f t="shared" ref="I39:I40" si="5">SUM(E39:H39)</f>
        <v>800</v>
      </c>
      <c r="J39" s="25"/>
      <c r="L39" s="87" t="s">
        <v>145</v>
      </c>
      <c r="M39" s="92">
        <f>M38*0.5</f>
        <v>49478.569600000003</v>
      </c>
      <c r="N39" s="92">
        <f>N38*0.5</f>
        <v>45939.499648000005</v>
      </c>
      <c r="O39" s="92">
        <f>O38*0.5</f>
        <v>36567.745637440006</v>
      </c>
      <c r="P39" s="92">
        <f>SUM(M39:O39)</f>
        <v>131985.81488544002</v>
      </c>
    </row>
    <row r="40" spans="1:20" s="3" customFormat="1" ht="16.899999999999999" customHeight="1" x14ac:dyDescent="0.2">
      <c r="A40" s="21"/>
      <c r="B40" s="8" t="s">
        <v>101</v>
      </c>
      <c r="C40" s="74"/>
      <c r="D40" s="74"/>
      <c r="E40" s="74"/>
      <c r="F40" s="3">
        <v>900</v>
      </c>
      <c r="G40" s="3">
        <v>900</v>
      </c>
      <c r="I40" s="41">
        <f t="shared" si="5"/>
        <v>1800</v>
      </c>
      <c r="J40" s="25"/>
      <c r="L40" s="87" t="s">
        <v>4</v>
      </c>
      <c r="M40" s="92">
        <f>SUM(M37,M39)</f>
        <v>161416.70880000002</v>
      </c>
      <c r="N40" s="92">
        <f>SUM(N37,N39)</f>
        <v>154397.59894400003</v>
      </c>
      <c r="O40" s="92">
        <f>SUM(O37,O39)</f>
        <v>127710.24691232003</v>
      </c>
      <c r="P40" s="92">
        <f>SUM(M40:O40)</f>
        <v>443524.55465632008</v>
      </c>
    </row>
    <row r="41" spans="1:20" s="3" customFormat="1" ht="16.899999999999999" customHeight="1" x14ac:dyDescent="0.2">
      <c r="A41" s="21"/>
      <c r="B41" s="93"/>
      <c r="C41" s="6"/>
      <c r="D41" s="41"/>
      <c r="E41" s="42"/>
      <c r="F41" s="41"/>
      <c r="G41" s="41"/>
      <c r="H41" s="41"/>
      <c r="I41" s="41"/>
      <c r="J41" s="25"/>
      <c r="L41" s="6"/>
      <c r="M41" s="81"/>
      <c r="N41" s="81"/>
      <c r="O41" s="81"/>
      <c r="P41" s="81"/>
    </row>
    <row r="42" spans="1:20" s="3" customFormat="1" ht="16.899999999999999" customHeight="1" x14ac:dyDescent="0.2">
      <c r="A42" s="21"/>
      <c r="B42" s="94"/>
      <c r="D42" s="41"/>
      <c r="E42" s="41"/>
      <c r="F42" s="41"/>
      <c r="G42" s="41"/>
      <c r="H42" s="41"/>
      <c r="I42" s="41"/>
      <c r="J42" s="22"/>
      <c r="L42" s="6"/>
      <c r="M42" s="81"/>
      <c r="N42" s="81"/>
      <c r="O42" s="81"/>
      <c r="P42" s="81"/>
    </row>
    <row r="43" spans="1:20" s="3" customFormat="1" ht="17.100000000000001" customHeight="1" x14ac:dyDescent="0.2">
      <c r="B43" s="5" t="s">
        <v>0</v>
      </c>
      <c r="C43" s="5"/>
      <c r="D43" s="18"/>
      <c r="E43" s="43">
        <f>SUM(E38:E42)</f>
        <v>0</v>
      </c>
      <c r="F43" s="43">
        <f>SUM(F38:F42)</f>
        <v>2300</v>
      </c>
      <c r="G43" s="43">
        <f>SUM(G38:G42)</f>
        <v>2300</v>
      </c>
      <c r="H43" s="43">
        <f>SUM(H38:H42)</f>
        <v>0</v>
      </c>
      <c r="I43" s="43">
        <f>SUM(I38:I42)</f>
        <v>4600</v>
      </c>
      <c r="J43" s="22"/>
      <c r="L43" s="6"/>
      <c r="M43" s="81"/>
      <c r="N43" s="81"/>
      <c r="O43" s="81"/>
      <c r="P43" s="81"/>
    </row>
    <row r="44" spans="1:20" s="3" customFormat="1" ht="17.100000000000001" customHeight="1" x14ac:dyDescent="0.2">
      <c r="A44" s="21"/>
      <c r="B44" s="6"/>
      <c r="C44" s="6"/>
      <c r="D44" s="17"/>
      <c r="E44" s="41"/>
      <c r="F44" s="41"/>
      <c r="G44" s="41"/>
      <c r="H44" s="41"/>
      <c r="I44" s="41"/>
      <c r="J44" s="22"/>
      <c r="L44" s="6"/>
      <c r="M44" s="81"/>
      <c r="N44" s="81"/>
      <c r="O44" s="81"/>
      <c r="P44" s="81"/>
    </row>
    <row r="45" spans="1:20" s="3" customFormat="1" ht="17.100000000000001" customHeight="1" x14ac:dyDescent="0.2">
      <c r="A45" s="21"/>
      <c r="B45" s="45" t="s">
        <v>39</v>
      </c>
      <c r="C45" s="45"/>
      <c r="D45" s="46"/>
      <c r="E45" s="43"/>
      <c r="F45" s="43"/>
      <c r="G45" s="43"/>
      <c r="H45" s="43"/>
      <c r="I45" s="43"/>
      <c r="J45" s="22"/>
      <c r="L45" s="6"/>
      <c r="M45" s="81"/>
      <c r="N45" s="81"/>
      <c r="O45" s="81"/>
      <c r="P45" s="81"/>
    </row>
    <row r="46" spans="1:20" s="3" customFormat="1" ht="17.100000000000001" customHeight="1" x14ac:dyDescent="0.2">
      <c r="A46" s="21"/>
      <c r="B46" s="15" t="s">
        <v>24</v>
      </c>
      <c r="D46" s="17"/>
      <c r="E46" s="41">
        <f>'Breakdown of costs'!B59</f>
        <v>5350</v>
      </c>
      <c r="F46" s="41">
        <f>'Breakdown of costs'!C59</f>
        <v>2650</v>
      </c>
      <c r="G46" s="41">
        <f>'Breakdown of costs'!D59</f>
        <v>0</v>
      </c>
      <c r="H46" s="41">
        <v>0</v>
      </c>
      <c r="I46" s="41">
        <f t="shared" ref="I46:I51" si="6">SUM(E46:H46)</f>
        <v>8000</v>
      </c>
      <c r="J46" s="22"/>
      <c r="L46" s="6"/>
      <c r="M46" s="81"/>
      <c r="N46" s="81"/>
      <c r="O46" s="81"/>
      <c r="P46" s="81"/>
      <c r="T46" s="35"/>
    </row>
    <row r="47" spans="1:20" s="3" customFormat="1" ht="17.100000000000001" customHeight="1" x14ac:dyDescent="0.2">
      <c r="A47" s="21"/>
      <c r="B47" s="14" t="s">
        <v>17</v>
      </c>
      <c r="D47" s="17"/>
      <c r="E47" s="41">
        <f>'Breakdown of costs'!B52</f>
        <v>4850</v>
      </c>
      <c r="F47" s="41">
        <f>'Breakdown of costs'!C52</f>
        <v>0</v>
      </c>
      <c r="G47" s="41">
        <f>'Breakdown of costs'!D52</f>
        <v>0</v>
      </c>
      <c r="H47" s="41">
        <v>0</v>
      </c>
      <c r="I47" s="41">
        <f t="shared" si="6"/>
        <v>4850</v>
      </c>
      <c r="J47" s="22"/>
      <c r="L47" s="6"/>
      <c r="M47" s="7"/>
      <c r="N47" s="7"/>
      <c r="O47" s="7"/>
      <c r="P47" s="7"/>
    </row>
    <row r="48" spans="1:20" s="3" customFormat="1" x14ac:dyDescent="0.2">
      <c r="A48" s="21"/>
      <c r="B48" s="14" t="s">
        <v>10</v>
      </c>
      <c r="C48" s="9"/>
      <c r="D48" s="17"/>
      <c r="E48" s="41">
        <f>'Breakdown of costs'!B40</f>
        <v>0</v>
      </c>
      <c r="F48" s="41">
        <f>'Breakdown of costs'!C40</f>
        <v>2900</v>
      </c>
      <c r="G48" s="41">
        <f>'Breakdown of costs'!D40</f>
        <v>2900</v>
      </c>
      <c r="H48" s="41">
        <v>0</v>
      </c>
      <c r="I48" s="41">
        <f t="shared" si="6"/>
        <v>5800</v>
      </c>
      <c r="J48" s="22" t="s">
        <v>171</v>
      </c>
      <c r="L48" s="6"/>
      <c r="M48" s="7"/>
      <c r="N48" s="7"/>
      <c r="O48" s="7"/>
      <c r="P48" s="7"/>
    </row>
    <row r="49" spans="1:25" s="3" customFormat="1" ht="17.100000000000001" customHeight="1" x14ac:dyDescent="0.2">
      <c r="A49" s="21"/>
      <c r="B49" s="14" t="s">
        <v>16</v>
      </c>
      <c r="C49" s="9"/>
      <c r="D49" s="17"/>
      <c r="E49" s="41">
        <v>0</v>
      </c>
      <c r="F49" s="41">
        <v>0</v>
      </c>
      <c r="G49" s="41"/>
      <c r="H49" s="41">
        <v>0</v>
      </c>
      <c r="I49" s="41">
        <f t="shared" si="6"/>
        <v>0</v>
      </c>
      <c r="J49" s="22"/>
      <c r="L49" s="6"/>
      <c r="M49" s="7"/>
      <c r="N49" s="7"/>
      <c r="O49" s="7"/>
      <c r="P49" s="7"/>
    </row>
    <row r="50" spans="1:25" s="3" customFormat="1" ht="17.100000000000001" customHeight="1" x14ac:dyDescent="0.2">
      <c r="A50" s="56"/>
      <c r="B50" s="14" t="s">
        <v>28</v>
      </c>
      <c r="C50" s="9"/>
      <c r="D50" s="17"/>
      <c r="E50" s="41">
        <f>'Breakdown of costs'!B41</f>
        <v>600</v>
      </c>
      <c r="F50" s="41">
        <v>0</v>
      </c>
      <c r="G50" s="41">
        <v>0</v>
      </c>
      <c r="H50" s="41">
        <v>0</v>
      </c>
      <c r="I50" s="41">
        <f t="shared" si="6"/>
        <v>600</v>
      </c>
      <c r="J50" s="22" t="s">
        <v>90</v>
      </c>
      <c r="L50" s="6"/>
      <c r="M50" s="7"/>
      <c r="N50" s="7"/>
      <c r="O50" s="7"/>
      <c r="P50" s="7"/>
    </row>
    <row r="51" spans="1:25" s="3" customFormat="1" ht="17.100000000000001" customHeight="1" x14ac:dyDescent="0.2">
      <c r="A51" s="21"/>
      <c r="B51" s="14" t="s">
        <v>111</v>
      </c>
      <c r="C51" s="9"/>
      <c r="D51" s="17"/>
      <c r="E51" s="41">
        <f>'Breakdown of costs'!B42</f>
        <v>6000</v>
      </c>
      <c r="F51" s="41"/>
      <c r="G51" s="41">
        <v>0</v>
      </c>
      <c r="H51" s="41">
        <v>0</v>
      </c>
      <c r="I51" s="41">
        <f t="shared" si="6"/>
        <v>6000</v>
      </c>
      <c r="J51" s="78" t="s">
        <v>112</v>
      </c>
      <c r="L51" s="6"/>
      <c r="M51" s="7"/>
      <c r="N51" s="7"/>
      <c r="O51" s="7"/>
      <c r="P51" s="7"/>
    </row>
    <row r="52" spans="1:25" s="3" customFormat="1" ht="17.100000000000001" customHeight="1" x14ac:dyDescent="0.2">
      <c r="A52" s="21"/>
      <c r="B52" s="93" t="s">
        <v>146</v>
      </c>
      <c r="C52" s="6">
        <v>25</v>
      </c>
      <c r="D52" s="41">
        <v>25</v>
      </c>
      <c r="E52" s="42"/>
      <c r="F52" s="41">
        <f>C52*D52</f>
        <v>625</v>
      </c>
      <c r="G52" s="41">
        <f>C52*D52</f>
        <v>625</v>
      </c>
      <c r="H52" s="41"/>
      <c r="I52" s="41">
        <f>SUM(E52:H52)</f>
        <v>1250</v>
      </c>
      <c r="J52" s="25" t="s">
        <v>159</v>
      </c>
      <c r="K52" s="27"/>
      <c r="L52" s="6"/>
      <c r="M52" s="7"/>
      <c r="N52" s="7"/>
      <c r="O52" s="7"/>
      <c r="P52" s="7"/>
      <c r="R52" s="27"/>
    </row>
    <row r="53" spans="1:25" x14ac:dyDescent="0.2">
      <c r="A53" s="21"/>
      <c r="B53" s="94" t="s">
        <v>98</v>
      </c>
      <c r="C53" s="3">
        <v>200</v>
      </c>
      <c r="D53" s="41">
        <v>25</v>
      </c>
      <c r="E53" s="41">
        <f>D53*C53</f>
        <v>5000</v>
      </c>
      <c r="F53" s="41">
        <f>C53*D53</f>
        <v>5000</v>
      </c>
      <c r="G53" s="41">
        <f>C53*D53</f>
        <v>5000</v>
      </c>
      <c r="H53" s="41">
        <v>0</v>
      </c>
      <c r="I53" s="41">
        <f>SUM(E53:H53)</f>
        <v>15000</v>
      </c>
      <c r="J53" s="22" t="s">
        <v>162</v>
      </c>
      <c r="K53" s="3"/>
      <c r="L53" s="6"/>
      <c r="M53" s="7"/>
      <c r="N53" s="7"/>
      <c r="O53" s="7"/>
      <c r="P53" s="7"/>
      <c r="Q53" s="3"/>
      <c r="R53" s="3"/>
    </row>
    <row r="54" spans="1:25" x14ac:dyDescent="0.2">
      <c r="A54" s="21"/>
      <c r="B54" s="14" t="s">
        <v>36</v>
      </c>
      <c r="C54" s="4"/>
      <c r="D54" s="19"/>
      <c r="E54" s="7">
        <f>W8+W10</f>
        <v>12981.150000000001</v>
      </c>
      <c r="F54" s="41">
        <f>E54*1.1</f>
        <v>14279.265000000003</v>
      </c>
      <c r="G54" s="41">
        <f>F54*1.1</f>
        <v>15707.191500000004</v>
      </c>
      <c r="H54" s="41">
        <v>0</v>
      </c>
      <c r="I54" s="41">
        <f>SUM(E54:H54)</f>
        <v>42967.606500000009</v>
      </c>
      <c r="J54" s="23" t="s">
        <v>104</v>
      </c>
      <c r="L54" s="6"/>
      <c r="M54" s="7"/>
      <c r="N54" s="7"/>
      <c r="O54" s="7"/>
      <c r="P54" s="7"/>
      <c r="Q54" s="3"/>
      <c r="V54" s="3"/>
      <c r="W54" s="3"/>
    </row>
    <row r="55" spans="1:25" x14ac:dyDescent="0.2">
      <c r="B55" s="5" t="s">
        <v>25</v>
      </c>
      <c r="C55" s="5"/>
      <c r="D55" s="18"/>
      <c r="E55" s="43">
        <f>SUM(E46:E54)</f>
        <v>34781.15</v>
      </c>
      <c r="F55" s="43">
        <f>SUM(F46:F54)</f>
        <v>25454.265000000003</v>
      </c>
      <c r="G55" s="43">
        <f>SUM(G46:G54)</f>
        <v>24232.191500000004</v>
      </c>
      <c r="H55" s="43">
        <f>SUM(H46:H54)</f>
        <v>0</v>
      </c>
      <c r="I55" s="43">
        <f>SUM(I46:I54)</f>
        <v>84467.606500000009</v>
      </c>
      <c r="L55" s="86"/>
      <c r="M55" s="83"/>
      <c r="N55" s="83"/>
      <c r="O55" s="83"/>
      <c r="P55" s="83"/>
      <c r="Q55" s="27"/>
      <c r="T55" s="17"/>
      <c r="U55" s="3"/>
    </row>
    <row r="56" spans="1:25" x14ac:dyDescent="0.2">
      <c r="A56" s="49"/>
      <c r="L56" s="6"/>
      <c r="M56" s="7"/>
      <c r="N56" s="7"/>
      <c r="O56" s="7"/>
      <c r="P56" s="7"/>
      <c r="Q56" s="3"/>
      <c r="X56" s="3"/>
      <c r="Y56" s="3"/>
    </row>
    <row r="57" spans="1:25" s="3" customFormat="1" ht="17.100000000000001" customHeight="1" x14ac:dyDescent="0.2">
      <c r="A57" s="49"/>
      <c r="B57" s="49" t="s">
        <v>23</v>
      </c>
      <c r="C57" s="49"/>
      <c r="D57" s="50"/>
      <c r="E57" s="51"/>
      <c r="F57" s="51"/>
      <c r="G57" s="51"/>
      <c r="H57" s="51"/>
      <c r="I57" s="51"/>
      <c r="J57" s="22"/>
      <c r="K57" s="2"/>
      <c r="L57" s="85"/>
      <c r="M57" s="52"/>
      <c r="N57" s="52"/>
      <c r="O57" s="52"/>
      <c r="P57" s="52"/>
      <c r="Q57" s="2"/>
      <c r="R57" s="2"/>
      <c r="T57" s="2"/>
      <c r="U57" s="2"/>
    </row>
    <row r="58" spans="1:25" s="3" customFormat="1" ht="17.100000000000001" customHeight="1" x14ac:dyDescent="0.2">
      <c r="A58" s="49"/>
      <c r="B58" s="2"/>
      <c r="C58" s="2"/>
      <c r="D58" s="2"/>
      <c r="E58" s="52">
        <v>0</v>
      </c>
      <c r="F58" s="52">
        <v>0</v>
      </c>
      <c r="G58" s="52">
        <v>0</v>
      </c>
      <c r="H58" s="52">
        <v>0</v>
      </c>
      <c r="I58" s="41">
        <f>SUM(E58:H58)</f>
        <v>0</v>
      </c>
      <c r="J58" s="72"/>
      <c r="L58" s="85"/>
      <c r="M58" s="52"/>
      <c r="N58" s="52"/>
      <c r="O58" s="52"/>
      <c r="P58" s="52"/>
      <c r="Q58" s="2"/>
      <c r="V58" s="1"/>
      <c r="W58" s="1"/>
    </row>
    <row r="59" spans="1:25" s="3" customFormat="1" ht="17.100000000000001" customHeight="1" x14ac:dyDescent="0.2">
      <c r="A59" s="21"/>
      <c r="B59" s="2"/>
      <c r="C59" s="2"/>
      <c r="D59" s="2"/>
      <c r="E59" s="52">
        <v>0</v>
      </c>
      <c r="F59" s="52">
        <v>0</v>
      </c>
      <c r="G59" s="52">
        <v>0</v>
      </c>
      <c r="H59" s="52">
        <v>0</v>
      </c>
      <c r="I59" s="41">
        <f>SUM(E59:H59)</f>
        <v>0</v>
      </c>
      <c r="J59" s="22"/>
      <c r="L59" s="85"/>
      <c r="M59" s="52"/>
      <c r="N59" s="52"/>
      <c r="O59" s="52"/>
      <c r="P59" s="52"/>
      <c r="Q59" s="2"/>
      <c r="T59" s="1"/>
      <c r="U59" s="1"/>
      <c r="V59" s="1"/>
      <c r="W59" s="1"/>
      <c r="X59" s="1"/>
      <c r="Y59" s="1"/>
    </row>
    <row r="60" spans="1:25" s="1" customFormat="1" ht="17.100000000000001" customHeight="1" x14ac:dyDescent="0.2">
      <c r="A60" s="3"/>
      <c r="B60" s="20" t="s">
        <v>3</v>
      </c>
      <c r="C60" s="21"/>
      <c r="D60" s="18"/>
      <c r="E60" s="53">
        <f t="shared" ref="E60:I60" si="7">SUM(E58:E59)</f>
        <v>0</v>
      </c>
      <c r="F60" s="53">
        <f t="shared" si="7"/>
        <v>0</v>
      </c>
      <c r="G60" s="53">
        <f t="shared" si="7"/>
        <v>0</v>
      </c>
      <c r="H60" s="53">
        <f t="shared" si="7"/>
        <v>0</v>
      </c>
      <c r="I60" s="53">
        <f t="shared" si="7"/>
        <v>0</v>
      </c>
      <c r="J60" s="26"/>
      <c r="K60" s="3"/>
      <c r="L60" s="85"/>
      <c r="M60" s="52"/>
      <c r="N60" s="52"/>
      <c r="O60" s="52"/>
      <c r="P60" s="52"/>
      <c r="Q60" s="2"/>
      <c r="R60" s="3"/>
      <c r="V60" s="3"/>
      <c r="W60" s="3"/>
      <c r="X60" s="3"/>
      <c r="Y60" s="3"/>
    </row>
    <row r="61" spans="1:25" s="3" customFormat="1" ht="17.100000000000001" customHeight="1" x14ac:dyDescent="0.2">
      <c r="A61" s="21"/>
      <c r="B61" s="6"/>
      <c r="D61" s="17"/>
      <c r="E61" s="41"/>
      <c r="F61" s="41"/>
      <c r="G61" s="41"/>
      <c r="H61" s="41"/>
      <c r="I61" s="41"/>
      <c r="J61" s="24"/>
      <c r="K61" s="1"/>
      <c r="L61" s="6"/>
      <c r="M61" s="7"/>
      <c r="N61" s="7"/>
      <c r="O61" s="7"/>
      <c r="P61" s="7"/>
      <c r="R61" s="1"/>
      <c r="T61" s="17"/>
    </row>
    <row r="62" spans="1:25" s="3" customFormat="1" ht="17.100000000000001" customHeight="1" x14ac:dyDescent="0.2">
      <c r="A62" s="57"/>
      <c r="B62" s="48" t="s">
        <v>26</v>
      </c>
      <c r="C62" s="21"/>
      <c r="D62" s="18"/>
      <c r="E62" s="43"/>
      <c r="F62" s="43"/>
      <c r="G62" s="43"/>
      <c r="H62" s="43"/>
      <c r="I62" s="43"/>
      <c r="J62" s="65"/>
      <c r="K62" s="17"/>
      <c r="L62" s="6"/>
      <c r="M62" s="7"/>
      <c r="N62" s="7"/>
      <c r="O62" s="7"/>
      <c r="P62" s="7"/>
      <c r="R62" s="17"/>
      <c r="V62" s="1"/>
      <c r="W62" s="1"/>
      <c r="X62" s="1"/>
      <c r="Y62" s="1"/>
    </row>
    <row r="63" spans="1:25" s="1" customFormat="1" ht="17.100000000000001" customHeight="1" x14ac:dyDescent="0.2">
      <c r="A63" s="21"/>
      <c r="B63" s="1" t="s">
        <v>5</v>
      </c>
      <c r="D63" s="38"/>
      <c r="E63" s="44">
        <f>SUM(E17+E25+E43+E35+E55+E60+E30)</f>
        <v>111938.2892</v>
      </c>
      <c r="F63" s="44">
        <f>SUM(F17+F25+F43+F35+F55+F60+F30)</f>
        <v>108458.26429599999</v>
      </c>
      <c r="G63" s="44">
        <f>SUM(G17+G25+G43+G35+G55+G60+G30)</f>
        <v>91142.682774880013</v>
      </c>
      <c r="H63" s="44">
        <f>SUM(H17+H25+H43+H35+H55+H60+H30)</f>
        <v>0</v>
      </c>
      <c r="I63" s="44">
        <f>SUM(E63:H63)</f>
        <v>311539.23627088004</v>
      </c>
      <c r="J63" s="39"/>
      <c r="K63" s="37"/>
      <c r="L63" s="6"/>
      <c r="M63" s="7"/>
      <c r="N63" s="7"/>
      <c r="O63" s="7"/>
      <c r="P63" s="7"/>
      <c r="Q63" s="3"/>
      <c r="R63" s="37"/>
      <c r="V63" s="3"/>
      <c r="W63" s="3"/>
      <c r="X63" s="3"/>
      <c r="Y63" s="3"/>
    </row>
    <row r="64" spans="1:25" s="3" customFormat="1" ht="17.100000000000001" customHeight="1" x14ac:dyDescent="0.2">
      <c r="A64" s="21"/>
      <c r="B64" s="3" t="s">
        <v>6</v>
      </c>
      <c r="D64" s="17"/>
      <c r="E64" s="41">
        <f>E63-E54-E43-E30</f>
        <v>98957.139200000005</v>
      </c>
      <c r="F64" s="41">
        <f>F63-F54-F43-F30</f>
        <v>91878.999295999995</v>
      </c>
      <c r="G64" s="41">
        <f>G63-G54-G43-G30</f>
        <v>73135.491274880012</v>
      </c>
      <c r="H64" s="41">
        <f>H63-H54-H43-H30</f>
        <v>0</v>
      </c>
      <c r="I64" s="41">
        <f>SUM(E64:H64)</f>
        <v>263971.62977087998</v>
      </c>
      <c r="J64" s="22"/>
      <c r="K64" s="40"/>
      <c r="L64" s="87"/>
      <c r="M64" s="84"/>
      <c r="N64" s="84"/>
      <c r="O64" s="84"/>
      <c r="P64" s="84"/>
      <c r="Q64" s="1"/>
      <c r="R64" s="40"/>
      <c r="V64" s="2"/>
      <c r="W64" s="2"/>
      <c r="X64" s="2"/>
      <c r="Y64" s="2"/>
    </row>
    <row r="65" spans="1:18" ht="15" x14ac:dyDescent="0.2">
      <c r="A65" s="57"/>
      <c r="B65" s="13" t="s">
        <v>120</v>
      </c>
      <c r="C65" s="13"/>
      <c r="D65" s="69">
        <v>0.5</v>
      </c>
      <c r="E65" s="70">
        <f>$D$65*E64</f>
        <v>49478.569600000003</v>
      </c>
      <c r="F65" s="70">
        <f>$D$65*F64</f>
        <v>45939.499647999997</v>
      </c>
      <c r="G65" s="70">
        <f>$D$65*G64</f>
        <v>36567.745637440006</v>
      </c>
      <c r="H65" s="70">
        <f>$D$65*H64</f>
        <v>0</v>
      </c>
      <c r="I65" s="70">
        <f>SUM(E65:H65)</f>
        <v>131985.81488543999</v>
      </c>
      <c r="K65" s="3"/>
      <c r="L65" s="88"/>
      <c r="M65" s="7"/>
      <c r="N65" s="7"/>
      <c r="O65" s="7"/>
      <c r="P65" s="7"/>
      <c r="Q65" s="17"/>
      <c r="R65" s="3"/>
    </row>
    <row r="66" spans="1:18" ht="15" x14ac:dyDescent="0.2">
      <c r="A66" s="3"/>
      <c r="B66" s="57" t="s">
        <v>4</v>
      </c>
      <c r="C66" s="57"/>
      <c r="D66" s="57"/>
      <c r="E66" s="62">
        <f>E63+E65</f>
        <v>161416.85879999999</v>
      </c>
      <c r="F66" s="62">
        <f>F63+F65</f>
        <v>154397.76394400001</v>
      </c>
      <c r="G66" s="62">
        <f>G63+G65</f>
        <v>127710.42841232002</v>
      </c>
      <c r="H66" s="62">
        <f>H63+H65</f>
        <v>0</v>
      </c>
      <c r="I66" s="62">
        <f>SUM(E66:H66)</f>
        <v>443525.05115632003</v>
      </c>
      <c r="L66" s="89"/>
      <c r="M66" s="7"/>
      <c r="N66" s="7"/>
      <c r="O66" s="7"/>
      <c r="P66" s="7"/>
      <c r="Q66" s="37"/>
    </row>
    <row r="67" spans="1:18" ht="15" x14ac:dyDescent="0.2">
      <c r="B67" s="3"/>
      <c r="C67" s="3"/>
      <c r="D67" s="3"/>
      <c r="E67" s="7"/>
      <c r="F67" s="7"/>
      <c r="G67" s="7"/>
      <c r="H67" s="7"/>
      <c r="I67" s="7"/>
      <c r="L67" s="90"/>
      <c r="M67" s="84"/>
      <c r="N67" s="84"/>
      <c r="O67" s="84"/>
      <c r="P67" s="84"/>
      <c r="Q67" s="40"/>
    </row>
    <row r="68" spans="1:18" x14ac:dyDescent="0.2">
      <c r="L68" s="6"/>
      <c r="M68" s="7"/>
      <c r="N68" s="7"/>
      <c r="O68" s="7"/>
      <c r="P68" s="7"/>
      <c r="Q68" s="3"/>
    </row>
  </sheetData>
  <mergeCells count="8">
    <mergeCell ref="C1:J1"/>
    <mergeCell ref="C4:I4"/>
    <mergeCell ref="T4:W4"/>
    <mergeCell ref="T8:U8"/>
    <mergeCell ref="C3:D3"/>
    <mergeCell ref="E3:I3"/>
    <mergeCell ref="C2:I2"/>
    <mergeCell ref="M5:P5"/>
  </mergeCells>
  <phoneticPr fontId="22" type="noConversion"/>
  <pageMargins left="0.75" right="0.75" top="1" bottom="1" header="0.5" footer="0.5"/>
  <pageSetup scale="85" orientation="portrait" horizontalDpi="4294967292" vertic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E34B-A79C-4C32-95CD-24DF91472497}">
  <dimension ref="A1:K82"/>
  <sheetViews>
    <sheetView topLeftCell="A27" zoomScale="115" zoomScaleNormal="115" workbookViewId="0">
      <selection activeCell="A56" sqref="A56"/>
    </sheetView>
  </sheetViews>
  <sheetFormatPr defaultRowHeight="12.75" x14ac:dyDescent="0.2"/>
  <cols>
    <col min="1" max="1" width="45.75" customWidth="1"/>
    <col min="2" max="5" width="12.25" style="96" bestFit="1" customWidth="1"/>
    <col min="8" max="8" width="15.875" customWidth="1"/>
  </cols>
  <sheetData>
    <row r="1" spans="1:11" ht="15" x14ac:dyDescent="0.2">
      <c r="B1" s="95" t="s">
        <v>18</v>
      </c>
      <c r="C1" s="95" t="s">
        <v>19</v>
      </c>
      <c r="D1" s="95" t="s">
        <v>20</v>
      </c>
    </row>
    <row r="2" spans="1:11" x14ac:dyDescent="0.2">
      <c r="A2" s="73" t="s">
        <v>38</v>
      </c>
      <c r="H2" s="77" t="s">
        <v>92</v>
      </c>
      <c r="I2" s="77" t="s">
        <v>93</v>
      </c>
      <c r="J2" s="77" t="s">
        <v>94</v>
      </c>
      <c r="K2" s="77" t="s">
        <v>95</v>
      </c>
    </row>
    <row r="3" spans="1:11" x14ac:dyDescent="0.2">
      <c r="A3" s="73" t="s">
        <v>73</v>
      </c>
      <c r="B3" s="97"/>
      <c r="H3" s="75">
        <f>K3/1560</f>
        <v>53.260000000000005</v>
      </c>
      <c r="I3" s="75">
        <f>K3/19.5</f>
        <v>4260.8</v>
      </c>
      <c r="J3" s="75">
        <f>K3/9</f>
        <v>9231.7333333333336</v>
      </c>
      <c r="K3">
        <v>83085.600000000006</v>
      </c>
    </row>
    <row r="4" spans="1:11" x14ac:dyDescent="0.2">
      <c r="A4" t="s">
        <v>51</v>
      </c>
      <c r="C4" s="96">
        <v>800</v>
      </c>
      <c r="D4" s="96">
        <f>C4</f>
        <v>800</v>
      </c>
    </row>
    <row r="5" spans="1:11" x14ac:dyDescent="0.2">
      <c r="A5" t="s">
        <v>52</v>
      </c>
      <c r="C5" s="96">
        <v>350</v>
      </c>
      <c r="D5" s="96">
        <f>C5</f>
        <v>350</v>
      </c>
    </row>
    <row r="6" spans="1:11" x14ac:dyDescent="0.2">
      <c r="A6" t="s">
        <v>53</v>
      </c>
      <c r="C6" s="96">
        <f>180*4</f>
        <v>720</v>
      </c>
      <c r="D6" s="96">
        <f>C6</f>
        <v>720</v>
      </c>
    </row>
    <row r="7" spans="1:11" x14ac:dyDescent="0.2">
      <c r="A7" t="s">
        <v>54</v>
      </c>
      <c r="C7" s="96">
        <v>500</v>
      </c>
      <c r="D7" s="96">
        <v>500</v>
      </c>
    </row>
    <row r="8" spans="1:11" x14ac:dyDescent="0.2">
      <c r="A8" t="s">
        <v>55</v>
      </c>
      <c r="C8" s="96">
        <f>250</f>
        <v>250</v>
      </c>
      <c r="D8" s="96">
        <f>250</f>
        <v>250</v>
      </c>
    </row>
    <row r="9" spans="1:11" x14ac:dyDescent="0.2">
      <c r="A9" t="s">
        <v>56</v>
      </c>
      <c r="C9" s="96">
        <v>1</v>
      </c>
      <c r="D9" s="96">
        <v>1</v>
      </c>
    </row>
    <row r="10" spans="1:11" x14ac:dyDescent="0.2">
      <c r="A10" t="s">
        <v>57</v>
      </c>
      <c r="C10" s="96">
        <v>1</v>
      </c>
      <c r="D10" s="96">
        <v>1</v>
      </c>
    </row>
    <row r="11" spans="1:11" s="73" customFormat="1" x14ac:dyDescent="0.2">
      <c r="A11" s="73" t="s">
        <v>58</v>
      </c>
      <c r="B11" s="97">
        <f>SUM(B6:B8,B5)*B10+(SUM(B6:B8,B4))*B9</f>
        <v>0</v>
      </c>
      <c r="C11" s="97">
        <f>SUM(C6:C8,C5)*C10+(SUM(C6:C8,C4))*C9</f>
        <v>4090</v>
      </c>
      <c r="D11" s="97">
        <f>SUM(D6:D8,D5)*D10+(SUM(D6:D8,D4))*D9</f>
        <v>4090</v>
      </c>
      <c r="E11" s="97"/>
    </row>
    <row r="12" spans="1:11" x14ac:dyDescent="0.2">
      <c r="A12" s="73"/>
      <c r="B12" s="97"/>
      <c r="C12" s="97"/>
      <c r="D12" s="97"/>
    </row>
    <row r="13" spans="1:11" x14ac:dyDescent="0.2">
      <c r="A13" s="73" t="s">
        <v>61</v>
      </c>
    </row>
    <row r="14" spans="1:11" x14ac:dyDescent="0.2">
      <c r="A14" t="s">
        <v>62</v>
      </c>
      <c r="B14" s="96">
        <f>25*59</f>
        <v>1475</v>
      </c>
      <c r="H14" s="74" t="s">
        <v>96</v>
      </c>
    </row>
    <row r="15" spans="1:11" x14ac:dyDescent="0.2">
      <c r="A15" t="s">
        <v>63</v>
      </c>
      <c r="B15" s="96">
        <f>100*12</f>
        <v>1200</v>
      </c>
      <c r="H15" t="s">
        <v>64</v>
      </c>
    </row>
    <row r="16" spans="1:11" x14ac:dyDescent="0.2">
      <c r="A16" s="74" t="s">
        <v>151</v>
      </c>
      <c r="B16" s="96">
        <f>5*25*59</f>
        <v>7375</v>
      </c>
    </row>
    <row r="17" spans="1:10" x14ac:dyDescent="0.2">
      <c r="A17" s="74" t="s">
        <v>97</v>
      </c>
      <c r="B17" s="98">
        <v>1800</v>
      </c>
      <c r="C17" s="99"/>
      <c r="D17" s="99"/>
      <c r="H17" s="74" t="s">
        <v>150</v>
      </c>
    </row>
    <row r="18" spans="1:10" s="73" customFormat="1" x14ac:dyDescent="0.2">
      <c r="A18" s="73" t="s">
        <v>155</v>
      </c>
      <c r="B18" s="97">
        <f>SUM(B14:B17)</f>
        <v>11850</v>
      </c>
      <c r="C18" s="97">
        <f t="shared" ref="C18:D18" si="0">SUM(C14:C17)</f>
        <v>0</v>
      </c>
      <c r="D18" s="97">
        <f t="shared" si="0"/>
        <v>0</v>
      </c>
      <c r="E18" s="97"/>
    </row>
    <row r="19" spans="1:10" s="73" customFormat="1" x14ac:dyDescent="0.2">
      <c r="A19" s="74" t="s">
        <v>102</v>
      </c>
      <c r="B19" s="98"/>
      <c r="C19" s="98">
        <v>400</v>
      </c>
      <c r="D19" s="98">
        <v>400</v>
      </c>
      <c r="E19" s="97">
        <f>SUM(B19:D19)</f>
        <v>800</v>
      </c>
    </row>
    <row r="20" spans="1:10" s="73" customFormat="1" x14ac:dyDescent="0.2">
      <c r="A20" s="73" t="s">
        <v>109</v>
      </c>
      <c r="B20" s="97">
        <f>B18+B11</f>
        <v>11850</v>
      </c>
      <c r="C20" s="97">
        <f>C18+C11+C19</f>
        <v>4490</v>
      </c>
      <c r="D20" s="97">
        <f>D18+D11+D19</f>
        <v>4490</v>
      </c>
      <c r="E20" s="97">
        <f>SUM(B20:D20)</f>
        <v>20830</v>
      </c>
      <c r="I20" s="74"/>
      <c r="J20" s="74"/>
    </row>
    <row r="21" spans="1:10" s="73" customFormat="1" x14ac:dyDescent="0.2">
      <c r="B21" s="97"/>
      <c r="C21" s="97"/>
      <c r="D21" s="97"/>
      <c r="E21" s="96"/>
      <c r="F21"/>
      <c r="G21"/>
      <c r="H21"/>
      <c r="I21"/>
      <c r="J21"/>
    </row>
    <row r="22" spans="1:10" s="73" customFormat="1" x14ac:dyDescent="0.2">
      <c r="A22"/>
      <c r="B22" s="97"/>
      <c r="C22" s="97"/>
      <c r="D22" s="97"/>
      <c r="E22" s="96"/>
      <c r="F22"/>
      <c r="G22"/>
    </row>
    <row r="23" spans="1:10" s="73" customFormat="1" x14ac:dyDescent="0.2">
      <c r="A23" s="73" t="s">
        <v>121</v>
      </c>
      <c r="B23" s="96"/>
      <c r="C23" s="96"/>
      <c r="D23" s="96"/>
      <c r="E23" s="96"/>
      <c r="F23"/>
      <c r="G23"/>
      <c r="H23" s="74" t="s">
        <v>105</v>
      </c>
    </row>
    <row r="24" spans="1:10" s="73" customFormat="1" x14ac:dyDescent="0.2">
      <c r="A24" s="74" t="s">
        <v>163</v>
      </c>
      <c r="B24" s="96"/>
      <c r="C24" s="96">
        <f>2800*4</f>
        <v>11200</v>
      </c>
      <c r="D24" s="96">
        <f>2800*2</f>
        <v>5600</v>
      </c>
      <c r="E24" s="96"/>
      <c r="F24"/>
      <c r="G24"/>
    </row>
    <row r="25" spans="1:10" x14ac:dyDescent="0.2">
      <c r="A25" t="s">
        <v>86</v>
      </c>
      <c r="C25" s="96">
        <v>200</v>
      </c>
    </row>
    <row r="26" spans="1:10" x14ac:dyDescent="0.2">
      <c r="A26" t="s">
        <v>65</v>
      </c>
      <c r="C26" s="96">
        <f>3*200*2</f>
        <v>1200</v>
      </c>
      <c r="D26" s="96">
        <f>2*200*2</f>
        <v>800</v>
      </c>
      <c r="H26" t="s">
        <v>67</v>
      </c>
    </row>
    <row r="27" spans="1:10" x14ac:dyDescent="0.2">
      <c r="A27" s="74" t="s">
        <v>72</v>
      </c>
      <c r="C27" s="96">
        <f>56*30*4</f>
        <v>6720</v>
      </c>
      <c r="D27" s="96">
        <f>5*30*2</f>
        <v>300</v>
      </c>
      <c r="H27" t="s">
        <v>66</v>
      </c>
    </row>
    <row r="28" spans="1:10" x14ac:dyDescent="0.2">
      <c r="A28" s="74" t="s">
        <v>74</v>
      </c>
      <c r="C28" s="96">
        <f>4*200</f>
        <v>800</v>
      </c>
      <c r="D28" s="96">
        <f>2*100</f>
        <v>200</v>
      </c>
      <c r="G28" s="74"/>
      <c r="H28" s="74"/>
    </row>
    <row r="29" spans="1:10" x14ac:dyDescent="0.2">
      <c r="A29" s="73" t="s">
        <v>69</v>
      </c>
      <c r="B29" s="97">
        <f>SUM(B24:B28)</f>
        <v>0</v>
      </c>
      <c r="C29" s="97">
        <f>SUM(C24:C28)</f>
        <v>20120</v>
      </c>
      <c r="D29" s="97">
        <f>SUM(D24:D28)</f>
        <v>6900</v>
      </c>
      <c r="E29" s="97">
        <f>SUM(B29:D29)</f>
        <v>27020</v>
      </c>
    </row>
    <row r="30" spans="1:10" x14ac:dyDescent="0.2">
      <c r="A30" s="73"/>
      <c r="B30" s="97"/>
      <c r="C30" s="97"/>
      <c r="D30" s="97"/>
    </row>
    <row r="31" spans="1:10" x14ac:dyDescent="0.2">
      <c r="A31" s="73" t="s">
        <v>70</v>
      </c>
      <c r="B31" s="97">
        <f>B29+B20</f>
        <v>11850</v>
      </c>
      <c r="C31" s="97">
        <f>C29+C20</f>
        <v>24610</v>
      </c>
      <c r="D31" s="97">
        <f>D29+D20</f>
        <v>11390</v>
      </c>
      <c r="E31" s="97">
        <f>SUM(B31:D31)</f>
        <v>47850</v>
      </c>
    </row>
    <row r="33" spans="1:8" x14ac:dyDescent="0.2">
      <c r="A33" s="73"/>
    </row>
    <row r="34" spans="1:8" x14ac:dyDescent="0.2">
      <c r="A34" s="73" t="s">
        <v>153</v>
      </c>
    </row>
    <row r="35" spans="1:8" x14ac:dyDescent="0.2">
      <c r="A35" s="74" t="s">
        <v>172</v>
      </c>
      <c r="C35" s="96">
        <v>1000</v>
      </c>
      <c r="D35" s="96">
        <v>1000</v>
      </c>
    </row>
    <row r="36" spans="1:8" s="74" customFormat="1" x14ac:dyDescent="0.2">
      <c r="A36" s="74" t="s">
        <v>161</v>
      </c>
      <c r="B36" s="98"/>
      <c r="C36" s="98">
        <v>400</v>
      </c>
      <c r="D36" s="98">
        <v>400</v>
      </c>
      <c r="E36" s="98"/>
      <c r="H36" s="74" t="s">
        <v>122</v>
      </c>
    </row>
    <row r="37" spans="1:8" s="74" customFormat="1" x14ac:dyDescent="0.2">
      <c r="A37" s="74" t="s">
        <v>101</v>
      </c>
      <c r="B37" s="98"/>
      <c r="C37" s="98">
        <v>900</v>
      </c>
      <c r="D37" s="98">
        <v>900</v>
      </c>
      <c r="E37" s="96"/>
      <c r="F37"/>
      <c r="G37"/>
      <c r="H37" s="74" t="s">
        <v>157</v>
      </c>
    </row>
    <row r="38" spans="1:8" x14ac:dyDescent="0.2">
      <c r="A38" s="74"/>
      <c r="B38" s="97">
        <f>SUM(B35:B36)</f>
        <v>0</v>
      </c>
      <c r="C38" s="97">
        <f>SUM(C35:C37)</f>
        <v>2300</v>
      </c>
      <c r="D38" s="97">
        <f>SUM(D35:D37)</f>
        <v>2300</v>
      </c>
      <c r="E38" s="97">
        <f>SUM(B38:D38)</f>
        <v>4600</v>
      </c>
    </row>
    <row r="39" spans="1:8" x14ac:dyDescent="0.2">
      <c r="A39" s="73" t="s">
        <v>39</v>
      </c>
    </row>
    <row r="40" spans="1:8" x14ac:dyDescent="0.2">
      <c r="A40" s="74" t="s">
        <v>60</v>
      </c>
      <c r="C40" s="96">
        <v>2900</v>
      </c>
      <c r="D40" s="96">
        <v>2900</v>
      </c>
      <c r="E40" s="97">
        <f>SUM(B40:D40)</f>
        <v>5800</v>
      </c>
    </row>
    <row r="41" spans="1:8" x14ac:dyDescent="0.2">
      <c r="A41" s="74" t="s">
        <v>90</v>
      </c>
      <c r="B41" s="98">
        <v>600</v>
      </c>
      <c r="E41" s="97">
        <f t="shared" ref="E41:E44" si="1">SUM(B41:D41)</f>
        <v>600</v>
      </c>
      <c r="H41" s="74"/>
    </row>
    <row r="42" spans="1:8" x14ac:dyDescent="0.2">
      <c r="A42" s="74" t="s">
        <v>154</v>
      </c>
      <c r="B42" s="96">
        <f>12*500</f>
        <v>6000</v>
      </c>
      <c r="E42" s="97">
        <f t="shared" si="1"/>
        <v>6000</v>
      </c>
      <c r="H42" s="74" t="s">
        <v>118</v>
      </c>
    </row>
    <row r="43" spans="1:8" s="74" customFormat="1" x14ac:dyDescent="0.2">
      <c r="A43" s="74" t="s">
        <v>98</v>
      </c>
      <c r="B43" s="96">
        <v>5000</v>
      </c>
      <c r="C43" s="96">
        <v>5000</v>
      </c>
      <c r="D43" s="96">
        <v>5000</v>
      </c>
      <c r="E43" s="97">
        <f t="shared" si="1"/>
        <v>15000</v>
      </c>
      <c r="H43" s="74" t="s">
        <v>110</v>
      </c>
    </row>
    <row r="44" spans="1:8" x14ac:dyDescent="0.2">
      <c r="A44" s="74" t="s">
        <v>146</v>
      </c>
      <c r="C44" s="96">
        <f>25*25</f>
        <v>625</v>
      </c>
      <c r="D44" s="96">
        <f>25*25</f>
        <v>625</v>
      </c>
      <c r="E44" s="97">
        <f t="shared" si="1"/>
        <v>1250</v>
      </c>
      <c r="F44" s="76"/>
      <c r="H44" s="76"/>
    </row>
    <row r="45" spans="1:8" x14ac:dyDescent="0.2">
      <c r="A45" s="74"/>
      <c r="E45" s="99"/>
      <c r="F45" s="76"/>
      <c r="H45" s="76"/>
    </row>
    <row r="46" spans="1:8" x14ac:dyDescent="0.2">
      <c r="A46" s="73" t="s">
        <v>59</v>
      </c>
    </row>
    <row r="47" spans="1:8" s="74" customFormat="1" x14ac:dyDescent="0.2">
      <c r="A47" s="74" t="s">
        <v>160</v>
      </c>
      <c r="B47" s="98">
        <f>2*1600</f>
        <v>3200</v>
      </c>
      <c r="C47" s="98"/>
      <c r="D47" s="98"/>
      <c r="E47" s="98"/>
      <c r="H47" s="74" t="s">
        <v>148</v>
      </c>
    </row>
    <row r="48" spans="1:8" x14ac:dyDescent="0.2">
      <c r="A48" t="s">
        <v>68</v>
      </c>
      <c r="B48" s="96">
        <v>500</v>
      </c>
    </row>
    <row r="49" spans="1:11" x14ac:dyDescent="0.2">
      <c r="A49" t="s">
        <v>75</v>
      </c>
      <c r="B49" s="96">
        <v>350</v>
      </c>
    </row>
    <row r="50" spans="1:11" x14ac:dyDescent="0.2">
      <c r="A50" s="74" t="s">
        <v>78</v>
      </c>
      <c r="B50" s="96">
        <v>650</v>
      </c>
    </row>
    <row r="51" spans="1:11" x14ac:dyDescent="0.2">
      <c r="A51" s="74" t="s">
        <v>77</v>
      </c>
      <c r="B51" s="96">
        <v>150</v>
      </c>
    </row>
    <row r="52" spans="1:11" x14ac:dyDescent="0.2">
      <c r="B52" s="97">
        <f>SUM(B47:B51)</f>
        <v>4850</v>
      </c>
      <c r="C52" s="97"/>
      <c r="D52" s="97"/>
      <c r="E52" s="97">
        <f>SUM(B52:D52)</f>
        <v>4850</v>
      </c>
    </row>
    <row r="53" spans="1:11" x14ac:dyDescent="0.2">
      <c r="A53" s="73" t="s">
        <v>99</v>
      </c>
    </row>
    <row r="54" spans="1:11" x14ac:dyDescent="0.2">
      <c r="A54" s="74" t="s">
        <v>100</v>
      </c>
      <c r="B54" s="96">
        <f>3*200</f>
        <v>600</v>
      </c>
    </row>
    <row r="55" spans="1:11" x14ac:dyDescent="0.2">
      <c r="A55" t="s">
        <v>79</v>
      </c>
      <c r="B55" s="96">
        <v>850</v>
      </c>
      <c r="H55" s="74" t="s">
        <v>164</v>
      </c>
    </row>
    <row r="56" spans="1:11" x14ac:dyDescent="0.2">
      <c r="A56" s="74" t="s">
        <v>119</v>
      </c>
      <c r="B56" s="96">
        <v>2200</v>
      </c>
      <c r="C56" s="96">
        <v>2400</v>
      </c>
      <c r="H56" s="74" t="s">
        <v>117</v>
      </c>
    </row>
    <row r="57" spans="1:11" x14ac:dyDescent="0.2">
      <c r="A57" s="74" t="s">
        <v>114</v>
      </c>
      <c r="B57" s="96">
        <v>1700</v>
      </c>
      <c r="H57" s="74" t="s">
        <v>116</v>
      </c>
    </row>
    <row r="58" spans="1:11" x14ac:dyDescent="0.2">
      <c r="A58" s="74" t="s">
        <v>149</v>
      </c>
      <c r="C58" s="96">
        <v>250</v>
      </c>
    </row>
    <row r="59" spans="1:11" x14ac:dyDescent="0.2">
      <c r="A59" s="73" t="s">
        <v>158</v>
      </c>
      <c r="B59" s="97">
        <f>SUM(B54:B58)</f>
        <v>5350</v>
      </c>
      <c r="C59" s="97">
        <f>SUM(C54:C58)</f>
        <v>2650</v>
      </c>
      <c r="D59" s="97">
        <f>SUM(D54:D58)</f>
        <v>0</v>
      </c>
      <c r="E59" s="97">
        <f>SUM(B59:D59)</f>
        <v>8000</v>
      </c>
    </row>
    <row r="63" spans="1:11" x14ac:dyDescent="0.2">
      <c r="H63" s="73"/>
      <c r="I63" s="73"/>
      <c r="K63" s="73"/>
    </row>
    <row r="64" spans="1:11" x14ac:dyDescent="0.2">
      <c r="A64" s="73" t="s">
        <v>88</v>
      </c>
    </row>
    <row r="65" spans="1:8" ht="14.25" x14ac:dyDescent="0.2">
      <c r="A65" s="3" t="s">
        <v>80</v>
      </c>
      <c r="B65" s="7">
        <f>52/12*9</f>
        <v>39</v>
      </c>
    </row>
    <row r="66" spans="1:8" ht="14.25" x14ac:dyDescent="0.2">
      <c r="A66" s="3" t="s">
        <v>87</v>
      </c>
      <c r="B66" s="7">
        <f>0.205*B65</f>
        <v>7.9949999999999992</v>
      </c>
    </row>
    <row r="67" spans="1:8" ht="14.25" x14ac:dyDescent="0.2">
      <c r="A67" s="3" t="s">
        <v>81</v>
      </c>
      <c r="B67" s="7">
        <f>B66*40</f>
        <v>319.79999999999995</v>
      </c>
    </row>
    <row r="68" spans="1:8" x14ac:dyDescent="0.2">
      <c r="A68" t="s">
        <v>83</v>
      </c>
      <c r="B68" s="96">
        <f>40*B65</f>
        <v>1560</v>
      </c>
    </row>
    <row r="69" spans="1:8" x14ac:dyDescent="0.2">
      <c r="A69" t="s">
        <v>82</v>
      </c>
      <c r="B69" s="96">
        <f>9*(320/B68)</f>
        <v>1.846153846153846</v>
      </c>
    </row>
    <row r="71" spans="1:8" x14ac:dyDescent="0.2">
      <c r="A71" s="73" t="s">
        <v>89</v>
      </c>
    </row>
    <row r="72" spans="1:8" ht="14.25" x14ac:dyDescent="0.2">
      <c r="A72" t="s">
        <v>84</v>
      </c>
      <c r="B72" s="7">
        <f>20*B65</f>
        <v>780</v>
      </c>
      <c r="C72" s="96">
        <f>25*B72</f>
        <v>19500</v>
      </c>
    </row>
    <row r="73" spans="1:8" x14ac:dyDescent="0.2">
      <c r="A73" t="s">
        <v>85</v>
      </c>
      <c r="B73" s="96">
        <f>13*20</f>
        <v>260</v>
      </c>
      <c r="C73" s="96">
        <f>25*B73</f>
        <v>6500</v>
      </c>
    </row>
    <row r="74" spans="1:8" x14ac:dyDescent="0.2">
      <c r="C74" s="96">
        <f>C72+C73</f>
        <v>26000</v>
      </c>
    </row>
    <row r="75" spans="1:8" x14ac:dyDescent="0.2">
      <c r="A75" s="73" t="s">
        <v>156</v>
      </c>
    </row>
    <row r="76" spans="1:8" x14ac:dyDescent="0.2">
      <c r="A76" s="74" t="s">
        <v>115</v>
      </c>
      <c r="B76" s="96">
        <f>2*8*6*15</f>
        <v>1440</v>
      </c>
      <c r="H76" s="74" t="s">
        <v>147</v>
      </c>
    </row>
    <row r="82" spans="4:4" x14ac:dyDescent="0.2">
      <c r="D82" s="9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47E0BC95FFB34588F39CC8476B1C06" ma:contentTypeVersion="13" ma:contentTypeDescription="Create a new document." ma:contentTypeScope="" ma:versionID="bfe239b528acad6290d158ea0b4362ba">
  <xsd:schema xmlns:xsd="http://www.w3.org/2001/XMLSchema" xmlns:xs="http://www.w3.org/2001/XMLSchema" xmlns:p="http://schemas.microsoft.com/office/2006/metadata/properties" xmlns:ns3="a16d3d09-882a-4e95-b91f-206a1b605909" xmlns:ns4="e8f4c7ce-057b-4e21-9353-0b78335ecec4" targetNamespace="http://schemas.microsoft.com/office/2006/metadata/properties" ma:root="true" ma:fieldsID="823329fdaf859602255650f1f4584535" ns3:_="" ns4:_="">
    <xsd:import namespace="a16d3d09-882a-4e95-b91f-206a1b605909"/>
    <xsd:import namespace="e8f4c7ce-057b-4e21-9353-0b78335ece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d3d09-882a-4e95-b91f-206a1b6059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4c7ce-057b-4e21-9353-0b78335ece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9AD6C4-0318-4558-8586-1619D2D49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6d3d09-882a-4e95-b91f-206a1b605909"/>
    <ds:schemaRef ds:uri="e8f4c7ce-057b-4e21-9353-0b78335ece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E04A6E-CE23-4015-90B8-0DE300F6CA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D813FD-F1A2-406A-AB40-C333D09F18B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 AY20-21 SF424 5 year budget</vt:lpstr>
      <vt:lpstr>Breakdown of costs</vt:lpstr>
      <vt:lpstr>'UI AY20-21 SF424 5 year budget'!Print_Area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Grimes, John (jgrimes@uidaho.edu)</cp:lastModifiedBy>
  <cp:lastPrinted>2016-06-13T21:41:04Z</cp:lastPrinted>
  <dcterms:created xsi:type="dcterms:W3CDTF">2008-06-12T16:26:50Z</dcterms:created>
  <dcterms:modified xsi:type="dcterms:W3CDTF">2022-09-14T17:35:33Z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0x010100C447E0BC95FFB34588F39CC8476B1C06</vt:lpwstr>
  </property>
</Properties>
</file>