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11"/>
  <workbookPr/>
  <mc:AlternateContent xmlns:mc="http://schemas.openxmlformats.org/markup-compatibility/2006">
    <mc:Choice Requires="x15">
      <x15ac:absPath xmlns:x15ac="http://schemas.microsoft.com/office/spreadsheetml/2010/11/ac" url="C:\Users\kwalt\Downloads\"/>
    </mc:Choice>
  </mc:AlternateContent>
  <xr:revisionPtr revIDLastSave="35" documentId="8_{B0CE70FC-A8F6-4C93-AC64-11957F2EB486}" xr6:coauthVersionLast="47" xr6:coauthVersionMax="47" xr10:uidLastSave="{2800CB65-D831-4328-B91B-6D7704B9854E}"/>
  <bookViews>
    <workbookView xWindow="-108" yWindow="-108" windowWidth="30936" windowHeight="16896" xr2:uid="{00000000-000D-0000-FFFF-FFFF00000000}"/>
  </bookViews>
  <sheets>
    <sheet name="MTDC" sheetId="1" r:id="rId1"/>
    <sheet name="Travel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4" i="1" l="1"/>
  <c r="G94" i="1"/>
  <c r="F94" i="1"/>
  <c r="F80" i="1"/>
  <c r="G80" i="1"/>
  <c r="H80" i="1"/>
  <c r="E80" i="1"/>
  <c r="E94" i="1"/>
  <c r="H79" i="1"/>
  <c r="H78" i="1"/>
  <c r="H77" i="1"/>
  <c r="G79" i="1"/>
  <c r="G78" i="1"/>
  <c r="G77" i="1"/>
  <c r="F79" i="1"/>
  <c r="F78" i="1"/>
  <c r="F77" i="1"/>
  <c r="E90" i="1"/>
  <c r="E89" i="1"/>
  <c r="M7" i="2"/>
  <c r="M12" i="2"/>
  <c r="M11" i="2"/>
  <c r="M10" i="2"/>
  <c r="M9" i="2"/>
  <c r="G54" i="1"/>
  <c r="E54" i="1"/>
  <c r="F90" i="1"/>
  <c r="G90" i="1" s="1"/>
  <c r="H90" i="1" s="1"/>
  <c r="F76" i="1"/>
  <c r="I76" i="1"/>
  <c r="J75" i="1"/>
  <c r="H51" i="1"/>
  <c r="G51" i="1"/>
  <c r="F51" i="1"/>
  <c r="E51" i="1"/>
  <c r="F21" i="1"/>
  <c r="M8" i="2"/>
  <c r="G21" i="1"/>
  <c r="H21" i="1" s="1"/>
  <c r="M6" i="2"/>
  <c r="F36" i="1"/>
  <c r="E36" i="1"/>
  <c r="H36" i="1"/>
  <c r="G36" i="1"/>
  <c r="F89" i="1"/>
  <c r="G89" i="1" s="1"/>
  <c r="H89" i="1" s="1"/>
  <c r="N10" i="2"/>
  <c r="N8" i="2"/>
  <c r="E19" i="1"/>
  <c r="E34" i="1" s="1"/>
  <c r="E14" i="1"/>
  <c r="E32" i="1" s="1"/>
  <c r="L7" i="2"/>
  <c r="L8" i="2"/>
  <c r="L4" i="2"/>
  <c r="M4" i="2" s="1"/>
  <c r="L3" i="2"/>
  <c r="M3" i="2" s="1"/>
  <c r="N5" i="2" s="1"/>
  <c r="J116" i="1"/>
  <c r="J115" i="1"/>
  <c r="J21" i="1"/>
  <c r="H50" i="1"/>
  <c r="G50" i="1"/>
  <c r="F50" i="1"/>
  <c r="E50" i="1"/>
  <c r="E20" i="1"/>
  <c r="E35" i="1" s="1"/>
  <c r="E12" i="1"/>
  <c r="E30" i="1" s="1"/>
  <c r="J51" i="1"/>
  <c r="J50" i="1"/>
  <c r="H49" i="1"/>
  <c r="G49" i="1"/>
  <c r="F49" i="1"/>
  <c r="F62" i="1" s="1"/>
  <c r="E49" i="1"/>
  <c r="E62" i="1" s="1"/>
  <c r="E13" i="1"/>
  <c r="E31" i="1" s="1"/>
  <c r="E113" i="1"/>
  <c r="L12" i="2"/>
  <c r="F14" i="1"/>
  <c r="F32" i="1" s="1"/>
  <c r="L6" i="2"/>
  <c r="E15" i="1"/>
  <c r="E8" i="1"/>
  <c r="E10" i="1"/>
  <c r="E28" i="1" s="1"/>
  <c r="E11" i="1"/>
  <c r="K65" i="1"/>
  <c r="E22" i="1"/>
  <c r="J57" i="1"/>
  <c r="J53" i="1"/>
  <c r="O14" i="2"/>
  <c r="O16" i="2" s="1"/>
  <c r="G76" i="1" l="1"/>
  <c r="J36" i="1"/>
  <c r="E29" i="1"/>
  <c r="F11" i="1"/>
  <c r="I30" i="1"/>
  <c r="F13" i="1"/>
  <c r="F31" i="1" s="1"/>
  <c r="G14" i="1"/>
  <c r="G32" i="1" s="1"/>
  <c r="F10" i="1"/>
  <c r="G11" i="1"/>
  <c r="H11" i="1" s="1"/>
  <c r="L10" i="2"/>
  <c r="L9" i="2"/>
  <c r="E15" i="2" s="1"/>
  <c r="G41" i="1" s="1"/>
  <c r="L11" i="2"/>
  <c r="L2" i="2"/>
  <c r="M2" i="2" s="1"/>
  <c r="H76" i="1" l="1"/>
  <c r="J76" i="1"/>
  <c r="J90" i="1"/>
  <c r="G13" i="1"/>
  <c r="D16" i="2"/>
  <c r="D15" i="2"/>
  <c r="F41" i="1" s="1"/>
  <c r="N12" i="2"/>
  <c r="E16" i="2"/>
  <c r="H14" i="1"/>
  <c r="F16" i="2"/>
  <c r="C16" i="2"/>
  <c r="G16" i="2" s="1"/>
  <c r="C15" i="2"/>
  <c r="E41" i="1" s="1"/>
  <c r="F28" i="1"/>
  <c r="G10" i="1"/>
  <c r="F29" i="1"/>
  <c r="F15" i="2"/>
  <c r="H41" i="1" s="1"/>
  <c r="J14" i="1" l="1"/>
  <c r="H32" i="1"/>
  <c r="H13" i="1"/>
  <c r="G31" i="1"/>
  <c r="G15" i="2"/>
  <c r="F17" i="2" s="1"/>
  <c r="G28" i="1"/>
  <c r="H10" i="1"/>
  <c r="G29" i="1"/>
  <c r="H29" i="1"/>
  <c r="F20" i="1"/>
  <c r="G20" i="1" s="1"/>
  <c r="H20" i="1" s="1"/>
  <c r="F22" i="1"/>
  <c r="G22" i="1" s="1"/>
  <c r="F19" i="1"/>
  <c r="G19" i="1" s="1"/>
  <c r="H19" i="1" s="1"/>
  <c r="I16" i="1"/>
  <c r="E33" i="1"/>
  <c r="F12" i="1"/>
  <c r="E9" i="1"/>
  <c r="F9" i="1" s="1"/>
  <c r="G9" i="1" s="1"/>
  <c r="H9" i="1" s="1"/>
  <c r="F8" i="1"/>
  <c r="G8" i="1" s="1"/>
  <c r="H8" i="1" s="1"/>
  <c r="H31" i="1" l="1"/>
  <c r="J13" i="1"/>
  <c r="J31" i="1" s="1"/>
  <c r="G12" i="1"/>
  <c r="F30" i="1"/>
  <c r="J29" i="1"/>
  <c r="H28" i="1"/>
  <c r="J28" i="1" s="1"/>
  <c r="J10" i="1"/>
  <c r="J11" i="1"/>
  <c r="F15" i="1"/>
  <c r="E16" i="1"/>
  <c r="I92" i="1"/>
  <c r="H92" i="1"/>
  <c r="G92" i="1"/>
  <c r="F92" i="1"/>
  <c r="E92" i="1"/>
  <c r="J91" i="1"/>
  <c r="J89" i="1"/>
  <c r="I86" i="1"/>
  <c r="H86" i="1"/>
  <c r="G86" i="1"/>
  <c r="F86" i="1"/>
  <c r="E86" i="1"/>
  <c r="J85" i="1"/>
  <c r="J84" i="1"/>
  <c r="J83" i="1"/>
  <c r="J82" i="1"/>
  <c r="I72" i="1"/>
  <c r="H72" i="1"/>
  <c r="G72" i="1"/>
  <c r="F72" i="1"/>
  <c r="E72" i="1"/>
  <c r="J71" i="1"/>
  <c r="I62" i="1"/>
  <c r="H62" i="1"/>
  <c r="G62" i="1"/>
  <c r="J54" i="1"/>
  <c r="J59" i="1"/>
  <c r="J58" i="1"/>
  <c r="J56" i="1"/>
  <c r="J55" i="1"/>
  <c r="J52" i="1"/>
  <c r="J49" i="1"/>
  <c r="I46" i="1"/>
  <c r="H46" i="1"/>
  <c r="G46" i="1"/>
  <c r="F46" i="1"/>
  <c r="E46" i="1"/>
  <c r="J46" i="1" s="1"/>
  <c r="J45" i="1"/>
  <c r="J44" i="1"/>
  <c r="J43" i="1"/>
  <c r="J42" i="1"/>
  <c r="J41" i="1"/>
  <c r="H35" i="1"/>
  <c r="G35" i="1"/>
  <c r="F35" i="1"/>
  <c r="H34" i="1"/>
  <c r="G34" i="1"/>
  <c r="F34" i="1"/>
  <c r="H27" i="1"/>
  <c r="G27" i="1"/>
  <c r="F27" i="1"/>
  <c r="E27" i="1"/>
  <c r="H26" i="1"/>
  <c r="G26" i="1"/>
  <c r="F26" i="1"/>
  <c r="E26" i="1"/>
  <c r="I23" i="1"/>
  <c r="H23" i="1"/>
  <c r="G23" i="1"/>
  <c r="F23" i="1"/>
  <c r="E23" i="1"/>
  <c r="J22" i="1"/>
  <c r="J20" i="1"/>
  <c r="J19" i="1"/>
  <c r="J9" i="1"/>
  <c r="J8" i="1"/>
  <c r="E103" i="1" l="1"/>
  <c r="E104" i="1" s="1"/>
  <c r="E105" i="1" s="1"/>
  <c r="E107" i="1" s="1"/>
  <c r="E37" i="1"/>
  <c r="H12" i="1"/>
  <c r="G30" i="1"/>
  <c r="K62" i="1"/>
  <c r="E108" i="1"/>
  <c r="G15" i="1"/>
  <c r="F33" i="1"/>
  <c r="F16" i="1"/>
  <c r="J23" i="1"/>
  <c r="J86" i="1"/>
  <c r="J72" i="1"/>
  <c r="J62" i="1"/>
  <c r="E38" i="1"/>
  <c r="E65" i="1" s="1"/>
  <c r="J92" i="1"/>
  <c r="I26" i="1"/>
  <c r="I35" i="1"/>
  <c r="J35" i="1" s="1"/>
  <c r="I27" i="1"/>
  <c r="J27" i="1" s="1"/>
  <c r="I34" i="1"/>
  <c r="J34" i="1" s="1"/>
  <c r="I32" i="1"/>
  <c r="J32" i="1" s="1"/>
  <c r="F103" i="1" l="1"/>
  <c r="F37" i="1"/>
  <c r="H30" i="1"/>
  <c r="J12" i="1"/>
  <c r="K13" i="1" s="1"/>
  <c r="F104" i="1"/>
  <c r="F105" i="1" s="1"/>
  <c r="H15" i="1"/>
  <c r="F38" i="1"/>
  <c r="F65" i="1" s="1"/>
  <c r="G33" i="1"/>
  <c r="G37" i="1" s="1"/>
  <c r="G16" i="1"/>
  <c r="E96" i="1"/>
  <c r="E98" i="1"/>
  <c r="E118" i="1" s="1"/>
  <c r="I37" i="1"/>
  <c r="J26" i="1"/>
  <c r="F96" i="1" l="1"/>
  <c r="J30" i="1"/>
  <c r="F107" i="1"/>
  <c r="H16" i="1"/>
  <c r="J16" i="1" s="1"/>
  <c r="H33" i="1"/>
  <c r="G103" i="1"/>
  <c r="J15" i="1"/>
  <c r="K20" i="1" s="1"/>
  <c r="F98" i="1"/>
  <c r="F118" i="1" s="1"/>
  <c r="G38" i="1"/>
  <c r="G65" i="1" s="1"/>
  <c r="I38" i="1"/>
  <c r="I65" i="1" s="1"/>
  <c r="G96" i="1" l="1"/>
  <c r="H37" i="1"/>
  <c r="J37" i="1" s="1"/>
  <c r="H38" i="1"/>
  <c r="H65" i="1" s="1"/>
  <c r="J33" i="1"/>
  <c r="H103" i="1"/>
  <c r="F108" i="1"/>
  <c r="J38" i="1"/>
  <c r="G104" i="1"/>
  <c r="G105" i="1" s="1"/>
  <c r="I94" i="1"/>
  <c r="I96" i="1"/>
  <c r="J65" i="1" l="1"/>
  <c r="H96" i="1"/>
  <c r="J96" i="1" s="1"/>
  <c r="G107" i="1"/>
  <c r="H104" i="1"/>
  <c r="H105" i="1" s="1"/>
  <c r="G98" i="1"/>
  <c r="G118" i="1" s="1"/>
  <c r="I98" i="1"/>
  <c r="H98" i="1" l="1"/>
  <c r="J94" i="1"/>
  <c r="K98" i="1" s="1"/>
  <c r="H107" i="1"/>
  <c r="H108" i="1" s="1"/>
  <c r="J105" i="1"/>
  <c r="G108" i="1"/>
  <c r="J108" i="1" s="1"/>
  <c r="J98" i="1" l="1"/>
  <c r="H118" i="1"/>
  <c r="J118" i="1" s="1"/>
  <c r="J107" i="1"/>
  <c r="J10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tc={C5A38B3A-600D-45E2-A496-26EE9B813E89}</author>
  </authors>
  <commentList>
    <comment ref="F15" authorId="0" shapeId="0" xr:uid="{C5A38B3A-600D-45E2-A496-26EE9B813E89}">
      <text>
        <t>[Threaded comment]
Your version of Excel allows you to read this threaded comment; however, any edits to it will get removed if the file is opened in a newer version of Excel. Learn more: https://go.microsoft.com/fwlink/?linkid=870924
Comment:
    do we need to build in a 2.5% increase in years 2-4?</t>
      </text>
    </comment>
  </commentList>
</comments>
</file>

<file path=xl/sharedStrings.xml><?xml version="1.0" encoding="utf-8"?>
<sst xmlns="http://schemas.openxmlformats.org/spreadsheetml/2006/main" count="196" uniqueCount="136">
  <si>
    <t>Budget - UI Rate</t>
  </si>
  <si>
    <t>Oct 1, 2023 - Sep 30, 2027</t>
  </si>
  <si>
    <t>Senior Salaries</t>
  </si>
  <si>
    <t>Salary Base</t>
  </si>
  <si>
    <t>Year 1</t>
  </si>
  <si>
    <t>Year 2</t>
  </si>
  <si>
    <t>Year 3</t>
  </si>
  <si>
    <t>Year 4</t>
  </si>
  <si>
    <t>Year 5</t>
  </si>
  <si>
    <t>Total</t>
  </si>
  <si>
    <t>Consolidated Fringe Rates FY23</t>
  </si>
  <si>
    <t>PI L Alessa (2.0 mos.)</t>
  </si>
  <si>
    <t>Co-PI A Smith (1.0 mos.)</t>
  </si>
  <si>
    <t>Snr Pers A Kliskey (0.25 mos.)</t>
  </si>
  <si>
    <t>Snr Pers Erin Brooks (1.0 mos)</t>
  </si>
  <si>
    <t>Snr Pers Roger Lew (0.5 mos)</t>
  </si>
  <si>
    <t>Faculty</t>
  </si>
  <si>
    <t>Research Scientist Erich Seamon (3.0 mos)</t>
  </si>
  <si>
    <t>Postdoc (12 mos)</t>
  </si>
  <si>
    <t>Program Specialist (3.0 mos.)</t>
  </si>
  <si>
    <t>Total Salaries</t>
  </si>
  <si>
    <t>Students</t>
  </si>
  <si>
    <t>Student/IH Salaries</t>
  </si>
  <si>
    <t>RA academic  - PhD (780 hrs / year)</t>
  </si>
  <si>
    <t xml:space="preserve">$25/hr. </t>
  </si>
  <si>
    <t>IH</t>
  </si>
  <si>
    <t>RA summer  - PhD</t>
  </si>
  <si>
    <t>Undergraduate summer RAs (800 hrs / summer)</t>
  </si>
  <si>
    <t>$12.50/hr</t>
  </si>
  <si>
    <t>Total Student/IH Salaries</t>
  </si>
  <si>
    <t>780 Hours in Academic Year</t>
  </si>
  <si>
    <t>520 Hours in Summer at 1 FTE</t>
  </si>
  <si>
    <t>Fringe</t>
  </si>
  <si>
    <t>Rate</t>
  </si>
  <si>
    <t>260 Hours in Summer at .5 FTE</t>
  </si>
  <si>
    <t>Alessa</t>
  </si>
  <si>
    <t>Smith</t>
  </si>
  <si>
    <t>Kliskey</t>
  </si>
  <si>
    <t>Brooks (1.0 mos)</t>
  </si>
  <si>
    <t>Lew (2.0 mos)</t>
  </si>
  <si>
    <t>Seamon (3.0 mos)</t>
  </si>
  <si>
    <t>Program Specialist</t>
  </si>
  <si>
    <t>RA academic  - PhD</t>
  </si>
  <si>
    <t>RA summer  - PhD (520 hrs / year)</t>
  </si>
  <si>
    <t>Undergraduate summer RAs</t>
  </si>
  <si>
    <t>Total  Fringe</t>
  </si>
  <si>
    <t>Total Salaries and Fringe</t>
  </si>
  <si>
    <t>Travel</t>
  </si>
  <si>
    <t>Domestic Travel</t>
  </si>
  <si>
    <t>see breakout tab</t>
  </si>
  <si>
    <t>UI mileage rate = .575 mi</t>
  </si>
  <si>
    <t>In State Per Diem = $55 per day</t>
  </si>
  <si>
    <t>Out of State Per Diem = $xx per day</t>
  </si>
  <si>
    <t>*Please note - this information is current as of 09/03/2020. Always check the OSP website for most current information.</t>
  </si>
  <si>
    <t>Total Travel</t>
  </si>
  <si>
    <t>Other Direct Costs (include 1st $25,000 of Subawards here)</t>
  </si>
  <si>
    <t>Non-Employee Travel (Participant)</t>
  </si>
  <si>
    <t>Non-Employee Honorarium (Participant)</t>
  </si>
  <si>
    <t>Non-Employee per-diem (Participant)</t>
  </si>
  <si>
    <t>Materials and Supplies</t>
  </si>
  <si>
    <t>QED set-up costs, software</t>
  </si>
  <si>
    <t>Sensors</t>
  </si>
  <si>
    <t>Publication Costs</t>
  </si>
  <si>
    <t>Computer Services - RCDS Data Management</t>
  </si>
  <si>
    <t>Consultant - external evaluator</t>
  </si>
  <si>
    <t xml:space="preserve">Subaward first 25K </t>
  </si>
  <si>
    <t>Video production for Broader Impacts</t>
  </si>
  <si>
    <t>Total Other Direct Costs</t>
  </si>
  <si>
    <t>Modified Total Direct Costs</t>
  </si>
  <si>
    <t>F&amp;A Rates</t>
  </si>
  <si>
    <t xml:space="preserve">FY21 &amp; until renegotiated </t>
  </si>
  <si>
    <t>Industry</t>
  </si>
  <si>
    <t>Base</t>
  </si>
  <si>
    <t>Enter Only Costs Excluded From F&amp;A Below This Point</t>
  </si>
  <si>
    <t>Organized Research</t>
  </si>
  <si>
    <t>On Campus</t>
  </si>
  <si>
    <t>MTDC</t>
  </si>
  <si>
    <t>Off Campus</t>
  </si>
  <si>
    <t>Equipment &gt;$5,000</t>
  </si>
  <si>
    <t>Instruction</t>
  </si>
  <si>
    <t>Total Equipment &gt;$5,000</t>
  </si>
  <si>
    <t>Participant Support</t>
  </si>
  <si>
    <t>Undergraduate summer stipends (REU)</t>
  </si>
  <si>
    <t>Rural high school summer experience program travel</t>
  </si>
  <si>
    <t>Rural high school summer experience program subsistence</t>
  </si>
  <si>
    <t>Rural high school summer experience program lodging</t>
  </si>
  <si>
    <t>Subaward &gt;$25,000</t>
  </si>
  <si>
    <t>Ag &amp; Forestry Exp Station</t>
  </si>
  <si>
    <t>State of ID Agencies</t>
  </si>
  <si>
    <t>NA</t>
  </si>
  <si>
    <t>TDC</t>
  </si>
  <si>
    <t>Total Subaward &gt;$25,000</t>
  </si>
  <si>
    <t>Tuition</t>
  </si>
  <si>
    <t>PhD Grad tuition &amp; fees</t>
  </si>
  <si>
    <t>Total Tuition</t>
  </si>
  <si>
    <t>Total Direct Costs</t>
  </si>
  <si>
    <t>Indirect Costs</t>
  </si>
  <si>
    <t xml:space="preserve">Rate </t>
  </si>
  <si>
    <t>Total Budget (Direct + Indirect Costs)</t>
  </si>
  <si>
    <t>Total Direct Central Coord &amp; Management UI</t>
  </si>
  <si>
    <t>Total Indirect  Central</t>
  </si>
  <si>
    <t xml:space="preserve">Total </t>
  </si>
  <si>
    <t>Total available for programmatic</t>
  </si>
  <si>
    <t>Available per institution direct + indirect</t>
  </si>
  <si>
    <t>Program-wide coord &amp; management per year</t>
  </si>
  <si>
    <t>Jurisdiction programmatic per year</t>
  </si>
  <si>
    <t>Total UI per year</t>
  </si>
  <si>
    <t>NV</t>
  </si>
  <si>
    <t>SC</t>
  </si>
  <si>
    <t>Total for UI, NV, and SC</t>
  </si>
  <si>
    <t>Project Year</t>
  </si>
  <si>
    <t>Trip Name</t>
  </si>
  <si>
    <t>Departure</t>
  </si>
  <si>
    <t>Destination</t>
  </si>
  <si>
    <t>Flight/person</t>
  </si>
  <si>
    <t>Hotel/night</t>
  </si>
  <si>
    <t>Per Diem/day</t>
  </si>
  <si>
    <t>Rental Car/Transport</t>
  </si>
  <si>
    <t>Days</t>
  </si>
  <si>
    <t>Nights</t>
  </si>
  <si>
    <t>Personnel</t>
  </si>
  <si>
    <t>Total Per Person</t>
  </si>
  <si>
    <t>Trip Total</t>
  </si>
  <si>
    <t>NSF</t>
  </si>
  <si>
    <t>Moscow, ID</t>
  </si>
  <si>
    <t>DCA</t>
  </si>
  <si>
    <t>CDA - QED</t>
  </si>
  <si>
    <t>CDA</t>
  </si>
  <si>
    <t>UI All-Hands</t>
  </si>
  <si>
    <t>EPSCoR Conference</t>
  </si>
  <si>
    <t>NV All-Hands</t>
  </si>
  <si>
    <t>Reno, NV</t>
  </si>
  <si>
    <t>SC All-Hands</t>
  </si>
  <si>
    <t>Columbia, SC</t>
  </si>
  <si>
    <t>Travel Total</t>
  </si>
  <si>
    <t>Travel No Conference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</si>
</sst>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mm/dd/yy"/>
    <numFmt numFmtId="165" formatCode="mmmm\ d\,\ yyyy"/>
    <numFmt numFmtId="166" formatCode="&quot;$&quot;#,##0"/>
    <numFmt numFmtId="167" formatCode="0.0%"/>
  </numFmts>
  <fonts count="25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sz val="10"/>
      <color indexed="9"/>
      <name val="Arial"/>
      <family val="2"/>
    </font>
    <font>
      <sz val="14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0"/>
      <color indexed="8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indexed="12"/>
      <name val="Arial"/>
      <family val="2"/>
    </font>
    <font>
      <sz val="12"/>
      <color indexed="12"/>
      <name val="Arial"/>
      <family val="2"/>
    </font>
    <font>
      <sz val="12"/>
      <color theme="1"/>
      <name val="Arial"/>
      <family val="2"/>
    </font>
    <font>
      <sz val="11"/>
      <color indexed="8"/>
      <name val="Arial"/>
      <family val="2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212529"/>
      <name val="Arial"/>
      <family val="2"/>
      <charset val="1"/>
    </font>
    <font>
      <sz val="11"/>
      <color rgb="FF242424"/>
      <name val="Calibri"/>
      <family val="2"/>
      <charset val="1"/>
    </font>
    <font>
      <sz val="11"/>
      <color rgb="FF444444"/>
      <name val="Calibri"/>
      <family val="2"/>
      <charset val="1"/>
    </font>
    <font>
      <sz val="11"/>
      <color theme="1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2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160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Continuous" vertical="center"/>
    </xf>
    <xf numFmtId="0" fontId="3" fillId="2" borderId="0" xfId="0" applyFont="1" applyFill="1" applyAlignment="1">
      <alignment horizontal="centerContinuous" vertical="center"/>
    </xf>
    <xf numFmtId="165" fontId="5" fillId="0" borderId="0" xfId="1" applyNumberFormat="1" applyFont="1" applyFill="1" applyAlignment="1" applyProtection="1">
      <alignment horizontal="centerContinuous"/>
      <protection locked="0"/>
    </xf>
    <xf numFmtId="0" fontId="6" fillId="0" borderId="0" xfId="0" applyFont="1" applyAlignment="1">
      <alignment horizontal="centerContinuous"/>
    </xf>
    <xf numFmtId="166" fontId="7" fillId="0" borderId="0" xfId="0" applyNumberFormat="1" applyFont="1" applyAlignment="1">
      <alignment horizontal="right"/>
    </xf>
    <xf numFmtId="0" fontId="6" fillId="0" borderId="0" xfId="0" applyFont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6" fillId="4" borderId="4" xfId="0" applyFont="1" applyFill="1" applyBorder="1"/>
    <xf numFmtId="0" fontId="5" fillId="4" borderId="4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Continuous"/>
    </xf>
    <xf numFmtId="167" fontId="7" fillId="5" borderId="0" xfId="0" applyNumberFormat="1" applyFont="1" applyFill="1"/>
    <xf numFmtId="0" fontId="1" fillId="5" borderId="0" xfId="0" applyFont="1" applyFill="1"/>
    <xf numFmtId="167" fontId="7" fillId="5" borderId="6" xfId="0" applyNumberFormat="1" applyFont="1" applyFill="1" applyBorder="1"/>
    <xf numFmtId="0" fontId="5" fillId="2" borderId="7" xfId="0" applyFont="1" applyFill="1" applyBorder="1"/>
    <xf numFmtId="0" fontId="6" fillId="2" borderId="7" xfId="0" applyFont="1" applyFill="1" applyBorder="1"/>
    <xf numFmtId="0" fontId="5" fillId="2" borderId="7" xfId="0" applyFont="1" applyFill="1" applyBorder="1" applyAlignment="1">
      <alignment horizontal="center"/>
    </xf>
    <xf numFmtId="3" fontId="5" fillId="2" borderId="7" xfId="0" applyNumberFormat="1" applyFont="1" applyFill="1" applyBorder="1" applyAlignment="1" applyProtection="1">
      <alignment horizontal="center"/>
      <protection locked="0"/>
    </xf>
    <xf numFmtId="3" fontId="7" fillId="2" borderId="7" xfId="0" applyNumberFormat="1" applyFont="1" applyFill="1" applyBorder="1" applyAlignment="1" applyProtection="1">
      <alignment horizontal="center"/>
      <protection locked="0"/>
    </xf>
    <xf numFmtId="0" fontId="1" fillId="5" borderId="5" xfId="0" applyFont="1" applyFill="1" applyBorder="1"/>
    <xf numFmtId="0" fontId="8" fillId="5" borderId="0" xfId="0" applyFont="1" applyFill="1"/>
    <xf numFmtId="0" fontId="1" fillId="5" borderId="6" xfId="0" applyFont="1" applyFill="1" applyBorder="1"/>
    <xf numFmtId="0" fontId="6" fillId="0" borderId="0" xfId="0" applyFont="1" applyProtection="1">
      <protection locked="0"/>
    </xf>
    <xf numFmtId="3" fontId="6" fillId="0" borderId="0" xfId="0" applyNumberFormat="1" applyFont="1"/>
    <xf numFmtId="3" fontId="1" fillId="0" borderId="0" xfId="0" applyNumberFormat="1" applyFont="1"/>
    <xf numFmtId="0" fontId="7" fillId="5" borderId="0" xfId="0" applyFont="1" applyFill="1"/>
    <xf numFmtId="0" fontId="7" fillId="5" borderId="5" xfId="0" applyFont="1" applyFill="1" applyBorder="1"/>
    <xf numFmtId="0" fontId="7" fillId="5" borderId="6" xfId="0" applyFont="1" applyFill="1" applyBorder="1"/>
    <xf numFmtId="0" fontId="6" fillId="2" borderId="0" xfId="0" applyFont="1" applyFill="1"/>
    <xf numFmtId="0" fontId="6" fillId="2" borderId="0" xfId="0" applyFont="1" applyFill="1" applyProtection="1">
      <protection locked="0"/>
    </xf>
    <xf numFmtId="3" fontId="6" fillId="2" borderId="0" xfId="0" applyNumberFormat="1" applyFont="1" applyFill="1"/>
    <xf numFmtId="0" fontId="9" fillId="2" borderId="0" xfId="0" applyFont="1" applyFill="1"/>
    <xf numFmtId="3" fontId="5" fillId="2" borderId="0" xfId="0" applyNumberFormat="1" applyFont="1" applyFill="1" applyAlignment="1">
      <alignment horizontal="center"/>
    </xf>
    <xf numFmtId="167" fontId="1" fillId="5" borderId="0" xfId="0" applyNumberFormat="1" applyFont="1" applyFill="1"/>
    <xf numFmtId="0" fontId="1" fillId="5" borderId="8" xfId="0" applyFont="1" applyFill="1" applyBorder="1"/>
    <xf numFmtId="0" fontId="1" fillId="5" borderId="9" xfId="0" applyFont="1" applyFill="1" applyBorder="1"/>
    <xf numFmtId="0" fontId="1" fillId="5" borderId="10" xfId="0" applyFont="1" applyFill="1" applyBorder="1"/>
    <xf numFmtId="0" fontId="5" fillId="2" borderId="0" xfId="0" applyFont="1" applyFill="1"/>
    <xf numFmtId="0" fontId="5" fillId="2" borderId="0" xfId="0" applyFont="1" applyFill="1" applyAlignment="1" applyProtection="1">
      <alignment horizontal="center"/>
      <protection locked="0"/>
    </xf>
    <xf numFmtId="167" fontId="6" fillId="0" borderId="0" xfId="0" applyNumberFormat="1" applyFont="1" applyProtection="1">
      <protection locked="0"/>
    </xf>
    <xf numFmtId="0" fontId="1" fillId="6" borderId="14" xfId="0" applyFont="1" applyFill="1" applyBorder="1"/>
    <xf numFmtId="0" fontId="1" fillId="6" borderId="0" xfId="0" applyFont="1" applyFill="1"/>
    <xf numFmtId="0" fontId="1" fillId="6" borderId="15" xfId="0" applyFont="1" applyFill="1" applyBorder="1"/>
    <xf numFmtId="0" fontId="5" fillId="0" borderId="0" xfId="0" applyFont="1"/>
    <xf numFmtId="6" fontId="6" fillId="0" borderId="0" xfId="0" applyNumberFormat="1" applyFont="1" applyProtection="1">
      <protection locked="0"/>
    </xf>
    <xf numFmtId="38" fontId="5" fillId="2" borderId="18" xfId="0" applyNumberFormat="1" applyFont="1" applyFill="1" applyBorder="1"/>
    <xf numFmtId="38" fontId="5" fillId="2" borderId="18" xfId="0" applyNumberFormat="1" applyFont="1" applyFill="1" applyBorder="1" applyProtection="1">
      <protection locked="0"/>
    </xf>
    <xf numFmtId="38" fontId="6" fillId="0" borderId="0" xfId="0" applyNumberFormat="1" applyFont="1"/>
    <xf numFmtId="38" fontId="6" fillId="0" borderId="0" xfId="0" applyNumberFormat="1" applyFont="1" applyProtection="1">
      <protection locked="0"/>
    </xf>
    <xf numFmtId="38" fontId="6" fillId="2" borderId="0" xfId="0" applyNumberFormat="1" applyFont="1" applyFill="1"/>
    <xf numFmtId="0" fontId="7" fillId="2" borderId="0" xfId="0" applyFont="1" applyFill="1"/>
    <xf numFmtId="0" fontId="1" fillId="2" borderId="0" xfId="0" applyFont="1" applyFill="1"/>
    <xf numFmtId="0" fontId="7" fillId="2" borderId="0" xfId="0" applyFont="1" applyFill="1" applyAlignment="1">
      <alignment horizontal="center"/>
    </xf>
    <xf numFmtId="0" fontId="11" fillId="0" borderId="0" xfId="2" applyFont="1" applyAlignment="1" applyProtection="1">
      <alignment horizontal="center" vertical="center"/>
    </xf>
    <xf numFmtId="3" fontId="12" fillId="0" borderId="0" xfId="2" applyNumberFormat="1" applyFont="1" applyAlignment="1" applyProtection="1">
      <alignment horizontal="right" vertical="center"/>
    </xf>
    <xf numFmtId="0" fontId="11" fillId="2" borderId="0" xfId="2" applyFont="1" applyFill="1" applyAlignment="1" applyProtection="1">
      <alignment horizontal="center" vertical="center"/>
    </xf>
    <xf numFmtId="3" fontId="13" fillId="2" borderId="0" xfId="2" applyNumberFormat="1" applyFont="1" applyFill="1" applyAlignment="1" applyProtection="1">
      <alignment horizontal="right" vertical="center"/>
    </xf>
    <xf numFmtId="3" fontId="5" fillId="2" borderId="0" xfId="0" applyNumberFormat="1" applyFont="1" applyFill="1"/>
    <xf numFmtId="0" fontId="11" fillId="0" borderId="0" xfId="2" applyFont="1" applyFill="1" applyAlignment="1" applyProtection="1">
      <alignment horizontal="center" vertical="center"/>
    </xf>
    <xf numFmtId="0" fontId="14" fillId="0" borderId="0" xfId="2" applyFont="1" applyFill="1" applyAlignment="1" applyProtection="1">
      <alignment horizontal="center" vertical="center"/>
    </xf>
    <xf numFmtId="3" fontId="13" fillId="0" borderId="0" xfId="2" applyNumberFormat="1" applyFont="1" applyFill="1" applyAlignment="1" applyProtection="1">
      <alignment horizontal="right" vertical="center"/>
    </xf>
    <xf numFmtId="3" fontId="5" fillId="0" borderId="0" xfId="0" applyNumberFormat="1" applyFont="1"/>
    <xf numFmtId="0" fontId="5" fillId="2" borderId="0" xfId="0" applyFont="1" applyFill="1" applyAlignment="1">
      <alignment horizontal="center"/>
    </xf>
    <xf numFmtId="10" fontId="6" fillId="7" borderId="21" xfId="0" applyNumberFormat="1" applyFont="1" applyFill="1" applyBorder="1"/>
    <xf numFmtId="0" fontId="13" fillId="2" borderId="0" xfId="2" applyFont="1" applyFill="1" applyAlignment="1" applyProtection="1">
      <alignment horizontal="left" vertical="center"/>
    </xf>
    <xf numFmtId="3" fontId="5" fillId="2" borderId="22" xfId="0" applyNumberFormat="1" applyFont="1" applyFill="1" applyBorder="1"/>
    <xf numFmtId="0" fontId="15" fillId="0" borderId="0" xfId="2" applyFont="1" applyAlignment="1" applyProtection="1">
      <alignment horizontal="center" vertical="center"/>
    </xf>
    <xf numFmtId="3" fontId="16" fillId="0" borderId="0" xfId="2" applyNumberFormat="1" applyFont="1" applyAlignment="1" applyProtection="1">
      <alignment horizontal="right" vertical="center"/>
    </xf>
    <xf numFmtId="38" fontId="17" fillId="0" borderId="0" xfId="0" applyNumberFormat="1" applyFont="1"/>
    <xf numFmtId="167" fontId="7" fillId="5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167" fontId="1" fillId="5" borderId="0" xfId="0" applyNumberFormat="1" applyFont="1" applyFill="1" applyAlignment="1">
      <alignment horizontal="center"/>
    </xf>
    <xf numFmtId="0" fontId="7" fillId="5" borderId="7" xfId="0" applyFont="1" applyFill="1" applyBorder="1"/>
    <xf numFmtId="0" fontId="7" fillId="5" borderId="7" xfId="0" applyFont="1" applyFill="1" applyBorder="1" applyAlignment="1">
      <alignment horizontal="center"/>
    </xf>
    <xf numFmtId="0" fontId="1" fillId="5" borderId="7" xfId="0" applyFont="1" applyFill="1" applyBorder="1"/>
    <xf numFmtId="167" fontId="1" fillId="5" borderId="7" xfId="0" applyNumberFormat="1" applyFont="1" applyFill="1" applyBorder="1" applyAlignment="1">
      <alignment horizontal="center"/>
    </xf>
    <xf numFmtId="0" fontId="7" fillId="5" borderId="18" xfId="0" applyFont="1" applyFill="1" applyBorder="1"/>
    <xf numFmtId="0" fontId="1" fillId="5" borderId="18" xfId="0" applyFont="1" applyFill="1" applyBorder="1"/>
    <xf numFmtId="167" fontId="1" fillId="5" borderId="18" xfId="0" applyNumberFormat="1" applyFont="1" applyFill="1" applyBorder="1" applyAlignment="1">
      <alignment horizontal="center"/>
    </xf>
    <xf numFmtId="0" fontId="7" fillId="5" borderId="17" xfId="0" applyFont="1" applyFill="1" applyBorder="1" applyAlignment="1">
      <alignment horizontal="center"/>
    </xf>
    <xf numFmtId="9" fontId="1" fillId="5" borderId="0" xfId="0" applyNumberFormat="1" applyFont="1" applyFill="1" applyAlignment="1">
      <alignment horizontal="center"/>
    </xf>
    <xf numFmtId="0" fontId="1" fillId="3" borderId="11" xfId="0" applyFont="1" applyFill="1" applyBorder="1"/>
    <xf numFmtId="0" fontId="1" fillId="3" borderId="12" xfId="0" applyFont="1" applyFill="1" applyBorder="1"/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167" fontId="7" fillId="5" borderId="15" xfId="0" applyNumberFormat="1" applyFont="1" applyFill="1" applyBorder="1" applyAlignment="1">
      <alignment horizontal="center"/>
    </xf>
    <xf numFmtId="0" fontId="7" fillId="5" borderId="14" xfId="0" applyFont="1" applyFill="1" applyBorder="1"/>
    <xf numFmtId="0" fontId="1" fillId="5" borderId="15" xfId="0" applyFont="1" applyFill="1" applyBorder="1" applyAlignment="1">
      <alignment horizontal="center"/>
    </xf>
    <xf numFmtId="0" fontId="7" fillId="5" borderId="16" xfId="0" applyFont="1" applyFill="1" applyBorder="1"/>
    <xf numFmtId="9" fontId="1" fillId="5" borderId="7" xfId="0" applyNumberFormat="1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1" fillId="5" borderId="16" xfId="0" applyFont="1" applyFill="1" applyBorder="1" applyAlignment="1">
      <alignment horizontal="center"/>
    </xf>
    <xf numFmtId="0" fontId="7" fillId="5" borderId="24" xfId="0" applyFont="1" applyFill="1" applyBorder="1"/>
    <xf numFmtId="9" fontId="1" fillId="5" borderId="18" xfId="0" applyNumberFormat="1" applyFont="1" applyFill="1" applyBorder="1" applyAlignment="1">
      <alignment horizontal="center"/>
    </xf>
    <xf numFmtId="0" fontId="1" fillId="5" borderId="23" xfId="0" applyFont="1" applyFill="1" applyBorder="1" applyAlignment="1">
      <alignment horizontal="center"/>
    </xf>
    <xf numFmtId="0" fontId="18" fillId="0" borderId="0" xfId="0" applyFont="1"/>
    <xf numFmtId="39" fontId="1" fillId="0" borderId="0" xfId="0" applyNumberFormat="1" applyFont="1"/>
    <xf numFmtId="39" fontId="6" fillId="2" borderId="0" xfId="0" applyNumberFormat="1" applyFont="1" applyFill="1"/>
    <xf numFmtId="0" fontId="1" fillId="0" borderId="0" xfId="2" applyFont="1" applyAlignment="1" applyProtection="1">
      <alignment horizontal="center" vertical="center"/>
    </xf>
    <xf numFmtId="0" fontId="19" fillId="0" borderId="25" xfId="0" applyFont="1" applyBorder="1"/>
    <xf numFmtId="44" fontId="19" fillId="0" borderId="25" xfId="0" applyNumberFormat="1" applyFont="1" applyBorder="1"/>
    <xf numFmtId="0" fontId="0" fillId="6" borderId="25" xfId="0" applyFill="1" applyBorder="1"/>
    <xf numFmtId="44" fontId="0" fillId="6" borderId="25" xfId="0" applyNumberFormat="1" applyFill="1" applyBorder="1"/>
    <xf numFmtId="44" fontId="0" fillId="0" borderId="25" xfId="0" applyNumberFormat="1" applyBorder="1"/>
    <xf numFmtId="0" fontId="0" fillId="0" borderId="25" xfId="0" applyBorder="1"/>
    <xf numFmtId="44" fontId="0" fillId="0" borderId="0" xfId="0" applyNumberFormat="1"/>
    <xf numFmtId="0" fontId="0" fillId="8" borderId="25" xfId="0" applyFill="1" applyBorder="1"/>
    <xf numFmtId="1" fontId="1" fillId="0" borderId="0" xfId="0" applyNumberFormat="1" applyFont="1"/>
    <xf numFmtId="0" fontId="0" fillId="9" borderId="25" xfId="0" applyFill="1" applyBorder="1"/>
    <xf numFmtId="0" fontId="0" fillId="10" borderId="25" xfId="0" applyFill="1" applyBorder="1"/>
    <xf numFmtId="4" fontId="21" fillId="0" borderId="0" xfId="0" applyNumberFormat="1" applyFont="1"/>
    <xf numFmtId="6" fontId="22" fillId="0" borderId="0" xfId="0" applyNumberFormat="1" applyFont="1"/>
    <xf numFmtId="8" fontId="6" fillId="0" borderId="0" xfId="0" applyNumberFormat="1" applyFont="1" applyProtection="1">
      <protection locked="0"/>
    </xf>
    <xf numFmtId="0" fontId="9" fillId="0" borderId="0" xfId="0" applyFont="1" applyProtection="1">
      <protection locked="0"/>
    </xf>
    <xf numFmtId="1" fontId="23" fillId="0" borderId="0" xfId="0" quotePrefix="1" applyNumberFormat="1" applyFont="1"/>
    <xf numFmtId="4" fontId="24" fillId="0" borderId="0" xfId="0" applyNumberFormat="1" applyFont="1"/>
    <xf numFmtId="0" fontId="1" fillId="0" borderId="5" xfId="0" applyFont="1" applyBorder="1"/>
    <xf numFmtId="167" fontId="1" fillId="0" borderId="0" xfId="0" applyNumberFormat="1" applyFont="1"/>
    <xf numFmtId="0" fontId="1" fillId="0" borderId="6" xfId="0" applyFont="1" applyBorder="1"/>
    <xf numFmtId="44" fontId="0" fillId="9" borderId="25" xfId="0" applyNumberFormat="1" applyFill="1" applyBorder="1"/>
    <xf numFmtId="0" fontId="0" fillId="9" borderId="0" xfId="0" applyFill="1"/>
    <xf numFmtId="44" fontId="0" fillId="9" borderId="0" xfId="0" applyNumberFormat="1" applyFill="1"/>
    <xf numFmtId="0" fontId="7" fillId="6" borderId="14" xfId="0" applyFont="1" applyFill="1" applyBorder="1" applyAlignment="1">
      <alignment wrapText="1"/>
    </xf>
    <xf numFmtId="0" fontId="7" fillId="6" borderId="0" xfId="0" applyFont="1" applyFill="1" applyAlignment="1">
      <alignment wrapText="1"/>
    </xf>
    <xf numFmtId="0" fontId="7" fillId="6" borderId="15" xfId="0" applyFont="1" applyFill="1" applyBorder="1" applyAlignment="1">
      <alignment wrapText="1"/>
    </xf>
    <xf numFmtId="0" fontId="5" fillId="6" borderId="19" xfId="0" applyFont="1" applyFill="1" applyBorder="1" applyAlignment="1">
      <alignment horizontal="left" vertical="center"/>
    </xf>
    <xf numFmtId="0" fontId="0" fillId="6" borderId="19" xfId="0" applyFill="1" applyBorder="1" applyAlignment="1">
      <alignment horizontal="left" vertical="center"/>
    </xf>
    <xf numFmtId="0" fontId="0" fillId="6" borderId="20" xfId="0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right"/>
    </xf>
    <xf numFmtId="166" fontId="7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7" fillId="5" borderId="5" xfId="0" applyFont="1" applyFill="1" applyBorder="1" applyAlignment="1">
      <alignment horizontal="left"/>
    </xf>
    <xf numFmtId="0" fontId="7" fillId="5" borderId="0" xfId="0" applyFont="1" applyFill="1" applyAlignment="1">
      <alignment horizontal="left"/>
    </xf>
    <xf numFmtId="0" fontId="7" fillId="5" borderId="14" xfId="0" applyFont="1" applyFill="1" applyBorder="1" applyAlignment="1">
      <alignment horizontal="center"/>
    </xf>
    <xf numFmtId="0" fontId="7" fillId="5" borderId="0" xfId="0" applyFont="1" applyFill="1" applyAlignment="1">
      <alignment horizontal="center"/>
    </xf>
    <xf numFmtId="0" fontId="1" fillId="0" borderId="0" xfId="0" applyFont="1" applyFill="1"/>
    <xf numFmtId="0" fontId="6" fillId="0" borderId="0" xfId="0" applyFont="1" applyFill="1"/>
    <xf numFmtId="3" fontId="6" fillId="0" borderId="0" xfId="0" applyNumberFormat="1" applyFont="1" applyFill="1"/>
    <xf numFmtId="0" fontId="7" fillId="0" borderId="14" xfId="0" applyFont="1" applyFill="1" applyBorder="1"/>
    <xf numFmtId="0" fontId="7" fillId="0" borderId="0" xfId="0" applyFont="1" applyFill="1" applyBorder="1"/>
    <xf numFmtId="9" fontId="1" fillId="0" borderId="0" xfId="0" applyNumberFormat="1" applyFont="1" applyFill="1" applyBorder="1" applyAlignment="1">
      <alignment horizontal="center"/>
    </xf>
    <xf numFmtId="167" fontId="1" fillId="0" borderId="0" xfId="0" applyNumberFormat="1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23" fillId="0" borderId="0" xfId="0" applyFont="1"/>
    <xf numFmtId="0" fontId="4" fillId="0" borderId="0" xfId="0" applyFont="1" applyAlignment="1"/>
    <xf numFmtId="0" fontId="7" fillId="6" borderId="11" xfId="0" applyFont="1" applyFill="1" applyBorder="1" applyAlignment="1"/>
    <xf numFmtId="0" fontId="7" fillId="6" borderId="12" xfId="0" applyFont="1" applyFill="1" applyBorder="1" applyAlignment="1"/>
    <xf numFmtId="0" fontId="7" fillId="6" borderId="13" xfId="0" applyFont="1" applyFill="1" applyBorder="1" applyAlignment="1"/>
    <xf numFmtId="0" fontId="7" fillId="6" borderId="14" xfId="0" applyFont="1" applyFill="1" applyBorder="1" applyAlignment="1"/>
    <xf numFmtId="0" fontId="7" fillId="6" borderId="0" xfId="0" applyFont="1" applyFill="1" applyAlignment="1"/>
    <xf numFmtId="0" fontId="7" fillId="6" borderId="15" xfId="0" applyFont="1" applyFill="1" applyBorder="1" applyAlignment="1"/>
    <xf numFmtId="0" fontId="1" fillId="6" borderId="16" xfId="0" applyFont="1" applyFill="1" applyBorder="1" applyAlignment="1"/>
    <xf numFmtId="0" fontId="1" fillId="6" borderId="7" xfId="0" applyFont="1" applyFill="1" applyBorder="1" applyAlignment="1"/>
    <xf numFmtId="0" fontId="1" fillId="6" borderId="17" xfId="0" applyFont="1" applyFill="1" applyBorder="1" applyAlignment="1"/>
  </cellXfs>
  <cellStyles count="3">
    <cellStyle name="Date_simple" xfId="1" xr:uid="{00000000-0005-0000-0000-000000000000}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590550</xdr:colOff>
      <xdr:row>1</xdr:row>
      <xdr:rowOff>47625</xdr:rowOff>
    </xdr:to>
    <xdr:sp macro="" textlink="">
      <xdr:nvSpPr>
        <xdr:cNvPr id="4" name="Rectangl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04850" cy="1524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590550</xdr:colOff>
      <xdr:row>1</xdr:row>
      <xdr:rowOff>47625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04850" cy="1524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Walt, Kinsey (kwalt@uidaho.edu)" id="{CA6262D0-8274-4B45-8BA6-5C46B61A54B0}" userId="S::kwalt@uidaho.edu::aa64fd79-8e71-4bb9-bec0-d67ef332f41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5" dT="2023-01-12T21:29:36.16" personId="{CA6262D0-8274-4B45-8BA6-5C46B61A54B0}" id="{C5A38B3A-600D-45E2-A496-26EE9B813E89}">
    <text>do we need to build in a 2.5% increase in years 2-4?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18"/>
  <sheetViews>
    <sheetView tabSelected="1" topLeftCell="A74" zoomScale="120" zoomScaleNormal="120" workbookViewId="0">
      <selection activeCell="E94" sqref="E94"/>
    </sheetView>
  </sheetViews>
  <sheetFormatPr defaultColWidth="9.140625" defaultRowHeight="13.15"/>
  <cols>
    <col min="1" max="1" width="1.7109375" style="1" customWidth="1"/>
    <col min="2" max="2" width="41.85546875" style="1" customWidth="1"/>
    <col min="3" max="3" width="10.140625" style="1" customWidth="1"/>
    <col min="4" max="4" width="11.85546875" style="1" customWidth="1"/>
    <col min="5" max="7" width="15.7109375" style="1" customWidth="1"/>
    <col min="8" max="8" width="14.140625" style="1" customWidth="1"/>
    <col min="9" max="9" width="9.140625" style="1" hidden="1" customWidth="1"/>
    <col min="10" max="10" width="15.7109375" style="1" customWidth="1"/>
    <col min="11" max="11" width="14.85546875" style="1" customWidth="1"/>
    <col min="12" max="14" width="9.140625" style="1"/>
    <col min="15" max="15" width="24.85546875" style="1" bestFit="1" customWidth="1"/>
    <col min="16" max="16" width="10.7109375" style="1" customWidth="1"/>
    <col min="17" max="17" width="16.42578125" style="1" customWidth="1"/>
    <col min="18" max="16384" width="9.140625" style="1"/>
  </cols>
  <sheetData>
    <row r="1" spans="2:17" ht="8.25" customHeight="1"/>
    <row r="2" spans="2:17" ht="8.25" customHeight="1"/>
    <row r="3" spans="2:17" ht="15" customHeight="1">
      <c r="B3" s="2" t="s">
        <v>0</v>
      </c>
      <c r="C3" s="3"/>
      <c r="D3" s="3"/>
      <c r="E3" s="3"/>
      <c r="F3" s="3"/>
      <c r="G3" s="3"/>
      <c r="H3" s="3"/>
      <c r="I3" s="3"/>
      <c r="J3" s="3"/>
      <c r="L3" s="133"/>
      <c r="M3" s="133"/>
      <c r="N3" s="133"/>
      <c r="O3" s="133"/>
      <c r="P3" s="150"/>
      <c r="Q3" s="150"/>
    </row>
    <row r="4" spans="2:17" ht="13.15" customHeight="1" thickBot="1">
      <c r="B4" s="4"/>
      <c r="C4" s="5"/>
      <c r="D4" s="5"/>
      <c r="E4" s="5"/>
      <c r="F4" s="5"/>
      <c r="G4" s="5"/>
      <c r="H4" s="5"/>
      <c r="I4" s="5"/>
      <c r="J4" s="5"/>
      <c r="L4" s="134"/>
      <c r="M4" s="134"/>
      <c r="N4" s="134"/>
      <c r="O4" s="6"/>
      <c r="P4" s="135"/>
      <c r="Q4" s="136"/>
    </row>
    <row r="5" spans="2:17" ht="13.15" customHeight="1" thickTop="1">
      <c r="B5" s="7"/>
      <c r="C5" s="7"/>
      <c r="D5" s="7"/>
      <c r="E5" s="7"/>
      <c r="F5" s="7"/>
      <c r="G5" s="7"/>
      <c r="H5" s="7"/>
      <c r="I5" s="7"/>
      <c r="J5" s="7"/>
      <c r="L5" s="8"/>
      <c r="M5" s="9"/>
      <c r="N5" s="9"/>
      <c r="O5" s="9"/>
      <c r="P5" s="9"/>
      <c r="Q5" s="10"/>
    </row>
    <row r="6" spans="2:17" ht="13.15" customHeight="1">
      <c r="B6" s="11"/>
      <c r="C6" s="11"/>
      <c r="D6" s="12"/>
      <c r="E6" s="13" t="s">
        <v>1</v>
      </c>
      <c r="F6" s="13"/>
      <c r="G6" s="13"/>
      <c r="H6" s="13"/>
      <c r="I6" s="13"/>
      <c r="J6" s="13"/>
      <c r="L6" s="137"/>
      <c r="M6" s="138"/>
      <c r="N6" s="138"/>
      <c r="O6" s="14"/>
      <c r="P6" s="15"/>
      <c r="Q6" s="16"/>
    </row>
    <row r="7" spans="2:17" ht="13.15" customHeight="1">
      <c r="B7" s="17" t="s">
        <v>2</v>
      </c>
      <c r="C7" s="18"/>
      <c r="D7" s="19" t="s">
        <v>3</v>
      </c>
      <c r="E7" s="20" t="s">
        <v>4</v>
      </c>
      <c r="F7" s="21" t="s">
        <v>5</v>
      </c>
      <c r="G7" s="21" t="s">
        <v>6</v>
      </c>
      <c r="H7" s="21" t="s">
        <v>7</v>
      </c>
      <c r="I7" s="21" t="s">
        <v>8</v>
      </c>
      <c r="J7" s="20" t="s">
        <v>9</v>
      </c>
      <c r="L7" s="22"/>
      <c r="M7" s="23" t="s">
        <v>10</v>
      </c>
      <c r="N7" s="23"/>
      <c r="O7" s="23"/>
      <c r="P7" s="23"/>
      <c r="Q7" s="24"/>
    </row>
    <row r="8" spans="2:17" ht="13.15" customHeight="1">
      <c r="B8" s="100" t="s">
        <v>11</v>
      </c>
      <c r="C8" s="7"/>
      <c r="D8" s="115">
        <v>124051.2</v>
      </c>
      <c r="E8" s="26">
        <f>ROUND(D8/9*2,0)</f>
        <v>27567</v>
      </c>
      <c r="F8" s="26">
        <f>ROUND(E8*1.025,0)</f>
        <v>28256</v>
      </c>
      <c r="G8" s="26">
        <f>ROUND(F8*1.025,0)</f>
        <v>28962</v>
      </c>
      <c r="H8" s="26">
        <f>ROUND(G8*1.025,0)</f>
        <v>29686</v>
      </c>
      <c r="I8" s="26">
        <v>0</v>
      </c>
      <c r="J8" s="26">
        <f t="shared" ref="J8:J15" si="0">SUM(E8:I8)</f>
        <v>114471</v>
      </c>
      <c r="K8" s="27"/>
      <c r="L8" s="22"/>
      <c r="M8" s="28"/>
      <c r="N8" s="28"/>
      <c r="O8" s="28"/>
      <c r="P8" s="28"/>
      <c r="Q8" s="24"/>
    </row>
    <row r="9" spans="2:17" ht="13.15" customHeight="1">
      <c r="B9" s="100" t="s">
        <v>12</v>
      </c>
      <c r="C9" s="7"/>
      <c r="D9" s="116">
        <v>126140</v>
      </c>
      <c r="E9" s="26">
        <f>ROUND(D9/9*1,0)</f>
        <v>14016</v>
      </c>
      <c r="F9" s="26">
        <f t="shared" ref="F9:H15" si="1">ROUND(E9*1.025,0)</f>
        <v>14366</v>
      </c>
      <c r="G9" s="26">
        <f t="shared" si="1"/>
        <v>14725</v>
      </c>
      <c r="H9" s="26">
        <f t="shared" si="1"/>
        <v>15093</v>
      </c>
      <c r="I9" s="26">
        <v>0</v>
      </c>
      <c r="J9" s="26">
        <f t="shared" si="0"/>
        <v>58200</v>
      </c>
      <c r="K9" s="27"/>
      <c r="L9" s="29"/>
      <c r="M9" s="28"/>
      <c r="N9" s="28"/>
      <c r="O9" s="28"/>
      <c r="P9" s="28"/>
      <c r="Q9" s="30"/>
    </row>
    <row r="10" spans="2:17" ht="13.15" customHeight="1">
      <c r="B10" s="100" t="s">
        <v>13</v>
      </c>
      <c r="C10" s="7"/>
      <c r="D10" s="115">
        <v>140478</v>
      </c>
      <c r="E10" s="26">
        <f>ROUND(D10/9*0.25,0)</f>
        <v>3902</v>
      </c>
      <c r="F10" s="26">
        <f t="shared" si="1"/>
        <v>4000</v>
      </c>
      <c r="G10" s="26">
        <f t="shared" si="1"/>
        <v>4100</v>
      </c>
      <c r="H10" s="26">
        <f t="shared" si="1"/>
        <v>4203</v>
      </c>
      <c r="I10" s="26"/>
      <c r="J10" s="26">
        <f t="shared" si="0"/>
        <v>16205</v>
      </c>
      <c r="K10" s="27"/>
      <c r="L10" s="29"/>
      <c r="M10" s="28"/>
      <c r="N10" s="28"/>
      <c r="O10" s="28"/>
      <c r="P10" s="28"/>
      <c r="Q10" s="30"/>
    </row>
    <row r="11" spans="2:17" ht="13.15" customHeight="1">
      <c r="B11" s="100" t="s">
        <v>14</v>
      </c>
      <c r="C11" s="7"/>
      <c r="D11" s="115">
        <v>105690</v>
      </c>
      <c r="E11" s="26">
        <f t="shared" ref="E11" si="2">ROUND(D11/9*1,0)</f>
        <v>11743</v>
      </c>
      <c r="F11" s="26">
        <f>ROUND(E11*1.025,0)</f>
        <v>12037</v>
      </c>
      <c r="G11" s="26">
        <f>ROUND(F11*1.025,0)*0.75</f>
        <v>9253.5</v>
      </c>
      <c r="H11" s="26">
        <f>ROUND(G11*1.025,0)*0.75</f>
        <v>7113.75</v>
      </c>
      <c r="I11" s="26"/>
      <c r="J11" s="26">
        <f t="shared" si="0"/>
        <v>40147.25</v>
      </c>
      <c r="K11" s="27"/>
      <c r="L11" s="29"/>
      <c r="M11" s="28"/>
      <c r="N11" s="28"/>
      <c r="O11" s="28"/>
      <c r="P11" s="28"/>
      <c r="Q11" s="30"/>
    </row>
    <row r="12" spans="2:17" ht="13.15" customHeight="1">
      <c r="B12" s="100" t="s">
        <v>15</v>
      </c>
      <c r="C12" s="7"/>
      <c r="D12" s="115">
        <v>72555.600000000006</v>
      </c>
      <c r="E12" s="26">
        <f>ROUND(D12/9*0.5,0)</f>
        <v>4031</v>
      </c>
      <c r="F12" s="26">
        <f>ROUND(E12*1.025,0)</f>
        <v>4132</v>
      </c>
      <c r="G12" s="26">
        <f>ROUND(F12*1.025,0)</f>
        <v>4235</v>
      </c>
      <c r="H12" s="26">
        <f t="shared" si="1"/>
        <v>4341</v>
      </c>
      <c r="I12" s="26">
        <v>0</v>
      </c>
      <c r="J12" s="26">
        <f t="shared" si="0"/>
        <v>16739</v>
      </c>
      <c r="K12" s="27"/>
      <c r="L12" s="29"/>
      <c r="M12" s="28"/>
      <c r="N12" s="28" t="s">
        <v>16</v>
      </c>
      <c r="O12" s="14">
        <v>0.30099999999999999</v>
      </c>
      <c r="P12" s="28"/>
      <c r="Q12" s="30"/>
    </row>
    <row r="13" spans="2:17" ht="13.15" customHeight="1">
      <c r="B13" s="100" t="s">
        <v>17</v>
      </c>
      <c r="C13" s="7"/>
      <c r="D13" s="120">
        <v>79435.199999999997</v>
      </c>
      <c r="E13" s="26">
        <f>ROUND(D13/9*3,0)</f>
        <v>26478</v>
      </c>
      <c r="F13" s="26">
        <f>ROUND(E13*1.025,0)</f>
        <v>27140</v>
      </c>
      <c r="G13" s="26">
        <f>ROUND(F13*1.025,0)</f>
        <v>27819</v>
      </c>
      <c r="H13" s="26">
        <f>ROUND(G13*1.025,0)</f>
        <v>28514</v>
      </c>
      <c r="I13" s="26"/>
      <c r="J13" s="26">
        <f t="shared" si="0"/>
        <v>109951</v>
      </c>
      <c r="K13" s="27">
        <f>SUM(J8:J13)</f>
        <v>355713.25</v>
      </c>
      <c r="L13" s="29"/>
      <c r="M13" s="28"/>
      <c r="N13" s="28"/>
      <c r="O13" s="14"/>
      <c r="P13" s="28"/>
      <c r="Q13" s="30"/>
    </row>
    <row r="14" spans="2:17" ht="13.15" customHeight="1">
      <c r="B14" s="100" t="s">
        <v>18</v>
      </c>
      <c r="C14" s="7"/>
      <c r="D14" s="117">
        <v>60000</v>
      </c>
      <c r="E14" s="26">
        <f>D14</f>
        <v>60000</v>
      </c>
      <c r="F14" s="26">
        <f>ROUND(E14*1.025,0)</f>
        <v>61500</v>
      </c>
      <c r="G14" s="26">
        <f>ROUND(F14*1.025,0)</f>
        <v>63038</v>
      </c>
      <c r="H14" s="26">
        <f>ROUND(G14*1.025,0)</f>
        <v>64614</v>
      </c>
      <c r="I14" s="26"/>
      <c r="J14" s="26">
        <f t="shared" si="0"/>
        <v>249152</v>
      </c>
      <c r="L14" s="22"/>
      <c r="M14" s="28"/>
      <c r="N14" s="28"/>
      <c r="O14" s="14"/>
      <c r="P14" s="28"/>
      <c r="Q14" s="24"/>
    </row>
    <row r="15" spans="2:17" ht="13.15" customHeight="1">
      <c r="B15" s="100" t="s">
        <v>19</v>
      </c>
      <c r="C15" s="7"/>
      <c r="D15" s="117">
        <v>35880</v>
      </c>
      <c r="E15" s="26">
        <f>ROUND(D15/12*3,0)</f>
        <v>8970</v>
      </c>
      <c r="F15" s="26">
        <f t="shared" si="1"/>
        <v>9194</v>
      </c>
      <c r="G15" s="26">
        <f t="shared" si="1"/>
        <v>9424</v>
      </c>
      <c r="H15" s="26">
        <f t="shared" si="1"/>
        <v>9660</v>
      </c>
      <c r="I15" s="26">
        <v>0</v>
      </c>
      <c r="J15" s="26">
        <f t="shared" si="0"/>
        <v>37248</v>
      </c>
      <c r="K15" s="27"/>
      <c r="L15" s="22"/>
      <c r="M15" s="28"/>
      <c r="N15" s="28"/>
      <c r="O15" s="14"/>
      <c r="P15" s="28"/>
      <c r="Q15" s="24"/>
    </row>
    <row r="16" spans="2:17" ht="13.15" customHeight="1">
      <c r="B16" s="31" t="s">
        <v>20</v>
      </c>
      <c r="C16" s="31"/>
      <c r="D16" s="25"/>
      <c r="E16" s="33">
        <f>SUM(E8:E15)</f>
        <v>156707</v>
      </c>
      <c r="F16" s="33">
        <f>SUM(F8:F15)</f>
        <v>160625</v>
      </c>
      <c r="G16" s="33">
        <f>SUM(G8:G15)</f>
        <v>161556.5</v>
      </c>
      <c r="H16" s="33">
        <f>SUM(H8:H15)</f>
        <v>163224.75</v>
      </c>
      <c r="I16" s="33">
        <f>SUM(I8:I15)</f>
        <v>0</v>
      </c>
      <c r="J16" s="33">
        <f>SUM(E16:I16)</f>
        <v>642113.25</v>
      </c>
      <c r="L16" s="22"/>
      <c r="M16" s="28"/>
      <c r="N16" s="28"/>
      <c r="O16" s="14"/>
      <c r="P16" s="28"/>
      <c r="Q16" s="24"/>
    </row>
    <row r="17" spans="2:17" ht="13.15" customHeight="1">
      <c r="B17" s="7"/>
      <c r="C17" s="7"/>
      <c r="D17" s="25"/>
      <c r="E17" s="26"/>
      <c r="F17" s="26"/>
      <c r="G17" s="26"/>
      <c r="H17" s="26"/>
      <c r="I17" s="26"/>
      <c r="J17" s="26"/>
      <c r="L17" s="22"/>
      <c r="M17" s="28"/>
      <c r="N17" s="28" t="s">
        <v>21</v>
      </c>
      <c r="O17" s="14">
        <v>3.5999999999999997E-2</v>
      </c>
      <c r="P17" s="28"/>
      <c r="Q17" s="24"/>
    </row>
    <row r="18" spans="2:17" ht="13.15" customHeight="1">
      <c r="B18" s="34" t="s">
        <v>22</v>
      </c>
      <c r="C18" s="34"/>
      <c r="D18" s="118"/>
      <c r="E18" s="35"/>
      <c r="F18" s="35"/>
      <c r="G18" s="35"/>
      <c r="H18" s="35"/>
      <c r="I18" s="35"/>
      <c r="J18" s="35"/>
      <c r="L18" s="22"/>
      <c r="M18" s="15"/>
      <c r="N18" s="15"/>
      <c r="O18" s="36"/>
      <c r="P18" s="15"/>
      <c r="Q18" s="24"/>
    </row>
    <row r="19" spans="2:17" ht="13.15" customHeight="1">
      <c r="B19" s="100" t="s">
        <v>23</v>
      </c>
      <c r="C19" s="7"/>
      <c r="D19" s="25" t="s">
        <v>24</v>
      </c>
      <c r="E19" s="26">
        <f>ROUND(25*780,0)*2</f>
        <v>39000</v>
      </c>
      <c r="F19" s="26">
        <f>ROUND(E19*1.025,0)</f>
        <v>39975</v>
      </c>
      <c r="G19" s="26">
        <f>ROUND(F19*1.025,0)</f>
        <v>40974</v>
      </c>
      <c r="H19" s="26">
        <f>ROUND(G19*1.025,0)</f>
        <v>41998</v>
      </c>
      <c r="I19" s="26">
        <v>0</v>
      </c>
      <c r="J19" s="26">
        <f t="shared" ref="J19:J23" si="3">SUM(E19:I19)</f>
        <v>161947</v>
      </c>
      <c r="K19" s="27"/>
      <c r="L19" s="22"/>
      <c r="M19" s="15"/>
      <c r="N19" s="28" t="s">
        <v>25</v>
      </c>
      <c r="O19" s="14">
        <v>7.9000000000000001E-2</v>
      </c>
      <c r="P19" s="15"/>
      <c r="Q19" s="24"/>
    </row>
    <row r="20" spans="2:17" ht="13.15" customHeight="1">
      <c r="B20" s="100" t="s">
        <v>26</v>
      </c>
      <c r="C20" s="7"/>
      <c r="D20" s="25" t="s">
        <v>24</v>
      </c>
      <c r="E20" s="26">
        <f>ROUND(25*520,0)*2</f>
        <v>26000</v>
      </c>
      <c r="F20" s="26">
        <f t="shared" ref="F20:G22" si="4">ROUND(E20*1.025,0)</f>
        <v>26650</v>
      </c>
      <c r="G20" s="26">
        <f t="shared" si="4"/>
        <v>27316</v>
      </c>
      <c r="H20" s="26">
        <f>ROUND(G20*1.025,0)</f>
        <v>27999</v>
      </c>
      <c r="I20" s="26">
        <v>0</v>
      </c>
      <c r="J20" s="26">
        <f t="shared" si="3"/>
        <v>107965</v>
      </c>
      <c r="K20" s="27">
        <f>SUM(J14,J15,J19,J20)</f>
        <v>556312</v>
      </c>
      <c r="L20" s="22"/>
      <c r="M20" s="15"/>
      <c r="N20" s="15"/>
      <c r="O20" s="36"/>
      <c r="P20" s="15"/>
      <c r="Q20" s="24"/>
    </row>
    <row r="21" spans="2:17" ht="13.15" customHeight="1">
      <c r="B21" s="100" t="s">
        <v>27</v>
      </c>
      <c r="C21" s="7"/>
      <c r="D21" s="25" t="s">
        <v>28</v>
      </c>
      <c r="E21" s="26">
        <v>0</v>
      </c>
      <c r="F21" s="26">
        <f t="shared" si="4"/>
        <v>0</v>
      </c>
      <c r="G21" s="26">
        <f t="shared" si="4"/>
        <v>0</v>
      </c>
      <c r="H21" s="26">
        <f>ROUND(G21*1.025,0)</f>
        <v>0</v>
      </c>
      <c r="I21" s="26"/>
      <c r="J21" s="26">
        <f t="shared" si="3"/>
        <v>0</v>
      </c>
      <c r="L21" s="121"/>
      <c r="O21" s="122"/>
      <c r="Q21" s="123"/>
    </row>
    <row r="22" spans="2:17" ht="13.15" customHeight="1" thickBot="1">
      <c r="B22" s="100"/>
      <c r="C22" s="7"/>
      <c r="D22" s="25"/>
      <c r="E22" s="26">
        <f>ROUND(0*1040,0)</f>
        <v>0</v>
      </c>
      <c r="F22" s="26">
        <f t="shared" si="4"/>
        <v>0</v>
      </c>
      <c r="G22" s="26">
        <f t="shared" si="4"/>
        <v>0</v>
      </c>
      <c r="H22" s="26">
        <v>0</v>
      </c>
      <c r="I22" s="26">
        <v>0</v>
      </c>
      <c r="J22" s="26">
        <f t="shared" si="3"/>
        <v>0</v>
      </c>
      <c r="L22" s="37"/>
      <c r="M22" s="38"/>
      <c r="N22" s="38"/>
      <c r="O22" s="38"/>
      <c r="P22" s="38"/>
      <c r="Q22" s="39"/>
    </row>
    <row r="23" spans="2:17" ht="13.15" customHeight="1" thickTop="1">
      <c r="B23" s="31" t="s">
        <v>29</v>
      </c>
      <c r="C23" s="31"/>
      <c r="D23" s="32"/>
      <c r="E23" s="33">
        <f>SUM(E19:E22)</f>
        <v>65000</v>
      </c>
      <c r="F23" s="33">
        <f>SUM(F19:F22)</f>
        <v>66625</v>
      </c>
      <c r="G23" s="33">
        <f>SUM(G19:G22)</f>
        <v>68290</v>
      </c>
      <c r="H23" s="33">
        <f>SUM(H19:H22)</f>
        <v>69997</v>
      </c>
      <c r="I23" s="33">
        <f>SUM(I19:I22)</f>
        <v>0</v>
      </c>
      <c r="J23" s="33">
        <f t="shared" si="3"/>
        <v>269912</v>
      </c>
      <c r="L23" s="1" t="s">
        <v>30</v>
      </c>
    </row>
    <row r="24" spans="2:17" ht="13.15" customHeight="1">
      <c r="B24" s="7"/>
      <c r="C24" s="7"/>
      <c r="D24" s="25"/>
      <c r="E24" s="26"/>
      <c r="F24" s="26"/>
      <c r="G24" s="26"/>
      <c r="H24" s="26"/>
      <c r="I24" s="26"/>
      <c r="J24" s="26"/>
      <c r="L24" s="1" t="s">
        <v>31</v>
      </c>
    </row>
    <row r="25" spans="2:17" ht="13.15" customHeight="1">
      <c r="B25" s="40" t="s">
        <v>32</v>
      </c>
      <c r="C25" s="31"/>
      <c r="D25" s="41" t="s">
        <v>33</v>
      </c>
      <c r="E25" s="33"/>
      <c r="F25" s="33"/>
      <c r="G25" s="33"/>
      <c r="H25" s="33"/>
      <c r="I25" s="33"/>
      <c r="J25" s="33"/>
      <c r="L25" s="1" t="s">
        <v>34</v>
      </c>
    </row>
    <row r="26" spans="2:17" ht="13.15" customHeight="1">
      <c r="B26" s="100" t="s">
        <v>35</v>
      </c>
      <c r="C26" s="7"/>
      <c r="D26" s="42">
        <v>0.30099999999999999</v>
      </c>
      <c r="E26" s="26">
        <f>SUM(D26*E8)</f>
        <v>8297.6669999999995</v>
      </c>
      <c r="F26" s="26">
        <f t="shared" ref="F26:F33" si="5">SUM(D26*F8)</f>
        <v>8505.0560000000005</v>
      </c>
      <c r="G26" s="26">
        <f t="shared" ref="G26:G33" si="6">SUM(D26*G8)</f>
        <v>8717.5619999999999</v>
      </c>
      <c r="H26" s="26">
        <f>SUM(D26*H8)</f>
        <v>8935.485999999999</v>
      </c>
      <c r="I26" s="26">
        <f>SUM(E26*I8)</f>
        <v>0</v>
      </c>
      <c r="J26" s="26">
        <f t="shared" ref="J26:J37" si="7">SUM(E26:I26)</f>
        <v>34455.770999999993</v>
      </c>
    </row>
    <row r="27" spans="2:17" ht="13.15" customHeight="1">
      <c r="B27" s="100" t="s">
        <v>36</v>
      </c>
      <c r="C27" s="7"/>
      <c r="D27" s="42">
        <v>0.30099999999999999</v>
      </c>
      <c r="E27" s="26">
        <f>SUM(D27*E9)</f>
        <v>4218.8159999999998</v>
      </c>
      <c r="F27" s="26">
        <f t="shared" si="5"/>
        <v>4324.1660000000002</v>
      </c>
      <c r="G27" s="26">
        <f t="shared" si="6"/>
        <v>4432.2249999999995</v>
      </c>
      <c r="H27" s="26">
        <f>SUM(D27*H9)</f>
        <v>4542.9929999999995</v>
      </c>
      <c r="I27" s="26">
        <f>SUM(E27*I9)</f>
        <v>0</v>
      </c>
      <c r="J27" s="26">
        <f t="shared" si="7"/>
        <v>17518.199999999997</v>
      </c>
    </row>
    <row r="28" spans="2:17" ht="13.15" customHeight="1">
      <c r="B28" s="100" t="s">
        <v>37</v>
      </c>
      <c r="C28" s="7"/>
      <c r="D28" s="42">
        <v>0.30099999999999999</v>
      </c>
      <c r="E28" s="26">
        <f>SUM(D28*E10)</f>
        <v>1174.502</v>
      </c>
      <c r="F28" s="26">
        <f t="shared" si="5"/>
        <v>1204</v>
      </c>
      <c r="G28" s="26">
        <f t="shared" si="6"/>
        <v>1234.0999999999999</v>
      </c>
      <c r="H28" s="26">
        <f t="shared" ref="H28:H33" si="8">SUM(D28*H10)</f>
        <v>1265.1030000000001</v>
      </c>
      <c r="I28" s="26"/>
      <c r="J28" s="26">
        <f t="shared" si="7"/>
        <v>4877.7049999999999</v>
      </c>
    </row>
    <row r="29" spans="2:17" ht="13.15" customHeight="1">
      <c r="B29" s="100" t="s">
        <v>38</v>
      </c>
      <c r="C29" s="7"/>
      <c r="D29" s="42">
        <v>0.30099999999999999</v>
      </c>
      <c r="E29" s="26">
        <f>SUM(D29*E11)</f>
        <v>3534.643</v>
      </c>
      <c r="F29" s="26">
        <f t="shared" si="5"/>
        <v>3623.1369999999997</v>
      </c>
      <c r="G29" s="26">
        <f t="shared" si="6"/>
        <v>2785.3035</v>
      </c>
      <c r="H29" s="26">
        <f t="shared" si="8"/>
        <v>2141.23875</v>
      </c>
      <c r="I29" s="26"/>
      <c r="J29" s="26">
        <f t="shared" si="7"/>
        <v>12084.322250000001</v>
      </c>
    </row>
    <row r="30" spans="2:17" ht="13.15" customHeight="1">
      <c r="B30" s="100" t="s">
        <v>39</v>
      </c>
      <c r="C30" s="7"/>
      <c r="D30" s="42">
        <v>0.30099999999999999</v>
      </c>
      <c r="E30" s="26">
        <f>SUM(D30*E12)</f>
        <v>1213.3309999999999</v>
      </c>
      <c r="F30" s="26">
        <f t="shared" si="5"/>
        <v>1243.732</v>
      </c>
      <c r="G30" s="26">
        <f t="shared" si="6"/>
        <v>1274.7349999999999</v>
      </c>
      <c r="H30" s="26">
        <f t="shared" si="8"/>
        <v>1306.6409999999998</v>
      </c>
      <c r="I30" s="26">
        <f>SUM(E30*I12)</f>
        <v>0</v>
      </c>
      <c r="J30" s="26">
        <f t="shared" si="7"/>
        <v>5038.4389999999994</v>
      </c>
    </row>
    <row r="31" spans="2:17" ht="13.15" customHeight="1">
      <c r="B31" s="100" t="s">
        <v>40</v>
      </c>
      <c r="C31" s="7"/>
      <c r="D31" s="42">
        <v>0.42</v>
      </c>
      <c r="E31" s="119">
        <f>SUM(D31*E13,0)</f>
        <v>11120.76</v>
      </c>
      <c r="F31" s="119">
        <f t="shared" si="5"/>
        <v>11398.8</v>
      </c>
      <c r="G31" s="119">
        <f t="shared" si="6"/>
        <v>11683.98</v>
      </c>
      <c r="H31" s="119">
        <f t="shared" si="8"/>
        <v>11975.88</v>
      </c>
      <c r="I31" s="26"/>
      <c r="J31" s="119">
        <f>SUM(D31*J13)</f>
        <v>46179.42</v>
      </c>
    </row>
    <row r="32" spans="2:17" ht="13.15" customHeight="1">
      <c r="B32" s="100" t="s">
        <v>18</v>
      </c>
      <c r="C32" s="7"/>
      <c r="D32" s="42">
        <v>3.5999999999999997E-2</v>
      </c>
      <c r="E32" s="26">
        <f>SUM(D32*E14)</f>
        <v>2160</v>
      </c>
      <c r="F32" s="26">
        <f t="shared" si="5"/>
        <v>2214</v>
      </c>
      <c r="G32" s="26">
        <f t="shared" si="6"/>
        <v>2269.3679999999999</v>
      </c>
      <c r="H32" s="26">
        <f t="shared" si="8"/>
        <v>2326.1039999999998</v>
      </c>
      <c r="I32" s="26">
        <f>SUM(E32*I22)</f>
        <v>0</v>
      </c>
      <c r="J32" s="26">
        <f>SUM(E32:I32)</f>
        <v>8969.4719999999998</v>
      </c>
    </row>
    <row r="33" spans="2:16" ht="13.15" customHeight="1">
      <c r="B33" s="100" t="s">
        <v>41</v>
      </c>
      <c r="C33" s="7"/>
      <c r="D33" s="42">
        <v>0.42</v>
      </c>
      <c r="E33" s="26">
        <f>SUM(D33*E15)</f>
        <v>3767.3999999999996</v>
      </c>
      <c r="F33" s="26">
        <f t="shared" si="5"/>
        <v>3861.48</v>
      </c>
      <c r="G33" s="26">
        <f t="shared" si="6"/>
        <v>3958.08</v>
      </c>
      <c r="H33" s="26">
        <f t="shared" si="8"/>
        <v>4057.2</v>
      </c>
      <c r="I33" s="26">
        <v>0</v>
      </c>
      <c r="J33" s="26">
        <f t="shared" si="7"/>
        <v>15644.16</v>
      </c>
    </row>
    <row r="34" spans="2:16" ht="13.15" customHeight="1">
      <c r="B34" s="100" t="s">
        <v>42</v>
      </c>
      <c r="C34" s="7"/>
      <c r="D34" s="42">
        <v>3.5999999999999997E-2</v>
      </c>
      <c r="E34" s="26">
        <f>SUM(D34*E19)</f>
        <v>1404</v>
      </c>
      <c r="F34" s="26">
        <f>SUM(D34*F19)</f>
        <v>1439.1</v>
      </c>
      <c r="G34" s="26">
        <f>SUM(D34*G19)</f>
        <v>1475.0639999999999</v>
      </c>
      <c r="H34" s="26">
        <f>SUM(D34*H19)</f>
        <v>1511.9279999999999</v>
      </c>
      <c r="I34" s="26">
        <f>SUM(E34*I19)</f>
        <v>0</v>
      </c>
      <c r="J34" s="26">
        <f t="shared" si="7"/>
        <v>5830.0919999999996</v>
      </c>
    </row>
    <row r="35" spans="2:16" ht="13.15" customHeight="1">
      <c r="B35" s="100" t="s">
        <v>43</v>
      </c>
      <c r="C35" s="7"/>
      <c r="D35" s="42">
        <v>3.5999999999999997E-2</v>
      </c>
      <c r="E35" s="26">
        <f>SUM(D35*E20)</f>
        <v>935.99999999999989</v>
      </c>
      <c r="F35" s="26">
        <f>SUM(D35*F20)</f>
        <v>959.4</v>
      </c>
      <c r="G35" s="26">
        <f>SUM(D35*G20)</f>
        <v>983.37599999999998</v>
      </c>
      <c r="H35" s="26">
        <f>SUM(D35*H20)</f>
        <v>1007.9639999999999</v>
      </c>
      <c r="I35" s="26">
        <f>SUM(E35*I20)</f>
        <v>0</v>
      </c>
      <c r="J35" s="26">
        <f t="shared" si="7"/>
        <v>3886.74</v>
      </c>
    </row>
    <row r="36" spans="2:16" ht="13.15" customHeight="1">
      <c r="B36" s="1" t="s">
        <v>44</v>
      </c>
      <c r="C36" s="7"/>
      <c r="D36" s="42">
        <v>3.5999999999999997E-2</v>
      </c>
      <c r="E36" s="26">
        <f>SUM(D36*E21)</f>
        <v>0</v>
      </c>
      <c r="F36" s="26">
        <f>SUM(D36*F21)</f>
        <v>0</v>
      </c>
      <c r="G36" s="26">
        <f>SUM(D36*G21)</f>
        <v>0</v>
      </c>
      <c r="H36" s="26">
        <f>SUM(D36*H21)</f>
        <v>0</v>
      </c>
      <c r="I36" s="26"/>
      <c r="J36" s="26">
        <f t="shared" si="7"/>
        <v>0</v>
      </c>
    </row>
    <row r="37" spans="2:16" ht="13.15" customHeight="1">
      <c r="B37" s="31" t="s">
        <v>45</v>
      </c>
      <c r="C37" s="31"/>
      <c r="D37" s="31"/>
      <c r="E37" s="33">
        <f>SUM(E26:E36)</f>
        <v>37827.118999999999</v>
      </c>
      <c r="F37" s="33">
        <f>SUM(F26:F36)</f>
        <v>38772.870999999999</v>
      </c>
      <c r="G37" s="33">
        <f>SUM(G26:G36)</f>
        <v>38813.793499999992</v>
      </c>
      <c r="H37" s="33">
        <f>SUM(H26:H36)</f>
        <v>39070.537749999996</v>
      </c>
      <c r="I37" s="33">
        <f>SUM(I26:I35)</f>
        <v>0</v>
      </c>
      <c r="J37" s="33">
        <f t="shared" si="7"/>
        <v>154484.32124999998</v>
      </c>
    </row>
    <row r="38" spans="2:16" ht="13.15" customHeight="1">
      <c r="B38" s="31" t="s">
        <v>46</v>
      </c>
      <c r="C38" s="31"/>
      <c r="D38" s="31"/>
      <c r="E38" s="33">
        <f t="shared" ref="E38:J38" si="9">SUM(E16+E23+E37)</f>
        <v>259534.11900000001</v>
      </c>
      <c r="F38" s="33">
        <f t="shared" si="9"/>
        <v>266022.87099999998</v>
      </c>
      <c r="G38" s="33">
        <f t="shared" si="9"/>
        <v>268660.29349999997</v>
      </c>
      <c r="H38" s="33">
        <f t="shared" si="9"/>
        <v>272292.28775000002</v>
      </c>
      <c r="I38" s="33">
        <f t="shared" si="9"/>
        <v>0</v>
      </c>
      <c r="J38" s="33">
        <f t="shared" si="9"/>
        <v>1066509.57125</v>
      </c>
    </row>
    <row r="39" spans="2:16" ht="13.15" customHeight="1">
      <c r="B39" s="7"/>
      <c r="C39" s="7"/>
      <c r="D39" s="7"/>
      <c r="E39" s="26"/>
      <c r="F39" s="26"/>
      <c r="G39" s="26"/>
      <c r="H39" s="26"/>
      <c r="I39" s="26"/>
      <c r="J39" s="26"/>
    </row>
    <row r="40" spans="2:16" ht="13.15" customHeight="1">
      <c r="B40" s="40" t="s">
        <v>47</v>
      </c>
      <c r="C40" s="31"/>
      <c r="D40" s="31"/>
      <c r="E40" s="33"/>
      <c r="F40" s="33"/>
      <c r="G40" s="33"/>
      <c r="H40" s="33"/>
      <c r="I40" s="33"/>
      <c r="J40" s="33"/>
    </row>
    <row r="41" spans="2:16" ht="13.15" customHeight="1">
      <c r="B41" s="7" t="s">
        <v>48</v>
      </c>
      <c r="C41" s="7" t="s">
        <v>49</v>
      </c>
      <c r="D41" s="7"/>
      <c r="E41" s="26">
        <f>Travel!C15</f>
        <v>9863</v>
      </c>
      <c r="F41" s="26">
        <f>Travel!D15</f>
        <v>23858.1</v>
      </c>
      <c r="G41" s="26">
        <f>Travel!E15</f>
        <v>26026.717500000006</v>
      </c>
      <c r="H41" s="26">
        <f>Travel!F15</f>
        <v>21040.992000000002</v>
      </c>
      <c r="I41" s="26">
        <v>0</v>
      </c>
      <c r="J41" s="26">
        <f t="shared" ref="J41:J46" si="10">SUM(E41:I41)</f>
        <v>80788.809500000003</v>
      </c>
      <c r="L41" s="151" t="s">
        <v>50</v>
      </c>
      <c r="M41" s="152"/>
      <c r="N41" s="152"/>
      <c r="O41" s="152"/>
      <c r="P41" s="153"/>
    </row>
    <row r="42" spans="2:16" ht="13.15" customHeight="1">
      <c r="B42" s="7"/>
      <c r="C42" s="7"/>
      <c r="D42" s="7"/>
      <c r="E42" s="26">
        <v>0</v>
      </c>
      <c r="F42" s="26">
        <v>0</v>
      </c>
      <c r="G42" s="26">
        <v>0</v>
      </c>
      <c r="H42" s="26">
        <v>0</v>
      </c>
      <c r="I42" s="26">
        <v>0</v>
      </c>
      <c r="J42" s="26">
        <f t="shared" si="10"/>
        <v>0</v>
      </c>
      <c r="L42" s="154" t="s">
        <v>51</v>
      </c>
      <c r="M42" s="155"/>
      <c r="N42" s="155"/>
      <c r="O42" s="155"/>
      <c r="P42" s="156"/>
    </row>
    <row r="43" spans="2:16" ht="13.15" customHeight="1">
      <c r="B43" s="7"/>
      <c r="C43" s="7"/>
      <c r="D43" s="7"/>
      <c r="E43" s="26">
        <v>0</v>
      </c>
      <c r="F43" s="26">
        <v>0</v>
      </c>
      <c r="G43" s="26">
        <v>0</v>
      </c>
      <c r="H43" s="26">
        <v>0</v>
      </c>
      <c r="I43" s="26">
        <v>0</v>
      </c>
      <c r="J43" s="26">
        <f t="shared" si="10"/>
        <v>0</v>
      </c>
      <c r="L43" s="154" t="s">
        <v>52</v>
      </c>
      <c r="M43" s="155"/>
      <c r="N43" s="155"/>
      <c r="O43" s="155"/>
      <c r="P43" s="156"/>
    </row>
    <row r="44" spans="2:16" ht="13.15" customHeight="1">
      <c r="B44" s="7"/>
      <c r="C44" s="7"/>
      <c r="D44" s="7"/>
      <c r="E44" s="26">
        <v>0</v>
      </c>
      <c r="F44" s="26">
        <v>0</v>
      </c>
      <c r="G44" s="26">
        <v>0</v>
      </c>
      <c r="H44" s="26">
        <v>0</v>
      </c>
      <c r="I44" s="26">
        <v>0</v>
      </c>
      <c r="J44" s="26">
        <f t="shared" si="10"/>
        <v>0</v>
      </c>
      <c r="L44" s="43"/>
      <c r="M44" s="44"/>
      <c r="N44" s="44"/>
      <c r="O44" s="44"/>
      <c r="P44" s="45"/>
    </row>
    <row r="45" spans="2:16" ht="13.15" customHeight="1">
      <c r="B45" s="7"/>
      <c r="C45" s="7"/>
      <c r="D45" s="7"/>
      <c r="E45" s="26">
        <v>0</v>
      </c>
      <c r="F45" s="26">
        <v>0</v>
      </c>
      <c r="G45" s="26">
        <v>0</v>
      </c>
      <c r="H45" s="26">
        <v>0</v>
      </c>
      <c r="I45" s="26">
        <v>0</v>
      </c>
      <c r="J45" s="26">
        <f t="shared" si="10"/>
        <v>0</v>
      </c>
      <c r="L45" s="127" t="s">
        <v>53</v>
      </c>
      <c r="M45" s="128"/>
      <c r="N45" s="128"/>
      <c r="O45" s="128"/>
      <c r="P45" s="129"/>
    </row>
    <row r="46" spans="2:16" ht="13.15" customHeight="1">
      <c r="B46" s="31" t="s">
        <v>54</v>
      </c>
      <c r="C46" s="31"/>
      <c r="D46" s="31"/>
      <c r="E46" s="33">
        <f>SUM(E41:E45)</f>
        <v>9863</v>
      </c>
      <c r="F46" s="33">
        <f t="shared" ref="F46:I46" si="11">SUM(F41:F45)</f>
        <v>23858.1</v>
      </c>
      <c r="G46" s="33">
        <f t="shared" si="11"/>
        <v>26026.717500000006</v>
      </c>
      <c r="H46" s="33">
        <f t="shared" si="11"/>
        <v>21040.992000000002</v>
      </c>
      <c r="I46" s="33">
        <f t="shared" si="11"/>
        <v>0</v>
      </c>
      <c r="J46" s="33">
        <f t="shared" si="10"/>
        <v>80788.809500000003</v>
      </c>
      <c r="L46" s="127"/>
      <c r="M46" s="128"/>
      <c r="N46" s="128"/>
      <c r="O46" s="128"/>
      <c r="P46" s="129"/>
    </row>
    <row r="47" spans="2:16" ht="13.15" customHeight="1">
      <c r="B47" s="7"/>
      <c r="C47" s="7"/>
      <c r="D47" s="7"/>
      <c r="E47" s="26"/>
      <c r="F47" s="26"/>
      <c r="G47" s="26"/>
      <c r="H47" s="26"/>
      <c r="I47" s="26"/>
      <c r="J47" s="26"/>
      <c r="L47" s="157"/>
      <c r="M47" s="158"/>
      <c r="N47" s="158"/>
      <c r="O47" s="158"/>
      <c r="P47" s="159"/>
    </row>
    <row r="48" spans="2:16" ht="13.15" customHeight="1">
      <c r="B48" s="40" t="s">
        <v>55</v>
      </c>
      <c r="C48" s="31"/>
      <c r="D48" s="31"/>
      <c r="E48" s="33"/>
      <c r="F48" s="33"/>
      <c r="G48" s="33"/>
      <c r="H48" s="33"/>
      <c r="I48" s="33"/>
      <c r="J48" s="33"/>
    </row>
    <row r="49" spans="2:17" ht="13.15" customHeight="1">
      <c r="B49" s="7" t="s">
        <v>56</v>
      </c>
      <c r="C49" s="7"/>
      <c r="D49" s="7"/>
      <c r="E49" s="26">
        <f>15*3*50</f>
        <v>2250</v>
      </c>
      <c r="F49" s="26">
        <f>15*3*50</f>
        <v>2250</v>
      </c>
      <c r="G49" s="26">
        <f>15*3*50</f>
        <v>2250</v>
      </c>
      <c r="H49" s="26">
        <f>15*3*50</f>
        <v>2250</v>
      </c>
      <c r="I49" s="26">
        <v>0</v>
      </c>
      <c r="J49" s="26">
        <f>SUM(E49:I49)</f>
        <v>9000</v>
      </c>
    </row>
    <row r="50" spans="2:17" ht="13.15" customHeight="1">
      <c r="B50" s="7" t="s">
        <v>57</v>
      </c>
      <c r="C50" s="7"/>
      <c r="D50" s="7"/>
      <c r="E50" s="26">
        <f>3*15*400</f>
        <v>18000</v>
      </c>
      <c r="F50" s="26">
        <f>3*15*400</f>
        <v>18000</v>
      </c>
      <c r="G50" s="26">
        <f>3*15*400</f>
        <v>18000</v>
      </c>
      <c r="H50" s="26">
        <f>3*15*400</f>
        <v>18000</v>
      </c>
      <c r="I50" s="26"/>
      <c r="J50" s="26">
        <f>SUM(E50:I50)</f>
        <v>72000</v>
      </c>
    </row>
    <row r="51" spans="2:17" ht="13.15" customHeight="1">
      <c r="B51" s="7" t="s">
        <v>58</v>
      </c>
      <c r="C51" s="7"/>
      <c r="D51" s="7"/>
      <c r="E51" s="26">
        <f>3*15*55</f>
        <v>2475</v>
      </c>
      <c r="F51" s="26">
        <f>3*15*55</f>
        <v>2475</v>
      </c>
      <c r="G51" s="26">
        <f>3*15*55</f>
        <v>2475</v>
      </c>
      <c r="H51" s="26">
        <f>3*15*55</f>
        <v>2475</v>
      </c>
      <c r="I51" s="26"/>
      <c r="J51" s="26">
        <f>SUM(E51:I51)</f>
        <v>9900</v>
      </c>
    </row>
    <row r="52" spans="2:17" ht="13.15" customHeight="1">
      <c r="B52" s="7" t="s">
        <v>59</v>
      </c>
      <c r="C52" s="7"/>
      <c r="D52" s="7"/>
      <c r="E52" s="26">
        <v>14000</v>
      </c>
      <c r="F52" s="26">
        <v>6500</v>
      </c>
      <c r="G52" s="26">
        <v>1000</v>
      </c>
      <c r="H52" s="26">
        <v>1000</v>
      </c>
      <c r="I52" s="26">
        <v>0</v>
      </c>
      <c r="J52" s="26">
        <f t="shared" ref="J52:J57" si="12">SUM(E52:I52)</f>
        <v>22500</v>
      </c>
    </row>
    <row r="53" spans="2:17" ht="13.15" customHeight="1">
      <c r="B53" s="7" t="s">
        <v>60</v>
      </c>
      <c r="C53" s="7"/>
      <c r="D53" s="7"/>
      <c r="E53" s="26">
        <v>5000</v>
      </c>
      <c r="F53" s="26">
        <v>0</v>
      </c>
      <c r="G53" s="26">
        <v>0</v>
      </c>
      <c r="H53" s="26">
        <v>0</v>
      </c>
      <c r="I53" s="26">
        <v>0</v>
      </c>
      <c r="J53" s="26">
        <f>SUM(E53:I53)</f>
        <v>5000</v>
      </c>
    </row>
    <row r="54" spans="2:17" ht="13.15" customHeight="1">
      <c r="B54" s="7" t="s">
        <v>61</v>
      </c>
      <c r="C54" s="7"/>
      <c r="D54" s="7"/>
      <c r="E54" s="26">
        <f>40*250</f>
        <v>10000</v>
      </c>
      <c r="F54" s="26">
        <v>0</v>
      </c>
      <c r="G54" s="26">
        <f>10*250</f>
        <v>2500</v>
      </c>
      <c r="H54" s="26">
        <v>0</v>
      </c>
      <c r="I54" s="26">
        <v>0</v>
      </c>
      <c r="J54" s="26">
        <f>SUM(E54:I54)</f>
        <v>12500</v>
      </c>
      <c r="K54" s="27"/>
    </row>
    <row r="55" spans="2:17" ht="13.15" customHeight="1">
      <c r="B55" s="7" t="s">
        <v>62</v>
      </c>
      <c r="C55" s="7"/>
      <c r="D55" s="7"/>
      <c r="E55" s="26">
        <v>0</v>
      </c>
      <c r="F55" s="26">
        <v>0</v>
      </c>
      <c r="G55" s="26">
        <v>1600</v>
      </c>
      <c r="H55" s="26">
        <v>3500</v>
      </c>
      <c r="I55" s="26">
        <v>0</v>
      </c>
      <c r="J55" s="26">
        <f t="shared" si="12"/>
        <v>5100</v>
      </c>
    </row>
    <row r="56" spans="2:17" ht="13.15" customHeight="1">
      <c r="B56" s="7" t="s">
        <v>63</v>
      </c>
      <c r="C56" s="7"/>
      <c r="D56" s="7"/>
      <c r="E56" s="26">
        <v>8000</v>
      </c>
      <c r="F56" s="26">
        <v>8000</v>
      </c>
      <c r="G56" s="26">
        <v>5000</v>
      </c>
      <c r="H56" s="26">
        <v>5000</v>
      </c>
      <c r="I56" s="26">
        <v>0</v>
      </c>
      <c r="J56" s="26">
        <f t="shared" si="12"/>
        <v>26000</v>
      </c>
    </row>
    <row r="57" spans="2:17" ht="13.15" customHeight="1">
      <c r="B57" s="7" t="s">
        <v>64</v>
      </c>
      <c r="C57" s="7"/>
      <c r="D57" s="7"/>
      <c r="E57" s="26">
        <v>50000</v>
      </c>
      <c r="F57" s="26">
        <v>50000</v>
      </c>
      <c r="G57" s="26">
        <v>50000</v>
      </c>
      <c r="H57" s="26">
        <v>50000</v>
      </c>
      <c r="I57" s="26">
        <v>0</v>
      </c>
      <c r="J57" s="26">
        <f t="shared" si="12"/>
        <v>200000</v>
      </c>
    </row>
    <row r="58" spans="2:17" ht="13.15" customHeight="1">
      <c r="B58" s="7" t="s">
        <v>65</v>
      </c>
      <c r="C58" s="7"/>
      <c r="D58" s="7"/>
      <c r="E58" s="26">
        <v>0</v>
      </c>
      <c r="F58" s="26">
        <v>0</v>
      </c>
      <c r="G58" s="26">
        <v>0</v>
      </c>
      <c r="H58" s="26">
        <v>0</v>
      </c>
      <c r="I58" s="26">
        <v>0</v>
      </c>
      <c r="J58" s="26">
        <f>SUM(E58:I58)</f>
        <v>0</v>
      </c>
    </row>
    <row r="59" spans="2:17" ht="13.15" customHeight="1">
      <c r="B59" s="7" t="s">
        <v>66</v>
      </c>
      <c r="C59" s="7"/>
      <c r="D59" s="7"/>
      <c r="E59" s="26">
        <v>0</v>
      </c>
      <c r="F59" s="26">
        <v>0</v>
      </c>
      <c r="G59" s="26">
        <v>1800</v>
      </c>
      <c r="H59" s="26">
        <v>1800</v>
      </c>
      <c r="I59" s="26">
        <v>0</v>
      </c>
      <c r="J59" s="26">
        <f>SUM(E59:I59)</f>
        <v>3600</v>
      </c>
    </row>
    <row r="62" spans="2:17" ht="13.15" customHeight="1">
      <c r="B62" s="31" t="s">
        <v>67</v>
      </c>
      <c r="C62" s="31"/>
      <c r="D62" s="31"/>
      <c r="E62" s="33">
        <f>SUM(E49:E60)</f>
        <v>109725</v>
      </c>
      <c r="F62" s="33">
        <f>SUM(F49:F60)</f>
        <v>87225</v>
      </c>
      <c r="G62" s="33">
        <f>SUM(G49:G60)</f>
        <v>84625</v>
      </c>
      <c r="H62" s="33">
        <f>SUM(H49:H60)</f>
        <v>84025</v>
      </c>
      <c r="I62" s="33">
        <f>SUM(I49:I60)</f>
        <v>0</v>
      </c>
      <c r="J62" s="33">
        <f>SUM(E62:I62)</f>
        <v>365600</v>
      </c>
      <c r="K62" s="27">
        <f>SUM(J49:J59)</f>
        <v>365600</v>
      </c>
    </row>
    <row r="63" spans="2:17" ht="13.15" customHeight="1">
      <c r="B63" s="46"/>
      <c r="C63" s="7"/>
      <c r="D63" s="7"/>
      <c r="E63" s="7"/>
      <c r="F63" s="7"/>
      <c r="G63" s="7"/>
      <c r="H63" s="7"/>
      <c r="I63" s="7"/>
      <c r="J63" s="7"/>
    </row>
    <row r="64" spans="2:17" ht="13.15" customHeight="1">
      <c r="C64" s="7"/>
      <c r="D64" s="7"/>
      <c r="E64" s="47"/>
      <c r="F64" s="47"/>
      <c r="G64" s="47"/>
      <c r="H64" s="47"/>
      <c r="I64" s="47"/>
      <c r="J64" s="47"/>
      <c r="L64" s="85"/>
      <c r="M64" s="86"/>
      <c r="N64" s="86"/>
      <c r="O64" s="87"/>
      <c r="P64" s="87"/>
      <c r="Q64" s="88"/>
    </row>
    <row r="65" spans="2:17" ht="13.15" customHeight="1">
      <c r="B65" s="40" t="s">
        <v>68</v>
      </c>
      <c r="C65" s="31"/>
      <c r="D65" s="31"/>
      <c r="E65" s="48">
        <f>SUM(E38+E46+E62)</f>
        <v>379122.11900000001</v>
      </c>
      <c r="F65" s="48">
        <f>SUM(F38+F46+F62)</f>
        <v>377105.97099999996</v>
      </c>
      <c r="G65" s="48">
        <f>SUM(G38+G46+G62)</f>
        <v>379312.011</v>
      </c>
      <c r="H65" s="48">
        <f>SUM(H38+H46+H62)</f>
        <v>377358.27975000005</v>
      </c>
      <c r="I65" s="48">
        <f>SUM(I38+I46+I62)</f>
        <v>0</v>
      </c>
      <c r="J65" s="49">
        <f>SUM(E65:I65)</f>
        <v>1512898.38075</v>
      </c>
      <c r="K65" s="1">
        <f>L53</f>
        <v>0</v>
      </c>
      <c r="L65" s="139"/>
      <c r="M65" s="140"/>
      <c r="N65" s="140"/>
      <c r="O65" s="72"/>
      <c r="P65" s="73"/>
      <c r="Q65" s="89"/>
    </row>
    <row r="66" spans="2:17" ht="13.15" customHeight="1" thickBot="1">
      <c r="B66" s="46"/>
      <c r="C66" s="7"/>
      <c r="D66" s="7"/>
      <c r="E66" s="50"/>
      <c r="F66" s="50"/>
      <c r="G66" s="50"/>
      <c r="H66" s="50"/>
      <c r="I66" s="50"/>
      <c r="J66" s="51"/>
      <c r="L66" s="96"/>
      <c r="M66" s="77" t="s">
        <v>69</v>
      </c>
      <c r="N66" s="77"/>
      <c r="O66" s="77" t="s">
        <v>70</v>
      </c>
      <c r="P66" s="77" t="s">
        <v>71</v>
      </c>
      <c r="Q66" s="83" t="s">
        <v>72</v>
      </c>
    </row>
    <row r="67" spans="2:17" ht="13.15" customHeight="1" thickTop="1">
      <c r="B67" s="130" t="s">
        <v>73</v>
      </c>
      <c r="C67" s="131"/>
      <c r="D67" s="131"/>
      <c r="E67" s="131"/>
      <c r="F67" s="131"/>
      <c r="G67" s="131"/>
      <c r="H67" s="131"/>
      <c r="I67" s="131"/>
      <c r="J67" s="131"/>
      <c r="L67" s="90" t="s">
        <v>74</v>
      </c>
      <c r="M67" s="28"/>
      <c r="N67" s="28"/>
      <c r="O67" s="74"/>
      <c r="P67" s="74"/>
      <c r="Q67" s="91"/>
    </row>
    <row r="68" spans="2:17" ht="13.15" customHeight="1" thickBot="1">
      <c r="B68" s="132"/>
      <c r="C68" s="132"/>
      <c r="D68" s="132"/>
      <c r="E68" s="132"/>
      <c r="F68" s="132"/>
      <c r="G68" s="132"/>
      <c r="H68" s="132"/>
      <c r="I68" s="132"/>
      <c r="J68" s="132"/>
      <c r="L68" s="90"/>
      <c r="M68" s="28" t="s">
        <v>75</v>
      </c>
      <c r="N68" s="28"/>
      <c r="O68" s="75">
        <v>0.47499999999999998</v>
      </c>
      <c r="P68" s="75">
        <v>0.503</v>
      </c>
      <c r="Q68" s="91" t="s">
        <v>76</v>
      </c>
    </row>
    <row r="69" spans="2:17" ht="13.15" customHeight="1" thickTop="1">
      <c r="L69" s="92"/>
      <c r="M69" s="76" t="s">
        <v>77</v>
      </c>
      <c r="N69" s="76"/>
      <c r="O69" s="93">
        <v>0.26</v>
      </c>
      <c r="P69" s="79">
        <v>0.29299999999999998</v>
      </c>
      <c r="Q69" s="95" t="s">
        <v>76</v>
      </c>
    </row>
    <row r="70" spans="2:17" ht="13.15" customHeight="1">
      <c r="B70" s="40" t="s">
        <v>78</v>
      </c>
      <c r="C70" s="31"/>
      <c r="D70" s="31"/>
      <c r="E70" s="31"/>
      <c r="F70" s="31"/>
      <c r="G70" s="31"/>
      <c r="H70" s="31"/>
      <c r="I70" s="31"/>
      <c r="J70" s="52"/>
      <c r="L70" s="90" t="s">
        <v>79</v>
      </c>
      <c r="M70" s="28"/>
      <c r="N70" s="28"/>
      <c r="O70" s="75"/>
      <c r="P70" s="73"/>
      <c r="Q70" s="91"/>
    </row>
    <row r="71" spans="2:17" ht="13.15" customHeight="1"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f>SUM(E71:I71)</f>
        <v>0</v>
      </c>
      <c r="L71" s="90"/>
      <c r="M71" s="28" t="s">
        <v>75</v>
      </c>
      <c r="N71" s="28"/>
      <c r="O71" s="84">
        <v>0.57999999999999996</v>
      </c>
      <c r="P71" s="75">
        <v>0.84299999999999997</v>
      </c>
      <c r="Q71" s="91" t="s">
        <v>76</v>
      </c>
    </row>
    <row r="72" spans="2:17" ht="13.15" customHeight="1">
      <c r="B72" s="31" t="s">
        <v>80</v>
      </c>
      <c r="C72" s="31"/>
      <c r="D72" s="31"/>
      <c r="E72" s="33">
        <f>SUM(E71:E71)</f>
        <v>0</v>
      </c>
      <c r="F72" s="33">
        <f>SUM(F71:F71)</f>
        <v>0</v>
      </c>
      <c r="G72" s="33">
        <f>SUM(G71:G71)</f>
        <v>0</v>
      </c>
      <c r="H72" s="33">
        <f>SUM(H71:H71)</f>
        <v>0</v>
      </c>
      <c r="I72" s="33">
        <f>SUM(I71:I71)</f>
        <v>0</v>
      </c>
      <c r="J72" s="33">
        <f>SUM(E72:I72)</f>
        <v>0</v>
      </c>
      <c r="L72" s="92"/>
      <c r="M72" s="76" t="s">
        <v>77</v>
      </c>
      <c r="N72" s="76"/>
      <c r="O72" s="93">
        <v>0.26</v>
      </c>
      <c r="P72" s="79">
        <v>0.49299999999999999</v>
      </c>
      <c r="Q72" s="95" t="s">
        <v>76</v>
      </c>
    </row>
    <row r="73" spans="2:17" ht="13.15" customHeight="1">
      <c r="B73" s="31"/>
      <c r="C73" s="31"/>
      <c r="D73" s="31"/>
      <c r="E73" s="33"/>
      <c r="F73" s="33"/>
      <c r="G73" s="33"/>
      <c r="H73" s="33"/>
      <c r="I73" s="33"/>
      <c r="J73" s="33"/>
      <c r="L73" s="90"/>
      <c r="M73" s="28"/>
      <c r="N73" s="28"/>
      <c r="O73" s="84"/>
      <c r="P73" s="75"/>
      <c r="Q73" s="91"/>
    </row>
    <row r="74" spans="2:17" ht="13.15" customHeight="1">
      <c r="B74" s="40" t="s">
        <v>81</v>
      </c>
      <c r="C74" s="31"/>
      <c r="D74" s="31"/>
      <c r="E74" s="31"/>
      <c r="F74" s="31"/>
      <c r="G74" s="31"/>
      <c r="H74" s="31"/>
      <c r="I74" s="31"/>
      <c r="J74" s="52"/>
      <c r="L74" s="90" t="s">
        <v>79</v>
      </c>
      <c r="M74" s="28"/>
      <c r="N74" s="28"/>
      <c r="O74" s="75"/>
      <c r="P74" s="73"/>
      <c r="Q74" s="91"/>
    </row>
    <row r="75" spans="2:17" ht="13.15" customHeight="1"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f>SUM(E75:I75)</f>
        <v>0</v>
      </c>
      <c r="L75" s="90"/>
      <c r="M75" s="28" t="s">
        <v>75</v>
      </c>
      <c r="N75" s="28"/>
      <c r="O75" s="84">
        <v>0.57999999999999996</v>
      </c>
      <c r="P75" s="75">
        <v>0.84299999999999997</v>
      </c>
      <c r="Q75" s="91" t="s">
        <v>76</v>
      </c>
    </row>
    <row r="76" spans="2:17" ht="13.15" customHeight="1">
      <c r="B76" s="31" t="s">
        <v>82</v>
      </c>
      <c r="C76" s="31"/>
      <c r="D76" s="31"/>
      <c r="E76" s="33">
        <v>10000</v>
      </c>
      <c r="F76" s="33">
        <f>E76*1.025</f>
        <v>10250</v>
      </c>
      <c r="G76" s="33">
        <f>F76*1.025</f>
        <v>10506.249999999998</v>
      </c>
      <c r="H76" s="33">
        <f>G76*1.025</f>
        <v>10768.906249999996</v>
      </c>
      <c r="I76" s="33">
        <f>SUM(I75:I75)</f>
        <v>0</v>
      </c>
      <c r="J76" s="33">
        <f>SUM(E76:I76)</f>
        <v>41525.15625</v>
      </c>
      <c r="L76" s="92"/>
      <c r="M76" s="76" t="s">
        <v>77</v>
      </c>
      <c r="N76" s="76"/>
      <c r="O76" s="93">
        <v>0.26</v>
      </c>
      <c r="P76" s="79">
        <v>0.49299999999999999</v>
      </c>
      <c r="Q76" s="95" t="s">
        <v>76</v>
      </c>
    </row>
    <row r="77" spans="2:17" s="141" customFormat="1" ht="13.15" customHeight="1">
      <c r="B77" s="142" t="s">
        <v>83</v>
      </c>
      <c r="C77" s="142"/>
      <c r="D77" s="142"/>
      <c r="E77" s="143">
        <v>750</v>
      </c>
      <c r="F77" s="33">
        <f>E77*1.025</f>
        <v>768.74999999999989</v>
      </c>
      <c r="G77" s="33">
        <f>F77*1.025</f>
        <v>787.96874999999977</v>
      </c>
      <c r="H77" s="33">
        <f>G77*1.025</f>
        <v>807.66796874999966</v>
      </c>
      <c r="I77" s="143"/>
      <c r="J77" s="143"/>
      <c r="L77" s="144"/>
      <c r="M77" s="145"/>
      <c r="N77" s="145"/>
      <c r="O77" s="146"/>
      <c r="P77" s="147"/>
      <c r="Q77" s="148"/>
    </row>
    <row r="78" spans="2:17" s="141" customFormat="1" ht="13.15" customHeight="1">
      <c r="B78" s="149" t="s">
        <v>84</v>
      </c>
      <c r="C78" s="142"/>
      <c r="D78" s="142"/>
      <c r="E78" s="143">
        <v>2750</v>
      </c>
      <c r="F78" s="33">
        <f>E78*1.025</f>
        <v>2818.7499999999995</v>
      </c>
      <c r="G78" s="33">
        <f>F78*1.025</f>
        <v>2889.2187499999991</v>
      </c>
      <c r="H78" s="33">
        <f>G78*1.025</f>
        <v>2961.4492187499986</v>
      </c>
      <c r="I78" s="143"/>
      <c r="J78" s="143"/>
      <c r="L78" s="144"/>
      <c r="M78" s="145"/>
      <c r="N78" s="145"/>
      <c r="O78" s="146"/>
      <c r="P78" s="147"/>
      <c r="Q78" s="148"/>
    </row>
    <row r="79" spans="2:17" s="141" customFormat="1" ht="13.15" customHeight="1">
      <c r="B79" s="149" t="s">
        <v>85</v>
      </c>
      <c r="C79" s="142"/>
      <c r="D79" s="142"/>
      <c r="E79" s="143">
        <v>1500</v>
      </c>
      <c r="F79" s="33">
        <f>E79*1.025</f>
        <v>1537.4999999999998</v>
      </c>
      <c r="G79" s="33">
        <f>F79*1.025</f>
        <v>1575.9374999999995</v>
      </c>
      <c r="H79" s="33">
        <f>G79*1.025</f>
        <v>1615.3359374999993</v>
      </c>
      <c r="I79" s="143"/>
      <c r="J79" s="143"/>
      <c r="L79" s="144"/>
      <c r="M79" s="145"/>
      <c r="N79" s="145"/>
      <c r="O79" s="146"/>
      <c r="P79" s="147"/>
      <c r="Q79" s="148"/>
    </row>
    <row r="80" spans="2:17" ht="13.15" customHeight="1">
      <c r="B80" s="7"/>
      <c r="C80" s="7"/>
      <c r="D80" s="7"/>
      <c r="E80" s="26">
        <f>SUM(E75:E79)</f>
        <v>15000</v>
      </c>
      <c r="F80" s="26">
        <f t="shared" ref="F80:H80" si="13">SUM(F75:F79)</f>
        <v>15375</v>
      </c>
      <c r="G80" s="26">
        <f t="shared" si="13"/>
        <v>15759.374999999996</v>
      </c>
      <c r="H80" s="26">
        <f t="shared" si="13"/>
        <v>16153.359374999995</v>
      </c>
      <c r="I80" s="26"/>
      <c r="J80" s="26"/>
      <c r="L80" s="90"/>
      <c r="M80" s="28"/>
      <c r="N80" s="28"/>
      <c r="O80" s="84"/>
      <c r="P80" s="75"/>
      <c r="Q80" s="91"/>
    </row>
    <row r="81" spans="2:17" ht="13.15" customHeight="1">
      <c r="B81" s="40" t="s">
        <v>86</v>
      </c>
      <c r="C81" s="31"/>
      <c r="D81" s="31"/>
      <c r="E81" s="31"/>
      <c r="F81" s="31"/>
      <c r="G81" s="31"/>
      <c r="H81" s="31"/>
      <c r="I81" s="31"/>
      <c r="J81" s="52"/>
      <c r="L81" s="90"/>
      <c r="M81" s="28" t="s">
        <v>75</v>
      </c>
      <c r="N81" s="15"/>
      <c r="O81" s="84">
        <v>0.35</v>
      </c>
      <c r="P81" s="75">
        <v>0.42499999999999999</v>
      </c>
      <c r="Q81" s="91" t="s">
        <v>76</v>
      </c>
    </row>
    <row r="82" spans="2:17" ht="13.15" customHeight="1">
      <c r="E82" s="101">
        <v>0</v>
      </c>
      <c r="F82" s="101">
        <v>0</v>
      </c>
      <c r="G82" s="101">
        <v>0</v>
      </c>
      <c r="H82" s="1">
        <v>0</v>
      </c>
      <c r="I82" s="1">
        <v>0</v>
      </c>
      <c r="J82" s="50">
        <f t="shared" ref="J82:J85" si="14">SUM(E82:I82)</f>
        <v>0</v>
      </c>
      <c r="L82" s="92"/>
      <c r="M82" s="76" t="s">
        <v>77</v>
      </c>
      <c r="N82" s="76"/>
      <c r="O82" s="93">
        <v>0.26</v>
      </c>
      <c r="P82" s="79">
        <v>0.32900000000000001</v>
      </c>
      <c r="Q82" s="95" t="s">
        <v>76</v>
      </c>
    </row>
    <row r="83" spans="2:17" ht="13.15" customHeight="1">
      <c r="E83" s="101">
        <v>0</v>
      </c>
      <c r="F83" s="101">
        <v>0</v>
      </c>
      <c r="G83" s="101">
        <v>0</v>
      </c>
      <c r="H83" s="1">
        <v>0</v>
      </c>
      <c r="I83" s="1">
        <v>0</v>
      </c>
      <c r="J83" s="50">
        <f t="shared" si="14"/>
        <v>0</v>
      </c>
      <c r="L83" s="97" t="s">
        <v>87</v>
      </c>
      <c r="M83" s="80"/>
      <c r="N83" s="81"/>
      <c r="O83" s="98">
        <v>0.36</v>
      </c>
      <c r="P83" s="82">
        <v>0.51400000000000001</v>
      </c>
      <c r="Q83" s="99" t="s">
        <v>76</v>
      </c>
    </row>
    <row r="84" spans="2:17" ht="13.15" customHeight="1">
      <c r="E84" s="101">
        <v>0</v>
      </c>
      <c r="F84" s="101">
        <v>0</v>
      </c>
      <c r="G84" s="101">
        <v>0</v>
      </c>
      <c r="H84" s="1">
        <v>0</v>
      </c>
      <c r="I84" s="1">
        <v>0</v>
      </c>
      <c r="J84" s="50">
        <f t="shared" si="14"/>
        <v>0</v>
      </c>
      <c r="L84" s="92" t="s">
        <v>88</v>
      </c>
      <c r="M84" s="76"/>
      <c r="N84" s="78"/>
      <c r="O84" s="93">
        <v>0.2</v>
      </c>
      <c r="P84" s="94" t="s">
        <v>89</v>
      </c>
      <c r="Q84" s="95" t="s">
        <v>90</v>
      </c>
    </row>
    <row r="85" spans="2:17" ht="13.15" customHeight="1">
      <c r="E85" s="101">
        <v>0</v>
      </c>
      <c r="F85" s="101">
        <v>0</v>
      </c>
      <c r="G85" s="101">
        <v>0</v>
      </c>
      <c r="H85" s="1">
        <v>0</v>
      </c>
      <c r="I85" s="1">
        <v>0</v>
      </c>
      <c r="J85" s="50">
        <f t="shared" si="14"/>
        <v>0</v>
      </c>
    </row>
    <row r="86" spans="2:17" ht="13.15" customHeight="1">
      <c r="B86" s="31" t="s">
        <v>91</v>
      </c>
      <c r="C86" s="31"/>
      <c r="D86" s="31"/>
      <c r="E86" s="102">
        <f>SUM(E82:E85)</f>
        <v>0</v>
      </c>
      <c r="F86" s="102">
        <f>SUM(F82:F85)</f>
        <v>0</v>
      </c>
      <c r="G86" s="102">
        <f>SUM(G82:G85)</f>
        <v>0</v>
      </c>
      <c r="H86" s="31">
        <f>SUM(H82:H85)</f>
        <v>0</v>
      </c>
      <c r="I86" s="31">
        <f>SUM(I82:I85)</f>
        <v>0</v>
      </c>
      <c r="J86" s="52">
        <f>SUM(E86:I86)</f>
        <v>0</v>
      </c>
    </row>
    <row r="87" spans="2:17" ht="13.15" customHeight="1"/>
    <row r="88" spans="2:17" ht="13.15" customHeight="1">
      <c r="B88" s="53" t="s">
        <v>92</v>
      </c>
      <c r="C88" s="54"/>
      <c r="D88" s="54"/>
      <c r="E88" s="55"/>
      <c r="F88" s="55"/>
      <c r="G88" s="55"/>
      <c r="H88" s="55"/>
      <c r="I88" s="55"/>
      <c r="J88" s="55"/>
    </row>
    <row r="89" spans="2:17" ht="13.15" customHeight="1">
      <c r="B89" s="100" t="s">
        <v>93</v>
      </c>
      <c r="C89" s="56"/>
      <c r="D89" s="56"/>
      <c r="E89" s="57">
        <f>(4984+1041)*2</f>
        <v>12050</v>
      </c>
      <c r="F89" s="57">
        <f>E89*1.05</f>
        <v>12652.5</v>
      </c>
      <c r="G89" s="57">
        <f>ROUND(F89*1.05,0)</f>
        <v>13285</v>
      </c>
      <c r="H89" s="57">
        <f>ROUND(G89*1.05,0)</f>
        <v>13949</v>
      </c>
      <c r="I89" s="57">
        <v>0</v>
      </c>
      <c r="J89" s="26">
        <f>SUM(E89:I89)</f>
        <v>51936.5</v>
      </c>
    </row>
    <row r="90" spans="2:17" ht="13.15" customHeight="1">
      <c r="B90" s="100" t="s">
        <v>93</v>
      </c>
      <c r="C90" s="56"/>
      <c r="D90" s="56"/>
      <c r="E90" s="57">
        <f>(4984+1041)*2</f>
        <v>12050</v>
      </c>
      <c r="F90" s="57">
        <f>E90*1.05</f>
        <v>12652.5</v>
      </c>
      <c r="G90" s="57">
        <f>ROUND(F90*1.05,0)</f>
        <v>13285</v>
      </c>
      <c r="H90" s="57">
        <f>ROUND(G90*1.05,0)</f>
        <v>13949</v>
      </c>
      <c r="I90" s="57">
        <v>0</v>
      </c>
      <c r="J90" s="26">
        <f>SUM(E90:I90)</f>
        <v>51936.5</v>
      </c>
    </row>
    <row r="91" spans="2:17" ht="13.15" customHeight="1">
      <c r="B91" s="103"/>
      <c r="C91" s="56"/>
      <c r="D91" s="56"/>
      <c r="E91" s="57">
        <v>0</v>
      </c>
      <c r="F91" s="57">
        <v>0</v>
      </c>
      <c r="G91" s="57">
        <v>0</v>
      </c>
      <c r="H91" s="57">
        <v>0</v>
      </c>
      <c r="I91" s="57">
        <v>0</v>
      </c>
      <c r="J91" s="26">
        <f t="shared" ref="J91" si="15">SUM(E91:I91)</f>
        <v>0</v>
      </c>
    </row>
    <row r="92" spans="2:17" ht="13.15" customHeight="1">
      <c r="B92" s="31" t="s">
        <v>94</v>
      </c>
      <c r="C92" s="31"/>
      <c r="D92" s="31"/>
      <c r="E92" s="33">
        <f t="shared" ref="E92:J92" si="16">SUM(E89:E91)</f>
        <v>24100</v>
      </c>
      <c r="F92" s="33">
        <f t="shared" si="16"/>
        <v>25305</v>
      </c>
      <c r="G92" s="33">
        <f t="shared" si="16"/>
        <v>26570</v>
      </c>
      <c r="H92" s="33">
        <f t="shared" si="16"/>
        <v>27898</v>
      </c>
      <c r="I92" s="33">
        <f t="shared" si="16"/>
        <v>0</v>
      </c>
      <c r="J92" s="33">
        <f t="shared" si="16"/>
        <v>103873</v>
      </c>
    </row>
    <row r="93" spans="2:17" ht="13.15" customHeight="1">
      <c r="B93" s="7"/>
      <c r="C93" s="7"/>
      <c r="D93" s="7"/>
      <c r="E93" s="26"/>
      <c r="F93" s="26"/>
      <c r="G93" s="26"/>
      <c r="H93" s="26"/>
      <c r="I93" s="26"/>
      <c r="J93" s="26"/>
    </row>
    <row r="94" spans="2:17" ht="13.15" customHeight="1">
      <c r="B94" s="40" t="s">
        <v>95</v>
      </c>
      <c r="C94" s="58"/>
      <c r="D94" s="58"/>
      <c r="E94" s="59">
        <f>SUM(E65+E72+E80+E86+E92)</f>
        <v>418222.11900000001</v>
      </c>
      <c r="F94" s="59">
        <f>SUM(F65+F72+F80+F86+F92)</f>
        <v>417785.97099999996</v>
      </c>
      <c r="G94" s="59">
        <f>SUM(G65+G72+G80+G86+G92)</f>
        <v>421641.386</v>
      </c>
      <c r="H94" s="59">
        <f>SUM(H65+H72+H80+H86+H92)</f>
        <v>421409.63912500005</v>
      </c>
      <c r="I94" s="59">
        <f>SUM(I65+I72+I86+I92)</f>
        <v>0</v>
      </c>
      <c r="J94" s="60">
        <f>SUM(E94:I94)</f>
        <v>1679059.115125</v>
      </c>
    </row>
    <row r="95" spans="2:17" ht="13.15" customHeight="1" thickBot="1">
      <c r="B95" s="46"/>
      <c r="C95" s="61"/>
      <c r="D95" s="62"/>
      <c r="E95" s="63"/>
      <c r="F95" s="63"/>
      <c r="G95" s="63"/>
      <c r="H95" s="63"/>
      <c r="I95" s="63"/>
      <c r="J95" s="64"/>
    </row>
    <row r="96" spans="2:17" ht="13.15" customHeight="1" thickBot="1">
      <c r="B96" s="40" t="s">
        <v>96</v>
      </c>
      <c r="C96" s="65" t="s">
        <v>97</v>
      </c>
      <c r="D96" s="66">
        <v>0.5</v>
      </c>
      <c r="E96" s="60">
        <f>SUM(D96*E65)</f>
        <v>189561.0595</v>
      </c>
      <c r="F96" s="60">
        <f>SUM(D96*F65)</f>
        <v>188552.98549999998</v>
      </c>
      <c r="G96" s="60">
        <f>SUM(D96*G65)</f>
        <v>189656.0055</v>
      </c>
      <c r="H96" s="60">
        <f>SUM(D96*H65)</f>
        <v>188679.13987500002</v>
      </c>
      <c r="I96" s="60">
        <f>SUM(D96*I65)</f>
        <v>0</v>
      </c>
      <c r="J96" s="60">
        <f>SUM(E96:I96)</f>
        <v>756449.19037500001</v>
      </c>
    </row>
    <row r="97" spans="2:11" ht="13.15" customHeight="1">
      <c r="B97" s="56"/>
      <c r="C97" s="56"/>
      <c r="D97" s="56"/>
      <c r="E97" s="57"/>
      <c r="F97" s="57"/>
      <c r="G97" s="57"/>
      <c r="H97" s="57"/>
      <c r="I97" s="57"/>
      <c r="J97" s="26"/>
    </row>
    <row r="98" spans="2:11" ht="13.15" customHeight="1" thickBot="1">
      <c r="B98" s="67" t="s">
        <v>98</v>
      </c>
      <c r="C98" s="58"/>
      <c r="D98" s="58"/>
      <c r="E98" s="68">
        <f>SUM(E94+E96)</f>
        <v>607783.17850000004</v>
      </c>
      <c r="F98" s="68">
        <f>SUM(F94+F96)</f>
        <v>606338.95649999997</v>
      </c>
      <c r="G98" s="68">
        <f t="shared" ref="G98:I98" si="17">SUM(G94+G96)</f>
        <v>611297.39150000003</v>
      </c>
      <c r="H98" s="68">
        <f t="shared" si="17"/>
        <v>610088.7790000001</v>
      </c>
      <c r="I98" s="68">
        <f t="shared" si="17"/>
        <v>0</v>
      </c>
      <c r="J98" s="68">
        <f>SUM(E98:I98)</f>
        <v>2435508.3055000002</v>
      </c>
      <c r="K98" s="27">
        <f>SUM(J94:J96)</f>
        <v>2435508.3054999998</v>
      </c>
    </row>
    <row r="99" spans="2:11" ht="15" customHeight="1" thickTop="1">
      <c r="B99" s="69"/>
      <c r="C99" s="69"/>
      <c r="D99" s="69"/>
      <c r="E99" s="70"/>
      <c r="F99" s="70"/>
      <c r="G99" s="70"/>
      <c r="H99" s="70"/>
      <c r="I99" s="70"/>
      <c r="J99" s="71"/>
    </row>
    <row r="100" spans="2:11" ht="15" customHeight="1"/>
    <row r="102" spans="2:11">
      <c r="E102" s="1" t="s">
        <v>4</v>
      </c>
      <c r="F102" s="1" t="s">
        <v>5</v>
      </c>
      <c r="G102" s="1" t="s">
        <v>6</v>
      </c>
      <c r="H102" s="1" t="s">
        <v>7</v>
      </c>
    </row>
    <row r="103" spans="2:11">
      <c r="B103" s="1" t="s">
        <v>99</v>
      </c>
      <c r="E103" s="27">
        <f>E8+E15+E26+E33+E56+E57</f>
        <v>106602.06700000001</v>
      </c>
      <c r="F103" s="27">
        <f>F8+F15+F26+F33+F56+F57</f>
        <v>107816.53599999999</v>
      </c>
      <c r="G103" s="27">
        <f>G8+G15+G26+G33+G56+G57</f>
        <v>106061.64199999999</v>
      </c>
      <c r="H103" s="27">
        <f>H8+H15+H26+H33+H56+H57</f>
        <v>107338.68599999999</v>
      </c>
    </row>
    <row r="104" spans="2:11">
      <c r="B104" s="1" t="s">
        <v>100</v>
      </c>
      <c r="E104" s="27">
        <f>E103*D$96</f>
        <v>53301.033500000005</v>
      </c>
      <c r="F104" s="27">
        <f>F103*$D$96</f>
        <v>53908.267999999996</v>
      </c>
      <c r="G104" s="27">
        <f>G103*$D$96</f>
        <v>53030.820999999996</v>
      </c>
      <c r="H104" s="27">
        <f>H103*$D$96</f>
        <v>53669.342999999993</v>
      </c>
    </row>
    <row r="105" spans="2:11">
      <c r="B105" s="1" t="s">
        <v>101</v>
      </c>
      <c r="E105" s="27">
        <f>SUM(E103:E104)</f>
        <v>159903.1005</v>
      </c>
      <c r="F105" s="27">
        <f t="shared" ref="F105:H105" si="18">SUM(F103:F104)</f>
        <v>161724.804</v>
      </c>
      <c r="G105" s="27">
        <f t="shared" si="18"/>
        <v>159092.46299999999</v>
      </c>
      <c r="H105" s="27">
        <f t="shared" si="18"/>
        <v>161008.02899999998</v>
      </c>
      <c r="J105" s="27">
        <f>SUM(E105:I105)</f>
        <v>641728.39650000003</v>
      </c>
    </row>
    <row r="107" spans="2:11">
      <c r="B107" s="1" t="s">
        <v>102</v>
      </c>
      <c r="E107" s="27">
        <f>1500000-E105</f>
        <v>1340096.8995000001</v>
      </c>
      <c r="F107" s="27">
        <f t="shared" ref="F107:H107" si="19">1500000-F105</f>
        <v>1338275.196</v>
      </c>
      <c r="G107" s="27">
        <f t="shared" si="19"/>
        <v>1340907.537</v>
      </c>
      <c r="H107" s="27">
        <f t="shared" si="19"/>
        <v>1338991.9709999999</v>
      </c>
      <c r="J107" s="27">
        <f>SUM(E107:I107)</f>
        <v>5358271.6034999993</v>
      </c>
    </row>
    <row r="108" spans="2:11">
      <c r="B108" s="1" t="s">
        <v>103</v>
      </c>
      <c r="E108" s="112">
        <f>E107/3</f>
        <v>446698.96650000004</v>
      </c>
      <c r="F108" s="112">
        <f t="shared" ref="F108:H108" si="20">F107/3</f>
        <v>446091.73200000002</v>
      </c>
      <c r="G108" s="112">
        <f t="shared" si="20"/>
        <v>446969.179</v>
      </c>
      <c r="H108" s="112">
        <f t="shared" si="20"/>
        <v>446330.65699999995</v>
      </c>
      <c r="J108" s="27">
        <f>SUM(E108:I108)</f>
        <v>1786090.5344999998</v>
      </c>
    </row>
    <row r="109" spans="2:11">
      <c r="J109" s="1">
        <f>SUM(J103:J108)</f>
        <v>7786090.5344999991</v>
      </c>
    </row>
    <row r="111" spans="2:11">
      <c r="B111" s="1" t="s">
        <v>104</v>
      </c>
      <c r="E111" s="1">
        <v>165000</v>
      </c>
    </row>
    <row r="112" spans="2:11">
      <c r="B112" s="1" t="s">
        <v>105</v>
      </c>
      <c r="E112" s="1">
        <v>445000</v>
      </c>
    </row>
    <row r="113" spans="2:10">
      <c r="B113" s="1" t="s">
        <v>106</v>
      </c>
      <c r="E113" s="1">
        <f>SUM(E111:E112)</f>
        <v>610000</v>
      </c>
    </row>
    <row r="115" spans="2:10">
      <c r="B115" s="1" t="s">
        <v>107</v>
      </c>
      <c r="E115" s="1">
        <v>444957</v>
      </c>
      <c r="F115" s="1">
        <v>444606</v>
      </c>
      <c r="G115" s="1">
        <v>444554</v>
      </c>
      <c r="H115" s="1">
        <v>444988</v>
      </c>
      <c r="J115" s="1">
        <f>SUM(E115:I115)</f>
        <v>1779105</v>
      </c>
    </row>
    <row r="116" spans="2:10">
      <c r="B116" s="1" t="s">
        <v>108</v>
      </c>
      <c r="E116" s="1">
        <v>445320</v>
      </c>
      <c r="F116" s="1">
        <v>446322</v>
      </c>
      <c r="G116" s="1">
        <v>444104</v>
      </c>
      <c r="H116" s="1">
        <v>444254</v>
      </c>
      <c r="J116" s="1">
        <f>SUM(E116:I116)</f>
        <v>1780000</v>
      </c>
    </row>
    <row r="118" spans="2:10">
      <c r="B118" s="1" t="s">
        <v>109</v>
      </c>
      <c r="E118" s="27">
        <f>E98+E115+E116</f>
        <v>1498060.1784999999</v>
      </c>
      <c r="F118" s="27">
        <f t="shared" ref="F118:H118" si="21">F98+F115+F116</f>
        <v>1497266.9564999999</v>
      </c>
      <c r="G118" s="27">
        <f t="shared" si="21"/>
        <v>1499955.3914999999</v>
      </c>
      <c r="H118" s="27">
        <f t="shared" si="21"/>
        <v>1499330.7790000001</v>
      </c>
      <c r="J118" s="27">
        <f>SUM(E118:I118)</f>
        <v>5994613.3054999998</v>
      </c>
    </row>
  </sheetData>
  <mergeCells count="10">
    <mergeCell ref="L43:P43"/>
    <mergeCell ref="L45:P47"/>
    <mergeCell ref="B67:J68"/>
    <mergeCell ref="L3:Q3"/>
    <mergeCell ref="L4:N4"/>
    <mergeCell ref="P4:Q4"/>
    <mergeCell ref="L6:N6"/>
    <mergeCell ref="L41:P41"/>
    <mergeCell ref="L42:P42"/>
    <mergeCell ref="L65:N65"/>
  </mergeCells>
  <phoneticPr fontId="20" type="noConversion"/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CC405-6DB3-6240-AAB6-DF0077E82F1A}">
  <dimension ref="A1:O35"/>
  <sheetViews>
    <sheetView zoomScale="176" workbookViewId="0">
      <selection activeCell="F15" sqref="F15"/>
    </sheetView>
  </sheetViews>
  <sheetFormatPr defaultColWidth="11.42578125" defaultRowHeight="14.45"/>
  <cols>
    <col min="1" max="1" width="9.7109375" customWidth="1"/>
    <col min="2" max="2" width="17.42578125" customWidth="1"/>
    <col min="3" max="3" width="11.28515625" customWidth="1"/>
    <col min="4" max="4" width="12.28515625" customWidth="1"/>
    <col min="5" max="5" width="11.28515625" customWidth="1"/>
    <col min="6" max="6" width="13.85546875" customWidth="1"/>
    <col min="7" max="7" width="13.28515625" customWidth="1"/>
    <col min="8" max="8" width="13.42578125" customWidth="1"/>
    <col min="9" max="9" width="5" customWidth="1"/>
    <col min="10" max="10" width="5.7109375" customWidth="1"/>
    <col min="11" max="11" width="8.42578125" customWidth="1"/>
    <col min="12" max="12" width="14.85546875" customWidth="1"/>
    <col min="13" max="13" width="11.85546875" bestFit="1" customWidth="1"/>
  </cols>
  <sheetData>
    <row r="1" spans="1:15">
      <c r="A1" s="104" t="s">
        <v>110</v>
      </c>
      <c r="B1" s="104" t="s">
        <v>111</v>
      </c>
      <c r="C1" s="104" t="s">
        <v>112</v>
      </c>
      <c r="D1" s="104" t="s">
        <v>113</v>
      </c>
      <c r="E1" s="105" t="s">
        <v>114</v>
      </c>
      <c r="F1" s="105" t="s">
        <v>115</v>
      </c>
      <c r="G1" s="105" t="s">
        <v>116</v>
      </c>
      <c r="H1" s="105" t="s">
        <v>117</v>
      </c>
      <c r="I1" s="104" t="s">
        <v>118</v>
      </c>
      <c r="J1" s="104" t="s">
        <v>119</v>
      </c>
      <c r="K1" s="104" t="s">
        <v>120</v>
      </c>
      <c r="L1" s="105" t="s">
        <v>121</v>
      </c>
      <c r="M1" s="105" t="s">
        <v>122</v>
      </c>
    </row>
    <row r="2" spans="1:15" ht="15" customHeight="1">
      <c r="A2" s="113" t="s">
        <v>4</v>
      </c>
      <c r="B2" s="106" t="s">
        <v>123</v>
      </c>
      <c r="C2" s="106" t="s">
        <v>124</v>
      </c>
      <c r="D2" s="106" t="s">
        <v>125</v>
      </c>
      <c r="E2" s="107">
        <v>1550</v>
      </c>
      <c r="F2" s="107">
        <v>258</v>
      </c>
      <c r="G2" s="107">
        <v>79</v>
      </c>
      <c r="H2" s="107">
        <v>55</v>
      </c>
      <c r="I2" s="106">
        <v>4</v>
      </c>
      <c r="J2" s="106">
        <v>3</v>
      </c>
      <c r="K2" s="106">
        <v>2</v>
      </c>
      <c r="L2" s="107">
        <f>(F2*J2)+(G2*I2)+E2</f>
        <v>2640</v>
      </c>
      <c r="M2" s="107">
        <f>(L2*K2)+H2</f>
        <v>5335</v>
      </c>
    </row>
    <row r="3" spans="1:15">
      <c r="A3" s="113" t="s">
        <v>4</v>
      </c>
      <c r="B3" s="106" t="s">
        <v>126</v>
      </c>
      <c r="C3" s="106" t="s">
        <v>124</v>
      </c>
      <c r="D3" s="106" t="s">
        <v>127</v>
      </c>
      <c r="E3" s="107">
        <v>0</v>
      </c>
      <c r="F3" s="107">
        <v>179</v>
      </c>
      <c r="G3" s="107">
        <v>55</v>
      </c>
      <c r="H3" s="107">
        <v>100</v>
      </c>
      <c r="I3" s="106">
        <v>3</v>
      </c>
      <c r="J3" s="106">
        <v>2</v>
      </c>
      <c r="K3" s="106">
        <v>6</v>
      </c>
      <c r="L3" s="107">
        <f>((G3*I3)+(F3*J3))</f>
        <v>523</v>
      </c>
      <c r="M3" s="107">
        <f>(L3*K3)+(H3*2)</f>
        <v>3338</v>
      </c>
    </row>
    <row r="4" spans="1:15">
      <c r="A4" s="113" t="s">
        <v>4</v>
      </c>
      <c r="B4" s="106" t="s">
        <v>126</v>
      </c>
      <c r="C4" s="106" t="s">
        <v>124</v>
      </c>
      <c r="D4" s="106" t="s">
        <v>127</v>
      </c>
      <c r="E4" s="107">
        <v>0</v>
      </c>
      <c r="F4" s="107">
        <v>0</v>
      </c>
      <c r="G4" s="107">
        <v>55</v>
      </c>
      <c r="H4" s="107">
        <v>100</v>
      </c>
      <c r="I4" s="106">
        <v>3</v>
      </c>
      <c r="J4" s="106">
        <v>0</v>
      </c>
      <c r="K4" s="106">
        <v>6</v>
      </c>
      <c r="L4" s="107">
        <f>((G4*I4)+(F4*J4))</f>
        <v>165</v>
      </c>
      <c r="M4" s="107">
        <f>(L4*K4)+(H4*2)</f>
        <v>1190</v>
      </c>
    </row>
    <row r="5" spans="1:15">
      <c r="A5" s="113" t="s">
        <v>4</v>
      </c>
      <c r="B5" s="106" t="s">
        <v>128</v>
      </c>
      <c r="C5" s="106" t="s">
        <v>124</v>
      </c>
      <c r="D5" s="106" t="s">
        <v>124</v>
      </c>
      <c r="E5" s="107">
        <v>0</v>
      </c>
      <c r="F5" s="107">
        <v>0</v>
      </c>
      <c r="G5" s="107">
        <v>0</v>
      </c>
      <c r="H5" s="107">
        <v>0</v>
      </c>
      <c r="I5" s="106">
        <v>0</v>
      </c>
      <c r="J5" s="106">
        <v>0</v>
      </c>
      <c r="K5" s="106">
        <v>0</v>
      </c>
      <c r="L5" s="107">
        <v>0</v>
      </c>
      <c r="M5" s="107">
        <v>0</v>
      </c>
      <c r="N5" s="110">
        <f>SUM(M2:M4)</f>
        <v>9863</v>
      </c>
    </row>
    <row r="6" spans="1:15">
      <c r="A6" s="114" t="s">
        <v>5</v>
      </c>
      <c r="B6" s="109" t="s">
        <v>129</v>
      </c>
      <c r="C6" s="109" t="s">
        <v>124</v>
      </c>
      <c r="D6" s="109" t="s">
        <v>125</v>
      </c>
      <c r="E6" s="108">
        <v>1550</v>
      </c>
      <c r="F6" s="108">
        <v>258</v>
      </c>
      <c r="G6" s="108">
        <v>79</v>
      </c>
      <c r="H6" s="108">
        <v>55</v>
      </c>
      <c r="I6" s="109">
        <v>4</v>
      </c>
      <c r="J6" s="109">
        <v>3</v>
      </c>
      <c r="K6" s="109">
        <v>3</v>
      </c>
      <c r="L6" s="107">
        <f t="shared" ref="L6:L12" si="0">(F6*J6)+(G6*I6)+E6</f>
        <v>2640</v>
      </c>
      <c r="M6" s="108">
        <f>((L6*K6)+H6)*1.05</f>
        <v>8373.75</v>
      </c>
    </row>
    <row r="7" spans="1:15">
      <c r="A7" s="109" t="s">
        <v>5</v>
      </c>
      <c r="B7" s="109" t="s">
        <v>126</v>
      </c>
      <c r="C7" s="109" t="s">
        <v>124</v>
      </c>
      <c r="D7" s="109" t="s">
        <v>127</v>
      </c>
      <c r="E7" s="108">
        <v>0</v>
      </c>
      <c r="F7" s="108">
        <v>0</v>
      </c>
      <c r="G7" s="108">
        <v>55</v>
      </c>
      <c r="H7" s="108">
        <v>100</v>
      </c>
      <c r="I7" s="109">
        <v>6</v>
      </c>
      <c r="J7" s="109">
        <v>0</v>
      </c>
      <c r="K7" s="109">
        <v>4</v>
      </c>
      <c r="L7" s="108">
        <f>((G7*I7)+(F7*J7))</f>
        <v>330</v>
      </c>
      <c r="M7" s="108">
        <f>((L7*K7)+(H7*I7))*1.05</f>
        <v>2016</v>
      </c>
    </row>
    <row r="8" spans="1:15">
      <c r="A8" s="109" t="s">
        <v>5</v>
      </c>
      <c r="B8" s="109" t="s">
        <v>130</v>
      </c>
      <c r="C8" s="109" t="s">
        <v>124</v>
      </c>
      <c r="D8" s="109" t="s">
        <v>131</v>
      </c>
      <c r="E8" s="108">
        <v>785</v>
      </c>
      <c r="F8" s="108">
        <v>114</v>
      </c>
      <c r="G8" s="108">
        <v>69</v>
      </c>
      <c r="H8" s="108">
        <v>100</v>
      </c>
      <c r="I8" s="109">
        <v>4</v>
      </c>
      <c r="J8" s="109">
        <v>3</v>
      </c>
      <c r="K8" s="109">
        <v>9</v>
      </c>
      <c r="L8" s="108">
        <f t="shared" si="0"/>
        <v>1403</v>
      </c>
      <c r="M8" s="108">
        <f>((L8*K8)+(H8*2))*1.05</f>
        <v>13468.35</v>
      </c>
      <c r="N8" s="110">
        <f>SUM(M6:M8)</f>
        <v>23858.1</v>
      </c>
    </row>
    <row r="9" spans="1:15" s="125" customFormat="1">
      <c r="A9" s="113" t="s">
        <v>6</v>
      </c>
      <c r="B9" s="113" t="s">
        <v>129</v>
      </c>
      <c r="C9" s="113" t="s">
        <v>124</v>
      </c>
      <c r="D9" s="113" t="s">
        <v>125</v>
      </c>
      <c r="E9" s="124">
        <v>1550</v>
      </c>
      <c r="F9" s="124">
        <v>258</v>
      </c>
      <c r="G9" s="124">
        <v>79</v>
      </c>
      <c r="H9" s="124">
        <v>55</v>
      </c>
      <c r="I9" s="113">
        <v>4</v>
      </c>
      <c r="J9" s="113">
        <v>3</v>
      </c>
      <c r="K9" s="113">
        <v>2</v>
      </c>
      <c r="L9" s="124">
        <f t="shared" si="0"/>
        <v>2640</v>
      </c>
      <c r="M9" s="124">
        <f>((((L9*K9)+H9)*1.05)*1.05)</f>
        <v>5881.8375000000005</v>
      </c>
    </row>
    <row r="10" spans="1:15" s="125" customFormat="1">
      <c r="A10" s="113" t="s">
        <v>6</v>
      </c>
      <c r="B10" s="113" t="s">
        <v>132</v>
      </c>
      <c r="C10" s="113" t="s">
        <v>124</v>
      </c>
      <c r="D10" s="113" t="s">
        <v>133</v>
      </c>
      <c r="E10" s="124">
        <v>1416</v>
      </c>
      <c r="F10" s="124">
        <v>112</v>
      </c>
      <c r="G10" s="124">
        <v>64</v>
      </c>
      <c r="H10" s="124">
        <v>100</v>
      </c>
      <c r="I10" s="113">
        <v>4</v>
      </c>
      <c r="J10" s="113">
        <v>3</v>
      </c>
      <c r="K10" s="113">
        <v>9</v>
      </c>
      <c r="L10" s="124">
        <f t="shared" si="0"/>
        <v>2008</v>
      </c>
      <c r="M10" s="124">
        <f>((((L10*K10)+(H10*2))*1.05)*1.05)</f>
        <v>20144.880000000005</v>
      </c>
      <c r="N10" s="126">
        <f>SUM(M9:M10)</f>
        <v>26026.717500000006</v>
      </c>
    </row>
    <row r="11" spans="1:15">
      <c r="A11" s="109" t="s">
        <v>7</v>
      </c>
      <c r="B11" s="109" t="s">
        <v>123</v>
      </c>
      <c r="C11" s="109" t="s">
        <v>124</v>
      </c>
      <c r="D11" s="109" t="s">
        <v>125</v>
      </c>
      <c r="E11" s="108">
        <v>1550</v>
      </c>
      <c r="F11" s="108">
        <v>258</v>
      </c>
      <c r="G11" s="108">
        <v>79</v>
      </c>
      <c r="H11" s="108">
        <v>69</v>
      </c>
      <c r="I11" s="109">
        <v>4</v>
      </c>
      <c r="J11" s="109">
        <v>3</v>
      </c>
      <c r="K11" s="109">
        <v>2</v>
      </c>
      <c r="L11" s="108">
        <f t="shared" si="0"/>
        <v>2640</v>
      </c>
      <c r="M11" s="108">
        <f>(((((L11*K11)+H11)*1.05)*1.05)*1.05)</f>
        <v>6192.136125</v>
      </c>
    </row>
    <row r="12" spans="1:15">
      <c r="A12" s="109" t="s">
        <v>7</v>
      </c>
      <c r="B12" s="109" t="s">
        <v>130</v>
      </c>
      <c r="C12" s="109" t="s">
        <v>124</v>
      </c>
      <c r="D12" s="109" t="s">
        <v>131</v>
      </c>
      <c r="E12" s="108">
        <v>785</v>
      </c>
      <c r="F12" s="108">
        <v>114</v>
      </c>
      <c r="G12" s="108">
        <v>69</v>
      </c>
      <c r="H12" s="108">
        <v>100</v>
      </c>
      <c r="I12" s="109">
        <v>4</v>
      </c>
      <c r="J12" s="109">
        <v>3</v>
      </c>
      <c r="K12" s="109">
        <v>9</v>
      </c>
      <c r="L12" s="108">
        <f t="shared" si="0"/>
        <v>1403</v>
      </c>
      <c r="M12" s="108">
        <f>(((((L12*K12)+(H12*2))*1.05)*1.05)*1.05)</f>
        <v>14848.855875000003</v>
      </c>
      <c r="N12" s="110">
        <f>SUM(M11:M12)</f>
        <v>21040.992000000002</v>
      </c>
    </row>
    <row r="14" spans="1:15">
      <c r="B14" s="111"/>
      <c r="C14" s="106" t="s">
        <v>4</v>
      </c>
      <c r="D14" s="106" t="s">
        <v>5</v>
      </c>
      <c r="E14" s="106" t="s">
        <v>6</v>
      </c>
      <c r="F14" s="106" t="s">
        <v>7</v>
      </c>
      <c r="G14" s="106" t="s">
        <v>9</v>
      </c>
      <c r="O14">
        <f>SUM(500/8)</f>
        <v>62.5</v>
      </c>
    </row>
    <row r="15" spans="1:15">
      <c r="B15" s="111" t="s">
        <v>134</v>
      </c>
      <c r="C15" s="108">
        <f>SUM(M2:M5)</f>
        <v>9863</v>
      </c>
      <c r="D15" s="108">
        <f>SUM(M6:M8)</f>
        <v>23858.1</v>
      </c>
      <c r="E15" s="108">
        <f>SUM(M9:M10)</f>
        <v>26026.717500000006</v>
      </c>
      <c r="F15" s="108">
        <f>SUM(M11:M12)</f>
        <v>21040.992000000002</v>
      </c>
      <c r="G15" s="108">
        <f>SUM(C15:F15)</f>
        <v>80788.809500000003</v>
      </c>
      <c r="O15">
        <v>337</v>
      </c>
    </row>
    <row r="16" spans="1:15">
      <c r="B16" s="111" t="s">
        <v>135</v>
      </c>
      <c r="C16" s="108">
        <f>SUM(M2:M5)</f>
        <v>9863</v>
      </c>
      <c r="D16" s="108">
        <f>SUM(M6:M9)</f>
        <v>29739.9375</v>
      </c>
      <c r="E16" s="108">
        <f>SUM(L11:L12)</f>
        <v>4043</v>
      </c>
      <c r="F16" s="108">
        <f>SUM(M11:M12)</f>
        <v>21040.992000000002</v>
      </c>
      <c r="G16" s="108">
        <f>SUM(C16:F16)</f>
        <v>64686.929499999998</v>
      </c>
      <c r="J16" s="110"/>
      <c r="K16" s="110"/>
      <c r="O16">
        <f>SUM(O14:O15)</f>
        <v>399.5</v>
      </c>
    </row>
    <row r="17" spans="6:6">
      <c r="F17" s="110">
        <f>SUM(G15)</f>
        <v>80788.809500000003</v>
      </c>
    </row>
    <row r="35" spans="12:12">
      <c r="L35">
        <v>12627</v>
      </c>
    </row>
  </sheetData>
  <phoneticPr fontId="20" type="noConversion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D6321EBD98D2747B920F6F8F3E12CE8" ma:contentTypeVersion="18" ma:contentTypeDescription="Create a new document." ma:contentTypeScope="" ma:versionID="b45c50297884aeabf4b83d1200a835da">
  <xsd:schema xmlns:xsd="http://www.w3.org/2001/XMLSchema" xmlns:xs="http://www.w3.org/2001/XMLSchema" xmlns:p="http://schemas.microsoft.com/office/2006/metadata/properties" xmlns:ns1="http://schemas.microsoft.com/sharepoint/v3" xmlns:ns2="4f7ebdfc-7d4d-4cd1-8c67-126c82b09329" xmlns:ns3="85ad44ad-ce83-49f5-93d8-0b87b784bdc8" targetNamespace="http://schemas.microsoft.com/office/2006/metadata/properties" ma:root="true" ma:fieldsID="6c4ff8a8d63234ce85a3aec2e5147289" ns1:_="" ns2:_="" ns3:_="">
    <xsd:import namespace="http://schemas.microsoft.com/sharepoint/v3"/>
    <xsd:import namespace="4f7ebdfc-7d4d-4cd1-8c67-126c82b09329"/>
    <xsd:import namespace="85ad44ad-ce83-49f5-93d8-0b87b784bdc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1:_ip_UnifiedCompliancePolicyProperties" minOccurs="0"/>
                <xsd:element ref="ns1:_ip_UnifiedCompliancePolicyUIAction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Location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7ebdfc-7d4d-4cd1-8c67-126c82b0932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18d5a82e-92dc-43e1-bfae-7168f66f09cb}" ma:internalName="TaxCatchAll" ma:showField="CatchAllData" ma:web="4f7ebdfc-7d4d-4cd1-8c67-126c82b0932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ad44ad-ce83-49f5-93d8-0b87b784bd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f924f0ff-682f-4b97-8273-0421c1f8190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lcf76f155ced4ddcb4097134ff3c332f xmlns="85ad44ad-ce83-49f5-93d8-0b87b784bdc8">
      <Terms xmlns="http://schemas.microsoft.com/office/infopath/2007/PartnerControls"/>
    </lcf76f155ced4ddcb4097134ff3c332f>
    <_ip_UnifiedCompliancePolicyProperties xmlns="http://schemas.microsoft.com/sharepoint/v3" xsi:nil="true"/>
    <TaxCatchAll xmlns="4f7ebdfc-7d4d-4cd1-8c67-126c82b0932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97B0FFA-F4C0-4525-A047-A69CAE55E87C}"/>
</file>

<file path=customXml/itemProps2.xml><?xml version="1.0" encoding="utf-8"?>
<ds:datastoreItem xmlns:ds="http://schemas.openxmlformats.org/officeDocument/2006/customXml" ds:itemID="{72753573-2A93-4262-96AA-601E38F2547B}"/>
</file>

<file path=customXml/itemProps3.xml><?xml version="1.0" encoding="utf-8"?>
<ds:datastoreItem xmlns:ds="http://schemas.openxmlformats.org/officeDocument/2006/customXml" ds:itemID="{961DA292-D614-428D-9140-47E0A087053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University of Idaho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Bilderback, Ann-Marie (abilderback@uidaho.edu)</dc:creator>
  <cp:keywords/>
  <dc:description/>
  <cp:lastModifiedBy>Kliskey, Andrew (akliskey@uidaho.edu)</cp:lastModifiedBy>
  <cp:revision/>
  <dcterms:created xsi:type="dcterms:W3CDTF">2019-02-28T20:07:31Z</dcterms:created>
  <dcterms:modified xsi:type="dcterms:W3CDTF">2023-01-20T03:12:55Z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0x0101007D6321EBD98D2747B920F6F8F3E12CE8</vt:lpwstr>
  </property>
  <property fmtid="{D5CDD505-2E9C-101B-9397-08002B2CF9AE}" pid="3" name="MediaServiceImageTags">
    <vt:lpwstr/>
  </property>
</Properties>
</file>